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1840" windowHeight="12825" firstSheet="13" activeTab="20"/>
  </bookViews>
  <sheets>
    <sheet name="Labor" sheetId="6" r:id="rId1"/>
    <sheet name="Inflation" sheetId="4" r:id="rId2"/>
    <sheet name="MonitorEquip" sheetId="8" r:id="rId3"/>
    <sheet name="SO2" sheetId="9" r:id="rId4"/>
    <sheet name="CO" sheetId="10" r:id="rId5"/>
    <sheet name="NO2" sheetId="1" r:id="rId6"/>
    <sheet name="O3" sheetId="7" r:id="rId7"/>
    <sheet name="PM10" sheetId="15" r:id="rId8"/>
    <sheet name="PM25" sheetId="24" r:id="rId9"/>
    <sheet name="Pb" sheetId="11" r:id="rId10"/>
    <sheet name="PAMSVOC" sheetId="25" r:id="rId11"/>
    <sheet name="PAMSNMOC" sheetId="12" r:id="rId12"/>
    <sheet name="PAMSNOx" sheetId="13" r:id="rId13"/>
    <sheet name="NF_PAMSSurfMet" sheetId="14" r:id="rId14"/>
    <sheet name="PAMS_Upper_Air" sheetId="16" r:id="rId15"/>
    <sheet name="PAMSCarbE" sheetId="17" r:id="rId16"/>
    <sheet name="PAMSCarbD" sheetId="18" r:id="rId17"/>
    <sheet name="PAMSHalfD" sheetId="19" r:id="rId18"/>
    <sheet name="NATTS" sheetId="22" r:id="rId19"/>
    <sheet name="Generic" sheetId="20" r:id="rId20"/>
    <sheet name="Summary" sheetId="21" r:id="rId21"/>
    <sheet name="Grand Total" sheetId="23" r:id="rId22"/>
  </sheets>
  <definedNames>
    <definedName name="InflationTable">Inflation!$C$2:$U$5</definedName>
    <definedName name="Labor_rates_based_on_year">Labor!$B$11</definedName>
    <definedName name="Monitor_Costs">MonitorEquip!$B$5:$AZ$21</definedName>
    <definedName name="_xlnm.Print_Area" localSheetId="19">Generic!$A$1:$V$104</definedName>
    <definedName name="_xlnm.Print_Area" localSheetId="14">PAMS_Upper_Air!$A$1:$W$118</definedName>
    <definedName name="_xlnm.Print_Area" localSheetId="11">PAMSNMOC!$A$1:$V$120</definedName>
    <definedName name="_xlnm.Print_Area" localSheetId="20">Summary!$A$1:$R$64</definedName>
    <definedName name="_xlnm.Print_Titles" localSheetId="2">MonitorEquip!$A:$B</definedName>
    <definedName name="_xlnm.Print_Titles">#N/A</definedName>
    <definedName name="YearList">Inflation!$C$2:$U$2</definedName>
  </definedNames>
  <calcPr calcId="125725"/>
</workbook>
</file>

<file path=xl/calcChain.xml><?xml version="1.0" encoding="utf-8"?>
<calcChain xmlns="http://schemas.openxmlformats.org/spreadsheetml/2006/main">
  <c r="Q11" i="7"/>
  <c r="N11"/>
  <c r="K11"/>
  <c r="D23" i="25"/>
  <c r="P117" i="24" l="1"/>
  <c r="Q80" i="1" l="1"/>
  <c r="Q78"/>
  <c r="Q76"/>
  <c r="Q71"/>
  <c r="Q10"/>
  <c r="C23" i="25"/>
  <c r="J23" s="1"/>
  <c r="K23" s="1"/>
  <c r="C22"/>
  <c r="D22"/>
  <c r="J22" l="1"/>
  <c r="K22" s="1"/>
  <c r="L22" s="1"/>
  <c r="T117"/>
  <c r="P116"/>
  <c r="M116"/>
  <c r="J116"/>
  <c r="T115"/>
  <c r="Q115"/>
  <c r="N115"/>
  <c r="K115"/>
  <c r="Q114"/>
  <c r="P114"/>
  <c r="N114"/>
  <c r="M114"/>
  <c r="K114"/>
  <c r="J114"/>
  <c r="T113"/>
  <c r="U112"/>
  <c r="T112"/>
  <c r="P112"/>
  <c r="M112"/>
  <c r="J112"/>
  <c r="P110"/>
  <c r="M110"/>
  <c r="J110"/>
  <c r="T108"/>
  <c r="P108"/>
  <c r="M108"/>
  <c r="J108"/>
  <c r="T107"/>
  <c r="P106"/>
  <c r="M106"/>
  <c r="J106"/>
  <c r="T105"/>
  <c r="P104"/>
  <c r="M104"/>
  <c r="J104"/>
  <c r="P102"/>
  <c r="M102"/>
  <c r="K102"/>
  <c r="J102"/>
  <c r="C102"/>
  <c r="H99"/>
  <c r="H116" s="1"/>
  <c r="G99"/>
  <c r="G116" s="1"/>
  <c r="F99"/>
  <c r="F116" s="1"/>
  <c r="E99"/>
  <c r="E116" s="1"/>
  <c r="D99"/>
  <c r="D116" s="1"/>
  <c r="C99"/>
  <c r="C116" s="1"/>
  <c r="H98"/>
  <c r="G98"/>
  <c r="F98"/>
  <c r="E98"/>
  <c r="D98"/>
  <c r="C98"/>
  <c r="I97"/>
  <c r="Q97" s="1"/>
  <c r="R97" s="1"/>
  <c r="H96"/>
  <c r="G96"/>
  <c r="G100" s="1"/>
  <c r="G117" s="1"/>
  <c r="F96"/>
  <c r="E96"/>
  <c r="E100" s="1"/>
  <c r="E117" s="1"/>
  <c r="D96"/>
  <c r="C96"/>
  <c r="C100" s="1"/>
  <c r="C117" s="1"/>
  <c r="I95"/>
  <c r="H89"/>
  <c r="H114" s="1"/>
  <c r="G89"/>
  <c r="G114" s="1"/>
  <c r="F89"/>
  <c r="F114" s="1"/>
  <c r="E89"/>
  <c r="E114" s="1"/>
  <c r="D89"/>
  <c r="D114" s="1"/>
  <c r="C89"/>
  <c r="C114" s="1"/>
  <c r="H88"/>
  <c r="G88"/>
  <c r="F88"/>
  <c r="E88"/>
  <c r="D88"/>
  <c r="C88"/>
  <c r="I87"/>
  <c r="Q87" s="1"/>
  <c r="R87" s="1"/>
  <c r="H85"/>
  <c r="G85"/>
  <c r="F85"/>
  <c r="E85"/>
  <c r="D85"/>
  <c r="C85"/>
  <c r="I84"/>
  <c r="Q84" s="1"/>
  <c r="R84" s="1"/>
  <c r="H82"/>
  <c r="G82"/>
  <c r="F82"/>
  <c r="E82"/>
  <c r="D82"/>
  <c r="C82"/>
  <c r="I81"/>
  <c r="Q81" s="1"/>
  <c r="R81" s="1"/>
  <c r="H80"/>
  <c r="G80"/>
  <c r="F80"/>
  <c r="E80"/>
  <c r="D80"/>
  <c r="C80"/>
  <c r="I79"/>
  <c r="Q79" s="1"/>
  <c r="R79" s="1"/>
  <c r="H78"/>
  <c r="G78"/>
  <c r="F78"/>
  <c r="E78"/>
  <c r="D78"/>
  <c r="C78"/>
  <c r="I77"/>
  <c r="N77" s="1"/>
  <c r="O77" s="1"/>
  <c r="H75"/>
  <c r="G75"/>
  <c r="F75"/>
  <c r="E75"/>
  <c r="D75"/>
  <c r="C75"/>
  <c r="I74"/>
  <c r="Q74" s="1"/>
  <c r="R74" s="1"/>
  <c r="H73"/>
  <c r="G73"/>
  <c r="F73"/>
  <c r="E73"/>
  <c r="D73"/>
  <c r="C73"/>
  <c r="I72"/>
  <c r="H65"/>
  <c r="H112" s="1"/>
  <c r="G65"/>
  <c r="G112" s="1"/>
  <c r="F65"/>
  <c r="F112" s="1"/>
  <c r="E65"/>
  <c r="E112" s="1"/>
  <c r="D65"/>
  <c r="D112" s="1"/>
  <c r="C65"/>
  <c r="C112" s="1"/>
  <c r="H64"/>
  <c r="G64"/>
  <c r="F64"/>
  <c r="E64"/>
  <c r="D64"/>
  <c r="C64"/>
  <c r="I63"/>
  <c r="N63" s="1"/>
  <c r="O63" s="1"/>
  <c r="H62"/>
  <c r="G62"/>
  <c r="F62"/>
  <c r="E62"/>
  <c r="D62"/>
  <c r="C62"/>
  <c r="I61"/>
  <c r="Q61" s="1"/>
  <c r="R61" s="1"/>
  <c r="H60"/>
  <c r="G60"/>
  <c r="F60"/>
  <c r="E60"/>
  <c r="D60"/>
  <c r="C60"/>
  <c r="I59"/>
  <c r="Q59" s="1"/>
  <c r="R59" s="1"/>
  <c r="H58"/>
  <c r="G58"/>
  <c r="F58"/>
  <c r="E58"/>
  <c r="D58"/>
  <c r="C58"/>
  <c r="I57"/>
  <c r="N57" s="1"/>
  <c r="O57" s="1"/>
  <c r="H51"/>
  <c r="H110" s="1"/>
  <c r="G51"/>
  <c r="G110" s="1"/>
  <c r="F51"/>
  <c r="F110" s="1"/>
  <c r="E51"/>
  <c r="E110" s="1"/>
  <c r="D51"/>
  <c r="D110" s="1"/>
  <c r="C51"/>
  <c r="C110" s="1"/>
  <c r="H50"/>
  <c r="G50"/>
  <c r="F50"/>
  <c r="E50"/>
  <c r="D50"/>
  <c r="C50"/>
  <c r="I49"/>
  <c r="Q49" s="1"/>
  <c r="R49" s="1"/>
  <c r="H48"/>
  <c r="H52" s="1"/>
  <c r="H111" s="1"/>
  <c r="G48"/>
  <c r="F48"/>
  <c r="E48"/>
  <c r="D48"/>
  <c r="C48"/>
  <c r="I47"/>
  <c r="D45"/>
  <c r="C45"/>
  <c r="H39"/>
  <c r="H108" s="1"/>
  <c r="G39"/>
  <c r="G108" s="1"/>
  <c r="F39"/>
  <c r="F108" s="1"/>
  <c r="E39"/>
  <c r="E108" s="1"/>
  <c r="D39"/>
  <c r="D108" s="1"/>
  <c r="C39"/>
  <c r="C108" s="1"/>
  <c r="H38"/>
  <c r="H40" s="1"/>
  <c r="G38"/>
  <c r="G40" s="1"/>
  <c r="F38"/>
  <c r="F40" s="1"/>
  <c r="E38"/>
  <c r="E40" s="1"/>
  <c r="D38"/>
  <c r="D40" s="1"/>
  <c r="C38"/>
  <c r="I37"/>
  <c r="I39" s="1"/>
  <c r="I108" s="1"/>
  <c r="D35"/>
  <c r="C35"/>
  <c r="H29"/>
  <c r="H106" s="1"/>
  <c r="G29"/>
  <c r="G106" s="1"/>
  <c r="F29"/>
  <c r="F106" s="1"/>
  <c r="E29"/>
  <c r="E106" s="1"/>
  <c r="D29"/>
  <c r="D106" s="1"/>
  <c r="C29"/>
  <c r="C106" s="1"/>
  <c r="H28"/>
  <c r="G28"/>
  <c r="F28"/>
  <c r="E28"/>
  <c r="D28"/>
  <c r="C28"/>
  <c r="I27"/>
  <c r="N27" s="1"/>
  <c r="O27" s="1"/>
  <c r="H26"/>
  <c r="G26"/>
  <c r="F26"/>
  <c r="E26"/>
  <c r="D26"/>
  <c r="C26"/>
  <c r="I25"/>
  <c r="D21"/>
  <c r="C21"/>
  <c r="H15"/>
  <c r="H104" s="1"/>
  <c r="G15"/>
  <c r="G104" s="1"/>
  <c r="G119" s="1"/>
  <c r="F15"/>
  <c r="F104" s="1"/>
  <c r="E15"/>
  <c r="E104" s="1"/>
  <c r="E119" s="1"/>
  <c r="D15"/>
  <c r="D104" s="1"/>
  <c r="C15"/>
  <c r="C104" s="1"/>
  <c r="C119" s="1"/>
  <c r="H14"/>
  <c r="G14"/>
  <c r="F14"/>
  <c r="E14"/>
  <c r="D14"/>
  <c r="C14"/>
  <c r="I13"/>
  <c r="Q13" s="1"/>
  <c r="R13" s="1"/>
  <c r="H11"/>
  <c r="G11"/>
  <c r="F11"/>
  <c r="E11"/>
  <c r="E16" s="1"/>
  <c r="E105" s="1"/>
  <c r="D11"/>
  <c r="C11"/>
  <c r="C16" s="1"/>
  <c r="C105" s="1"/>
  <c r="I10"/>
  <c r="Q10" s="1"/>
  <c r="R10" s="1"/>
  <c r="T4"/>
  <c r="T3"/>
  <c r="N2"/>
  <c r="N102" s="1"/>
  <c r="C52" l="1"/>
  <c r="C111" s="1"/>
  <c r="C90"/>
  <c r="C115" s="1"/>
  <c r="D100"/>
  <c r="D117" s="1"/>
  <c r="F100"/>
  <c r="F117" s="1"/>
  <c r="I82"/>
  <c r="P22"/>
  <c r="Q22" s="1"/>
  <c r="R22" s="1"/>
  <c r="M22"/>
  <c r="N22" s="1"/>
  <c r="O22" s="1"/>
  <c r="D30"/>
  <c r="D107" s="1"/>
  <c r="H30"/>
  <c r="H107" s="1"/>
  <c r="I85"/>
  <c r="E90"/>
  <c r="E115" s="1"/>
  <c r="G16"/>
  <c r="G105" s="1"/>
  <c r="P23"/>
  <c r="Q23" s="1"/>
  <c r="M23"/>
  <c r="N23" s="1"/>
  <c r="D16"/>
  <c r="D105" s="1"/>
  <c r="F16"/>
  <c r="F105" s="1"/>
  <c r="H16"/>
  <c r="H105" s="1"/>
  <c r="E30"/>
  <c r="E107" s="1"/>
  <c r="T5"/>
  <c r="H100"/>
  <c r="H117" s="1"/>
  <c r="I99"/>
  <c r="I116" s="1"/>
  <c r="K97"/>
  <c r="L97" s="1"/>
  <c r="N81"/>
  <c r="O81" s="1"/>
  <c r="K81"/>
  <c r="L81" s="1"/>
  <c r="I80"/>
  <c r="H119"/>
  <c r="K63"/>
  <c r="L63" s="1"/>
  <c r="Q63"/>
  <c r="R63" s="1"/>
  <c r="I64"/>
  <c r="P64" s="1"/>
  <c r="Q64" s="1"/>
  <c r="R64" s="1"/>
  <c r="I62"/>
  <c r="H66"/>
  <c r="H113" s="1"/>
  <c r="F66"/>
  <c r="F113" s="1"/>
  <c r="D66"/>
  <c r="D113" s="1"/>
  <c r="I60"/>
  <c r="P60" s="1"/>
  <c r="Q60" s="1"/>
  <c r="R60" s="1"/>
  <c r="K57"/>
  <c r="L57" s="1"/>
  <c r="Q57"/>
  <c r="R57" s="1"/>
  <c r="R65" s="1"/>
  <c r="R112" s="1"/>
  <c r="G52"/>
  <c r="G111" s="1"/>
  <c r="F119"/>
  <c r="F52"/>
  <c r="F111" s="1"/>
  <c r="E52"/>
  <c r="E111" s="1"/>
  <c r="I51"/>
  <c r="I110" s="1"/>
  <c r="D52"/>
  <c r="D111" s="1"/>
  <c r="I50"/>
  <c r="P50" s="1"/>
  <c r="K47"/>
  <c r="L47" s="1"/>
  <c r="Q47"/>
  <c r="Q51" s="1"/>
  <c r="Q110" s="1"/>
  <c r="N47"/>
  <c r="O47" s="1"/>
  <c r="D119"/>
  <c r="I38"/>
  <c r="M38" s="1"/>
  <c r="I14"/>
  <c r="P14" s="1"/>
  <c r="Q14" s="1"/>
  <c r="R14" s="1"/>
  <c r="K13"/>
  <c r="L13" s="1"/>
  <c r="N13"/>
  <c r="O13" s="1"/>
  <c r="Q25"/>
  <c r="R25" s="1"/>
  <c r="I98"/>
  <c r="P98" s="1"/>
  <c r="Q98" s="1"/>
  <c r="R98" s="1"/>
  <c r="N95"/>
  <c r="O95" s="1"/>
  <c r="K95"/>
  <c r="L95" s="1"/>
  <c r="Q95"/>
  <c r="R95" s="1"/>
  <c r="R99" s="1"/>
  <c r="R116" s="1"/>
  <c r="H90"/>
  <c r="H115" s="1"/>
  <c r="I88"/>
  <c r="M88" s="1"/>
  <c r="N88" s="1"/>
  <c r="O88" s="1"/>
  <c r="N87"/>
  <c r="O87" s="1"/>
  <c r="K87"/>
  <c r="L87" s="1"/>
  <c r="G90"/>
  <c r="G115" s="1"/>
  <c r="K77"/>
  <c r="L77" s="1"/>
  <c r="Q77"/>
  <c r="R77" s="1"/>
  <c r="I78"/>
  <c r="F90"/>
  <c r="F115" s="1"/>
  <c r="I89"/>
  <c r="I114" s="1"/>
  <c r="D90"/>
  <c r="D115" s="1"/>
  <c r="I75"/>
  <c r="P75" s="1"/>
  <c r="Q75" s="1"/>
  <c r="R75" s="1"/>
  <c r="K72"/>
  <c r="L72" s="1"/>
  <c r="Q72"/>
  <c r="R72" s="1"/>
  <c r="N72"/>
  <c r="O72" s="1"/>
  <c r="M45"/>
  <c r="N45" s="1"/>
  <c r="O45" s="1"/>
  <c r="P21"/>
  <c r="Q21" s="1"/>
  <c r="K27"/>
  <c r="L27" s="1"/>
  <c r="Q27"/>
  <c r="R27" s="1"/>
  <c r="I28"/>
  <c r="P28" s="1"/>
  <c r="G30"/>
  <c r="G107" s="1"/>
  <c r="F30"/>
  <c r="F107" s="1"/>
  <c r="I26"/>
  <c r="P26" s="1"/>
  <c r="Q26" s="1"/>
  <c r="P35"/>
  <c r="Q35" s="1"/>
  <c r="R35" s="1"/>
  <c r="M60"/>
  <c r="N60" s="1"/>
  <c r="O60" s="1"/>
  <c r="M14"/>
  <c r="N14" s="1"/>
  <c r="O14" s="1"/>
  <c r="J14"/>
  <c r="K14" s="1"/>
  <c r="L14" s="1"/>
  <c r="M50"/>
  <c r="J50"/>
  <c r="M78"/>
  <c r="N78" s="1"/>
  <c r="O78" s="1"/>
  <c r="P78"/>
  <c r="Q78" s="1"/>
  <c r="R78" s="1"/>
  <c r="J78"/>
  <c r="K78" s="1"/>
  <c r="L78" s="1"/>
  <c r="P85"/>
  <c r="Q85" s="1"/>
  <c r="R85" s="1"/>
  <c r="J85"/>
  <c r="K85" s="1"/>
  <c r="L85" s="1"/>
  <c r="M85"/>
  <c r="N85" s="1"/>
  <c r="O85" s="1"/>
  <c r="J88"/>
  <c r="K88" s="1"/>
  <c r="L88" s="1"/>
  <c r="J98"/>
  <c r="K98" s="1"/>
  <c r="L98" s="1"/>
  <c r="I11"/>
  <c r="I15"/>
  <c r="M21"/>
  <c r="I29"/>
  <c r="I106" s="1"/>
  <c r="C30"/>
  <c r="C107" s="1"/>
  <c r="M35"/>
  <c r="N35" s="1"/>
  <c r="O35" s="1"/>
  <c r="K37"/>
  <c r="N37"/>
  <c r="Q37"/>
  <c r="C40"/>
  <c r="C109" s="1"/>
  <c r="E109"/>
  <c r="G109"/>
  <c r="J45"/>
  <c r="K45" s="1"/>
  <c r="L45" s="1"/>
  <c r="P45"/>
  <c r="Q45" s="1"/>
  <c r="R45" s="1"/>
  <c r="I48"/>
  <c r="K49"/>
  <c r="L49" s="1"/>
  <c r="N49"/>
  <c r="O49" s="1"/>
  <c r="I65"/>
  <c r="I112" s="1"/>
  <c r="C66"/>
  <c r="C113" s="1"/>
  <c r="E66"/>
  <c r="E113" s="1"/>
  <c r="G66"/>
  <c r="G113" s="1"/>
  <c r="I58"/>
  <c r="K59"/>
  <c r="L59" s="1"/>
  <c r="N59"/>
  <c r="O59" s="1"/>
  <c r="P62"/>
  <c r="Q62" s="1"/>
  <c r="R62" s="1"/>
  <c r="J62"/>
  <c r="K62" s="1"/>
  <c r="L62" s="1"/>
  <c r="M62"/>
  <c r="N62" s="1"/>
  <c r="O62" s="1"/>
  <c r="M64"/>
  <c r="N64" s="1"/>
  <c r="O64" s="1"/>
  <c r="P80"/>
  <c r="Q80" s="1"/>
  <c r="R80" s="1"/>
  <c r="J80"/>
  <c r="K80" s="1"/>
  <c r="L80" s="1"/>
  <c r="M80"/>
  <c r="N80" s="1"/>
  <c r="O80" s="1"/>
  <c r="M82"/>
  <c r="N82" s="1"/>
  <c r="O82" s="1"/>
  <c r="P82"/>
  <c r="Q82" s="1"/>
  <c r="R82" s="1"/>
  <c r="J82"/>
  <c r="K82" s="1"/>
  <c r="L82" s="1"/>
  <c r="Q2"/>
  <c r="Q102" s="1"/>
  <c r="K10"/>
  <c r="N10"/>
  <c r="O10" s="1"/>
  <c r="J21"/>
  <c r="K25"/>
  <c r="N25"/>
  <c r="J35"/>
  <c r="K35" s="1"/>
  <c r="L35" s="1"/>
  <c r="D109"/>
  <c r="D120" s="1"/>
  <c r="F109"/>
  <c r="H109"/>
  <c r="K61"/>
  <c r="L61" s="1"/>
  <c r="N61"/>
  <c r="O61" s="1"/>
  <c r="I73"/>
  <c r="K74"/>
  <c r="L74" s="1"/>
  <c r="N74"/>
  <c r="O74" s="1"/>
  <c r="K79"/>
  <c r="L79" s="1"/>
  <c r="N79"/>
  <c r="O79" s="1"/>
  <c r="K84"/>
  <c r="L84" s="1"/>
  <c r="N84"/>
  <c r="O84" s="1"/>
  <c r="I96"/>
  <c r="N97"/>
  <c r="O97" s="1"/>
  <c r="J38" l="1"/>
  <c r="L99"/>
  <c r="S84"/>
  <c r="C120"/>
  <c r="S81"/>
  <c r="U22"/>
  <c r="R26"/>
  <c r="S13"/>
  <c r="R23"/>
  <c r="R21"/>
  <c r="M75"/>
  <c r="N75" s="1"/>
  <c r="O75" s="1"/>
  <c r="I40"/>
  <c r="I109" s="1"/>
  <c r="R29"/>
  <c r="R106" s="1"/>
  <c r="T35"/>
  <c r="T40" s="1"/>
  <c r="T109" s="1"/>
  <c r="M98"/>
  <c r="N98" s="1"/>
  <c r="O98" s="1"/>
  <c r="S98" s="1"/>
  <c r="Q99"/>
  <c r="Q116" s="1"/>
  <c r="S77"/>
  <c r="S82"/>
  <c r="P88"/>
  <c r="Q88" s="1"/>
  <c r="R88" s="1"/>
  <c r="S88" s="1"/>
  <c r="H120"/>
  <c r="J64"/>
  <c r="K64" s="1"/>
  <c r="L64" s="1"/>
  <c r="S64" s="1"/>
  <c r="S63"/>
  <c r="S62"/>
  <c r="L65"/>
  <c r="L112" s="1"/>
  <c r="J60"/>
  <c r="K60" s="1"/>
  <c r="L60" s="1"/>
  <c r="S60" s="1"/>
  <c r="Q65"/>
  <c r="Q112" s="1"/>
  <c r="E120"/>
  <c r="S57"/>
  <c r="I52"/>
  <c r="I111" s="1"/>
  <c r="S49"/>
  <c r="N51"/>
  <c r="N110" s="1"/>
  <c r="R47"/>
  <c r="R51" s="1"/>
  <c r="R110" s="1"/>
  <c r="T45"/>
  <c r="T52" s="1"/>
  <c r="T111" s="1"/>
  <c r="P38"/>
  <c r="Q38" s="1"/>
  <c r="F120"/>
  <c r="M28"/>
  <c r="N28" s="1"/>
  <c r="O28" s="1"/>
  <c r="S78"/>
  <c r="O65"/>
  <c r="O112" s="1"/>
  <c r="S87"/>
  <c r="K99"/>
  <c r="K116" s="1"/>
  <c r="S95"/>
  <c r="O99"/>
  <c r="O116" s="1"/>
  <c r="S85"/>
  <c r="G120"/>
  <c r="S79"/>
  <c r="S80"/>
  <c r="J75"/>
  <c r="K75" s="1"/>
  <c r="L75" s="1"/>
  <c r="S74"/>
  <c r="R89"/>
  <c r="R114" s="1"/>
  <c r="S72"/>
  <c r="O89"/>
  <c r="O114" s="1"/>
  <c r="S27"/>
  <c r="J28"/>
  <c r="K28" s="1"/>
  <c r="L28" s="1"/>
  <c r="Q29"/>
  <c r="Q106" s="1"/>
  <c r="J26"/>
  <c r="K26" s="1"/>
  <c r="I30"/>
  <c r="I107" s="1"/>
  <c r="M26"/>
  <c r="N26" s="1"/>
  <c r="I100"/>
  <c r="I117" s="1"/>
  <c r="M96"/>
  <c r="P96"/>
  <c r="J96"/>
  <c r="N29"/>
  <c r="N106" s="1"/>
  <c r="O25"/>
  <c r="O29" s="1"/>
  <c r="O106" s="1"/>
  <c r="L23"/>
  <c r="K21"/>
  <c r="L21" s="1"/>
  <c r="K15"/>
  <c r="K104" s="1"/>
  <c r="L10"/>
  <c r="I66"/>
  <c r="I113" s="1"/>
  <c r="P58"/>
  <c r="J58"/>
  <c r="M58"/>
  <c r="S47"/>
  <c r="L51"/>
  <c r="Q39"/>
  <c r="Q108" s="1"/>
  <c r="R37"/>
  <c r="R39" s="1"/>
  <c r="R108" s="1"/>
  <c r="K39"/>
  <c r="K108" s="1"/>
  <c r="L37"/>
  <c r="O23"/>
  <c r="N21"/>
  <c r="O21" s="1"/>
  <c r="P11"/>
  <c r="J11"/>
  <c r="I16"/>
  <c r="I105" s="1"/>
  <c r="M11"/>
  <c r="K50"/>
  <c r="P40"/>
  <c r="P109" s="1"/>
  <c r="M40"/>
  <c r="M109" s="1"/>
  <c r="N38"/>
  <c r="I90"/>
  <c r="I115" s="1"/>
  <c r="M73"/>
  <c r="P73"/>
  <c r="J73"/>
  <c r="K29"/>
  <c r="K106" s="1"/>
  <c r="L25"/>
  <c r="L116"/>
  <c r="P48"/>
  <c r="Q48" s="1"/>
  <c r="R48" s="1"/>
  <c r="J48"/>
  <c r="K48" s="1"/>
  <c r="L48" s="1"/>
  <c r="M48"/>
  <c r="N48" s="1"/>
  <c r="O48" s="1"/>
  <c r="N39"/>
  <c r="N108" s="1"/>
  <c r="O37"/>
  <c r="O39" s="1"/>
  <c r="O108" s="1"/>
  <c r="I104"/>
  <c r="I119" s="1"/>
  <c r="Q15"/>
  <c r="N15"/>
  <c r="P52"/>
  <c r="P111" s="1"/>
  <c r="Q50"/>
  <c r="N50"/>
  <c r="P30"/>
  <c r="P107" s="1"/>
  <c r="Q28"/>
  <c r="R28" s="1"/>
  <c r="J40"/>
  <c r="J109" s="1"/>
  <c r="K38"/>
  <c r="N65"/>
  <c r="N112" s="1"/>
  <c r="K51"/>
  <c r="K110" s="1"/>
  <c r="S61"/>
  <c r="N99"/>
  <c r="N116" s="1"/>
  <c r="S97"/>
  <c r="K65"/>
  <c r="K112" s="1"/>
  <c r="L89"/>
  <c r="S59"/>
  <c r="O51"/>
  <c r="O110" s="1"/>
  <c r="S14"/>
  <c r="J30" l="1"/>
  <c r="J107" s="1"/>
  <c r="T120"/>
  <c r="S75"/>
  <c r="Q30"/>
  <c r="Q107" s="1"/>
  <c r="R30"/>
  <c r="R107" s="1"/>
  <c r="O26"/>
  <c r="N30"/>
  <c r="N107" s="1"/>
  <c r="L26"/>
  <c r="K30"/>
  <c r="K107" s="1"/>
  <c r="L30"/>
  <c r="L107" s="1"/>
  <c r="S65"/>
  <c r="S112" s="1"/>
  <c r="J52"/>
  <c r="J111" s="1"/>
  <c r="M52"/>
  <c r="M111" s="1"/>
  <c r="M30"/>
  <c r="M107" s="1"/>
  <c r="S99"/>
  <c r="S116" s="1"/>
  <c r="U21"/>
  <c r="U23"/>
  <c r="Q104"/>
  <c r="Q119" s="1"/>
  <c r="R15"/>
  <c r="R104" s="1"/>
  <c r="R119" s="1"/>
  <c r="Q73"/>
  <c r="P90"/>
  <c r="P115" s="1"/>
  <c r="P16"/>
  <c r="Q11"/>
  <c r="R11" s="1"/>
  <c r="J66"/>
  <c r="J113" s="1"/>
  <c r="K58"/>
  <c r="Q96"/>
  <c r="P100"/>
  <c r="P117" s="1"/>
  <c r="I120"/>
  <c r="K119"/>
  <c r="L114"/>
  <c r="S89"/>
  <c r="S114" s="1"/>
  <c r="K40"/>
  <c r="K109" s="1"/>
  <c r="L38"/>
  <c r="N52"/>
  <c r="N111" s="1"/>
  <c r="O50"/>
  <c r="O52" s="1"/>
  <c r="O111" s="1"/>
  <c r="Q52"/>
  <c r="Q111" s="1"/>
  <c r="R50"/>
  <c r="R52" s="1"/>
  <c r="R111" s="1"/>
  <c r="N104"/>
  <c r="N119" s="1"/>
  <c r="O15"/>
  <c r="O104" s="1"/>
  <c r="O119" s="1"/>
  <c r="S25"/>
  <c r="L29"/>
  <c r="K73"/>
  <c r="J90"/>
  <c r="J115" s="1"/>
  <c r="M90"/>
  <c r="M115" s="1"/>
  <c r="N73"/>
  <c r="N40"/>
  <c r="N109" s="1"/>
  <c r="O38"/>
  <c r="O40" s="1"/>
  <c r="O109" s="1"/>
  <c r="Q40"/>
  <c r="Q109" s="1"/>
  <c r="R38"/>
  <c r="R40" s="1"/>
  <c r="R109" s="1"/>
  <c r="S28"/>
  <c r="K52"/>
  <c r="K111" s="1"/>
  <c r="L50"/>
  <c r="N11"/>
  <c r="M16"/>
  <c r="M105" s="1"/>
  <c r="J16"/>
  <c r="J105" s="1"/>
  <c r="K11"/>
  <c r="L39"/>
  <c r="L108" s="1"/>
  <c r="S37"/>
  <c r="S39" s="1"/>
  <c r="S108" s="1"/>
  <c r="L110"/>
  <c r="S51"/>
  <c r="S110" s="1"/>
  <c r="M66"/>
  <c r="M113" s="1"/>
  <c r="N58"/>
  <c r="P66"/>
  <c r="P113" s="1"/>
  <c r="Q58"/>
  <c r="S10"/>
  <c r="L15"/>
  <c r="K96"/>
  <c r="J100"/>
  <c r="J117" s="1"/>
  <c r="M100"/>
  <c r="M117" s="1"/>
  <c r="N96"/>
  <c r="S48"/>
  <c r="S26" l="1"/>
  <c r="O30"/>
  <c r="O107" s="1"/>
  <c r="S30"/>
  <c r="S107" s="1"/>
  <c r="U30"/>
  <c r="U107" s="1"/>
  <c r="U120" s="1"/>
  <c r="M120"/>
  <c r="O96"/>
  <c r="O100" s="1"/>
  <c r="O117" s="1"/>
  <c r="N100"/>
  <c r="N117" s="1"/>
  <c r="L104"/>
  <c r="S15"/>
  <c r="S104" s="1"/>
  <c r="Q66"/>
  <c r="Q113" s="1"/>
  <c r="R58"/>
  <c r="R66" s="1"/>
  <c r="R113" s="1"/>
  <c r="N66"/>
  <c r="N113" s="1"/>
  <c r="O58"/>
  <c r="O66" s="1"/>
  <c r="O113" s="1"/>
  <c r="L11"/>
  <c r="K16"/>
  <c r="K105" s="1"/>
  <c r="O73"/>
  <c r="O90"/>
  <c r="O115" s="1"/>
  <c r="K100"/>
  <c r="K117" s="1"/>
  <c r="L96"/>
  <c r="N16"/>
  <c r="N105" s="1"/>
  <c r="O11"/>
  <c r="O16" s="1"/>
  <c r="O105" s="1"/>
  <c r="L73"/>
  <c r="L90"/>
  <c r="Q100"/>
  <c r="Q117" s="1"/>
  <c r="R96"/>
  <c r="R100" s="1"/>
  <c r="R117" s="1"/>
  <c r="P105"/>
  <c r="P120" s="1"/>
  <c r="Q16"/>
  <c r="R73"/>
  <c r="R90"/>
  <c r="R115" s="1"/>
  <c r="J120"/>
  <c r="L52"/>
  <c r="L111" s="1"/>
  <c r="S50"/>
  <c r="S52" s="1"/>
  <c r="S111" s="1"/>
  <c r="L106"/>
  <c r="S29"/>
  <c r="S106" s="1"/>
  <c r="L40"/>
  <c r="S38"/>
  <c r="K66"/>
  <c r="K113" s="1"/>
  <c r="L58"/>
  <c r="N120" l="1"/>
  <c r="S73"/>
  <c r="L119"/>
  <c r="L66"/>
  <c r="S58"/>
  <c r="L16"/>
  <c r="S11"/>
  <c r="L109"/>
  <c r="S40"/>
  <c r="S109" s="1"/>
  <c r="Q105"/>
  <c r="Q120" s="1"/>
  <c r="R16"/>
  <c r="R105" s="1"/>
  <c r="R120" s="1"/>
  <c r="L115"/>
  <c r="S90"/>
  <c r="S115" s="1"/>
  <c r="S96"/>
  <c r="L100"/>
  <c r="O120"/>
  <c r="K120"/>
  <c r="S119"/>
  <c r="L105" l="1"/>
  <c r="S16"/>
  <c r="S105" s="1"/>
  <c r="L113"/>
  <c r="S66"/>
  <c r="S113" s="1"/>
  <c r="L117"/>
  <c r="S100"/>
  <c r="S117" s="1"/>
  <c r="L120" l="1"/>
  <c r="S120"/>
  <c r="H36" i="14" l="1"/>
  <c r="I13" i="9" l="1"/>
  <c r="K13" s="1"/>
  <c r="L13" s="1"/>
  <c r="I13" i="10"/>
  <c r="K13" s="1"/>
  <c r="L13" s="1"/>
  <c r="I13" i="1"/>
  <c r="K13" s="1"/>
  <c r="L13" s="1"/>
  <c r="I13" i="11"/>
  <c r="K13" s="1"/>
  <c r="L13" s="1"/>
  <c r="H20" i="7"/>
  <c r="J20" s="1"/>
  <c r="K20" s="1"/>
  <c r="I22" i="15"/>
  <c r="K22" s="1"/>
  <c r="I17" i="24"/>
  <c r="E56" i="21"/>
  <c r="E5" i="23" s="1"/>
  <c r="I26" i="9"/>
  <c r="K26" s="1"/>
  <c r="N26"/>
  <c r="O26" s="1"/>
  <c r="Q26"/>
  <c r="R26" s="1"/>
  <c r="I26" i="10"/>
  <c r="K26" s="1"/>
  <c r="I26" i="1"/>
  <c r="N26"/>
  <c r="O26" s="1"/>
  <c r="I27" i="11"/>
  <c r="K27" s="1"/>
  <c r="L27" s="1"/>
  <c r="H33" i="7"/>
  <c r="I39" i="15"/>
  <c r="I41"/>
  <c r="K41" s="1"/>
  <c r="L41" s="1"/>
  <c r="E57" i="21"/>
  <c r="E6" i="23" s="1"/>
  <c r="D21" i="9"/>
  <c r="C21"/>
  <c r="D21" i="10"/>
  <c r="C21"/>
  <c r="D21" i="1"/>
  <c r="C21"/>
  <c r="D21" i="11"/>
  <c r="D22" s="1"/>
  <c r="C21"/>
  <c r="C22" s="1"/>
  <c r="D23"/>
  <c r="C23"/>
  <c r="C28" i="7"/>
  <c r="B28"/>
  <c r="D30" i="15"/>
  <c r="C30"/>
  <c r="D32"/>
  <c r="D34"/>
  <c r="C34"/>
  <c r="D25" i="24"/>
  <c r="C25"/>
  <c r="D26"/>
  <c r="C26"/>
  <c r="D27"/>
  <c r="C27"/>
  <c r="D28"/>
  <c r="C28"/>
  <c r="D29"/>
  <c r="C29"/>
  <c r="D30"/>
  <c r="C30"/>
  <c r="D31"/>
  <c r="D32"/>
  <c r="D33"/>
  <c r="C33"/>
  <c r="D34"/>
  <c r="D35"/>
  <c r="C35"/>
  <c r="D27" i="20"/>
  <c r="C27"/>
  <c r="D28"/>
  <c r="C28"/>
  <c r="D29"/>
  <c r="C29"/>
  <c r="D31"/>
  <c r="C31"/>
  <c r="D32"/>
  <c r="C32"/>
  <c r="D33"/>
  <c r="C33"/>
  <c r="D34"/>
  <c r="C34"/>
  <c r="D36"/>
  <c r="C36"/>
  <c r="D37"/>
  <c r="C37"/>
  <c r="D38"/>
  <c r="C38"/>
  <c r="D39"/>
  <c r="K49"/>
  <c r="L49" s="1"/>
  <c r="D34" i="9"/>
  <c r="C34"/>
  <c r="D34" i="10"/>
  <c r="C34"/>
  <c r="D34" i="1"/>
  <c r="C34"/>
  <c r="K50" i="20"/>
  <c r="L50" s="1"/>
  <c r="N50"/>
  <c r="O50" s="1"/>
  <c r="Q50"/>
  <c r="R50" s="1"/>
  <c r="D35" i="11"/>
  <c r="C35"/>
  <c r="C36"/>
  <c r="C41" i="7"/>
  <c r="B41"/>
  <c r="D49" i="15"/>
  <c r="D50"/>
  <c r="D56" i="24"/>
  <c r="C56"/>
  <c r="D46" i="20"/>
  <c r="C46"/>
  <c r="D47"/>
  <c r="C47"/>
  <c r="C37" i="11"/>
  <c r="D20" i="22"/>
  <c r="C20"/>
  <c r="D51" i="15"/>
  <c r="D57" i="24"/>
  <c r="C57"/>
  <c r="D58"/>
  <c r="C58"/>
  <c r="D59"/>
  <c r="C59"/>
  <c r="I48" i="9"/>
  <c r="K48" s="1"/>
  <c r="L48" s="1"/>
  <c r="N48"/>
  <c r="O48" s="1"/>
  <c r="I48" i="10"/>
  <c r="K48" s="1"/>
  <c r="L48" s="1"/>
  <c r="I48" i="1"/>
  <c r="K48" s="1"/>
  <c r="L48" s="1"/>
  <c r="I51" i="11"/>
  <c r="K51" s="1"/>
  <c r="Q51"/>
  <c r="R51" s="1"/>
  <c r="D44" i="9"/>
  <c r="C44"/>
  <c r="D44" i="10"/>
  <c r="C44"/>
  <c r="D44" i="1"/>
  <c r="C44"/>
  <c r="D47" i="11"/>
  <c r="C47"/>
  <c r="C51" i="7"/>
  <c r="B51"/>
  <c r="D67" i="15"/>
  <c r="C67"/>
  <c r="D68"/>
  <c r="C68"/>
  <c r="J78" i="24"/>
  <c r="K78" s="1"/>
  <c r="L78" s="1"/>
  <c r="M78"/>
  <c r="N78" s="1"/>
  <c r="P78"/>
  <c r="Q78" s="1"/>
  <c r="J79"/>
  <c r="K79" s="1"/>
  <c r="L79" s="1"/>
  <c r="M79"/>
  <c r="N79" s="1"/>
  <c r="O79" s="1"/>
  <c r="P79"/>
  <c r="Q79" s="1"/>
  <c r="R79" s="1"/>
  <c r="J80"/>
  <c r="K80" s="1"/>
  <c r="L80" s="1"/>
  <c r="M80"/>
  <c r="N80" s="1"/>
  <c r="O80" s="1"/>
  <c r="P80"/>
  <c r="Q80" s="1"/>
  <c r="R80" s="1"/>
  <c r="J81"/>
  <c r="K81" s="1"/>
  <c r="L81" s="1"/>
  <c r="M81"/>
  <c r="N81" s="1"/>
  <c r="O81" s="1"/>
  <c r="P81"/>
  <c r="Q81" s="1"/>
  <c r="R81" s="1"/>
  <c r="J82"/>
  <c r="K82" s="1"/>
  <c r="L82" s="1"/>
  <c r="M82"/>
  <c r="N82" s="1"/>
  <c r="O82" s="1"/>
  <c r="P82"/>
  <c r="Q82" s="1"/>
  <c r="R82" s="1"/>
  <c r="E60" i="21"/>
  <c r="E9" i="23" s="1"/>
  <c r="F60" i="21"/>
  <c r="F9" i="23" s="1"/>
  <c r="I86" i="9"/>
  <c r="K86" s="1"/>
  <c r="L86" s="1"/>
  <c r="I83"/>
  <c r="K83" s="1"/>
  <c r="L83" s="1"/>
  <c r="I73"/>
  <c r="K73" s="1"/>
  <c r="L73" s="1"/>
  <c r="N83"/>
  <c r="Q73"/>
  <c r="I86" i="10"/>
  <c r="K86" s="1"/>
  <c r="L86" s="1"/>
  <c r="I83"/>
  <c r="K83" s="1"/>
  <c r="I73"/>
  <c r="K73" s="1"/>
  <c r="N86"/>
  <c r="O86" s="1"/>
  <c r="N73"/>
  <c r="Q83"/>
  <c r="I86" i="1"/>
  <c r="K86" s="1"/>
  <c r="L86" s="1"/>
  <c r="I83"/>
  <c r="K83" s="1"/>
  <c r="I73"/>
  <c r="N83"/>
  <c r="I77" i="11"/>
  <c r="K77" s="1"/>
  <c r="I79"/>
  <c r="K79" s="1"/>
  <c r="L79" s="1"/>
  <c r="I82"/>
  <c r="K82" s="1"/>
  <c r="L82" s="1"/>
  <c r="I85"/>
  <c r="K85" s="1"/>
  <c r="L85" s="1"/>
  <c r="N77"/>
  <c r="O77" s="1"/>
  <c r="N79"/>
  <c r="O79" s="1"/>
  <c r="N82"/>
  <c r="O82" s="1"/>
  <c r="N85"/>
  <c r="O85" s="1"/>
  <c r="Q77"/>
  <c r="R77" s="1"/>
  <c r="Q79"/>
  <c r="R79" s="1"/>
  <c r="Q82"/>
  <c r="R82" s="1"/>
  <c r="I114" i="15"/>
  <c r="K114" s="1"/>
  <c r="L114" s="1"/>
  <c r="I118"/>
  <c r="K118" s="1"/>
  <c r="L118" s="1"/>
  <c r="I122"/>
  <c r="K122" s="1"/>
  <c r="L122" s="1"/>
  <c r="I125"/>
  <c r="K125" s="1"/>
  <c r="L125" s="1"/>
  <c r="I128"/>
  <c r="K128" s="1"/>
  <c r="L128" s="1"/>
  <c r="N118"/>
  <c r="O118" s="1"/>
  <c r="N125"/>
  <c r="O125" s="1"/>
  <c r="N128"/>
  <c r="O128" s="1"/>
  <c r="Q114"/>
  <c r="R114" s="1"/>
  <c r="Q118"/>
  <c r="R118" s="1"/>
  <c r="Q125"/>
  <c r="R125" s="1"/>
  <c r="Q128"/>
  <c r="R128" s="1"/>
  <c r="I193" i="24"/>
  <c r="K193" s="1"/>
  <c r="L193" s="1"/>
  <c r="I196"/>
  <c r="K196" s="1"/>
  <c r="L196" s="1"/>
  <c r="D108" i="15"/>
  <c r="C108"/>
  <c r="D109"/>
  <c r="D153" i="24"/>
  <c r="D154"/>
  <c r="C154"/>
  <c r="C75" i="20"/>
  <c r="C76"/>
  <c r="I96" i="9"/>
  <c r="K96" s="1"/>
  <c r="I96" i="10"/>
  <c r="N96" s="1"/>
  <c r="I96" i="1"/>
  <c r="K96" s="1"/>
  <c r="I95" i="11"/>
  <c r="N95" s="1"/>
  <c r="I139" i="15"/>
  <c r="I142"/>
  <c r="I144"/>
  <c r="N139"/>
  <c r="O139" s="1"/>
  <c r="N144"/>
  <c r="O144" s="1"/>
  <c r="E62" i="21"/>
  <c r="E11" i="23" s="1"/>
  <c r="F62" i="21"/>
  <c r="F11" i="23" s="1"/>
  <c r="L32" i="21"/>
  <c r="L33"/>
  <c r="L35"/>
  <c r="L36"/>
  <c r="L37"/>
  <c r="L38"/>
  <c r="H39"/>
  <c r="I39"/>
  <c r="J39"/>
  <c r="G47"/>
  <c r="G50"/>
  <c r="N2" i="20"/>
  <c r="Q2" s="1"/>
  <c r="Q85" s="1"/>
  <c r="T3"/>
  <c r="T4"/>
  <c r="L6"/>
  <c r="O6"/>
  <c r="O7"/>
  <c r="O8" s="1"/>
  <c r="R6"/>
  <c r="L7"/>
  <c r="L8"/>
  <c r="R7"/>
  <c r="R8"/>
  <c r="L16"/>
  <c r="O16"/>
  <c r="R16"/>
  <c r="S16" s="1"/>
  <c r="I17"/>
  <c r="L18"/>
  <c r="O18"/>
  <c r="R18"/>
  <c r="I19"/>
  <c r="I20"/>
  <c r="I22" s="1"/>
  <c r="I88" s="1"/>
  <c r="I21"/>
  <c r="L21"/>
  <c r="O21"/>
  <c r="R21"/>
  <c r="B27"/>
  <c r="B28"/>
  <c r="B29"/>
  <c r="B31"/>
  <c r="B32"/>
  <c r="B33"/>
  <c r="B34"/>
  <c r="B36"/>
  <c r="B37"/>
  <c r="B38"/>
  <c r="B39"/>
  <c r="B46"/>
  <c r="B47"/>
  <c r="U48"/>
  <c r="I52"/>
  <c r="J52" s="1"/>
  <c r="J54" s="1"/>
  <c r="J91" s="1"/>
  <c r="M52"/>
  <c r="M54" s="1"/>
  <c r="M91" s="1"/>
  <c r="C54"/>
  <c r="C55"/>
  <c r="C92" s="1"/>
  <c r="D54"/>
  <c r="E54"/>
  <c r="E55"/>
  <c r="E92" s="1"/>
  <c r="F54"/>
  <c r="F55" s="1"/>
  <c r="F92" s="1"/>
  <c r="G54"/>
  <c r="G55"/>
  <c r="G92" s="1"/>
  <c r="H54"/>
  <c r="D55"/>
  <c r="H55"/>
  <c r="I65"/>
  <c r="J65"/>
  <c r="J67" s="1"/>
  <c r="J95" s="1"/>
  <c r="K65"/>
  <c r="L65"/>
  <c r="M65"/>
  <c r="Q65"/>
  <c r="R65" s="1"/>
  <c r="R67" s="1"/>
  <c r="R95" s="1"/>
  <c r="C67"/>
  <c r="D67"/>
  <c r="E67"/>
  <c r="F67"/>
  <c r="G67"/>
  <c r="H67"/>
  <c r="I67"/>
  <c r="K67"/>
  <c r="M67"/>
  <c r="B74"/>
  <c r="C74"/>
  <c r="D74"/>
  <c r="B75"/>
  <c r="D75"/>
  <c r="B76"/>
  <c r="D76"/>
  <c r="S77"/>
  <c r="S82"/>
  <c r="S83"/>
  <c r="C85"/>
  <c r="J85"/>
  <c r="K85"/>
  <c r="M85"/>
  <c r="N85"/>
  <c r="P85"/>
  <c r="C87"/>
  <c r="D87"/>
  <c r="E87"/>
  <c r="F87"/>
  <c r="G87"/>
  <c r="H87"/>
  <c r="I87"/>
  <c r="J87"/>
  <c r="M87"/>
  <c r="N87"/>
  <c r="O87"/>
  <c r="P87"/>
  <c r="Q87"/>
  <c r="R87"/>
  <c r="C88"/>
  <c r="D88"/>
  <c r="E88"/>
  <c r="F88"/>
  <c r="G88"/>
  <c r="H88"/>
  <c r="M88"/>
  <c r="N88"/>
  <c r="P88"/>
  <c r="Q88"/>
  <c r="T88"/>
  <c r="C89"/>
  <c r="D89"/>
  <c r="E89"/>
  <c r="F89"/>
  <c r="G89"/>
  <c r="H89"/>
  <c r="I89"/>
  <c r="J89"/>
  <c r="K89"/>
  <c r="L89"/>
  <c r="M89"/>
  <c r="N89"/>
  <c r="O89"/>
  <c r="P89"/>
  <c r="Q89"/>
  <c r="R89"/>
  <c r="S89"/>
  <c r="C90"/>
  <c r="D90"/>
  <c r="E90"/>
  <c r="F90"/>
  <c r="G90"/>
  <c r="H90"/>
  <c r="I90"/>
  <c r="J90"/>
  <c r="M90"/>
  <c r="P90"/>
  <c r="S90"/>
  <c r="T90"/>
  <c r="C91"/>
  <c r="D91"/>
  <c r="E91"/>
  <c r="F91"/>
  <c r="G91"/>
  <c r="H91"/>
  <c r="T91"/>
  <c r="U91"/>
  <c r="D92"/>
  <c r="H92"/>
  <c r="C93"/>
  <c r="D93"/>
  <c r="E93"/>
  <c r="F93"/>
  <c r="G93"/>
  <c r="H93"/>
  <c r="I93"/>
  <c r="J93"/>
  <c r="K93"/>
  <c r="L93"/>
  <c r="M93"/>
  <c r="N93"/>
  <c r="O93"/>
  <c r="P93"/>
  <c r="Q93"/>
  <c r="R93"/>
  <c r="S93"/>
  <c r="C94"/>
  <c r="D94"/>
  <c r="E94"/>
  <c r="F94"/>
  <c r="G94"/>
  <c r="H94"/>
  <c r="I94"/>
  <c r="J94"/>
  <c r="K94"/>
  <c r="L94"/>
  <c r="M94"/>
  <c r="N94"/>
  <c r="O94"/>
  <c r="P94"/>
  <c r="Q94"/>
  <c r="R94"/>
  <c r="S94"/>
  <c r="T94"/>
  <c r="C95"/>
  <c r="D95"/>
  <c r="E95"/>
  <c r="F95"/>
  <c r="G95"/>
  <c r="H95"/>
  <c r="I95"/>
  <c r="K95"/>
  <c r="M95"/>
  <c r="T95"/>
  <c r="U95"/>
  <c r="T96"/>
  <c r="C97"/>
  <c r="D97"/>
  <c r="E97"/>
  <c r="F97"/>
  <c r="G97"/>
  <c r="H97"/>
  <c r="I97"/>
  <c r="J97"/>
  <c r="K97"/>
  <c r="L97"/>
  <c r="M97"/>
  <c r="N97"/>
  <c r="O97"/>
  <c r="P97"/>
  <c r="Q97"/>
  <c r="R97"/>
  <c r="C98"/>
  <c r="D98"/>
  <c r="E98"/>
  <c r="F98"/>
  <c r="G98"/>
  <c r="H98"/>
  <c r="I98"/>
  <c r="T98"/>
  <c r="C99"/>
  <c r="D99"/>
  <c r="E99"/>
  <c r="F99"/>
  <c r="G99"/>
  <c r="H99"/>
  <c r="I99"/>
  <c r="J99"/>
  <c r="K99"/>
  <c r="L99"/>
  <c r="M99"/>
  <c r="N99"/>
  <c r="O99"/>
  <c r="P99"/>
  <c r="Q99"/>
  <c r="R99"/>
  <c r="S99"/>
  <c r="C100"/>
  <c r="D100"/>
  <c r="E100"/>
  <c r="F100"/>
  <c r="G100"/>
  <c r="H100"/>
  <c r="I100"/>
  <c r="J100"/>
  <c r="K100"/>
  <c r="L100"/>
  <c r="M100"/>
  <c r="N100"/>
  <c r="O100"/>
  <c r="P100"/>
  <c r="Q100"/>
  <c r="R100"/>
  <c r="S100"/>
  <c r="T100"/>
  <c r="C102"/>
  <c r="D102"/>
  <c r="E102"/>
  <c r="F102"/>
  <c r="G102"/>
  <c r="H102"/>
  <c r="N2" i="22"/>
  <c r="Q2" s="1"/>
  <c r="Q45" s="1"/>
  <c r="T3"/>
  <c r="T4"/>
  <c r="L5"/>
  <c r="O5"/>
  <c r="R5"/>
  <c r="T5" s="1"/>
  <c r="B20"/>
  <c r="S22"/>
  <c r="S52" s="1"/>
  <c r="S63" s="1"/>
  <c r="T22"/>
  <c r="C45"/>
  <c r="J45"/>
  <c r="K45"/>
  <c r="M45"/>
  <c r="P45"/>
  <c r="C47"/>
  <c r="D47"/>
  <c r="E47"/>
  <c r="F47"/>
  <c r="G47"/>
  <c r="H47"/>
  <c r="I47"/>
  <c r="J47"/>
  <c r="K47"/>
  <c r="L47"/>
  <c r="M47"/>
  <c r="N47"/>
  <c r="O47"/>
  <c r="P47"/>
  <c r="Q47"/>
  <c r="R47"/>
  <c r="S47"/>
  <c r="C48"/>
  <c r="D48"/>
  <c r="E48"/>
  <c r="F48"/>
  <c r="G48"/>
  <c r="H48"/>
  <c r="I48"/>
  <c r="J48"/>
  <c r="K48"/>
  <c r="L48"/>
  <c r="M48"/>
  <c r="N48"/>
  <c r="O48"/>
  <c r="P48"/>
  <c r="Q48"/>
  <c r="R48"/>
  <c r="S48"/>
  <c r="T48"/>
  <c r="C49"/>
  <c r="D49"/>
  <c r="E49"/>
  <c r="F49"/>
  <c r="G49"/>
  <c r="H49"/>
  <c r="I49"/>
  <c r="J49"/>
  <c r="K49"/>
  <c r="L49"/>
  <c r="M49"/>
  <c r="N49"/>
  <c r="O49"/>
  <c r="P49"/>
  <c r="Q49"/>
  <c r="R49"/>
  <c r="S49"/>
  <c r="C50"/>
  <c r="D50"/>
  <c r="E50"/>
  <c r="F50"/>
  <c r="G50"/>
  <c r="H50"/>
  <c r="I50"/>
  <c r="J50"/>
  <c r="K50"/>
  <c r="L50"/>
  <c r="M50"/>
  <c r="N50"/>
  <c r="O50"/>
  <c r="P50"/>
  <c r="Q50"/>
  <c r="R50"/>
  <c r="S50"/>
  <c r="T50"/>
  <c r="U50"/>
  <c r="C51"/>
  <c r="D51"/>
  <c r="E51"/>
  <c r="F51"/>
  <c r="G51"/>
  <c r="H51"/>
  <c r="I51"/>
  <c r="J51"/>
  <c r="K51"/>
  <c r="L51"/>
  <c r="M51"/>
  <c r="N51"/>
  <c r="O51"/>
  <c r="P51"/>
  <c r="Q51"/>
  <c r="R51"/>
  <c r="S51"/>
  <c r="T51"/>
  <c r="C52"/>
  <c r="D52"/>
  <c r="E52"/>
  <c r="F52"/>
  <c r="G52"/>
  <c r="H52"/>
  <c r="I52"/>
  <c r="T52"/>
  <c r="C53"/>
  <c r="D53"/>
  <c r="E53"/>
  <c r="F53"/>
  <c r="G53"/>
  <c r="H53"/>
  <c r="I53"/>
  <c r="J53"/>
  <c r="K53"/>
  <c r="L53"/>
  <c r="M53"/>
  <c r="N53"/>
  <c r="O53"/>
  <c r="P53"/>
  <c r="Q53"/>
  <c r="R53"/>
  <c r="S53"/>
  <c r="C54"/>
  <c r="D54"/>
  <c r="E54"/>
  <c r="F54"/>
  <c r="G54"/>
  <c r="H54"/>
  <c r="I54"/>
  <c r="J54"/>
  <c r="K54"/>
  <c r="L54"/>
  <c r="M54"/>
  <c r="N54"/>
  <c r="O54"/>
  <c r="P54"/>
  <c r="Q54"/>
  <c r="R54"/>
  <c r="S54"/>
  <c r="T54"/>
  <c r="C55"/>
  <c r="D55"/>
  <c r="E55"/>
  <c r="F55"/>
  <c r="G55"/>
  <c r="H55"/>
  <c r="I55"/>
  <c r="J55"/>
  <c r="K55"/>
  <c r="L55"/>
  <c r="M55"/>
  <c r="N55"/>
  <c r="O55"/>
  <c r="P55"/>
  <c r="Q55"/>
  <c r="R55"/>
  <c r="S55"/>
  <c r="T55"/>
  <c r="U55"/>
  <c r="C56"/>
  <c r="D56"/>
  <c r="E56"/>
  <c r="F56"/>
  <c r="G56"/>
  <c r="H56"/>
  <c r="I56"/>
  <c r="J56"/>
  <c r="K56"/>
  <c r="L56"/>
  <c r="M56"/>
  <c r="N56"/>
  <c r="O56"/>
  <c r="P56"/>
  <c r="Q56"/>
  <c r="R56"/>
  <c r="S56"/>
  <c r="T56"/>
  <c r="C57"/>
  <c r="D57"/>
  <c r="E57"/>
  <c r="F57"/>
  <c r="G57"/>
  <c r="H57"/>
  <c r="I57"/>
  <c r="J57"/>
  <c r="K57"/>
  <c r="L57"/>
  <c r="M57"/>
  <c r="N57"/>
  <c r="O57"/>
  <c r="P57"/>
  <c r="Q57"/>
  <c r="R57"/>
  <c r="S57"/>
  <c r="C58"/>
  <c r="D58"/>
  <c r="E58"/>
  <c r="F58"/>
  <c r="G58"/>
  <c r="H58"/>
  <c r="I58"/>
  <c r="J58"/>
  <c r="K58"/>
  <c r="L58"/>
  <c r="M58"/>
  <c r="N58"/>
  <c r="O58"/>
  <c r="P58"/>
  <c r="Q58"/>
  <c r="R58"/>
  <c r="S58"/>
  <c r="T58"/>
  <c r="C59"/>
  <c r="D59"/>
  <c r="E59"/>
  <c r="F59"/>
  <c r="G59"/>
  <c r="H59"/>
  <c r="I59"/>
  <c r="J59"/>
  <c r="K59"/>
  <c r="L59"/>
  <c r="M59"/>
  <c r="N59"/>
  <c r="O59"/>
  <c r="P59"/>
  <c r="Q59"/>
  <c r="R59"/>
  <c r="S59"/>
  <c r="C60"/>
  <c r="D60"/>
  <c r="E60"/>
  <c r="F60"/>
  <c r="G60"/>
  <c r="H60"/>
  <c r="I60"/>
  <c r="J60"/>
  <c r="K60"/>
  <c r="L60"/>
  <c r="M60"/>
  <c r="N60"/>
  <c r="O60"/>
  <c r="P60"/>
  <c r="Q60"/>
  <c r="R60"/>
  <c r="S60"/>
  <c r="T60"/>
  <c r="C62"/>
  <c r="D62"/>
  <c r="E62"/>
  <c r="F62"/>
  <c r="G62"/>
  <c r="H62"/>
  <c r="I62"/>
  <c r="C63"/>
  <c r="D63"/>
  <c r="E63"/>
  <c r="F63"/>
  <c r="G63"/>
  <c r="H63"/>
  <c r="I63"/>
  <c r="T63"/>
  <c r="N2" i="19"/>
  <c r="Q2" s="1"/>
  <c r="Q106" s="1"/>
  <c r="T3"/>
  <c r="T4"/>
  <c r="L5"/>
  <c r="O5"/>
  <c r="R5"/>
  <c r="I10"/>
  <c r="K10"/>
  <c r="L10" s="1"/>
  <c r="N10"/>
  <c r="O10" s="1"/>
  <c r="Q10"/>
  <c r="R10" s="1"/>
  <c r="I13"/>
  <c r="K13" s="1"/>
  <c r="C15"/>
  <c r="D15"/>
  <c r="E15"/>
  <c r="F15"/>
  <c r="G15"/>
  <c r="H15"/>
  <c r="C21"/>
  <c r="D21"/>
  <c r="I24"/>
  <c r="K24"/>
  <c r="L24" s="1"/>
  <c r="N24"/>
  <c r="O24" s="1"/>
  <c r="Q24"/>
  <c r="R24" s="1"/>
  <c r="I26"/>
  <c r="K26" s="1"/>
  <c r="C28"/>
  <c r="D28"/>
  <c r="E28"/>
  <c r="F28"/>
  <c r="G28"/>
  <c r="H28"/>
  <c r="C34"/>
  <c r="D34"/>
  <c r="B35"/>
  <c r="C35"/>
  <c r="D35"/>
  <c r="B36"/>
  <c r="C36"/>
  <c r="D36"/>
  <c r="B37"/>
  <c r="D37"/>
  <c r="B39"/>
  <c r="C39"/>
  <c r="D39"/>
  <c r="B40"/>
  <c r="C40"/>
  <c r="D40"/>
  <c r="I42"/>
  <c r="K42" s="1"/>
  <c r="L42" s="1"/>
  <c r="L44" s="1"/>
  <c r="L112" s="1"/>
  <c r="N42"/>
  <c r="O42" s="1"/>
  <c r="O44" s="1"/>
  <c r="O112" s="1"/>
  <c r="C44"/>
  <c r="D44"/>
  <c r="D45" s="1"/>
  <c r="D113" s="1"/>
  <c r="E44"/>
  <c r="F44"/>
  <c r="F45" s="1"/>
  <c r="F113" s="1"/>
  <c r="G44"/>
  <c r="H44"/>
  <c r="H45" s="1"/>
  <c r="H113" s="1"/>
  <c r="C45"/>
  <c r="E45"/>
  <c r="G45"/>
  <c r="C50"/>
  <c r="D50"/>
  <c r="I52"/>
  <c r="K52" s="1"/>
  <c r="L52" s="1"/>
  <c r="N52"/>
  <c r="O52" s="1"/>
  <c r="I54"/>
  <c r="K54"/>
  <c r="L54" s="1"/>
  <c r="N54" s="1"/>
  <c r="O54" s="1"/>
  <c r="Q54" s="1"/>
  <c r="R54" s="1"/>
  <c r="I56"/>
  <c r="K56"/>
  <c r="L56" s="1"/>
  <c r="N56"/>
  <c r="O56" s="1"/>
  <c r="Q56"/>
  <c r="R56" s="1"/>
  <c r="C58"/>
  <c r="D58"/>
  <c r="E58"/>
  <c r="F58"/>
  <c r="G58"/>
  <c r="H58"/>
  <c r="I58"/>
  <c r="I64"/>
  <c r="K64"/>
  <c r="I66"/>
  <c r="K66"/>
  <c r="L66" s="1"/>
  <c r="I68"/>
  <c r="K68"/>
  <c r="L68" s="1"/>
  <c r="N68"/>
  <c r="O68" s="1"/>
  <c r="Q68"/>
  <c r="R68" s="1"/>
  <c r="I70"/>
  <c r="K70" s="1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N91"/>
  <c r="O91" s="1"/>
  <c r="C93"/>
  <c r="D93"/>
  <c r="E93"/>
  <c r="F93"/>
  <c r="G93"/>
  <c r="H93"/>
  <c r="I99"/>
  <c r="K99" s="1"/>
  <c r="L99" s="1"/>
  <c r="I101"/>
  <c r="K101" s="1"/>
  <c r="C103"/>
  <c r="D103"/>
  <c r="E103"/>
  <c r="F103"/>
  <c r="G103"/>
  <c r="H103"/>
  <c r="C106"/>
  <c r="J106"/>
  <c r="K106"/>
  <c r="M106"/>
  <c r="N106"/>
  <c r="P106"/>
  <c r="C108"/>
  <c r="D108"/>
  <c r="E108"/>
  <c r="F108"/>
  <c r="G108"/>
  <c r="H108"/>
  <c r="J108"/>
  <c r="M108"/>
  <c r="P108"/>
  <c r="T109"/>
  <c r="C110"/>
  <c r="D110"/>
  <c r="E110"/>
  <c r="F110"/>
  <c r="G110"/>
  <c r="H110"/>
  <c r="J110"/>
  <c r="M110"/>
  <c r="P110"/>
  <c r="K111"/>
  <c r="N111"/>
  <c r="Q111"/>
  <c r="T111"/>
  <c r="C112"/>
  <c r="D112"/>
  <c r="E112"/>
  <c r="F112"/>
  <c r="G112"/>
  <c r="H112"/>
  <c r="J112"/>
  <c r="M112"/>
  <c r="P112"/>
  <c r="T112"/>
  <c r="C113"/>
  <c r="E113"/>
  <c r="G113"/>
  <c r="C114"/>
  <c r="D114"/>
  <c r="E114"/>
  <c r="F114"/>
  <c r="G114"/>
  <c r="H114"/>
  <c r="I114"/>
  <c r="J114"/>
  <c r="M114"/>
  <c r="P114"/>
  <c r="C116"/>
  <c r="D116"/>
  <c r="E116"/>
  <c r="E123" s="1"/>
  <c r="F116"/>
  <c r="G116"/>
  <c r="H116"/>
  <c r="J116"/>
  <c r="M116"/>
  <c r="P116"/>
  <c r="T116"/>
  <c r="U116"/>
  <c r="T117"/>
  <c r="C118"/>
  <c r="C123" s="1"/>
  <c r="D118"/>
  <c r="E118"/>
  <c r="F118"/>
  <c r="G118"/>
  <c r="G123" s="1"/>
  <c r="H118"/>
  <c r="J118"/>
  <c r="K118"/>
  <c r="M118"/>
  <c r="N118"/>
  <c r="P118"/>
  <c r="Q118"/>
  <c r="C120"/>
  <c r="D120"/>
  <c r="D123" s="1"/>
  <c r="E120"/>
  <c r="F120"/>
  <c r="G120"/>
  <c r="H120"/>
  <c r="H123" s="1"/>
  <c r="J120"/>
  <c r="M120"/>
  <c r="P120"/>
  <c r="T121"/>
  <c r="F123"/>
  <c r="N2" i="18"/>
  <c r="Q2" s="1"/>
  <c r="Q106" s="1"/>
  <c r="T3"/>
  <c r="T4"/>
  <c r="L5"/>
  <c r="O5"/>
  <c r="R5"/>
  <c r="I10"/>
  <c r="K10"/>
  <c r="I13"/>
  <c r="K13" s="1"/>
  <c r="L13" s="1"/>
  <c r="C15"/>
  <c r="D15"/>
  <c r="E15"/>
  <c r="F15"/>
  <c r="G15"/>
  <c r="H15"/>
  <c r="C21"/>
  <c r="D21"/>
  <c r="I24"/>
  <c r="K24"/>
  <c r="I26"/>
  <c r="K26" s="1"/>
  <c r="L26" s="1"/>
  <c r="C28"/>
  <c r="D28"/>
  <c r="E28"/>
  <c r="F28"/>
  <c r="G28"/>
  <c r="H28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/>
  <c r="C44"/>
  <c r="D44"/>
  <c r="E44"/>
  <c r="F44"/>
  <c r="G44"/>
  <c r="H44"/>
  <c r="C45"/>
  <c r="D45"/>
  <c r="E45"/>
  <c r="F45"/>
  <c r="G45"/>
  <c r="H45"/>
  <c r="C50"/>
  <c r="D50"/>
  <c r="I52"/>
  <c r="K52"/>
  <c r="I54"/>
  <c r="K54"/>
  <c r="L54" s="1"/>
  <c r="N54" s="1"/>
  <c r="O54" s="1"/>
  <c r="I56"/>
  <c r="K56"/>
  <c r="L56" s="1"/>
  <c r="C58"/>
  <c r="D58"/>
  <c r="E58"/>
  <c r="F58"/>
  <c r="G58"/>
  <c r="H58"/>
  <c r="I64"/>
  <c r="K64"/>
  <c r="L64" s="1"/>
  <c r="N64"/>
  <c r="O64" s="1"/>
  <c r="Q64"/>
  <c r="R64" s="1"/>
  <c r="I66"/>
  <c r="I68"/>
  <c r="K68"/>
  <c r="L68" s="1"/>
  <c r="N68"/>
  <c r="O68" s="1"/>
  <c r="Q68"/>
  <c r="R68" s="1"/>
  <c r="I70"/>
  <c r="C72"/>
  <c r="D72"/>
  <c r="E72"/>
  <c r="F72"/>
  <c r="G72"/>
  <c r="H72"/>
  <c r="B79"/>
  <c r="C79"/>
  <c r="D79"/>
  <c r="I81"/>
  <c r="K81" s="1"/>
  <c r="L81" s="1"/>
  <c r="N81"/>
  <c r="O81" s="1"/>
  <c r="I83"/>
  <c r="K83"/>
  <c r="L83" s="1"/>
  <c r="I85"/>
  <c r="K85"/>
  <c r="L85" s="1"/>
  <c r="N85"/>
  <c r="O85" s="1"/>
  <c r="Q85"/>
  <c r="R85" s="1"/>
  <c r="I88"/>
  <c r="K88" s="1"/>
  <c r="L88" s="1"/>
  <c r="I91"/>
  <c r="K91" s="1"/>
  <c r="L91" s="1"/>
  <c r="C93"/>
  <c r="D93"/>
  <c r="E93"/>
  <c r="F93"/>
  <c r="G93"/>
  <c r="H93"/>
  <c r="I99"/>
  <c r="K99"/>
  <c r="L99" s="1"/>
  <c r="N99"/>
  <c r="O99" s="1"/>
  <c r="Q99"/>
  <c r="R99" s="1"/>
  <c r="I101"/>
  <c r="K101" s="1"/>
  <c r="L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D110"/>
  <c r="E110"/>
  <c r="E123" s="1"/>
  <c r="F110"/>
  <c r="G110"/>
  <c r="H110"/>
  <c r="J110"/>
  <c r="M110"/>
  <c r="P110"/>
  <c r="K111"/>
  <c r="N111"/>
  <c r="Q111"/>
  <c r="T111"/>
  <c r="C112"/>
  <c r="C123" s="1"/>
  <c r="D112"/>
  <c r="E112"/>
  <c r="F112"/>
  <c r="G112"/>
  <c r="G123" s="1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C118"/>
  <c r="D118"/>
  <c r="E118"/>
  <c r="F118"/>
  <c r="G118"/>
  <c r="H118"/>
  <c r="J118"/>
  <c r="K118"/>
  <c r="M118"/>
  <c r="N118"/>
  <c r="P118"/>
  <c r="Q118"/>
  <c r="C120"/>
  <c r="E120"/>
  <c r="G120"/>
  <c r="J120"/>
  <c r="M120"/>
  <c r="P120"/>
  <c r="T121"/>
  <c r="N2" i="17"/>
  <c r="Q2" s="1"/>
  <c r="Q106" s="1"/>
  <c r="T3"/>
  <c r="T4"/>
  <c r="L5"/>
  <c r="O5"/>
  <c r="R5"/>
  <c r="I10"/>
  <c r="K10" s="1"/>
  <c r="I13"/>
  <c r="K13" s="1"/>
  <c r="L13" s="1"/>
  <c r="C15"/>
  <c r="D15"/>
  <c r="E15"/>
  <c r="F15"/>
  <c r="G15"/>
  <c r="H15"/>
  <c r="C21"/>
  <c r="D21"/>
  <c r="I24"/>
  <c r="I26"/>
  <c r="K26" s="1"/>
  <c r="L26" s="1"/>
  <c r="C28"/>
  <c r="D28"/>
  <c r="E28"/>
  <c r="F28"/>
  <c r="G28"/>
  <c r="H28"/>
  <c r="C34"/>
  <c r="D34"/>
  <c r="B35"/>
  <c r="C35"/>
  <c r="D35"/>
  <c r="B36"/>
  <c r="C36"/>
  <c r="D36"/>
  <c r="B37"/>
  <c r="C37"/>
  <c r="D37"/>
  <c r="B39"/>
  <c r="C39"/>
  <c r="D39"/>
  <c r="B40"/>
  <c r="C40"/>
  <c r="D40"/>
  <c r="I42"/>
  <c r="K42" s="1"/>
  <c r="L42" s="1"/>
  <c r="C44"/>
  <c r="D44"/>
  <c r="E44"/>
  <c r="F44"/>
  <c r="G44"/>
  <c r="H44"/>
  <c r="C45"/>
  <c r="D45"/>
  <c r="E45"/>
  <c r="F45"/>
  <c r="G45"/>
  <c r="H45"/>
  <c r="C50"/>
  <c r="D50"/>
  <c r="I52"/>
  <c r="K52" s="1"/>
  <c r="I54"/>
  <c r="K54" s="1"/>
  <c r="L54" s="1"/>
  <c r="N54" s="1"/>
  <c r="O54" s="1"/>
  <c r="I56"/>
  <c r="K56" s="1"/>
  <c r="L56" s="1"/>
  <c r="C58"/>
  <c r="D58"/>
  <c r="E58"/>
  <c r="F58"/>
  <c r="G58"/>
  <c r="H58"/>
  <c r="I64"/>
  <c r="K64" s="1"/>
  <c r="L64" s="1"/>
  <c r="N64"/>
  <c r="O64" s="1"/>
  <c r="Q64"/>
  <c r="R64" s="1"/>
  <c r="I66"/>
  <c r="K66" s="1"/>
  <c r="L66" s="1"/>
  <c r="I68"/>
  <c r="K68" s="1"/>
  <c r="L68" s="1"/>
  <c r="N68"/>
  <c r="O68" s="1"/>
  <c r="I70"/>
  <c r="K70"/>
  <c r="L70" s="1"/>
  <c r="C72"/>
  <c r="D72"/>
  <c r="E72"/>
  <c r="F72"/>
  <c r="G72"/>
  <c r="H72"/>
  <c r="B79"/>
  <c r="C79"/>
  <c r="D79"/>
  <c r="I81"/>
  <c r="K81"/>
  <c r="L81" s="1"/>
  <c r="N81"/>
  <c r="O81" s="1"/>
  <c r="Q81"/>
  <c r="R81" s="1"/>
  <c r="I83"/>
  <c r="K83" s="1"/>
  <c r="L83" s="1"/>
  <c r="I85"/>
  <c r="K85" s="1"/>
  <c r="L85" s="1"/>
  <c r="N85"/>
  <c r="O85" s="1"/>
  <c r="I88"/>
  <c r="K88" s="1"/>
  <c r="L88" s="1"/>
  <c r="I91"/>
  <c r="K91" s="1"/>
  <c r="L91" s="1"/>
  <c r="C93"/>
  <c r="C118" s="1"/>
  <c r="D93"/>
  <c r="E93"/>
  <c r="E118"/>
  <c r="F93"/>
  <c r="G93"/>
  <c r="G118" s="1"/>
  <c r="H93"/>
  <c r="I99"/>
  <c r="K99" s="1"/>
  <c r="L99" s="1"/>
  <c r="I101"/>
  <c r="K101" s="1"/>
  <c r="C103"/>
  <c r="D103"/>
  <c r="D120" s="1"/>
  <c r="E103"/>
  <c r="F103"/>
  <c r="F120" s="1"/>
  <c r="G103"/>
  <c r="H103"/>
  <c r="H120" s="1"/>
  <c r="C106"/>
  <c r="J106"/>
  <c r="K106"/>
  <c r="M106"/>
  <c r="N106"/>
  <c r="P106"/>
  <c r="C108"/>
  <c r="D108"/>
  <c r="D123" s="1"/>
  <c r="E108"/>
  <c r="F108"/>
  <c r="F123" s="1"/>
  <c r="G108"/>
  <c r="H108"/>
  <c r="H123" s="1"/>
  <c r="J108"/>
  <c r="M108"/>
  <c r="P108"/>
  <c r="T109"/>
  <c r="C110"/>
  <c r="C123" s="1"/>
  <c r="D110"/>
  <c r="E110"/>
  <c r="F110"/>
  <c r="G110"/>
  <c r="G123" s="1"/>
  <c r="H110"/>
  <c r="J110"/>
  <c r="M110"/>
  <c r="P110"/>
  <c r="K111"/>
  <c r="N111"/>
  <c r="Q111"/>
  <c r="T111"/>
  <c r="C112"/>
  <c r="D112"/>
  <c r="E112"/>
  <c r="E123" s="1"/>
  <c r="F112"/>
  <c r="G112"/>
  <c r="H112"/>
  <c r="J112"/>
  <c r="M112"/>
  <c r="P112"/>
  <c r="T112"/>
  <c r="C113"/>
  <c r="D113"/>
  <c r="E113"/>
  <c r="F113"/>
  <c r="G113"/>
  <c r="H113"/>
  <c r="C114"/>
  <c r="D114"/>
  <c r="E114"/>
  <c r="F114"/>
  <c r="G114"/>
  <c r="H114"/>
  <c r="J114"/>
  <c r="M114"/>
  <c r="P114"/>
  <c r="C116"/>
  <c r="D116"/>
  <c r="E116"/>
  <c r="F116"/>
  <c r="G116"/>
  <c r="H116"/>
  <c r="J116"/>
  <c r="M116"/>
  <c r="P116"/>
  <c r="T116"/>
  <c r="U116"/>
  <c r="T117"/>
  <c r="D118"/>
  <c r="F118"/>
  <c r="H118"/>
  <c r="J118"/>
  <c r="K118"/>
  <c r="M118"/>
  <c r="N118"/>
  <c r="P118"/>
  <c r="Q118"/>
  <c r="C120"/>
  <c r="E120"/>
  <c r="G120"/>
  <c r="J120"/>
  <c r="M120"/>
  <c r="P120"/>
  <c r="T121"/>
  <c r="O2" i="16"/>
  <c r="R2" s="1"/>
  <c r="R99" s="1"/>
  <c r="U3"/>
  <c r="U4"/>
  <c r="M5"/>
  <c r="P5"/>
  <c r="S5"/>
  <c r="J10"/>
  <c r="L10"/>
  <c r="C12"/>
  <c r="D12"/>
  <c r="E12"/>
  <c r="F12"/>
  <c r="G12"/>
  <c r="H12"/>
  <c r="K12"/>
  <c r="N12"/>
  <c r="Q12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J26"/>
  <c r="L26" s="1"/>
  <c r="M26" s="1"/>
  <c r="J28"/>
  <c r="J30"/>
  <c r="L30" s="1"/>
  <c r="M30" s="1"/>
  <c r="C32"/>
  <c r="D32"/>
  <c r="E32"/>
  <c r="F32"/>
  <c r="G32"/>
  <c r="H32"/>
  <c r="J32"/>
  <c r="C38"/>
  <c r="D38"/>
  <c r="J40"/>
  <c r="L40"/>
  <c r="C42"/>
  <c r="D42"/>
  <c r="E42"/>
  <c r="F42"/>
  <c r="G42"/>
  <c r="H42"/>
  <c r="C43"/>
  <c r="D43"/>
  <c r="E43"/>
  <c r="F43"/>
  <c r="G43"/>
  <c r="H43"/>
  <c r="C48"/>
  <c r="D48"/>
  <c r="J50"/>
  <c r="L50"/>
  <c r="M50" s="1"/>
  <c r="O50"/>
  <c r="P50" s="1"/>
  <c r="P52" s="1"/>
  <c r="P107" s="1"/>
  <c r="R50"/>
  <c r="S50" s="1"/>
  <c r="C52"/>
  <c r="D52"/>
  <c r="E52"/>
  <c r="F52"/>
  <c r="G52"/>
  <c r="H52"/>
  <c r="I52"/>
  <c r="J52"/>
  <c r="K52"/>
  <c r="N52"/>
  <c r="Q52"/>
  <c r="I53"/>
  <c r="J58"/>
  <c r="L58"/>
  <c r="M58" s="1"/>
  <c r="O58"/>
  <c r="P58" s="1"/>
  <c r="R58"/>
  <c r="S58" s="1"/>
  <c r="J60"/>
  <c r="L60" s="1"/>
  <c r="M60" s="1"/>
  <c r="C62"/>
  <c r="D62"/>
  <c r="E62"/>
  <c r="F62"/>
  <c r="G62"/>
  <c r="H62"/>
  <c r="I62"/>
  <c r="J62"/>
  <c r="I63"/>
  <c r="J69"/>
  <c r="L69" s="1"/>
  <c r="M69" s="1"/>
  <c r="J71"/>
  <c r="L71" s="1"/>
  <c r="M71" s="1"/>
  <c r="J74"/>
  <c r="L74" s="1"/>
  <c r="M74" s="1"/>
  <c r="J76"/>
  <c r="L76" s="1"/>
  <c r="M76" s="1"/>
  <c r="O76"/>
  <c r="P76" s="1"/>
  <c r="J78"/>
  <c r="L78"/>
  <c r="M78" s="1"/>
  <c r="J81"/>
  <c r="L81" s="1"/>
  <c r="M81" s="1"/>
  <c r="J84"/>
  <c r="L84" s="1"/>
  <c r="M84" s="1"/>
  <c r="C86"/>
  <c r="D86"/>
  <c r="E86"/>
  <c r="F86"/>
  <c r="G86"/>
  <c r="H86"/>
  <c r="J92"/>
  <c r="L92"/>
  <c r="M92" s="1"/>
  <c r="J94"/>
  <c r="L94" s="1"/>
  <c r="C96"/>
  <c r="D96"/>
  <c r="E96"/>
  <c r="F96"/>
  <c r="G96"/>
  <c r="H96"/>
  <c r="J96"/>
  <c r="J113" s="1"/>
  <c r="C99"/>
  <c r="K99"/>
  <c r="L99"/>
  <c r="N99"/>
  <c r="O99"/>
  <c r="Q99"/>
  <c r="C101"/>
  <c r="D101"/>
  <c r="E101"/>
  <c r="E116" s="1"/>
  <c r="F101"/>
  <c r="G101"/>
  <c r="H101"/>
  <c r="K101"/>
  <c r="N101"/>
  <c r="Q101"/>
  <c r="U102"/>
  <c r="C103"/>
  <c r="C116" s="1"/>
  <c r="D103"/>
  <c r="E103"/>
  <c r="F103"/>
  <c r="G103"/>
  <c r="G116" s="1"/>
  <c r="H103"/>
  <c r="J103"/>
  <c r="K103"/>
  <c r="N103"/>
  <c r="Q103"/>
  <c r="K104"/>
  <c r="L104"/>
  <c r="N104"/>
  <c r="O104"/>
  <c r="Q104"/>
  <c r="R104"/>
  <c r="U104"/>
  <c r="C105"/>
  <c r="D105"/>
  <c r="E105"/>
  <c r="F105"/>
  <c r="G105"/>
  <c r="H105"/>
  <c r="K105"/>
  <c r="N105"/>
  <c r="Q105"/>
  <c r="U105"/>
  <c r="C106"/>
  <c r="D106"/>
  <c r="E106"/>
  <c r="F106"/>
  <c r="G106"/>
  <c r="H106"/>
  <c r="C107"/>
  <c r="D107"/>
  <c r="E107"/>
  <c r="F107"/>
  <c r="G107"/>
  <c r="H107"/>
  <c r="J107"/>
  <c r="K107"/>
  <c r="N107"/>
  <c r="Q107"/>
  <c r="C109"/>
  <c r="D109"/>
  <c r="E109"/>
  <c r="F109"/>
  <c r="G109"/>
  <c r="H109"/>
  <c r="J109"/>
  <c r="K109"/>
  <c r="N109"/>
  <c r="Q109"/>
  <c r="U109"/>
  <c r="V109"/>
  <c r="U110"/>
  <c r="C111"/>
  <c r="D111"/>
  <c r="E111"/>
  <c r="F111"/>
  <c r="G111"/>
  <c r="H111"/>
  <c r="K111"/>
  <c r="L111"/>
  <c r="N111"/>
  <c r="O111"/>
  <c r="Q111"/>
  <c r="R111"/>
  <c r="L112"/>
  <c r="O112"/>
  <c r="R112"/>
  <c r="U112"/>
  <c r="C113"/>
  <c r="D113"/>
  <c r="E113"/>
  <c r="F113"/>
  <c r="G113"/>
  <c r="H113"/>
  <c r="K113"/>
  <c r="N113"/>
  <c r="Q113"/>
  <c r="U114"/>
  <c r="D116"/>
  <c r="F116"/>
  <c r="H116"/>
  <c r="N2" i="14"/>
  <c r="Q2" s="1"/>
  <c r="Q98" s="1"/>
  <c r="T3"/>
  <c r="T4"/>
  <c r="L5"/>
  <c r="O5"/>
  <c r="R5"/>
  <c r="I10"/>
  <c r="K10"/>
  <c r="K12" s="1"/>
  <c r="K100" s="1"/>
  <c r="C12"/>
  <c r="D12"/>
  <c r="E12"/>
  <c r="F12"/>
  <c r="G12"/>
  <c r="H12"/>
  <c r="J12"/>
  <c r="M12"/>
  <c r="P12"/>
  <c r="C18"/>
  <c r="D18"/>
  <c r="I21"/>
  <c r="K21" s="1"/>
  <c r="I23"/>
  <c r="K23" s="1"/>
  <c r="C25"/>
  <c r="D25"/>
  <c r="E25"/>
  <c r="F25"/>
  <c r="G25"/>
  <c r="H25"/>
  <c r="C31"/>
  <c r="D31"/>
  <c r="I33"/>
  <c r="K33"/>
  <c r="L33" s="1"/>
  <c r="N33"/>
  <c r="O33" s="1"/>
  <c r="O35" s="1"/>
  <c r="O104" s="1"/>
  <c r="Q33"/>
  <c r="R33" s="1"/>
  <c r="C35"/>
  <c r="D35"/>
  <c r="E35"/>
  <c r="F35"/>
  <c r="G35"/>
  <c r="H35"/>
  <c r="I35"/>
  <c r="C41"/>
  <c r="D41"/>
  <c r="I43"/>
  <c r="K43" s="1"/>
  <c r="I45"/>
  <c r="K45" s="1"/>
  <c r="C47"/>
  <c r="D47"/>
  <c r="E47"/>
  <c r="F47"/>
  <c r="G47"/>
  <c r="H47"/>
  <c r="I53"/>
  <c r="K53"/>
  <c r="I55"/>
  <c r="K55"/>
  <c r="L55" s="1"/>
  <c r="N55"/>
  <c r="O55" s="1"/>
  <c r="Q55"/>
  <c r="R55" s="1"/>
  <c r="I57"/>
  <c r="K57" s="1"/>
  <c r="L57" s="1"/>
  <c r="I59"/>
  <c r="K59" s="1"/>
  <c r="L59" s="1"/>
  <c r="N59"/>
  <c r="O59" s="1"/>
  <c r="C61"/>
  <c r="C108"/>
  <c r="D61"/>
  <c r="E61"/>
  <c r="E108"/>
  <c r="F61"/>
  <c r="G61"/>
  <c r="G108"/>
  <c r="H61"/>
  <c r="I61"/>
  <c r="I108"/>
  <c r="I68"/>
  <c r="K68" s="1"/>
  <c r="L68" s="1"/>
  <c r="N68"/>
  <c r="O68"/>
  <c r="S68" s="1"/>
  <c r="Q68"/>
  <c r="R68"/>
  <c r="I70"/>
  <c r="K70" s="1"/>
  <c r="L70" s="1"/>
  <c r="I73"/>
  <c r="K73"/>
  <c r="L73" s="1"/>
  <c r="N73"/>
  <c r="O73" s="1"/>
  <c r="Q73"/>
  <c r="R73" s="1"/>
  <c r="I75"/>
  <c r="K75" s="1"/>
  <c r="L75" s="1"/>
  <c r="I77"/>
  <c r="K77" s="1"/>
  <c r="L77" s="1"/>
  <c r="N77"/>
  <c r="O77" s="1"/>
  <c r="I80"/>
  <c r="K80" s="1"/>
  <c r="L80" s="1"/>
  <c r="I83"/>
  <c r="K83" s="1"/>
  <c r="L83" s="1"/>
  <c r="C85"/>
  <c r="D85"/>
  <c r="E85"/>
  <c r="F85"/>
  <c r="G85"/>
  <c r="H85"/>
  <c r="I85"/>
  <c r="I110" s="1"/>
  <c r="I91"/>
  <c r="K91"/>
  <c r="L91" s="1"/>
  <c r="N91"/>
  <c r="O91" s="1"/>
  <c r="Q91"/>
  <c r="R91" s="1"/>
  <c r="I93"/>
  <c r="K93" s="1"/>
  <c r="C95"/>
  <c r="D95"/>
  <c r="E95"/>
  <c r="F95"/>
  <c r="G95"/>
  <c r="H95"/>
  <c r="C98"/>
  <c r="J98"/>
  <c r="K98"/>
  <c r="M98"/>
  <c r="N98"/>
  <c r="P98"/>
  <c r="C100"/>
  <c r="C115" s="1"/>
  <c r="D100"/>
  <c r="E100"/>
  <c r="E115" s="1"/>
  <c r="F100"/>
  <c r="G100"/>
  <c r="H100"/>
  <c r="H115" s="1"/>
  <c r="J100"/>
  <c r="M100"/>
  <c r="P100"/>
  <c r="T101"/>
  <c r="C102"/>
  <c r="D102"/>
  <c r="E102"/>
  <c r="F102"/>
  <c r="F115" s="1"/>
  <c r="G102"/>
  <c r="H102"/>
  <c r="J102"/>
  <c r="M102"/>
  <c r="P102"/>
  <c r="K103"/>
  <c r="N103"/>
  <c r="Q103"/>
  <c r="T103"/>
  <c r="C104"/>
  <c r="D104"/>
  <c r="E104"/>
  <c r="F104"/>
  <c r="G104"/>
  <c r="H104"/>
  <c r="I104"/>
  <c r="J104"/>
  <c r="M104"/>
  <c r="P104"/>
  <c r="T104"/>
  <c r="H105"/>
  <c r="C106"/>
  <c r="D106"/>
  <c r="E106"/>
  <c r="F106"/>
  <c r="G106"/>
  <c r="H106"/>
  <c r="J106"/>
  <c r="M106"/>
  <c r="P106"/>
  <c r="D108"/>
  <c r="F108"/>
  <c r="H108"/>
  <c r="J108"/>
  <c r="M108"/>
  <c r="P108"/>
  <c r="T108"/>
  <c r="U108"/>
  <c r="T109"/>
  <c r="C110"/>
  <c r="D110"/>
  <c r="E110"/>
  <c r="F110"/>
  <c r="G110"/>
  <c r="H110"/>
  <c r="J110"/>
  <c r="K110"/>
  <c r="M110"/>
  <c r="N110"/>
  <c r="P110"/>
  <c r="Q110"/>
  <c r="K111"/>
  <c r="N111"/>
  <c r="Q111"/>
  <c r="T111"/>
  <c r="C112"/>
  <c r="D112"/>
  <c r="E112"/>
  <c r="F112"/>
  <c r="G112"/>
  <c r="H112"/>
  <c r="J112"/>
  <c r="M112"/>
  <c r="P112"/>
  <c r="T113"/>
  <c r="N2" i="13"/>
  <c r="Q2" s="1"/>
  <c r="Q102" s="1"/>
  <c r="T3"/>
  <c r="T4"/>
  <c r="T5"/>
  <c r="L6"/>
  <c r="O6"/>
  <c r="R6"/>
  <c r="T6" s="1"/>
  <c r="I11"/>
  <c r="K11" s="1"/>
  <c r="I14"/>
  <c r="K14" s="1"/>
  <c r="L14" s="1"/>
  <c r="C16"/>
  <c r="D16"/>
  <c r="E16"/>
  <c r="F16"/>
  <c r="G16"/>
  <c r="H16"/>
  <c r="C22"/>
  <c r="D22"/>
  <c r="I25"/>
  <c r="I27"/>
  <c r="K27" s="1"/>
  <c r="L27" s="1"/>
  <c r="C29"/>
  <c r="D29"/>
  <c r="E29"/>
  <c r="F29"/>
  <c r="G29"/>
  <c r="H29"/>
  <c r="C35"/>
  <c r="D35"/>
  <c r="I37"/>
  <c r="K37" s="1"/>
  <c r="L37" s="1"/>
  <c r="L39" s="1"/>
  <c r="L108" s="1"/>
  <c r="C39"/>
  <c r="D39"/>
  <c r="D40" s="1"/>
  <c r="D109" s="1"/>
  <c r="E39"/>
  <c r="F39"/>
  <c r="F40" s="1"/>
  <c r="F109" s="1"/>
  <c r="G39"/>
  <c r="H39"/>
  <c r="H40" s="1"/>
  <c r="H109" s="1"/>
  <c r="C40"/>
  <c r="E40"/>
  <c r="G40"/>
  <c r="C45"/>
  <c r="D45"/>
  <c r="I47"/>
  <c r="K47" s="1"/>
  <c r="I49"/>
  <c r="K49" s="1"/>
  <c r="C51"/>
  <c r="D51"/>
  <c r="E51"/>
  <c r="F51"/>
  <c r="G51"/>
  <c r="H51"/>
  <c r="I57"/>
  <c r="K57" s="1"/>
  <c r="I59"/>
  <c r="K59" s="1"/>
  <c r="L59" s="1"/>
  <c r="I61"/>
  <c r="K61" s="1"/>
  <c r="L61" s="1"/>
  <c r="I63"/>
  <c r="K63" s="1"/>
  <c r="L63" s="1"/>
  <c r="C65"/>
  <c r="C112"/>
  <c r="D65"/>
  <c r="E65"/>
  <c r="E112" s="1"/>
  <c r="F65"/>
  <c r="G65"/>
  <c r="G112" s="1"/>
  <c r="H65"/>
  <c r="I72"/>
  <c r="K72" s="1"/>
  <c r="L72" s="1"/>
  <c r="I74"/>
  <c r="K74" s="1"/>
  <c r="L74" s="1"/>
  <c r="I77"/>
  <c r="K77" s="1"/>
  <c r="L77" s="1"/>
  <c r="I79"/>
  <c r="K79" s="1"/>
  <c r="I81"/>
  <c r="K81" s="1"/>
  <c r="L81" s="1"/>
  <c r="I84"/>
  <c r="K84" s="1"/>
  <c r="L84" s="1"/>
  <c r="I87"/>
  <c r="K87" s="1"/>
  <c r="L87" s="1"/>
  <c r="C89"/>
  <c r="D89"/>
  <c r="E89"/>
  <c r="F89"/>
  <c r="G89"/>
  <c r="G114" s="1"/>
  <c r="H89"/>
  <c r="I95"/>
  <c r="K95" s="1"/>
  <c r="L95" s="1"/>
  <c r="I97"/>
  <c r="K97" s="1"/>
  <c r="C99"/>
  <c r="D99"/>
  <c r="E99"/>
  <c r="F99"/>
  <c r="F116" s="1"/>
  <c r="F119" s="1"/>
  <c r="G99"/>
  <c r="G116" s="1"/>
  <c r="H99"/>
  <c r="H116" s="1"/>
  <c r="C102"/>
  <c r="J102"/>
  <c r="K102"/>
  <c r="M102"/>
  <c r="N102"/>
  <c r="P102"/>
  <c r="C104"/>
  <c r="D104"/>
  <c r="E104"/>
  <c r="F104"/>
  <c r="G104"/>
  <c r="H104"/>
  <c r="J104"/>
  <c r="M104"/>
  <c r="P104"/>
  <c r="T105"/>
  <c r="C106"/>
  <c r="D106"/>
  <c r="E106"/>
  <c r="F106"/>
  <c r="G106"/>
  <c r="H106"/>
  <c r="J106"/>
  <c r="M106"/>
  <c r="P106"/>
  <c r="K107"/>
  <c r="N107"/>
  <c r="Q107"/>
  <c r="T107"/>
  <c r="C108"/>
  <c r="D108"/>
  <c r="E108"/>
  <c r="F108"/>
  <c r="G108"/>
  <c r="H108"/>
  <c r="J108"/>
  <c r="M108"/>
  <c r="P108"/>
  <c r="T108"/>
  <c r="C109"/>
  <c r="E109"/>
  <c r="G109"/>
  <c r="C110"/>
  <c r="D110"/>
  <c r="E110"/>
  <c r="F110"/>
  <c r="G110"/>
  <c r="H110"/>
  <c r="J110"/>
  <c r="M110"/>
  <c r="P110"/>
  <c r="D112"/>
  <c r="F112"/>
  <c r="H112"/>
  <c r="J112"/>
  <c r="M112"/>
  <c r="P112"/>
  <c r="T112"/>
  <c r="U112"/>
  <c r="T113"/>
  <c r="C114"/>
  <c r="D114"/>
  <c r="D119" s="1"/>
  <c r="E114"/>
  <c r="F114"/>
  <c r="H114"/>
  <c r="J114"/>
  <c r="K114"/>
  <c r="M114"/>
  <c r="N114"/>
  <c r="P114"/>
  <c r="Q114"/>
  <c r="K115"/>
  <c r="N115"/>
  <c r="Q115"/>
  <c r="T115"/>
  <c r="C116"/>
  <c r="D116"/>
  <c r="E116"/>
  <c r="J116"/>
  <c r="M116"/>
  <c r="P116"/>
  <c r="T117"/>
  <c r="C119"/>
  <c r="N2" i="12"/>
  <c r="Q2" s="1"/>
  <c r="Q101" s="1"/>
  <c r="T3"/>
  <c r="T4"/>
  <c r="L5"/>
  <c r="O5"/>
  <c r="R5"/>
  <c r="T5" s="1"/>
  <c r="I10"/>
  <c r="K10" s="1"/>
  <c r="I13"/>
  <c r="C15"/>
  <c r="D15"/>
  <c r="E15"/>
  <c r="F15"/>
  <c r="G15"/>
  <c r="H15"/>
  <c r="C21"/>
  <c r="D21"/>
  <c r="I24"/>
  <c r="K24" s="1"/>
  <c r="L24" s="1"/>
  <c r="I26"/>
  <c r="K26" s="1"/>
  <c r="C28"/>
  <c r="D28"/>
  <c r="E28"/>
  <c r="F28"/>
  <c r="G28"/>
  <c r="H28"/>
  <c r="C34"/>
  <c r="D34"/>
  <c r="I36"/>
  <c r="K36" s="1"/>
  <c r="C38"/>
  <c r="D38"/>
  <c r="E38"/>
  <c r="F38"/>
  <c r="G38"/>
  <c r="H38"/>
  <c r="C39"/>
  <c r="D39"/>
  <c r="E39"/>
  <c r="F39"/>
  <c r="G39"/>
  <c r="H39"/>
  <c r="C44"/>
  <c r="D44"/>
  <c r="I46"/>
  <c r="K46" s="1"/>
  <c r="L46" s="1"/>
  <c r="N46"/>
  <c r="O46" s="1"/>
  <c r="I48"/>
  <c r="K48" s="1"/>
  <c r="C50"/>
  <c r="D50"/>
  <c r="E50"/>
  <c r="F50"/>
  <c r="G50"/>
  <c r="H50"/>
  <c r="I56"/>
  <c r="K56" s="1"/>
  <c r="L56" s="1"/>
  <c r="Q56"/>
  <c r="R56"/>
  <c r="I58"/>
  <c r="K58"/>
  <c r="I60"/>
  <c r="K60"/>
  <c r="L60" s="1"/>
  <c r="N60"/>
  <c r="O60" s="1"/>
  <c r="Q60"/>
  <c r="R60" s="1"/>
  <c r="I62"/>
  <c r="K62"/>
  <c r="L62" s="1"/>
  <c r="C64"/>
  <c r="D64"/>
  <c r="E64"/>
  <c r="F64"/>
  <c r="G64"/>
  <c r="H64"/>
  <c r="I71"/>
  <c r="K71" s="1"/>
  <c r="L71" s="1"/>
  <c r="I73"/>
  <c r="K73" s="1"/>
  <c r="L73" s="1"/>
  <c r="I76"/>
  <c r="K76" s="1"/>
  <c r="L76" s="1"/>
  <c r="I78"/>
  <c r="K78" s="1"/>
  <c r="L78" s="1"/>
  <c r="N78"/>
  <c r="O78" s="1"/>
  <c r="I80"/>
  <c r="K80" s="1"/>
  <c r="L80" s="1"/>
  <c r="I83"/>
  <c r="K83" s="1"/>
  <c r="I86"/>
  <c r="K86" s="1"/>
  <c r="L86" s="1"/>
  <c r="C88"/>
  <c r="D88"/>
  <c r="E88"/>
  <c r="F88"/>
  <c r="G88"/>
  <c r="H88"/>
  <c r="I94"/>
  <c r="K94" s="1"/>
  <c r="I96"/>
  <c r="K96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J107"/>
  <c r="M107"/>
  <c r="P107"/>
  <c r="T107"/>
  <c r="C108"/>
  <c r="D108"/>
  <c r="E108"/>
  <c r="F108"/>
  <c r="G108"/>
  <c r="H108"/>
  <c r="C109"/>
  <c r="D109"/>
  <c r="E109"/>
  <c r="F109"/>
  <c r="G109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C118" s="1"/>
  <c r="D113"/>
  <c r="E113"/>
  <c r="F113"/>
  <c r="G113"/>
  <c r="G118" s="1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N2" i="11"/>
  <c r="Q2" s="1"/>
  <c r="Q100" s="1"/>
  <c r="T3"/>
  <c r="T4"/>
  <c r="L5"/>
  <c r="O5"/>
  <c r="R5"/>
  <c r="I10"/>
  <c r="I15" s="1"/>
  <c r="I102" s="1"/>
  <c r="N13"/>
  <c r="O13" s="1"/>
  <c r="Q13"/>
  <c r="R13" s="1"/>
  <c r="C15"/>
  <c r="D15"/>
  <c r="E15"/>
  <c r="F15"/>
  <c r="G15"/>
  <c r="H15"/>
  <c r="B23"/>
  <c r="I25"/>
  <c r="Q25"/>
  <c r="C29"/>
  <c r="D29"/>
  <c r="E29"/>
  <c r="F29"/>
  <c r="G29"/>
  <c r="H29"/>
  <c r="D36"/>
  <c r="B37"/>
  <c r="D37"/>
  <c r="I39"/>
  <c r="Q39" s="1"/>
  <c r="R39" s="1"/>
  <c r="R41" s="1"/>
  <c r="R106" s="1"/>
  <c r="C41"/>
  <c r="C42"/>
  <c r="C107" s="1"/>
  <c r="D41"/>
  <c r="E41"/>
  <c r="E42"/>
  <c r="E107" s="1"/>
  <c r="F41"/>
  <c r="F42" s="1"/>
  <c r="F107" s="1"/>
  <c r="G41"/>
  <c r="G42"/>
  <c r="G107" s="1"/>
  <c r="H41"/>
  <c r="D42"/>
  <c r="H42"/>
  <c r="I49"/>
  <c r="Q49"/>
  <c r="R49" s="1"/>
  <c r="C53"/>
  <c r="D53"/>
  <c r="E53"/>
  <c r="F53"/>
  <c r="G53"/>
  <c r="H53"/>
  <c r="I53"/>
  <c r="I59"/>
  <c r="K59" s="1"/>
  <c r="N59"/>
  <c r="O59" s="1"/>
  <c r="I61"/>
  <c r="Q61"/>
  <c r="R61" s="1"/>
  <c r="I63"/>
  <c r="Q63"/>
  <c r="R63" s="1"/>
  <c r="I65"/>
  <c r="Q65"/>
  <c r="R65" s="1"/>
  <c r="C67"/>
  <c r="D67"/>
  <c r="E67"/>
  <c r="F67"/>
  <c r="G67"/>
  <c r="H67"/>
  <c r="I67"/>
  <c r="I74"/>
  <c r="K74" s="1"/>
  <c r="C87"/>
  <c r="D87"/>
  <c r="E87"/>
  <c r="F87"/>
  <c r="G87"/>
  <c r="H87"/>
  <c r="I93"/>
  <c r="K93" s="1"/>
  <c r="C97"/>
  <c r="D97"/>
  <c r="E97"/>
  <c r="F97"/>
  <c r="G97"/>
  <c r="H97"/>
  <c r="C100"/>
  <c r="J100"/>
  <c r="K100"/>
  <c r="M100"/>
  <c r="N100"/>
  <c r="P100"/>
  <c r="C102"/>
  <c r="D102"/>
  <c r="E102"/>
  <c r="F102"/>
  <c r="G102"/>
  <c r="H102"/>
  <c r="J102"/>
  <c r="M102"/>
  <c r="P102"/>
  <c r="T103"/>
  <c r="C104"/>
  <c r="D104"/>
  <c r="E104"/>
  <c r="E117" s="1"/>
  <c r="F104"/>
  <c r="G104"/>
  <c r="H104"/>
  <c r="J104"/>
  <c r="M104"/>
  <c r="P104"/>
  <c r="K105"/>
  <c r="N105"/>
  <c r="Q105"/>
  <c r="T105"/>
  <c r="C106"/>
  <c r="C117" s="1"/>
  <c r="D106"/>
  <c r="E106"/>
  <c r="F106"/>
  <c r="G106"/>
  <c r="G117" s="1"/>
  <c r="H106"/>
  <c r="J106"/>
  <c r="M106"/>
  <c r="P106"/>
  <c r="T106"/>
  <c r="D107"/>
  <c r="H107"/>
  <c r="C108"/>
  <c r="D108"/>
  <c r="E108"/>
  <c r="F108"/>
  <c r="G108"/>
  <c r="H108"/>
  <c r="I108"/>
  <c r="J108"/>
  <c r="M108"/>
  <c r="P108"/>
  <c r="C110"/>
  <c r="D110"/>
  <c r="E110"/>
  <c r="F110"/>
  <c r="G110"/>
  <c r="H110"/>
  <c r="I110"/>
  <c r="J110"/>
  <c r="M110"/>
  <c r="P110"/>
  <c r="T110"/>
  <c r="U110"/>
  <c r="T111"/>
  <c r="C112"/>
  <c r="D112"/>
  <c r="E112"/>
  <c r="F112"/>
  <c r="G112"/>
  <c r="H112"/>
  <c r="J112"/>
  <c r="M112"/>
  <c r="P112"/>
  <c r="T113"/>
  <c r="C114"/>
  <c r="D114"/>
  <c r="E114"/>
  <c r="F114"/>
  <c r="G114"/>
  <c r="H114"/>
  <c r="J114"/>
  <c r="M114"/>
  <c r="P114"/>
  <c r="T115"/>
  <c r="D117"/>
  <c r="F117"/>
  <c r="H117"/>
  <c r="P3" i="24"/>
  <c r="P4"/>
  <c r="P6"/>
  <c r="L7"/>
  <c r="R78" s="1"/>
  <c r="N10"/>
  <c r="Q10" s="1"/>
  <c r="Q229" s="1"/>
  <c r="I14"/>
  <c r="K14" s="1"/>
  <c r="L14" s="1"/>
  <c r="C19"/>
  <c r="D19"/>
  <c r="E19"/>
  <c r="F19"/>
  <c r="G19"/>
  <c r="H19"/>
  <c r="B29"/>
  <c r="B30" s="1"/>
  <c r="B31"/>
  <c r="B32" s="1"/>
  <c r="B33"/>
  <c r="B34"/>
  <c r="B35"/>
  <c r="I37"/>
  <c r="N37"/>
  <c r="O37" s="1"/>
  <c r="I40"/>
  <c r="Q40" s="1"/>
  <c r="R40" s="1"/>
  <c r="I42"/>
  <c r="K42"/>
  <c r="L42" s="1"/>
  <c r="N42"/>
  <c r="O42" s="1"/>
  <c r="Q42"/>
  <c r="R42" s="1"/>
  <c r="I44"/>
  <c r="K44" s="1"/>
  <c r="L44" s="1"/>
  <c r="N44"/>
  <c r="O44" s="1"/>
  <c r="I46"/>
  <c r="K46" s="1"/>
  <c r="L46" s="1"/>
  <c r="N46"/>
  <c r="O46" s="1"/>
  <c r="I48"/>
  <c r="Q48" s="1"/>
  <c r="R48" s="1"/>
  <c r="C50"/>
  <c r="D50"/>
  <c r="E50"/>
  <c r="F50"/>
  <c r="G50"/>
  <c r="H50"/>
  <c r="I50"/>
  <c r="B57"/>
  <c r="B58"/>
  <c r="B59"/>
  <c r="I61"/>
  <c r="K61"/>
  <c r="L61" s="1"/>
  <c r="N61"/>
  <c r="O61" s="1"/>
  <c r="Q61"/>
  <c r="R61" s="1"/>
  <c r="I63"/>
  <c r="K63"/>
  <c r="L63" s="1"/>
  <c r="N63"/>
  <c r="O63" s="1"/>
  <c r="Q63"/>
  <c r="R63" s="1"/>
  <c r="I65"/>
  <c r="Q65"/>
  <c r="R65" s="1"/>
  <c r="I67"/>
  <c r="K67" s="1"/>
  <c r="L67" s="1"/>
  <c r="I69"/>
  <c r="C71"/>
  <c r="D71"/>
  <c r="E71"/>
  <c r="F71"/>
  <c r="G71"/>
  <c r="H71"/>
  <c r="I84"/>
  <c r="I86"/>
  <c r="I88"/>
  <c r="I90"/>
  <c r="I92"/>
  <c r="J92" s="1"/>
  <c r="M92"/>
  <c r="I95"/>
  <c r="I97"/>
  <c r="I99"/>
  <c r="I101"/>
  <c r="I103"/>
  <c r="J103" s="1"/>
  <c r="M103"/>
  <c r="Q103"/>
  <c r="R103" s="1"/>
  <c r="C105"/>
  <c r="D105"/>
  <c r="E105"/>
  <c r="F105"/>
  <c r="G105"/>
  <c r="H105"/>
  <c r="D111"/>
  <c r="I111" s="1"/>
  <c r="E111"/>
  <c r="F111"/>
  <c r="F146" s="1"/>
  <c r="F239" s="1"/>
  <c r="I113"/>
  <c r="I115"/>
  <c r="I117"/>
  <c r="I120"/>
  <c r="I122"/>
  <c r="I124"/>
  <c r="I126"/>
  <c r="I129"/>
  <c r="I131"/>
  <c r="J131"/>
  <c r="M131"/>
  <c r="I133"/>
  <c r="I135"/>
  <c r="I138"/>
  <c r="I140"/>
  <c r="I142"/>
  <c r="I144"/>
  <c r="C146"/>
  <c r="E146"/>
  <c r="G146"/>
  <c r="H146"/>
  <c r="B153"/>
  <c r="B154"/>
  <c r="I157"/>
  <c r="J157"/>
  <c r="I159"/>
  <c r="J159"/>
  <c r="M159"/>
  <c r="Q159"/>
  <c r="R159" s="1"/>
  <c r="I161"/>
  <c r="I163"/>
  <c r="I166"/>
  <c r="I168"/>
  <c r="J168"/>
  <c r="M168"/>
  <c r="P168"/>
  <c r="I170"/>
  <c r="I172"/>
  <c r="I175"/>
  <c r="I177"/>
  <c r="J177" s="1"/>
  <c r="M177"/>
  <c r="Q177"/>
  <c r="R177"/>
  <c r="I179"/>
  <c r="I181"/>
  <c r="I184"/>
  <c r="I186"/>
  <c r="J186" s="1"/>
  <c r="M186"/>
  <c r="I188"/>
  <c r="I190"/>
  <c r="C198"/>
  <c r="D198"/>
  <c r="E198"/>
  <c r="F198"/>
  <c r="G198"/>
  <c r="H198"/>
  <c r="T199"/>
  <c r="T242" s="1"/>
  <c r="I204"/>
  <c r="K204" s="1"/>
  <c r="L204" s="1"/>
  <c r="I206"/>
  <c r="Q206"/>
  <c r="I208"/>
  <c r="Q208"/>
  <c r="R208" s="1"/>
  <c r="I210"/>
  <c r="Q210"/>
  <c r="R210" s="1"/>
  <c r="I212"/>
  <c r="Q212"/>
  <c r="R212" s="1"/>
  <c r="I215"/>
  <c r="Q215"/>
  <c r="R215" s="1"/>
  <c r="I217"/>
  <c r="Q217" s="1"/>
  <c r="R217" s="1"/>
  <c r="I219"/>
  <c r="Q219"/>
  <c r="R219" s="1"/>
  <c r="I221"/>
  <c r="Q221"/>
  <c r="R221" s="1"/>
  <c r="I223"/>
  <c r="Q223"/>
  <c r="R223" s="1"/>
  <c r="C225"/>
  <c r="D225"/>
  <c r="D243" s="1"/>
  <c r="E225"/>
  <c r="F225"/>
  <c r="F243" s="1"/>
  <c r="G225"/>
  <c r="H225"/>
  <c r="H243" s="1"/>
  <c r="C229"/>
  <c r="J229"/>
  <c r="K229"/>
  <c r="M229"/>
  <c r="N229"/>
  <c r="P229"/>
  <c r="C231"/>
  <c r="D231"/>
  <c r="E231"/>
  <c r="F231"/>
  <c r="F246" s="1"/>
  <c r="G231"/>
  <c r="H231"/>
  <c r="H246" s="1"/>
  <c r="J231"/>
  <c r="M231"/>
  <c r="P231"/>
  <c r="T232"/>
  <c r="C233"/>
  <c r="C246" s="1"/>
  <c r="D233"/>
  <c r="E233"/>
  <c r="F233"/>
  <c r="G233"/>
  <c r="G246" s="1"/>
  <c r="H233"/>
  <c r="I233"/>
  <c r="J233"/>
  <c r="M233"/>
  <c r="P233"/>
  <c r="T234"/>
  <c r="C235"/>
  <c r="D235"/>
  <c r="E235"/>
  <c r="F235"/>
  <c r="G235"/>
  <c r="H235"/>
  <c r="J235"/>
  <c r="M235"/>
  <c r="P235"/>
  <c r="T235"/>
  <c r="C237"/>
  <c r="D237"/>
  <c r="E237"/>
  <c r="F237"/>
  <c r="G237"/>
  <c r="H237"/>
  <c r="J238"/>
  <c r="C239"/>
  <c r="E239"/>
  <c r="G239"/>
  <c r="H239"/>
  <c r="T239"/>
  <c r="U239"/>
  <c r="T240"/>
  <c r="C241"/>
  <c r="D241"/>
  <c r="E241"/>
  <c r="F241"/>
  <c r="G241"/>
  <c r="H241"/>
  <c r="C243"/>
  <c r="E243"/>
  <c r="E246" s="1"/>
  <c r="G243"/>
  <c r="J243"/>
  <c r="M243"/>
  <c r="P243"/>
  <c r="J244"/>
  <c r="M244"/>
  <c r="P244"/>
  <c r="T244"/>
  <c r="N2" i="15"/>
  <c r="Q2" s="1"/>
  <c r="Q150" s="1"/>
  <c r="L9"/>
  <c r="L10" s="1"/>
  <c r="O8"/>
  <c r="L8"/>
  <c r="K120" s="1"/>
  <c r="L120" s="1"/>
  <c r="R8"/>
  <c r="Q85" s="1"/>
  <c r="R85" s="1"/>
  <c r="R9"/>
  <c r="R10" s="1"/>
  <c r="R11"/>
  <c r="T12"/>
  <c r="L13"/>
  <c r="O13"/>
  <c r="R13"/>
  <c r="T14"/>
  <c r="I19"/>
  <c r="K19"/>
  <c r="L19" s="1"/>
  <c r="N19"/>
  <c r="Q19"/>
  <c r="R19" s="1"/>
  <c r="C24"/>
  <c r="D24"/>
  <c r="E24"/>
  <c r="F24"/>
  <c r="G24"/>
  <c r="H24"/>
  <c r="I24"/>
  <c r="I36"/>
  <c r="C43"/>
  <c r="D43"/>
  <c r="E43"/>
  <c r="F43"/>
  <c r="G43"/>
  <c r="H43"/>
  <c r="B49"/>
  <c r="B50"/>
  <c r="B51"/>
  <c r="I53"/>
  <c r="K53"/>
  <c r="L53" s="1"/>
  <c r="I55"/>
  <c r="K55"/>
  <c r="L55" s="1"/>
  <c r="I57"/>
  <c r="Q57"/>
  <c r="R57" s="1"/>
  <c r="I59"/>
  <c r="P59"/>
  <c r="Q59" s="1"/>
  <c r="R59" s="1"/>
  <c r="C61"/>
  <c r="D61"/>
  <c r="E61"/>
  <c r="F61"/>
  <c r="G61"/>
  <c r="H61"/>
  <c r="B68"/>
  <c r="I70"/>
  <c r="I72"/>
  <c r="J72" s="1"/>
  <c r="K72"/>
  <c r="L72" s="1"/>
  <c r="Q72"/>
  <c r="R72" s="1"/>
  <c r="I74"/>
  <c r="I76"/>
  <c r="J76"/>
  <c r="K76"/>
  <c r="L76" s="1"/>
  <c r="M76"/>
  <c r="Q76"/>
  <c r="R76" s="1"/>
  <c r="C78"/>
  <c r="D78"/>
  <c r="E78"/>
  <c r="F78"/>
  <c r="G78"/>
  <c r="H78"/>
  <c r="I78"/>
  <c r="I85"/>
  <c r="I87"/>
  <c r="J87" s="1"/>
  <c r="I89"/>
  <c r="I91"/>
  <c r="I93"/>
  <c r="I95"/>
  <c r="I97"/>
  <c r="J97" s="1"/>
  <c r="M97"/>
  <c r="I99"/>
  <c r="I101" s="1"/>
  <c r="I160" s="1"/>
  <c r="C101"/>
  <c r="C160" s="1"/>
  <c r="D101"/>
  <c r="E101"/>
  <c r="E160" s="1"/>
  <c r="F101"/>
  <c r="G101"/>
  <c r="G160" s="1"/>
  <c r="H101"/>
  <c r="B108"/>
  <c r="B109"/>
  <c r="I112"/>
  <c r="I116"/>
  <c r="I120"/>
  <c r="C130"/>
  <c r="D130"/>
  <c r="D162" s="1"/>
  <c r="E130"/>
  <c r="E162" s="1"/>
  <c r="F130"/>
  <c r="F162"/>
  <c r="G130"/>
  <c r="H130"/>
  <c r="H162" s="1"/>
  <c r="I136"/>
  <c r="K136" s="1"/>
  <c r="C146"/>
  <c r="D146"/>
  <c r="E146"/>
  <c r="F146"/>
  <c r="G146"/>
  <c r="H146"/>
  <c r="C150"/>
  <c r="J150"/>
  <c r="K150"/>
  <c r="M150"/>
  <c r="N150"/>
  <c r="P150"/>
  <c r="C152"/>
  <c r="C167" s="1"/>
  <c r="D152"/>
  <c r="E152"/>
  <c r="F152"/>
  <c r="G152"/>
  <c r="G167" s="1"/>
  <c r="H152"/>
  <c r="I152"/>
  <c r="J152"/>
  <c r="M152"/>
  <c r="P152"/>
  <c r="T153"/>
  <c r="C154"/>
  <c r="D154"/>
  <c r="E154"/>
  <c r="F154"/>
  <c r="F167" s="1"/>
  <c r="G154"/>
  <c r="H154"/>
  <c r="J154"/>
  <c r="M154"/>
  <c r="P154"/>
  <c r="T155"/>
  <c r="C156"/>
  <c r="D156"/>
  <c r="E156"/>
  <c r="F156"/>
  <c r="G156"/>
  <c r="H156"/>
  <c r="J156"/>
  <c r="M156"/>
  <c r="P156"/>
  <c r="T156"/>
  <c r="C158"/>
  <c r="D158"/>
  <c r="D167" s="1"/>
  <c r="E158"/>
  <c r="F158"/>
  <c r="G158"/>
  <c r="H158"/>
  <c r="H167" s="1"/>
  <c r="I158"/>
  <c r="J158"/>
  <c r="M158"/>
  <c r="P158"/>
  <c r="D160"/>
  <c r="F160"/>
  <c r="H160"/>
  <c r="T160"/>
  <c r="U160"/>
  <c r="T161"/>
  <c r="C162"/>
  <c r="G162"/>
  <c r="J162"/>
  <c r="M162"/>
  <c r="P162"/>
  <c r="C164"/>
  <c r="D164"/>
  <c r="E164"/>
  <c r="F164"/>
  <c r="G164"/>
  <c r="H164"/>
  <c r="J164"/>
  <c r="M164"/>
  <c r="P164"/>
  <c r="J165"/>
  <c r="M165"/>
  <c r="P165"/>
  <c r="T165"/>
  <c r="M1" i="7"/>
  <c r="P1" s="1"/>
  <c r="P110" s="1"/>
  <c r="S3"/>
  <c r="S4"/>
  <c r="S5"/>
  <c r="S6"/>
  <c r="S7"/>
  <c r="S8"/>
  <c r="S9"/>
  <c r="K10"/>
  <c r="J33" s="1"/>
  <c r="K33" s="1"/>
  <c r="N10"/>
  <c r="Q10"/>
  <c r="Q12" s="1"/>
  <c r="S12"/>
  <c r="H17"/>
  <c r="H22" s="1"/>
  <c r="H112" s="1"/>
  <c r="M20"/>
  <c r="N20" s="1"/>
  <c r="P20"/>
  <c r="Q20" s="1"/>
  <c r="B22"/>
  <c r="B112" s="1"/>
  <c r="C22"/>
  <c r="D22"/>
  <c r="D112" s="1"/>
  <c r="E22"/>
  <c r="F22"/>
  <c r="F112" s="1"/>
  <c r="G22"/>
  <c r="H31"/>
  <c r="H35" s="1"/>
  <c r="H114" s="1"/>
  <c r="B35"/>
  <c r="C35"/>
  <c r="C114" s="1"/>
  <c r="D35"/>
  <c r="E35"/>
  <c r="F35"/>
  <c r="G35"/>
  <c r="G114" s="1"/>
  <c r="H43"/>
  <c r="H45" s="1"/>
  <c r="H116" s="1"/>
  <c r="B45"/>
  <c r="B46"/>
  <c r="B117" s="1"/>
  <c r="C45"/>
  <c r="D45"/>
  <c r="D46"/>
  <c r="D117" s="1"/>
  <c r="E45"/>
  <c r="E46" s="1"/>
  <c r="E117" s="1"/>
  <c r="F45"/>
  <c r="F46"/>
  <c r="F117" s="1"/>
  <c r="G45"/>
  <c r="C46"/>
  <c r="G46"/>
  <c r="H53"/>
  <c r="H55"/>
  <c r="H57" s="1"/>
  <c r="H118" s="1"/>
  <c r="B57"/>
  <c r="C57"/>
  <c r="D57"/>
  <c r="E57"/>
  <c r="F57"/>
  <c r="G57"/>
  <c r="H63"/>
  <c r="H65"/>
  <c r="H67"/>
  <c r="H69"/>
  <c r="B71"/>
  <c r="B120" s="1"/>
  <c r="C71"/>
  <c r="D71"/>
  <c r="D120" s="1"/>
  <c r="E71"/>
  <c r="F71"/>
  <c r="F120" s="1"/>
  <c r="G71"/>
  <c r="H71"/>
  <c r="H120" s="1"/>
  <c r="H78"/>
  <c r="H80"/>
  <c r="H83"/>
  <c r="H85"/>
  <c r="H87"/>
  <c r="H91"/>
  <c r="J91" s="1"/>
  <c r="K91" s="1"/>
  <c r="H95"/>
  <c r="J95"/>
  <c r="K95" s="1"/>
  <c r="B97"/>
  <c r="C97"/>
  <c r="C122" s="1"/>
  <c r="D97"/>
  <c r="D122" s="1"/>
  <c r="E97"/>
  <c r="E122"/>
  <c r="F97"/>
  <c r="G97"/>
  <c r="G122" s="1"/>
  <c r="H103"/>
  <c r="H105"/>
  <c r="B107"/>
  <c r="C107"/>
  <c r="D107"/>
  <c r="E107"/>
  <c r="F107"/>
  <c r="G107"/>
  <c r="B110"/>
  <c r="I110"/>
  <c r="J110"/>
  <c r="L110"/>
  <c r="O110"/>
  <c r="C112"/>
  <c r="E112"/>
  <c r="G112"/>
  <c r="I112"/>
  <c r="L112"/>
  <c r="O112"/>
  <c r="S113"/>
  <c r="B114"/>
  <c r="D114"/>
  <c r="E114"/>
  <c r="F114"/>
  <c r="I114"/>
  <c r="L114"/>
  <c r="O114"/>
  <c r="J115"/>
  <c r="M115"/>
  <c r="P115"/>
  <c r="S115"/>
  <c r="B116"/>
  <c r="C116"/>
  <c r="D116"/>
  <c r="E116"/>
  <c r="F116"/>
  <c r="G116"/>
  <c r="I116"/>
  <c r="L116"/>
  <c r="O116"/>
  <c r="S116"/>
  <c r="C117"/>
  <c r="G117"/>
  <c r="B118"/>
  <c r="C118"/>
  <c r="D118"/>
  <c r="E118"/>
  <c r="F118"/>
  <c r="G118"/>
  <c r="I118"/>
  <c r="L118"/>
  <c r="O118"/>
  <c r="C120"/>
  <c r="E120"/>
  <c r="G120"/>
  <c r="I120"/>
  <c r="L120"/>
  <c r="O120"/>
  <c r="S120"/>
  <c r="T120"/>
  <c r="S121"/>
  <c r="B122"/>
  <c r="F122"/>
  <c r="I122"/>
  <c r="J122"/>
  <c r="L122"/>
  <c r="M122"/>
  <c r="O122"/>
  <c r="P122"/>
  <c r="J123"/>
  <c r="M123"/>
  <c r="P123"/>
  <c r="S123"/>
  <c r="B124"/>
  <c r="C124"/>
  <c r="D124"/>
  <c r="E124"/>
  <c r="F124"/>
  <c r="G124"/>
  <c r="I124"/>
  <c r="L124"/>
  <c r="O124"/>
  <c r="S125"/>
  <c r="D127"/>
  <c r="N2" i="1"/>
  <c r="Q2" s="1"/>
  <c r="Q101" s="1"/>
  <c r="T3"/>
  <c r="T4"/>
  <c r="L5"/>
  <c r="O5"/>
  <c r="R5"/>
  <c r="I10"/>
  <c r="I15"/>
  <c r="K10"/>
  <c r="L10" s="1"/>
  <c r="N10"/>
  <c r="O10" s="1"/>
  <c r="R10"/>
  <c r="N13"/>
  <c r="O13" s="1"/>
  <c r="Q13"/>
  <c r="R13" s="1"/>
  <c r="C15"/>
  <c r="D15"/>
  <c r="E15"/>
  <c r="F15"/>
  <c r="G15"/>
  <c r="H15"/>
  <c r="I24"/>
  <c r="K24" s="1"/>
  <c r="L24" s="1"/>
  <c r="C28"/>
  <c r="D28"/>
  <c r="E28"/>
  <c r="F28"/>
  <c r="G28"/>
  <c r="H28"/>
  <c r="I36"/>
  <c r="Q36" s="1"/>
  <c r="C38"/>
  <c r="C39" s="1"/>
  <c r="C108" s="1"/>
  <c r="D38"/>
  <c r="E38"/>
  <c r="E39" s="1"/>
  <c r="E108"/>
  <c r="F38"/>
  <c r="G38"/>
  <c r="G39" s="1"/>
  <c r="G108" s="1"/>
  <c r="H38"/>
  <c r="I38"/>
  <c r="D39"/>
  <c r="F39"/>
  <c r="H39"/>
  <c r="I46"/>
  <c r="Q46" s="1"/>
  <c r="C50"/>
  <c r="D50"/>
  <c r="E50"/>
  <c r="F50"/>
  <c r="G50"/>
  <c r="H50"/>
  <c r="I56"/>
  <c r="K56" s="1"/>
  <c r="L56" s="1"/>
  <c r="Q56"/>
  <c r="R56" s="1"/>
  <c r="I58"/>
  <c r="Q58"/>
  <c r="I60"/>
  <c r="Q60"/>
  <c r="R60" s="1"/>
  <c r="I62"/>
  <c r="Q62" s="1"/>
  <c r="R62" s="1"/>
  <c r="C64"/>
  <c r="D64"/>
  <c r="E64"/>
  <c r="F64"/>
  <c r="G64"/>
  <c r="H64"/>
  <c r="I71"/>
  <c r="K71" s="1"/>
  <c r="L71" s="1"/>
  <c r="I76"/>
  <c r="R76"/>
  <c r="I78"/>
  <c r="R78"/>
  <c r="I80"/>
  <c r="R80" s="1"/>
  <c r="L83"/>
  <c r="O83"/>
  <c r="C88"/>
  <c r="D88"/>
  <c r="E88"/>
  <c r="F88"/>
  <c r="G88"/>
  <c r="H88"/>
  <c r="I88"/>
  <c r="I94"/>
  <c r="K94"/>
  <c r="C98"/>
  <c r="D98"/>
  <c r="D115" s="1"/>
  <c r="E98"/>
  <c r="F98"/>
  <c r="F115" s="1"/>
  <c r="G98"/>
  <c r="H98"/>
  <c r="H115" s="1"/>
  <c r="C101"/>
  <c r="J101"/>
  <c r="K101"/>
  <c r="M101"/>
  <c r="N101"/>
  <c r="P101"/>
  <c r="C103"/>
  <c r="D103"/>
  <c r="D118" s="1"/>
  <c r="E103"/>
  <c r="F103"/>
  <c r="F118" s="1"/>
  <c r="G103"/>
  <c r="H103"/>
  <c r="H118" s="1"/>
  <c r="I103"/>
  <c r="J103"/>
  <c r="M103"/>
  <c r="P103"/>
  <c r="T104"/>
  <c r="C105"/>
  <c r="C118" s="1"/>
  <c r="D105"/>
  <c r="E105"/>
  <c r="F105"/>
  <c r="G105"/>
  <c r="G118" s="1"/>
  <c r="H105"/>
  <c r="J105"/>
  <c r="M105"/>
  <c r="P105"/>
  <c r="K106"/>
  <c r="N106"/>
  <c r="Q106"/>
  <c r="T106"/>
  <c r="C107"/>
  <c r="D107"/>
  <c r="E107"/>
  <c r="E118" s="1"/>
  <c r="F107"/>
  <c r="G107"/>
  <c r="H107"/>
  <c r="I107"/>
  <c r="J107"/>
  <c r="M107"/>
  <c r="P107"/>
  <c r="T107"/>
  <c r="D108"/>
  <c r="F108"/>
  <c r="H108"/>
  <c r="C109"/>
  <c r="D109"/>
  <c r="E109"/>
  <c r="F109"/>
  <c r="G109"/>
  <c r="H109"/>
  <c r="J109"/>
  <c r="M109"/>
  <c r="P109"/>
  <c r="C111"/>
  <c r="D111"/>
  <c r="E111"/>
  <c r="F111"/>
  <c r="G111"/>
  <c r="H111"/>
  <c r="J111"/>
  <c r="M111"/>
  <c r="P111"/>
  <c r="T111"/>
  <c r="U111"/>
  <c r="T112"/>
  <c r="C113"/>
  <c r="D113"/>
  <c r="E113"/>
  <c r="F113"/>
  <c r="G113"/>
  <c r="H113"/>
  <c r="I113"/>
  <c r="J113"/>
  <c r="K113"/>
  <c r="M113"/>
  <c r="N113"/>
  <c r="P113"/>
  <c r="Q113"/>
  <c r="K114"/>
  <c r="N114"/>
  <c r="Q114"/>
  <c r="T114"/>
  <c r="C115"/>
  <c r="E115"/>
  <c r="G115"/>
  <c r="J115"/>
  <c r="M115"/>
  <c r="P115"/>
  <c r="T116"/>
  <c r="N2" i="10"/>
  <c r="Q2" s="1"/>
  <c r="Q101" s="1"/>
  <c r="T3"/>
  <c r="T4"/>
  <c r="L5"/>
  <c r="O5"/>
  <c r="R5"/>
  <c r="Q24" s="1"/>
  <c r="I10"/>
  <c r="I15"/>
  <c r="N13"/>
  <c r="O13" s="1"/>
  <c r="Q13"/>
  <c r="R13" s="1"/>
  <c r="C15"/>
  <c r="D15"/>
  <c r="E15"/>
  <c r="F15"/>
  <c r="G15"/>
  <c r="H15"/>
  <c r="I24"/>
  <c r="K24"/>
  <c r="L24" s="1"/>
  <c r="N24"/>
  <c r="O24" s="1"/>
  <c r="C28"/>
  <c r="D28"/>
  <c r="E28"/>
  <c r="F28"/>
  <c r="G28"/>
  <c r="H28"/>
  <c r="I28"/>
  <c r="I36"/>
  <c r="Q36" s="1"/>
  <c r="R36" s="1"/>
  <c r="C38"/>
  <c r="C39" s="1"/>
  <c r="C108" s="1"/>
  <c r="D38"/>
  <c r="D39"/>
  <c r="D108" s="1"/>
  <c r="E38"/>
  <c r="F38"/>
  <c r="F39"/>
  <c r="F108" s="1"/>
  <c r="G38"/>
  <c r="G39" s="1"/>
  <c r="G108" s="1"/>
  <c r="H38"/>
  <c r="H39"/>
  <c r="H108" s="1"/>
  <c r="I38"/>
  <c r="E39"/>
  <c r="I46"/>
  <c r="Q46" s="1"/>
  <c r="R46" s="1"/>
  <c r="C50"/>
  <c r="D50"/>
  <c r="E50"/>
  <c r="F50"/>
  <c r="G50"/>
  <c r="H50"/>
  <c r="I50"/>
  <c r="I56"/>
  <c r="K56"/>
  <c r="N56"/>
  <c r="O56" s="1"/>
  <c r="I58"/>
  <c r="Q58" s="1"/>
  <c r="I60"/>
  <c r="Q60"/>
  <c r="R60" s="1"/>
  <c r="I62"/>
  <c r="Q62"/>
  <c r="R62" s="1"/>
  <c r="C64"/>
  <c r="D64"/>
  <c r="E64"/>
  <c r="F64"/>
  <c r="G64"/>
  <c r="H64"/>
  <c r="I64"/>
  <c r="I71"/>
  <c r="K71"/>
  <c r="L71" s="1"/>
  <c r="L73"/>
  <c r="O73"/>
  <c r="I76"/>
  <c r="Q76" s="1"/>
  <c r="R76" s="1"/>
  <c r="I78"/>
  <c r="Q78" s="1"/>
  <c r="R78" s="1"/>
  <c r="I80"/>
  <c r="Q80" s="1"/>
  <c r="R80" s="1"/>
  <c r="L83"/>
  <c r="R83"/>
  <c r="C88"/>
  <c r="D88"/>
  <c r="E88"/>
  <c r="F88"/>
  <c r="G88"/>
  <c r="H88"/>
  <c r="I94"/>
  <c r="K94" s="1"/>
  <c r="N94"/>
  <c r="O94" s="1"/>
  <c r="C98"/>
  <c r="D98"/>
  <c r="E98"/>
  <c r="F98"/>
  <c r="G98"/>
  <c r="H98"/>
  <c r="I98"/>
  <c r="C101"/>
  <c r="J101"/>
  <c r="K101"/>
  <c r="M101"/>
  <c r="N101"/>
  <c r="P101"/>
  <c r="C103"/>
  <c r="D103"/>
  <c r="E103"/>
  <c r="F103"/>
  <c r="F118" s="1"/>
  <c r="G103"/>
  <c r="H103"/>
  <c r="I103"/>
  <c r="J103"/>
  <c r="M103"/>
  <c r="P103"/>
  <c r="T104"/>
  <c r="C105"/>
  <c r="D105"/>
  <c r="E105"/>
  <c r="F105"/>
  <c r="G105"/>
  <c r="H105"/>
  <c r="I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E108"/>
  <c r="C109"/>
  <c r="D109"/>
  <c r="E109"/>
  <c r="F109"/>
  <c r="G109"/>
  <c r="H109"/>
  <c r="I109"/>
  <c r="J109"/>
  <c r="M109"/>
  <c r="P109"/>
  <c r="C111"/>
  <c r="D111"/>
  <c r="E111"/>
  <c r="F111"/>
  <c r="G111"/>
  <c r="H111"/>
  <c r="I111"/>
  <c r="J111"/>
  <c r="M111"/>
  <c r="P111"/>
  <c r="T111"/>
  <c r="U111"/>
  <c r="T112"/>
  <c r="C113"/>
  <c r="D113"/>
  <c r="D118" s="1"/>
  <c r="E113"/>
  <c r="F113"/>
  <c r="G113"/>
  <c r="H113"/>
  <c r="H118" s="1"/>
  <c r="J113"/>
  <c r="K113"/>
  <c r="M113"/>
  <c r="N113"/>
  <c r="P113"/>
  <c r="Q113"/>
  <c r="K114"/>
  <c r="N114"/>
  <c r="Q114"/>
  <c r="T114"/>
  <c r="C115"/>
  <c r="C118" s="1"/>
  <c r="D115"/>
  <c r="E115"/>
  <c r="F115"/>
  <c r="G115"/>
  <c r="G118" s="1"/>
  <c r="H115"/>
  <c r="I115"/>
  <c r="J115"/>
  <c r="M115"/>
  <c r="P115"/>
  <c r="T116"/>
  <c r="E118"/>
  <c r="N2" i="9"/>
  <c r="Q2" s="1"/>
  <c r="Q101" s="1"/>
  <c r="T3"/>
  <c r="T4"/>
  <c r="L5"/>
  <c r="O5"/>
  <c r="R5"/>
  <c r="I10"/>
  <c r="I15" s="1"/>
  <c r="K10"/>
  <c r="L10" s="1"/>
  <c r="N13"/>
  <c r="O13" s="1"/>
  <c r="Q13"/>
  <c r="R13" s="1"/>
  <c r="C15"/>
  <c r="D15"/>
  <c r="E15"/>
  <c r="F15"/>
  <c r="G15"/>
  <c r="H15"/>
  <c r="I24"/>
  <c r="K24"/>
  <c r="C28"/>
  <c r="D28"/>
  <c r="E28"/>
  <c r="F28"/>
  <c r="G28"/>
  <c r="H28"/>
  <c r="I36"/>
  <c r="Q36"/>
  <c r="C38"/>
  <c r="C39"/>
  <c r="C108" s="1"/>
  <c r="D38"/>
  <c r="E38"/>
  <c r="E39"/>
  <c r="E108" s="1"/>
  <c r="F38"/>
  <c r="F39" s="1"/>
  <c r="F108" s="1"/>
  <c r="G38"/>
  <c r="G39"/>
  <c r="G108" s="1"/>
  <c r="H38"/>
  <c r="I38"/>
  <c r="D39"/>
  <c r="H39"/>
  <c r="I46"/>
  <c r="Q46"/>
  <c r="C50"/>
  <c r="D50"/>
  <c r="E50"/>
  <c r="F50"/>
  <c r="G50"/>
  <c r="H50"/>
  <c r="I56"/>
  <c r="K56"/>
  <c r="L56" s="1"/>
  <c r="N56"/>
  <c r="O56" s="1"/>
  <c r="Q56"/>
  <c r="R56" s="1"/>
  <c r="I58"/>
  <c r="Q58"/>
  <c r="I60"/>
  <c r="Q60"/>
  <c r="R60" s="1"/>
  <c r="I62"/>
  <c r="Q62"/>
  <c r="R62" s="1"/>
  <c r="C64"/>
  <c r="D64"/>
  <c r="E64"/>
  <c r="F64"/>
  <c r="G64"/>
  <c r="H64"/>
  <c r="I71"/>
  <c r="K71"/>
  <c r="L71" s="1"/>
  <c r="N71"/>
  <c r="O71" s="1"/>
  <c r="Q71"/>
  <c r="R71" s="1"/>
  <c r="R73"/>
  <c r="I76"/>
  <c r="Q76" s="1"/>
  <c r="R76" s="1"/>
  <c r="I78"/>
  <c r="Q78" s="1"/>
  <c r="R78" s="1"/>
  <c r="I80"/>
  <c r="Q80" s="1"/>
  <c r="R80" s="1"/>
  <c r="O83"/>
  <c r="C88"/>
  <c r="D88"/>
  <c r="E88"/>
  <c r="F88"/>
  <c r="G88"/>
  <c r="H88"/>
  <c r="I94"/>
  <c r="K94" s="1"/>
  <c r="L94" s="1"/>
  <c r="C98"/>
  <c r="D98"/>
  <c r="E98"/>
  <c r="F98"/>
  <c r="G98"/>
  <c r="H98"/>
  <c r="C101"/>
  <c r="J101"/>
  <c r="K101"/>
  <c r="M101"/>
  <c r="N101"/>
  <c r="P101"/>
  <c r="C103"/>
  <c r="D103"/>
  <c r="E103"/>
  <c r="F103"/>
  <c r="G103"/>
  <c r="H103"/>
  <c r="J103"/>
  <c r="M103"/>
  <c r="P103"/>
  <c r="T104"/>
  <c r="C105"/>
  <c r="D105"/>
  <c r="E105"/>
  <c r="F105"/>
  <c r="G105"/>
  <c r="H105"/>
  <c r="J105"/>
  <c r="M105"/>
  <c r="P105"/>
  <c r="K106"/>
  <c r="N106"/>
  <c r="Q106"/>
  <c r="T106"/>
  <c r="C107"/>
  <c r="D107"/>
  <c r="E107"/>
  <c r="F107"/>
  <c r="G107"/>
  <c r="H107"/>
  <c r="I107"/>
  <c r="J107"/>
  <c r="M107"/>
  <c r="P107"/>
  <c r="T107"/>
  <c r="D108"/>
  <c r="H108"/>
  <c r="C109"/>
  <c r="C118" s="1"/>
  <c r="D109"/>
  <c r="E109"/>
  <c r="F109"/>
  <c r="G109"/>
  <c r="G118" s="1"/>
  <c r="H109"/>
  <c r="J109"/>
  <c r="M109"/>
  <c r="P109"/>
  <c r="C111"/>
  <c r="D111"/>
  <c r="E111"/>
  <c r="E118" s="1"/>
  <c r="F111"/>
  <c r="G111"/>
  <c r="H111"/>
  <c r="J111"/>
  <c r="M111"/>
  <c r="P111"/>
  <c r="T111"/>
  <c r="U111"/>
  <c r="T112"/>
  <c r="C113"/>
  <c r="D113"/>
  <c r="E113"/>
  <c r="F113"/>
  <c r="G113"/>
  <c r="H113"/>
  <c r="J113"/>
  <c r="K113"/>
  <c r="M113"/>
  <c r="N113"/>
  <c r="P113"/>
  <c r="Q113"/>
  <c r="K114"/>
  <c r="N114"/>
  <c r="Q114"/>
  <c r="T114"/>
  <c r="C115"/>
  <c r="D115"/>
  <c r="E115"/>
  <c r="F115"/>
  <c r="G115"/>
  <c r="H115"/>
  <c r="J115"/>
  <c r="M115"/>
  <c r="P115"/>
  <c r="T116"/>
  <c r="D118"/>
  <c r="F118"/>
  <c r="H118"/>
  <c r="AP6" i="8"/>
  <c r="C39" i="20"/>
  <c r="X17" i="8"/>
  <c r="C37" i="19"/>
  <c r="P37" s="1"/>
  <c r="Q37" s="1"/>
  <c r="R37" s="1"/>
  <c r="L19" i="8"/>
  <c r="C32" i="15"/>
  <c r="R19" i="8"/>
  <c r="C49" i="15"/>
  <c r="U19" i="8"/>
  <c r="C50" i="15"/>
  <c r="X19" i="8"/>
  <c r="C51" i="15"/>
  <c r="AD19" i="8"/>
  <c r="C109" i="15"/>
  <c r="O20" i="8"/>
  <c r="U20"/>
  <c r="C34" i="24" s="1"/>
  <c r="P34" s="1"/>
  <c r="Q34" s="1"/>
  <c r="R34" s="1"/>
  <c r="AJ20" i="8"/>
  <c r="C153" i="24" s="1"/>
  <c r="M153" s="1"/>
  <c r="N153" s="1"/>
  <c r="O153" s="1"/>
  <c r="L3" i="4"/>
  <c r="M3" s="1"/>
  <c r="O3"/>
  <c r="P3" s="1"/>
  <c r="L4"/>
  <c r="M4" s="1"/>
  <c r="N4" s="1"/>
  <c r="O4" s="1"/>
  <c r="P4" s="1"/>
  <c r="Q4" s="1"/>
  <c r="L5"/>
  <c r="M5" s="1"/>
  <c r="N5" s="1"/>
  <c r="O5" s="1"/>
  <c r="P5" s="1"/>
  <c r="Q5" s="1"/>
  <c r="D3" i="6"/>
  <c r="C98" i="13" s="1"/>
  <c r="D4" i="6"/>
  <c r="D5"/>
  <c r="E14" i="12"/>
  <c r="D6" i="6"/>
  <c r="D7"/>
  <c r="G98" i="13" s="1"/>
  <c r="D8" i="6"/>
  <c r="H11" i="9" s="1"/>
  <c r="D9" i="6"/>
  <c r="T5" i="11"/>
  <c r="M34" i="15"/>
  <c r="R58" i="9"/>
  <c r="Q64"/>
  <c r="Q111" s="1"/>
  <c r="R36"/>
  <c r="R38" s="1"/>
  <c r="R107" s="1"/>
  <c r="Q38"/>
  <c r="Q107" s="1"/>
  <c r="L24"/>
  <c r="L56" i="10"/>
  <c r="R58" i="1"/>
  <c r="Q64"/>
  <c r="Q111" s="1"/>
  <c r="R36"/>
  <c r="R38"/>
  <c r="R107" s="1"/>
  <c r="Q38"/>
  <c r="Q107" s="1"/>
  <c r="Q39" i="15"/>
  <c r="Q122"/>
  <c r="R122" s="1"/>
  <c r="N122"/>
  <c r="O122" s="1"/>
  <c r="N85"/>
  <c r="O85" s="1"/>
  <c r="Q116"/>
  <c r="R116" s="1"/>
  <c r="K157" i="24"/>
  <c r="L94" i="12"/>
  <c r="L58"/>
  <c r="L64" s="1"/>
  <c r="K64"/>
  <c r="K111" s="1"/>
  <c r="L36"/>
  <c r="K38"/>
  <c r="K107" s="1"/>
  <c r="M34"/>
  <c r="N34" s="1"/>
  <c r="O34" s="1"/>
  <c r="R46" i="9"/>
  <c r="L94" i="1"/>
  <c r="R46"/>
  <c r="L136" i="15"/>
  <c r="R206" i="24"/>
  <c r="L93" i="11"/>
  <c r="L74"/>
  <c r="L59"/>
  <c r="R25"/>
  <c r="M21" i="12"/>
  <c r="N22" s="1"/>
  <c r="O22" s="1"/>
  <c r="H14" i="9"/>
  <c r="H14" i="10"/>
  <c r="H14" i="1"/>
  <c r="H14" i="11"/>
  <c r="G21" i="7"/>
  <c r="H23" i="15"/>
  <c r="H18" i="24"/>
  <c r="H27" i="10"/>
  <c r="H25"/>
  <c r="H27" i="1"/>
  <c r="H26" i="11"/>
  <c r="G34" i="7"/>
  <c r="H40" i="15"/>
  <c r="H41" i="24"/>
  <c r="H45"/>
  <c r="H49"/>
  <c r="H25" i="1"/>
  <c r="H28" i="11"/>
  <c r="G32" i="7"/>
  <c r="H37" i="15"/>
  <c r="H42"/>
  <c r="H38" i="24"/>
  <c r="H43"/>
  <c r="H47"/>
  <c r="H37" i="9"/>
  <c r="H37" i="1"/>
  <c r="H58" i="15"/>
  <c r="H60"/>
  <c r="H62" i="24"/>
  <c r="H66"/>
  <c r="H70"/>
  <c r="H53" i="20"/>
  <c r="H37" i="10"/>
  <c r="H40" i="11"/>
  <c r="G44" i="7"/>
  <c r="H54" i="15"/>
  <c r="H56"/>
  <c r="H64" i="24"/>
  <c r="H68"/>
  <c r="H47" i="9"/>
  <c r="H49"/>
  <c r="H49" i="10"/>
  <c r="H47" i="1"/>
  <c r="H52" i="11"/>
  <c r="G54" i="7"/>
  <c r="H75" i="15"/>
  <c r="H87" i="24"/>
  <c r="H91"/>
  <c r="H96"/>
  <c r="H100"/>
  <c r="H104"/>
  <c r="H57" i="9"/>
  <c r="H59"/>
  <c r="H61"/>
  <c r="H63"/>
  <c r="H57" i="10"/>
  <c r="H59"/>
  <c r="H61"/>
  <c r="H63"/>
  <c r="H57" i="1"/>
  <c r="H59"/>
  <c r="H61"/>
  <c r="H63"/>
  <c r="H47" i="10"/>
  <c r="H51" s="1"/>
  <c r="H110" s="1"/>
  <c r="H49" i="1"/>
  <c r="H50" i="11"/>
  <c r="H54" s="1"/>
  <c r="H109" s="1"/>
  <c r="G56" i="7"/>
  <c r="H71" i="15"/>
  <c r="H79" s="1"/>
  <c r="H159" s="1"/>
  <c r="H85" i="24"/>
  <c r="H89"/>
  <c r="H93"/>
  <c r="H98"/>
  <c r="H102"/>
  <c r="H60" i="11"/>
  <c r="H64"/>
  <c r="H66"/>
  <c r="G64" i="7"/>
  <c r="G66"/>
  <c r="G68"/>
  <c r="G70"/>
  <c r="H100" i="15"/>
  <c r="H98"/>
  <c r="H96"/>
  <c r="H94"/>
  <c r="H92"/>
  <c r="H90"/>
  <c r="H88"/>
  <c r="H86"/>
  <c r="H112" i="24"/>
  <c r="H116"/>
  <c r="H121"/>
  <c r="H125"/>
  <c r="H130"/>
  <c r="H134"/>
  <c r="H139"/>
  <c r="H143"/>
  <c r="H87" i="9"/>
  <c r="H84"/>
  <c r="H79"/>
  <c r="H74"/>
  <c r="H87" i="10"/>
  <c r="H84"/>
  <c r="H79"/>
  <c r="H74"/>
  <c r="H87" i="1"/>
  <c r="H84"/>
  <c r="H79"/>
  <c r="H74"/>
  <c r="H75" i="11"/>
  <c r="H78"/>
  <c r="H80"/>
  <c r="H83"/>
  <c r="H86"/>
  <c r="G96" i="7"/>
  <c r="G92"/>
  <c r="G86"/>
  <c r="G81"/>
  <c r="H113" i="15"/>
  <c r="H115"/>
  <c r="H117"/>
  <c r="H119"/>
  <c r="H121"/>
  <c r="H123"/>
  <c r="H126"/>
  <c r="H129"/>
  <c r="H194" i="24"/>
  <c r="H62" i="11"/>
  <c r="H114" i="24"/>
  <c r="H118"/>
  <c r="H123"/>
  <c r="H127"/>
  <c r="H132"/>
  <c r="H136"/>
  <c r="H141"/>
  <c r="H145"/>
  <c r="H66" i="20"/>
  <c r="H68" s="1"/>
  <c r="H96" s="1"/>
  <c r="H103" s="1"/>
  <c r="H81" i="9"/>
  <c r="H77"/>
  <c r="H72"/>
  <c r="H81" i="10"/>
  <c r="H77"/>
  <c r="H72"/>
  <c r="H81" i="1"/>
  <c r="H77"/>
  <c r="H72"/>
  <c r="G88" i="7"/>
  <c r="G84"/>
  <c r="G79"/>
  <c r="H158" i="24"/>
  <c r="H160"/>
  <c r="H162"/>
  <c r="H164"/>
  <c r="H167"/>
  <c r="H169"/>
  <c r="H171"/>
  <c r="H173"/>
  <c r="H176"/>
  <c r="H178"/>
  <c r="H180"/>
  <c r="H182"/>
  <c r="H185"/>
  <c r="H187"/>
  <c r="H189"/>
  <c r="H191"/>
  <c r="H197"/>
  <c r="H95" i="9"/>
  <c r="H97"/>
  <c r="H95" i="10"/>
  <c r="H97"/>
  <c r="H95" i="1"/>
  <c r="H97"/>
  <c r="H94" i="11"/>
  <c r="H96"/>
  <c r="G104" i="7"/>
  <c r="G106"/>
  <c r="H137" i="15"/>
  <c r="H140"/>
  <c r="H143"/>
  <c r="H145"/>
  <c r="H205" i="24"/>
  <c r="H207"/>
  <c r="H209"/>
  <c r="H211"/>
  <c r="H213"/>
  <c r="H216"/>
  <c r="H218"/>
  <c r="H220"/>
  <c r="H222"/>
  <c r="H224"/>
  <c r="H14" i="19"/>
  <c r="H27"/>
  <c r="H55"/>
  <c r="H65"/>
  <c r="H69"/>
  <c r="H82"/>
  <c r="H86"/>
  <c r="H92"/>
  <c r="H100"/>
  <c r="H14" i="18"/>
  <c r="H27"/>
  <c r="H55"/>
  <c r="H11" i="19"/>
  <c r="H16" s="1"/>
  <c r="H109" s="1"/>
  <c r="H25"/>
  <c r="H43"/>
  <c r="H53"/>
  <c r="H57"/>
  <c r="H67"/>
  <c r="H71"/>
  <c r="H84"/>
  <c r="H89"/>
  <c r="H102"/>
  <c r="H11" i="18"/>
  <c r="H16" s="1"/>
  <c r="H109" s="1"/>
  <c r="H25"/>
  <c r="H43"/>
  <c r="H53"/>
  <c r="H57"/>
  <c r="H67"/>
  <c r="H71"/>
  <c r="H82"/>
  <c r="H86"/>
  <c r="H92"/>
  <c r="H100"/>
  <c r="H14" i="17"/>
  <c r="H27"/>
  <c r="H55"/>
  <c r="H65"/>
  <c r="H69"/>
  <c r="H82"/>
  <c r="H86"/>
  <c r="H92"/>
  <c r="H100"/>
  <c r="H51" i="16"/>
  <c r="H53" s="1"/>
  <c r="H108" s="1"/>
  <c r="H59"/>
  <c r="H72"/>
  <c r="H77"/>
  <c r="H82"/>
  <c r="H95"/>
  <c r="H24" i="14"/>
  <c r="H34"/>
  <c r="H46"/>
  <c r="H56"/>
  <c r="H60"/>
  <c r="H69"/>
  <c r="H74"/>
  <c r="H78"/>
  <c r="H84"/>
  <c r="H92"/>
  <c r="H15" i="13"/>
  <c r="H28"/>
  <c r="H38"/>
  <c r="H50"/>
  <c r="H60"/>
  <c r="H64"/>
  <c r="H73"/>
  <c r="H78"/>
  <c r="H82"/>
  <c r="H88"/>
  <c r="H65" i="18"/>
  <c r="H69"/>
  <c r="H84"/>
  <c r="H89"/>
  <c r="H102"/>
  <c r="H11" i="17"/>
  <c r="H25"/>
  <c r="H43"/>
  <c r="H53"/>
  <c r="H57"/>
  <c r="H67"/>
  <c r="H71"/>
  <c r="H84"/>
  <c r="H89"/>
  <c r="H102"/>
  <c r="H11" i="16"/>
  <c r="H13" s="1"/>
  <c r="H102" s="1"/>
  <c r="H27"/>
  <c r="H29"/>
  <c r="H31"/>
  <c r="H41"/>
  <c r="H61"/>
  <c r="H70"/>
  <c r="H75"/>
  <c r="H79"/>
  <c r="H85"/>
  <c r="H93"/>
  <c r="H97" s="1"/>
  <c r="H114" s="1"/>
  <c r="H11" i="14"/>
  <c r="H13" s="1"/>
  <c r="H101" s="1"/>
  <c r="H22"/>
  <c r="H26" s="1"/>
  <c r="H103" s="1"/>
  <c r="H44"/>
  <c r="H48" s="1"/>
  <c r="H107" s="1"/>
  <c r="H54"/>
  <c r="H58"/>
  <c r="H71"/>
  <c r="H76"/>
  <c r="H81"/>
  <c r="H94"/>
  <c r="H12" i="13"/>
  <c r="H26"/>
  <c r="H48"/>
  <c r="H52" s="1"/>
  <c r="H111" s="1"/>
  <c r="H58"/>
  <c r="H62"/>
  <c r="H75"/>
  <c r="H80"/>
  <c r="H85"/>
  <c r="H98"/>
  <c r="H14" i="12"/>
  <c r="F11" i="9"/>
  <c r="F14"/>
  <c r="F11" i="10"/>
  <c r="F14"/>
  <c r="F11" i="1"/>
  <c r="F14"/>
  <c r="F11" i="11"/>
  <c r="F14"/>
  <c r="E18" i="7"/>
  <c r="E21"/>
  <c r="F20" i="15"/>
  <c r="F23"/>
  <c r="F15" i="24"/>
  <c r="F18"/>
  <c r="F25" i="9"/>
  <c r="F27" i="10"/>
  <c r="F27" i="9"/>
  <c r="F29" s="1"/>
  <c r="F106" s="1"/>
  <c r="F25" i="10"/>
  <c r="F27" i="1"/>
  <c r="F26" i="11"/>
  <c r="E34" i="7"/>
  <c r="F40" i="15"/>
  <c r="F41" i="24"/>
  <c r="F45"/>
  <c r="F49"/>
  <c r="F25" i="1"/>
  <c r="F28" i="11"/>
  <c r="E32" i="7"/>
  <c r="F37" i="15"/>
  <c r="F42"/>
  <c r="F38" i="24"/>
  <c r="F43"/>
  <c r="F47"/>
  <c r="F37" i="9"/>
  <c r="F37" i="1"/>
  <c r="F58" i="15"/>
  <c r="F60"/>
  <c r="F62" i="24"/>
  <c r="F66"/>
  <c r="F70"/>
  <c r="F53" i="20"/>
  <c r="F37" i="10"/>
  <c r="F40" i="11"/>
  <c r="E44" i="7"/>
  <c r="F54" i="15"/>
  <c r="F56"/>
  <c r="F64" i="24"/>
  <c r="F68"/>
  <c r="F47" i="9"/>
  <c r="F49" i="10"/>
  <c r="F47" i="1"/>
  <c r="F52" i="11"/>
  <c r="E54" i="7"/>
  <c r="F75" i="15"/>
  <c r="F87" i="24"/>
  <c r="F91"/>
  <c r="F96"/>
  <c r="F100"/>
  <c r="F104"/>
  <c r="F57" i="9"/>
  <c r="F59"/>
  <c r="F61"/>
  <c r="F63"/>
  <c r="F57" i="10"/>
  <c r="F59"/>
  <c r="F61"/>
  <c r="F63"/>
  <c r="F57" i="1"/>
  <c r="F59"/>
  <c r="F61"/>
  <c r="F63"/>
  <c r="F49" i="9"/>
  <c r="F47" i="10"/>
  <c r="F49" i="1"/>
  <c r="F50" i="11"/>
  <c r="E56" i="7"/>
  <c r="F71" i="15"/>
  <c r="F85" i="24"/>
  <c r="F89"/>
  <c r="F93"/>
  <c r="F98"/>
  <c r="F102"/>
  <c r="F62" i="11"/>
  <c r="F64"/>
  <c r="F66"/>
  <c r="E64" i="7"/>
  <c r="E66"/>
  <c r="E68"/>
  <c r="E70"/>
  <c r="F100" i="15"/>
  <c r="F98"/>
  <c r="F96"/>
  <c r="F94"/>
  <c r="F92"/>
  <c r="F90"/>
  <c r="F88"/>
  <c r="F86"/>
  <c r="F116" i="24"/>
  <c r="F121"/>
  <c r="F125"/>
  <c r="F130"/>
  <c r="F134"/>
  <c r="F139"/>
  <c r="F143"/>
  <c r="F87" i="9"/>
  <c r="F84"/>
  <c r="F79"/>
  <c r="F74"/>
  <c r="F87" i="10"/>
  <c r="F84"/>
  <c r="F79"/>
  <c r="F74"/>
  <c r="F87" i="1"/>
  <c r="F84"/>
  <c r="F79"/>
  <c r="F74"/>
  <c r="F75" i="11"/>
  <c r="F78"/>
  <c r="F80"/>
  <c r="F83"/>
  <c r="F86"/>
  <c r="E96" i="7"/>
  <c r="E92"/>
  <c r="E86"/>
  <c r="E81"/>
  <c r="F113" i="15"/>
  <c r="F115"/>
  <c r="F117"/>
  <c r="F119"/>
  <c r="F121"/>
  <c r="F123"/>
  <c r="F126"/>
  <c r="F129"/>
  <c r="F194" i="24"/>
  <c r="F60" i="11"/>
  <c r="F114" i="24"/>
  <c r="F118"/>
  <c r="F123"/>
  <c r="F127"/>
  <c r="F132"/>
  <c r="F136"/>
  <c r="F141"/>
  <c r="F145"/>
  <c r="F66" i="20"/>
  <c r="F68" s="1"/>
  <c r="F96" s="1"/>
  <c r="F103" s="1"/>
  <c r="F81" i="9"/>
  <c r="F77"/>
  <c r="F72"/>
  <c r="F81" i="10"/>
  <c r="F77"/>
  <c r="F72"/>
  <c r="F89" s="1"/>
  <c r="F114" s="1"/>
  <c r="F81" i="1"/>
  <c r="F77"/>
  <c r="F72"/>
  <c r="E88" i="7"/>
  <c r="E84"/>
  <c r="E79"/>
  <c r="E98" s="1"/>
  <c r="E123" s="1"/>
  <c r="F158" i="24"/>
  <c r="F160"/>
  <c r="F162"/>
  <c r="F164"/>
  <c r="F167"/>
  <c r="F169"/>
  <c r="F171"/>
  <c r="F173"/>
  <c r="F176"/>
  <c r="F178"/>
  <c r="F180"/>
  <c r="F182"/>
  <c r="F185"/>
  <c r="F187"/>
  <c r="F189"/>
  <c r="F191"/>
  <c r="F197"/>
  <c r="F95" i="9"/>
  <c r="F97"/>
  <c r="F95" i="10"/>
  <c r="F97"/>
  <c r="F95" i="1"/>
  <c r="F97"/>
  <c r="F94" i="11"/>
  <c r="F96"/>
  <c r="E104" i="7"/>
  <c r="E106"/>
  <c r="F137" i="15"/>
  <c r="F140"/>
  <c r="F143"/>
  <c r="F145"/>
  <c r="F205" i="24"/>
  <c r="F207"/>
  <c r="F209"/>
  <c r="F211"/>
  <c r="F213"/>
  <c r="F216"/>
  <c r="F218"/>
  <c r="F220"/>
  <c r="F222"/>
  <c r="F224"/>
  <c r="F14" i="19"/>
  <c r="F27"/>
  <c r="F55"/>
  <c r="F65"/>
  <c r="F69"/>
  <c r="F82"/>
  <c r="F86"/>
  <c r="F92"/>
  <c r="F100"/>
  <c r="F14" i="18"/>
  <c r="F27"/>
  <c r="F55"/>
  <c r="F65"/>
  <c r="F11" i="19"/>
  <c r="F25"/>
  <c r="F43"/>
  <c r="F53"/>
  <c r="F57"/>
  <c r="F67"/>
  <c r="F71"/>
  <c r="F84"/>
  <c r="F89"/>
  <c r="F102"/>
  <c r="F11" i="18"/>
  <c r="F16" s="1"/>
  <c r="F109" s="1"/>
  <c r="F25"/>
  <c r="F43"/>
  <c r="F53"/>
  <c r="F57"/>
  <c r="F67"/>
  <c r="F71"/>
  <c r="F69"/>
  <c r="F82"/>
  <c r="F86"/>
  <c r="F92"/>
  <c r="F100"/>
  <c r="F14" i="17"/>
  <c r="F27"/>
  <c r="F55"/>
  <c r="F65"/>
  <c r="F69"/>
  <c r="F82"/>
  <c r="F86"/>
  <c r="F92"/>
  <c r="F100"/>
  <c r="F51" i="16"/>
  <c r="F53" s="1"/>
  <c r="F108" s="1"/>
  <c r="F59"/>
  <c r="F72"/>
  <c r="F77"/>
  <c r="F82"/>
  <c r="F95"/>
  <c r="F24" i="14"/>
  <c r="F34"/>
  <c r="F36" s="1"/>
  <c r="F105" s="1"/>
  <c r="F46"/>
  <c r="F56"/>
  <c r="F60"/>
  <c r="F69"/>
  <c r="F74"/>
  <c r="F78"/>
  <c r="F84"/>
  <c r="F92"/>
  <c r="F15" i="13"/>
  <c r="F28"/>
  <c r="F38"/>
  <c r="F50"/>
  <c r="F60"/>
  <c r="F64"/>
  <c r="F73"/>
  <c r="F78"/>
  <c r="F82"/>
  <c r="F88"/>
  <c r="F84" i="18"/>
  <c r="F89"/>
  <c r="F102"/>
  <c r="F11" i="17"/>
  <c r="F16" s="1"/>
  <c r="F109" s="1"/>
  <c r="F25"/>
  <c r="F43"/>
  <c r="F53"/>
  <c r="F57"/>
  <c r="F67"/>
  <c r="F71"/>
  <c r="F84"/>
  <c r="F89"/>
  <c r="F102"/>
  <c r="F11" i="16"/>
  <c r="F13" s="1"/>
  <c r="F102" s="1"/>
  <c r="F27"/>
  <c r="F29"/>
  <c r="F31"/>
  <c r="F41"/>
  <c r="F61"/>
  <c r="F70"/>
  <c r="F75"/>
  <c r="F79"/>
  <c r="F85"/>
  <c r="F93"/>
  <c r="F97" s="1"/>
  <c r="F114" s="1"/>
  <c r="F11" i="14"/>
  <c r="F13" s="1"/>
  <c r="F101" s="1"/>
  <c r="F22"/>
  <c r="F26" s="1"/>
  <c r="F103" s="1"/>
  <c r="F44"/>
  <c r="F48" s="1"/>
  <c r="F107" s="1"/>
  <c r="F54"/>
  <c r="F58"/>
  <c r="F71"/>
  <c r="F76"/>
  <c r="F81"/>
  <c r="F94"/>
  <c r="F12" i="13"/>
  <c r="F26"/>
  <c r="F48"/>
  <c r="F52" s="1"/>
  <c r="F111" s="1"/>
  <c r="F58"/>
  <c r="F62"/>
  <c r="F75"/>
  <c r="F80"/>
  <c r="F85"/>
  <c r="F98"/>
  <c r="F14" i="12"/>
  <c r="D11" i="9"/>
  <c r="D14"/>
  <c r="D11" i="10"/>
  <c r="D14"/>
  <c r="D11" i="1"/>
  <c r="D14"/>
  <c r="D11" i="11"/>
  <c r="D14"/>
  <c r="C18" i="7"/>
  <c r="C21"/>
  <c r="D20" i="15"/>
  <c r="D23"/>
  <c r="D15" i="24"/>
  <c r="D18"/>
  <c r="D25" i="9"/>
  <c r="D27" i="10"/>
  <c r="D27" i="9"/>
  <c r="D29" s="1"/>
  <c r="D106" s="1"/>
  <c r="D25" i="10"/>
  <c r="D27" i="1"/>
  <c r="D26" i="11"/>
  <c r="C34" i="7"/>
  <c r="D40" i="15"/>
  <c r="D41" i="24"/>
  <c r="D45"/>
  <c r="D49"/>
  <c r="D25" i="1"/>
  <c r="D28" i="11"/>
  <c r="C32" i="7"/>
  <c r="D37" i="15"/>
  <c r="D42"/>
  <c r="D38" i="24"/>
  <c r="D43"/>
  <c r="D47"/>
  <c r="D37" i="9"/>
  <c r="D37" i="1"/>
  <c r="D58" i="15"/>
  <c r="D60"/>
  <c r="D62" i="24"/>
  <c r="D66"/>
  <c r="D70"/>
  <c r="D53" i="20"/>
  <c r="D37" i="10"/>
  <c r="D40" i="11"/>
  <c r="C44" i="7"/>
  <c r="D54" i="15"/>
  <c r="D56"/>
  <c r="D64" i="24"/>
  <c r="D68"/>
  <c r="D47" i="9"/>
  <c r="D49"/>
  <c r="D49" i="10"/>
  <c r="D47" i="1"/>
  <c r="D52" i="11"/>
  <c r="C54" i="7"/>
  <c r="D75" i="15"/>
  <c r="D87" i="24"/>
  <c r="D91"/>
  <c r="D96"/>
  <c r="D100"/>
  <c r="D104"/>
  <c r="D57" i="9"/>
  <c r="D59"/>
  <c r="D61"/>
  <c r="D63"/>
  <c r="D57" i="10"/>
  <c r="D59"/>
  <c r="D61"/>
  <c r="D63"/>
  <c r="D57" i="1"/>
  <c r="D59"/>
  <c r="D61"/>
  <c r="D63"/>
  <c r="D47" i="10"/>
  <c r="D51" s="1"/>
  <c r="D110" s="1"/>
  <c r="D49" i="1"/>
  <c r="D50" i="11"/>
  <c r="D54" s="1"/>
  <c r="D109" s="1"/>
  <c r="C56" i="7"/>
  <c r="D71" i="15"/>
  <c r="D79" s="1"/>
  <c r="D159" s="1"/>
  <c r="D85" i="24"/>
  <c r="D89"/>
  <c r="D93"/>
  <c r="D98"/>
  <c r="D102"/>
  <c r="D60" i="11"/>
  <c r="D64"/>
  <c r="D66"/>
  <c r="C64" i="7"/>
  <c r="C66"/>
  <c r="C68"/>
  <c r="C70"/>
  <c r="D100" i="15"/>
  <c r="D98"/>
  <c r="D96"/>
  <c r="D94"/>
  <c r="D92"/>
  <c r="D90"/>
  <c r="D88"/>
  <c r="D86"/>
  <c r="D116" i="24"/>
  <c r="D121"/>
  <c r="D125"/>
  <c r="D130"/>
  <c r="D134"/>
  <c r="D139"/>
  <c r="D143"/>
  <c r="D87" i="9"/>
  <c r="D84"/>
  <c r="D79"/>
  <c r="D74"/>
  <c r="D87" i="10"/>
  <c r="D84"/>
  <c r="D79"/>
  <c r="D74"/>
  <c r="D87" i="1"/>
  <c r="D84"/>
  <c r="D79"/>
  <c r="D74"/>
  <c r="D75" i="11"/>
  <c r="D78"/>
  <c r="D80"/>
  <c r="D83"/>
  <c r="D86"/>
  <c r="C96" i="7"/>
  <c r="C92"/>
  <c r="C86"/>
  <c r="C81"/>
  <c r="D113" i="15"/>
  <c r="D115"/>
  <c r="D117"/>
  <c r="D119"/>
  <c r="D121"/>
  <c r="D123"/>
  <c r="D126"/>
  <c r="D129"/>
  <c r="D194" i="24"/>
  <c r="D62" i="11"/>
  <c r="D114" i="24"/>
  <c r="D118"/>
  <c r="D123"/>
  <c r="D127"/>
  <c r="D132"/>
  <c r="D136"/>
  <c r="D141"/>
  <c r="D145"/>
  <c r="D66" i="20"/>
  <c r="D68" s="1"/>
  <c r="D96" s="1"/>
  <c r="D103" s="1"/>
  <c r="D81" i="9"/>
  <c r="D77"/>
  <c r="D72"/>
  <c r="D81" i="10"/>
  <c r="D77"/>
  <c r="D72"/>
  <c r="D89" s="1"/>
  <c r="D114" s="1"/>
  <c r="D81" i="1"/>
  <c r="D77"/>
  <c r="D72"/>
  <c r="C88" i="7"/>
  <c r="C84"/>
  <c r="C79"/>
  <c r="C98" s="1"/>
  <c r="C123" s="1"/>
  <c r="D158" i="24"/>
  <c r="D160"/>
  <c r="D162"/>
  <c r="D164"/>
  <c r="D167"/>
  <c r="D169"/>
  <c r="D171"/>
  <c r="D173"/>
  <c r="D176"/>
  <c r="D178"/>
  <c r="D180"/>
  <c r="D182"/>
  <c r="D185"/>
  <c r="D187"/>
  <c r="D189"/>
  <c r="D191"/>
  <c r="D197"/>
  <c r="D95" i="9"/>
  <c r="D99" s="1"/>
  <c r="D116" s="1"/>
  <c r="D97"/>
  <c r="D95" i="10"/>
  <c r="D97"/>
  <c r="D95" i="1"/>
  <c r="D97"/>
  <c r="D94" i="11"/>
  <c r="D96"/>
  <c r="C104" i="7"/>
  <c r="C106"/>
  <c r="D137" i="15"/>
  <c r="D140"/>
  <c r="D143"/>
  <c r="D145"/>
  <c r="D205" i="24"/>
  <c r="D207"/>
  <c r="D209"/>
  <c r="D211"/>
  <c r="D213"/>
  <c r="D216"/>
  <c r="D218"/>
  <c r="D220"/>
  <c r="D222"/>
  <c r="D224"/>
  <c r="D14" i="19"/>
  <c r="D27"/>
  <c r="D55"/>
  <c r="D65"/>
  <c r="D69"/>
  <c r="D82"/>
  <c r="D86"/>
  <c r="D92"/>
  <c r="D100"/>
  <c r="D14" i="18"/>
  <c r="D27"/>
  <c r="D55"/>
  <c r="D65"/>
  <c r="D11" i="19"/>
  <c r="D25"/>
  <c r="D43"/>
  <c r="D53"/>
  <c r="D57"/>
  <c r="D67"/>
  <c r="D71"/>
  <c r="D84"/>
  <c r="D89"/>
  <c r="D102"/>
  <c r="D11" i="18"/>
  <c r="D16" s="1"/>
  <c r="D109" s="1"/>
  <c r="D25"/>
  <c r="D43"/>
  <c r="D53"/>
  <c r="D57"/>
  <c r="D67"/>
  <c r="D71"/>
  <c r="D82"/>
  <c r="D86"/>
  <c r="D92"/>
  <c r="D100"/>
  <c r="D14" i="17"/>
  <c r="D27"/>
  <c r="D55"/>
  <c r="D65"/>
  <c r="D69"/>
  <c r="D82"/>
  <c r="D86"/>
  <c r="D92"/>
  <c r="D100"/>
  <c r="D51" i="16"/>
  <c r="D53" s="1"/>
  <c r="D108" s="1"/>
  <c r="D59"/>
  <c r="D72"/>
  <c r="D77"/>
  <c r="D82"/>
  <c r="D95"/>
  <c r="D24" i="14"/>
  <c r="D34"/>
  <c r="D36" s="1"/>
  <c r="D105" s="1"/>
  <c r="D46"/>
  <c r="D56"/>
  <c r="D60"/>
  <c r="D69"/>
  <c r="D74"/>
  <c r="D78"/>
  <c r="D84"/>
  <c r="D92"/>
  <c r="D15" i="13"/>
  <c r="D28"/>
  <c r="D38"/>
  <c r="D50"/>
  <c r="D60"/>
  <c r="D64"/>
  <c r="D73"/>
  <c r="D78"/>
  <c r="D82"/>
  <c r="D88"/>
  <c r="D69" i="18"/>
  <c r="D84"/>
  <c r="D89"/>
  <c r="D102"/>
  <c r="D11" i="17"/>
  <c r="D25"/>
  <c r="D43"/>
  <c r="D53"/>
  <c r="D57"/>
  <c r="D67"/>
  <c r="D71"/>
  <c r="D84"/>
  <c r="D89"/>
  <c r="D102"/>
  <c r="D11" i="16"/>
  <c r="D13" s="1"/>
  <c r="D102" s="1"/>
  <c r="D27"/>
  <c r="D29"/>
  <c r="D31"/>
  <c r="D33" s="1"/>
  <c r="D104" s="1"/>
  <c r="D41"/>
  <c r="D61"/>
  <c r="D70"/>
  <c r="D75"/>
  <c r="D79"/>
  <c r="D85"/>
  <c r="D93"/>
  <c r="D11" i="14"/>
  <c r="D13" s="1"/>
  <c r="D101" s="1"/>
  <c r="D22"/>
  <c r="D44"/>
  <c r="D48" s="1"/>
  <c r="D107" s="1"/>
  <c r="D54"/>
  <c r="D58"/>
  <c r="D71"/>
  <c r="D76"/>
  <c r="D81"/>
  <c r="D94"/>
  <c r="D12" i="13"/>
  <c r="D17"/>
  <c r="D105" s="1"/>
  <c r="D26"/>
  <c r="D48"/>
  <c r="D58"/>
  <c r="D62"/>
  <c r="D75"/>
  <c r="D80"/>
  <c r="D85"/>
  <c r="D98"/>
  <c r="D14" i="12"/>
  <c r="C31" i="24"/>
  <c r="P31" s="1"/>
  <c r="Q31" s="1"/>
  <c r="R31" s="1"/>
  <c r="C32"/>
  <c r="J32" s="1"/>
  <c r="K32" s="1"/>
  <c r="L32" s="1"/>
  <c r="K80" i="9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K62" i="10"/>
  <c r="L62" s="1"/>
  <c r="N62"/>
  <c r="O62" s="1"/>
  <c r="K58"/>
  <c r="L58" s="1"/>
  <c r="N58"/>
  <c r="K46"/>
  <c r="N46"/>
  <c r="K36"/>
  <c r="N36"/>
  <c r="K80" i="1"/>
  <c r="L80" s="1"/>
  <c r="N80"/>
  <c r="O80" s="1"/>
  <c r="N78"/>
  <c r="O78" s="1"/>
  <c r="K78"/>
  <c r="L78" s="1"/>
  <c r="K76"/>
  <c r="L76" s="1"/>
  <c r="N76"/>
  <c r="O76" s="1"/>
  <c r="K60"/>
  <c r="L60" s="1"/>
  <c r="N60"/>
  <c r="O60" s="1"/>
  <c r="N15"/>
  <c r="Q15"/>
  <c r="K116" i="15"/>
  <c r="L116" s="1"/>
  <c r="N116"/>
  <c r="O116" s="1"/>
  <c r="M95"/>
  <c r="N95" s="1"/>
  <c r="O95" s="1"/>
  <c r="J95"/>
  <c r="K95" s="1"/>
  <c r="L95" s="1"/>
  <c r="P95"/>
  <c r="Q95" s="1"/>
  <c r="R95" s="1"/>
  <c r="M91"/>
  <c r="N91" s="1"/>
  <c r="O91" s="1"/>
  <c r="J91"/>
  <c r="K91" s="1"/>
  <c r="L91" s="1"/>
  <c r="P91"/>
  <c r="Q91" s="1"/>
  <c r="R91" s="1"/>
  <c r="K36"/>
  <c r="K221" i="24"/>
  <c r="L221" s="1"/>
  <c r="N221"/>
  <c r="O221" s="1"/>
  <c r="K217"/>
  <c r="L217" s="1"/>
  <c r="N217"/>
  <c r="O217" s="1"/>
  <c r="K212"/>
  <c r="L212" s="1"/>
  <c r="N212"/>
  <c r="O212" s="1"/>
  <c r="K208"/>
  <c r="L208" s="1"/>
  <c r="N208"/>
  <c r="O208" s="1"/>
  <c r="J188"/>
  <c r="K188" s="1"/>
  <c r="L188" s="1"/>
  <c r="M188"/>
  <c r="N188" s="1"/>
  <c r="O188" s="1"/>
  <c r="S188" s="1"/>
  <c r="P188"/>
  <c r="Q188" s="1"/>
  <c r="R188" s="1"/>
  <c r="J181"/>
  <c r="K181" s="1"/>
  <c r="L181" s="1"/>
  <c r="M181"/>
  <c r="N181" s="1"/>
  <c r="O181" s="1"/>
  <c r="P181"/>
  <c r="Q181" s="1"/>
  <c r="R181" s="1"/>
  <c r="S181" s="1"/>
  <c r="J175"/>
  <c r="K175" s="1"/>
  <c r="L175" s="1"/>
  <c r="M175"/>
  <c r="N175" s="1"/>
  <c r="O175" s="1"/>
  <c r="P175"/>
  <c r="Q175" s="1"/>
  <c r="R175" s="1"/>
  <c r="J170"/>
  <c r="K170" s="1"/>
  <c r="L170" s="1"/>
  <c r="M170"/>
  <c r="N170" s="1"/>
  <c r="O170" s="1"/>
  <c r="P170"/>
  <c r="Q170" s="1"/>
  <c r="R170" s="1"/>
  <c r="Q117"/>
  <c r="J163"/>
  <c r="K163" s="1"/>
  <c r="M163"/>
  <c r="N163" s="1"/>
  <c r="O163" s="1"/>
  <c r="P163"/>
  <c r="Q163" s="1"/>
  <c r="R163" s="1"/>
  <c r="M144"/>
  <c r="N144" s="1"/>
  <c r="O144" s="1"/>
  <c r="J144"/>
  <c r="K144" s="1"/>
  <c r="L144" s="1"/>
  <c r="P144"/>
  <c r="Q144" s="1"/>
  <c r="R144" s="1"/>
  <c r="M140"/>
  <c r="N140" s="1"/>
  <c r="O140" s="1"/>
  <c r="J140"/>
  <c r="K140" s="1"/>
  <c r="L140" s="1"/>
  <c r="P140"/>
  <c r="Q140" s="1"/>
  <c r="R140" s="1"/>
  <c r="M135"/>
  <c r="N135" s="1"/>
  <c r="O135" s="1"/>
  <c r="J135"/>
  <c r="K135" s="1"/>
  <c r="L135" s="1"/>
  <c r="P135"/>
  <c r="Q135" s="1"/>
  <c r="R135" s="1"/>
  <c r="J129"/>
  <c r="K129" s="1"/>
  <c r="L129" s="1"/>
  <c r="P129"/>
  <c r="Q129" s="1"/>
  <c r="R129" s="1"/>
  <c r="M129"/>
  <c r="N129" s="1"/>
  <c r="O129" s="1"/>
  <c r="J124"/>
  <c r="K124" s="1"/>
  <c r="L124" s="1"/>
  <c r="P124"/>
  <c r="Q124" s="1"/>
  <c r="R124" s="1"/>
  <c r="M124"/>
  <c r="N124" s="1"/>
  <c r="O124" s="1"/>
  <c r="J120"/>
  <c r="K120" s="1"/>
  <c r="L120" s="1"/>
  <c r="P120"/>
  <c r="Q120" s="1"/>
  <c r="M120"/>
  <c r="N120" s="1"/>
  <c r="O120" s="1"/>
  <c r="J115"/>
  <c r="K115" s="1"/>
  <c r="L115" s="1"/>
  <c r="P115"/>
  <c r="Q115" s="1"/>
  <c r="R115" s="1"/>
  <c r="M115"/>
  <c r="N115"/>
  <c r="O115" s="1"/>
  <c r="N103"/>
  <c r="O103" s="1"/>
  <c r="K103"/>
  <c r="L103" s="1"/>
  <c r="J101"/>
  <c r="K101"/>
  <c r="L101" s="1"/>
  <c r="M101"/>
  <c r="N101" s="1"/>
  <c r="O101" s="1"/>
  <c r="P101"/>
  <c r="Q101" s="1"/>
  <c r="R101" s="1"/>
  <c r="M99"/>
  <c r="N99" s="1"/>
  <c r="O99" s="1"/>
  <c r="J99"/>
  <c r="K99" s="1"/>
  <c r="P99"/>
  <c r="Q99" s="1"/>
  <c r="R99" s="1"/>
  <c r="J97"/>
  <c r="K97" s="1"/>
  <c r="L97" s="1"/>
  <c r="P97"/>
  <c r="Q97" s="1"/>
  <c r="R97" s="1"/>
  <c r="M97"/>
  <c r="N97" s="1"/>
  <c r="M95"/>
  <c r="N95" s="1"/>
  <c r="O95" s="1"/>
  <c r="J95"/>
  <c r="K95" s="1"/>
  <c r="L95" s="1"/>
  <c r="P95"/>
  <c r="Q95" s="1"/>
  <c r="R95" s="1"/>
  <c r="K65"/>
  <c r="N65"/>
  <c r="N48"/>
  <c r="O48" s="1"/>
  <c r="K48"/>
  <c r="L48" s="1"/>
  <c r="N40"/>
  <c r="O40" s="1"/>
  <c r="K40"/>
  <c r="K65" i="11"/>
  <c r="L65" s="1"/>
  <c r="N65"/>
  <c r="O65" s="1"/>
  <c r="K61"/>
  <c r="L61" s="1"/>
  <c r="N61"/>
  <c r="K49"/>
  <c r="N49"/>
  <c r="K39"/>
  <c r="N39"/>
  <c r="N97" i="13"/>
  <c r="O97" s="1"/>
  <c r="I99"/>
  <c r="I116" s="1"/>
  <c r="L47"/>
  <c r="S91" i="14"/>
  <c r="L53"/>
  <c r="K61"/>
  <c r="K108" s="1"/>
  <c r="L43"/>
  <c r="L35"/>
  <c r="L104" s="1"/>
  <c r="L21"/>
  <c r="M52" i="16"/>
  <c r="M107" s="1"/>
  <c r="M40"/>
  <c r="L42"/>
  <c r="L105" s="1"/>
  <c r="M10"/>
  <c r="L12"/>
  <c r="L101" s="1"/>
  <c r="K44" i="17"/>
  <c r="K112" s="1"/>
  <c r="S99" i="18"/>
  <c r="I98" i="9"/>
  <c r="I115" s="1"/>
  <c r="Q94"/>
  <c r="N94"/>
  <c r="I64"/>
  <c r="I111"/>
  <c r="I50"/>
  <c r="I109" s="1"/>
  <c r="I28"/>
  <c r="I105" s="1"/>
  <c r="Q24"/>
  <c r="N24"/>
  <c r="Q71" i="10"/>
  <c r="R71" s="1"/>
  <c r="N71"/>
  <c r="O71" s="1"/>
  <c r="Q56"/>
  <c r="Q10"/>
  <c r="R10" s="1"/>
  <c r="N10"/>
  <c r="O10"/>
  <c r="K10"/>
  <c r="I98" i="1"/>
  <c r="I115" s="1"/>
  <c r="Q94"/>
  <c r="N94"/>
  <c r="I64"/>
  <c r="I111" s="1"/>
  <c r="I50"/>
  <c r="I109" s="1"/>
  <c r="I28"/>
  <c r="I105" s="1"/>
  <c r="Q24"/>
  <c r="N24"/>
  <c r="H107" i="7"/>
  <c r="H124" s="1"/>
  <c r="H97"/>
  <c r="H122" s="1"/>
  <c r="P95"/>
  <c r="Q95" s="1"/>
  <c r="M95"/>
  <c r="N95" s="1"/>
  <c r="P91"/>
  <c r="Q91" s="1"/>
  <c r="M91"/>
  <c r="N91" s="1"/>
  <c r="P17"/>
  <c r="Q17" s="1"/>
  <c r="M17"/>
  <c r="N17" s="1"/>
  <c r="J17"/>
  <c r="N12"/>
  <c r="M31" s="1"/>
  <c r="I146" i="15"/>
  <c r="I164" s="1"/>
  <c r="Q136"/>
  <c r="N136"/>
  <c r="I130"/>
  <c r="I162" s="1"/>
  <c r="P97"/>
  <c r="P87"/>
  <c r="P85"/>
  <c r="G77"/>
  <c r="E77"/>
  <c r="C77"/>
  <c r="P76"/>
  <c r="N76"/>
  <c r="O76" s="1"/>
  <c r="G73"/>
  <c r="E73"/>
  <c r="C73"/>
  <c r="P72"/>
  <c r="N72"/>
  <c r="O72" s="1"/>
  <c r="Q55"/>
  <c r="R55" s="1"/>
  <c r="N55"/>
  <c r="O55" s="1"/>
  <c r="Q53"/>
  <c r="N53"/>
  <c r="O19"/>
  <c r="S19" s="1"/>
  <c r="O11"/>
  <c r="M85" s="1"/>
  <c r="O9"/>
  <c r="O10"/>
  <c r="N36" s="1"/>
  <c r="O36" s="1"/>
  <c r="Q142"/>
  <c r="R142" s="1"/>
  <c r="K142"/>
  <c r="L142" s="1"/>
  <c r="I225" i="24"/>
  <c r="I243" s="1"/>
  <c r="I198"/>
  <c r="I241" s="1"/>
  <c r="Q186"/>
  <c r="R186" s="1"/>
  <c r="P177"/>
  <c r="Q168"/>
  <c r="R168"/>
  <c r="P159"/>
  <c r="P157"/>
  <c r="M157"/>
  <c r="P131"/>
  <c r="P111"/>
  <c r="M111"/>
  <c r="F112"/>
  <c r="F147" s="1"/>
  <c r="F240" s="1"/>
  <c r="D112"/>
  <c r="D147" s="1"/>
  <c r="D240" s="1"/>
  <c r="P92"/>
  <c r="I71"/>
  <c r="I235" s="1"/>
  <c r="Q67"/>
  <c r="N67"/>
  <c r="O67" s="1"/>
  <c r="N50"/>
  <c r="N233" s="1"/>
  <c r="I97" i="11"/>
  <c r="I114" s="1"/>
  <c r="Q93"/>
  <c r="N93"/>
  <c r="I87"/>
  <c r="I112" s="1"/>
  <c r="Q74"/>
  <c r="N74"/>
  <c r="Q59"/>
  <c r="Q53"/>
  <c r="Q108" s="1"/>
  <c r="Q41"/>
  <c r="Q106" s="1"/>
  <c r="I29"/>
  <c r="I104" s="1"/>
  <c r="Q10"/>
  <c r="R10" s="1"/>
  <c r="N10"/>
  <c r="O10" s="1"/>
  <c r="K10"/>
  <c r="G97" i="12"/>
  <c r="E97"/>
  <c r="C97"/>
  <c r="H95"/>
  <c r="F95"/>
  <c r="D95"/>
  <c r="Q94"/>
  <c r="N94"/>
  <c r="I88"/>
  <c r="I113" s="1"/>
  <c r="H87"/>
  <c r="F87"/>
  <c r="D87"/>
  <c r="Q86"/>
  <c r="R86" s="1"/>
  <c r="N86"/>
  <c r="O86" s="1"/>
  <c r="G84"/>
  <c r="E84"/>
  <c r="C84"/>
  <c r="H81"/>
  <c r="F81"/>
  <c r="D81"/>
  <c r="Q80"/>
  <c r="R80" s="1"/>
  <c r="N80"/>
  <c r="O80" s="1"/>
  <c r="G79"/>
  <c r="E79"/>
  <c r="C79"/>
  <c r="H77"/>
  <c r="F77"/>
  <c r="D77"/>
  <c r="Q76"/>
  <c r="R76" s="1"/>
  <c r="N76"/>
  <c r="O76" s="1"/>
  <c r="G74"/>
  <c r="E74"/>
  <c r="C74"/>
  <c r="H72"/>
  <c r="F72"/>
  <c r="D72"/>
  <c r="Q71"/>
  <c r="R71" s="1"/>
  <c r="N71"/>
  <c r="O71"/>
  <c r="I64"/>
  <c r="I111"/>
  <c r="H63"/>
  <c r="F63"/>
  <c r="D63"/>
  <c r="Q62"/>
  <c r="R62" s="1"/>
  <c r="N62"/>
  <c r="O62" s="1"/>
  <c r="G61"/>
  <c r="E61"/>
  <c r="C61"/>
  <c r="H59"/>
  <c r="F59"/>
  <c r="D59"/>
  <c r="Q58"/>
  <c r="N58"/>
  <c r="G57"/>
  <c r="E57"/>
  <c r="C57"/>
  <c r="I50"/>
  <c r="I109" s="1"/>
  <c r="H49"/>
  <c r="F49"/>
  <c r="D49"/>
  <c r="Q48"/>
  <c r="N48"/>
  <c r="G47"/>
  <c r="E47"/>
  <c r="C47"/>
  <c r="I38"/>
  <c r="I107"/>
  <c r="H37"/>
  <c r="F37"/>
  <c r="D37"/>
  <c r="Q36"/>
  <c r="N36"/>
  <c r="I28"/>
  <c r="I105" s="1"/>
  <c r="H27"/>
  <c r="F27"/>
  <c r="D27"/>
  <c r="Q26"/>
  <c r="N26"/>
  <c r="G25"/>
  <c r="E25"/>
  <c r="C25"/>
  <c r="F11"/>
  <c r="F16" s="1"/>
  <c r="F104" s="1"/>
  <c r="H96" i="13"/>
  <c r="H100" s="1"/>
  <c r="H117" s="1"/>
  <c r="D96"/>
  <c r="D100" s="1"/>
  <c r="D117" s="1"/>
  <c r="S55" i="14"/>
  <c r="N38" i="16"/>
  <c r="O38" s="1"/>
  <c r="P38" s="1"/>
  <c r="I27"/>
  <c r="I29"/>
  <c r="I31"/>
  <c r="G27" i="9"/>
  <c r="G11"/>
  <c r="G14"/>
  <c r="G11" i="10"/>
  <c r="G14"/>
  <c r="G11" i="1"/>
  <c r="G14"/>
  <c r="G11" i="11"/>
  <c r="G14"/>
  <c r="F18" i="7"/>
  <c r="F21"/>
  <c r="G20" i="15"/>
  <c r="G23"/>
  <c r="G15" i="24"/>
  <c r="G18"/>
  <c r="G25" i="1"/>
  <c r="G28" i="11"/>
  <c r="F32" i="7"/>
  <c r="G37" i="15"/>
  <c r="G42"/>
  <c r="G38" i="24"/>
  <c r="G43"/>
  <c r="G47"/>
  <c r="G25" i="9"/>
  <c r="G27" i="10"/>
  <c r="G25"/>
  <c r="G27" i="1"/>
  <c r="G26" i="11"/>
  <c r="F34" i="7"/>
  <c r="G40" i="15"/>
  <c r="G44" s="1"/>
  <c r="G155" s="1"/>
  <c r="G41" i="24"/>
  <c r="G45"/>
  <c r="G49"/>
  <c r="G37" i="10"/>
  <c r="G40" i="11"/>
  <c r="F44" i="7"/>
  <c r="G54" i="15"/>
  <c r="G56"/>
  <c r="G64" i="24"/>
  <c r="G68"/>
  <c r="G37" i="9"/>
  <c r="G37" i="1"/>
  <c r="G58" i="15"/>
  <c r="G60"/>
  <c r="G62" i="24"/>
  <c r="G66"/>
  <c r="G70"/>
  <c r="G53" i="20"/>
  <c r="G49" i="9"/>
  <c r="G47"/>
  <c r="G47" i="10"/>
  <c r="G49" i="1"/>
  <c r="G50" i="11"/>
  <c r="F56" i="7"/>
  <c r="G71" i="15"/>
  <c r="G85" i="24"/>
  <c r="G89"/>
  <c r="G93"/>
  <c r="G98"/>
  <c r="G102"/>
  <c r="G49" i="10"/>
  <c r="G47" i="1"/>
  <c r="G51" s="1"/>
  <c r="G110" s="1"/>
  <c r="G52" i="11"/>
  <c r="F54" i="7"/>
  <c r="F58" s="1"/>
  <c r="F119" s="1"/>
  <c r="G75" i="15"/>
  <c r="G87" i="24"/>
  <c r="G91"/>
  <c r="G96"/>
  <c r="G100"/>
  <c r="G104"/>
  <c r="G57" i="9"/>
  <c r="G59"/>
  <c r="G61"/>
  <c r="G63"/>
  <c r="G57" i="10"/>
  <c r="G59"/>
  <c r="G61"/>
  <c r="G63"/>
  <c r="G57" i="1"/>
  <c r="G59"/>
  <c r="G61"/>
  <c r="G63"/>
  <c r="G60" i="11"/>
  <c r="G62"/>
  <c r="G114" i="24"/>
  <c r="G118"/>
  <c r="G123"/>
  <c r="G127"/>
  <c r="G132"/>
  <c r="G136"/>
  <c r="G141"/>
  <c r="G145"/>
  <c r="G66" i="20"/>
  <c r="G68" s="1"/>
  <c r="G96" s="1"/>
  <c r="G81" i="9"/>
  <c r="G77"/>
  <c r="G72"/>
  <c r="G81" i="10"/>
  <c r="G77"/>
  <c r="G72"/>
  <c r="G81" i="1"/>
  <c r="G77"/>
  <c r="G72"/>
  <c r="F88" i="7"/>
  <c r="F84"/>
  <c r="F79"/>
  <c r="G158" i="24"/>
  <c r="G160"/>
  <c r="G162"/>
  <c r="G164"/>
  <c r="G167"/>
  <c r="G169"/>
  <c r="G171"/>
  <c r="G173"/>
  <c r="G176"/>
  <c r="G178"/>
  <c r="G180"/>
  <c r="G182"/>
  <c r="G185"/>
  <c r="G187"/>
  <c r="G189"/>
  <c r="G191"/>
  <c r="G64" i="11"/>
  <c r="G66"/>
  <c r="F64" i="7"/>
  <c r="F66"/>
  <c r="F68"/>
  <c r="F70"/>
  <c r="G100" i="15"/>
  <c r="G98"/>
  <c r="G96"/>
  <c r="G94"/>
  <c r="G92"/>
  <c r="G90"/>
  <c r="G88"/>
  <c r="G86"/>
  <c r="G112" i="24"/>
  <c r="G116"/>
  <c r="G121"/>
  <c r="G125"/>
  <c r="G130"/>
  <c r="G134"/>
  <c r="G139"/>
  <c r="G143"/>
  <c r="G87" i="9"/>
  <c r="G84"/>
  <c r="G79"/>
  <c r="G74"/>
  <c r="G87" i="10"/>
  <c r="G84"/>
  <c r="G79"/>
  <c r="G74"/>
  <c r="G87" i="1"/>
  <c r="G84"/>
  <c r="G79"/>
  <c r="G74"/>
  <c r="G75" i="11"/>
  <c r="G78"/>
  <c r="G80"/>
  <c r="G83"/>
  <c r="G86"/>
  <c r="F96" i="7"/>
  <c r="F92"/>
  <c r="F86"/>
  <c r="F81"/>
  <c r="G113" i="15"/>
  <c r="G115"/>
  <c r="G117"/>
  <c r="G119"/>
  <c r="G121"/>
  <c r="G123"/>
  <c r="G126"/>
  <c r="G129"/>
  <c r="G194" i="24"/>
  <c r="G95" i="9"/>
  <c r="G97" i="10"/>
  <c r="G11" i="19"/>
  <c r="G25"/>
  <c r="G43"/>
  <c r="G53"/>
  <c r="G57"/>
  <c r="G67"/>
  <c r="G71"/>
  <c r="G84"/>
  <c r="G89"/>
  <c r="G102"/>
  <c r="G11" i="18"/>
  <c r="G25"/>
  <c r="G43"/>
  <c r="G53"/>
  <c r="G57"/>
  <c r="G197" i="24"/>
  <c r="G97" i="9"/>
  <c r="G95" i="10"/>
  <c r="G99" s="1"/>
  <c r="G116" s="1"/>
  <c r="G95" i="1"/>
  <c r="G97"/>
  <c r="G94" i="11"/>
  <c r="G96"/>
  <c r="F104" i="7"/>
  <c r="F106"/>
  <c r="G137" i="15"/>
  <c r="G140"/>
  <c r="G143"/>
  <c r="G145"/>
  <c r="G205" i="24"/>
  <c r="G207"/>
  <c r="G209"/>
  <c r="G211"/>
  <c r="G213"/>
  <c r="G216"/>
  <c r="G218"/>
  <c r="G220"/>
  <c r="G222"/>
  <c r="G224"/>
  <c r="G14" i="19"/>
  <c r="G27"/>
  <c r="G29" s="1"/>
  <c r="G111" s="1"/>
  <c r="G55"/>
  <c r="G65"/>
  <c r="G69"/>
  <c r="G82"/>
  <c r="G86"/>
  <c r="G92"/>
  <c r="G100"/>
  <c r="G104" s="1"/>
  <c r="G121" s="1"/>
  <c r="G14" i="18"/>
  <c r="G16" s="1"/>
  <c r="G109" s="1"/>
  <c r="G27"/>
  <c r="G29" s="1"/>
  <c r="G111" s="1"/>
  <c r="G55"/>
  <c r="G65"/>
  <c r="G69"/>
  <c r="G84"/>
  <c r="G89"/>
  <c r="G102"/>
  <c r="G11" i="17"/>
  <c r="G25"/>
  <c r="G43"/>
  <c r="G53"/>
  <c r="G57"/>
  <c r="G67"/>
  <c r="G71"/>
  <c r="G84"/>
  <c r="G89"/>
  <c r="G102"/>
  <c r="G11" i="16"/>
  <c r="G13" s="1"/>
  <c r="G102" s="1"/>
  <c r="G27"/>
  <c r="G29"/>
  <c r="G31"/>
  <c r="G41"/>
  <c r="G61"/>
  <c r="G70"/>
  <c r="G75"/>
  <c r="G79"/>
  <c r="G85"/>
  <c r="G93"/>
  <c r="G11" i="14"/>
  <c r="G13" s="1"/>
  <c r="G101" s="1"/>
  <c r="G22"/>
  <c r="G44"/>
  <c r="G54"/>
  <c r="G58"/>
  <c r="G71"/>
  <c r="G76"/>
  <c r="G81"/>
  <c r="G94"/>
  <c r="G12" i="13"/>
  <c r="G26"/>
  <c r="G48"/>
  <c r="G58"/>
  <c r="G62"/>
  <c r="G75"/>
  <c r="G80"/>
  <c r="G85"/>
  <c r="G67" i="18"/>
  <c r="G71"/>
  <c r="G82"/>
  <c r="G86"/>
  <c r="G92"/>
  <c r="G100"/>
  <c r="G104" s="1"/>
  <c r="G121" s="1"/>
  <c r="G14" i="17"/>
  <c r="G27"/>
  <c r="G29" s="1"/>
  <c r="G111" s="1"/>
  <c r="G55"/>
  <c r="G65"/>
  <c r="G69"/>
  <c r="G82"/>
  <c r="G86"/>
  <c r="G92"/>
  <c r="G100"/>
  <c r="G51" i="16"/>
  <c r="G53" s="1"/>
  <c r="G108" s="1"/>
  <c r="G59"/>
  <c r="G72"/>
  <c r="G77"/>
  <c r="G82"/>
  <c r="G95"/>
  <c r="G24" i="14"/>
  <c r="G34"/>
  <c r="G36" s="1"/>
  <c r="G105" s="1"/>
  <c r="G46"/>
  <c r="G56"/>
  <c r="G60"/>
  <c r="G69"/>
  <c r="G74"/>
  <c r="G78"/>
  <c r="G84"/>
  <c r="G92"/>
  <c r="G15" i="13"/>
  <c r="G28"/>
  <c r="G38"/>
  <c r="G50"/>
  <c r="G60"/>
  <c r="G64"/>
  <c r="G73"/>
  <c r="G78"/>
  <c r="G82"/>
  <c r="G88"/>
  <c r="G96"/>
  <c r="G11" i="12"/>
  <c r="E27" i="9"/>
  <c r="E11"/>
  <c r="E14"/>
  <c r="E11" i="10"/>
  <c r="E14"/>
  <c r="E11" i="1"/>
  <c r="E14"/>
  <c r="E11" i="11"/>
  <c r="E14"/>
  <c r="D18" i="7"/>
  <c r="D21"/>
  <c r="E20" i="15"/>
  <c r="E23"/>
  <c r="E15" i="24"/>
  <c r="E18"/>
  <c r="E25" i="9"/>
  <c r="E27" i="10"/>
  <c r="E25" i="1"/>
  <c r="E28" i="11"/>
  <c r="D32" i="7"/>
  <c r="E37" i="15"/>
  <c r="E42"/>
  <c r="E38" i="24"/>
  <c r="E43"/>
  <c r="E47"/>
  <c r="E25" i="10"/>
  <c r="E27" i="1"/>
  <c r="E26" i="11"/>
  <c r="D34" i="7"/>
  <c r="D36" s="1"/>
  <c r="D115" s="1"/>
  <c r="E40" i="15"/>
  <c r="E41" i="24"/>
  <c r="E45"/>
  <c r="E49"/>
  <c r="E37" i="10"/>
  <c r="E40" i="11"/>
  <c r="D44" i="7"/>
  <c r="E54" i="15"/>
  <c r="E56"/>
  <c r="E64" i="24"/>
  <c r="E68"/>
  <c r="E37" i="9"/>
  <c r="E37" i="1"/>
  <c r="E58" i="15"/>
  <c r="E60"/>
  <c r="E62" i="24"/>
  <c r="E66"/>
  <c r="E70"/>
  <c r="E53" i="20"/>
  <c r="E49" i="9"/>
  <c r="E47" i="10"/>
  <c r="E49" i="1"/>
  <c r="E50" i="11"/>
  <c r="D56" i="7"/>
  <c r="E71" i="15"/>
  <c r="E85" i="24"/>
  <c r="E89"/>
  <c r="E93"/>
  <c r="E98"/>
  <c r="E102"/>
  <c r="E47" i="9"/>
  <c r="E49" i="10"/>
  <c r="E47" i="1"/>
  <c r="E52" i="11"/>
  <c r="D54" i="7"/>
  <c r="E75" i="15"/>
  <c r="E87" i="24"/>
  <c r="E91"/>
  <c r="E96"/>
  <c r="E100"/>
  <c r="E104"/>
  <c r="E57" i="9"/>
  <c r="E59"/>
  <c r="E61"/>
  <c r="E63"/>
  <c r="E57" i="10"/>
  <c r="E59"/>
  <c r="E61"/>
  <c r="E63"/>
  <c r="E57" i="1"/>
  <c r="E59"/>
  <c r="E61"/>
  <c r="E63"/>
  <c r="E60" i="11"/>
  <c r="E62"/>
  <c r="E114" i="24"/>
  <c r="E118"/>
  <c r="E123"/>
  <c r="E127"/>
  <c r="E132"/>
  <c r="E136"/>
  <c r="E141"/>
  <c r="E145"/>
  <c r="E66" i="20"/>
  <c r="E68" s="1"/>
  <c r="E96" s="1"/>
  <c r="E103" s="1"/>
  <c r="E81" i="9"/>
  <c r="E77"/>
  <c r="E72"/>
  <c r="E81" i="10"/>
  <c r="E77"/>
  <c r="E72"/>
  <c r="E81" i="1"/>
  <c r="E77"/>
  <c r="E72"/>
  <c r="D88" i="7"/>
  <c r="D84"/>
  <c r="D79"/>
  <c r="E158" i="24"/>
  <c r="E160"/>
  <c r="E162"/>
  <c r="E164"/>
  <c r="E167"/>
  <c r="E169"/>
  <c r="E171"/>
  <c r="E173"/>
  <c r="E176"/>
  <c r="E178"/>
  <c r="E180"/>
  <c r="E182"/>
  <c r="E185"/>
  <c r="E187"/>
  <c r="E189"/>
  <c r="E191"/>
  <c r="E64" i="11"/>
  <c r="E66"/>
  <c r="D64" i="7"/>
  <c r="D66"/>
  <c r="D68"/>
  <c r="D70"/>
  <c r="E100" i="15"/>
  <c r="E98"/>
  <c r="E96"/>
  <c r="E94"/>
  <c r="E92"/>
  <c r="E90"/>
  <c r="E88"/>
  <c r="E86"/>
  <c r="E116" i="24"/>
  <c r="E121"/>
  <c r="E125"/>
  <c r="E130"/>
  <c r="E134"/>
  <c r="E139"/>
  <c r="E143"/>
  <c r="E87" i="9"/>
  <c r="E84"/>
  <c r="E79"/>
  <c r="E74"/>
  <c r="E87" i="10"/>
  <c r="E84"/>
  <c r="E79"/>
  <c r="E74"/>
  <c r="E87" i="1"/>
  <c r="E84"/>
  <c r="E79"/>
  <c r="E74"/>
  <c r="E75" i="11"/>
  <c r="E78"/>
  <c r="E80"/>
  <c r="E83"/>
  <c r="E86"/>
  <c r="D96" i="7"/>
  <c r="D92"/>
  <c r="D86"/>
  <c r="D81"/>
  <c r="E113" i="15"/>
  <c r="E115"/>
  <c r="E117"/>
  <c r="E119"/>
  <c r="E121"/>
  <c r="E123"/>
  <c r="E126"/>
  <c r="E129"/>
  <c r="E194" i="24"/>
  <c r="E197"/>
  <c r="E97" i="9"/>
  <c r="E95" i="10"/>
  <c r="E11" i="19"/>
  <c r="E25"/>
  <c r="E43"/>
  <c r="E53"/>
  <c r="E57"/>
  <c r="E67"/>
  <c r="E71"/>
  <c r="E84"/>
  <c r="E89"/>
  <c r="E102"/>
  <c r="E11" i="18"/>
  <c r="E25"/>
  <c r="E43"/>
  <c r="E53"/>
  <c r="E57"/>
  <c r="E95" i="9"/>
  <c r="E99" s="1"/>
  <c r="E116" s="1"/>
  <c r="E97" i="10"/>
  <c r="E95" i="1"/>
  <c r="E97"/>
  <c r="E94" i="11"/>
  <c r="E96"/>
  <c r="D104" i="7"/>
  <c r="D106"/>
  <c r="E137" i="15"/>
  <c r="E140"/>
  <c r="E143"/>
  <c r="E145"/>
  <c r="E205" i="24"/>
  <c r="E207"/>
  <c r="E209"/>
  <c r="E211"/>
  <c r="E213"/>
  <c r="E216"/>
  <c r="E218"/>
  <c r="E220"/>
  <c r="E222"/>
  <c r="E224"/>
  <c r="E14" i="19"/>
  <c r="E27"/>
  <c r="E55"/>
  <c r="E65"/>
  <c r="E69"/>
  <c r="E82"/>
  <c r="E86"/>
  <c r="E92"/>
  <c r="E100"/>
  <c r="E104" s="1"/>
  <c r="E121" s="1"/>
  <c r="E14" i="18"/>
  <c r="E27"/>
  <c r="E29" s="1"/>
  <c r="E111" s="1"/>
  <c r="E55"/>
  <c r="E65"/>
  <c r="E69"/>
  <c r="E67"/>
  <c r="E71"/>
  <c r="E84"/>
  <c r="E89"/>
  <c r="E102"/>
  <c r="E11" i="17"/>
  <c r="E25"/>
  <c r="E43"/>
  <c r="E53"/>
  <c r="E57"/>
  <c r="E67"/>
  <c r="E71"/>
  <c r="E84"/>
  <c r="E89"/>
  <c r="E102"/>
  <c r="E11" i="16"/>
  <c r="E13" s="1"/>
  <c r="E102" s="1"/>
  <c r="E27"/>
  <c r="E29"/>
  <c r="E31"/>
  <c r="E41"/>
  <c r="E61"/>
  <c r="E70"/>
  <c r="E75"/>
  <c r="E79"/>
  <c r="E85"/>
  <c r="E93"/>
  <c r="E11" i="14"/>
  <c r="E13" s="1"/>
  <c r="E101" s="1"/>
  <c r="E22"/>
  <c r="E44"/>
  <c r="E54"/>
  <c r="E58"/>
  <c r="E71"/>
  <c r="E76"/>
  <c r="E81"/>
  <c r="E94"/>
  <c r="E12" i="13"/>
  <c r="E26"/>
  <c r="E48"/>
  <c r="E58"/>
  <c r="E62"/>
  <c r="E75"/>
  <c r="E80"/>
  <c r="E85"/>
  <c r="E82" i="18"/>
  <c r="E86"/>
  <c r="E92"/>
  <c r="E100"/>
  <c r="E104" s="1"/>
  <c r="E121" s="1"/>
  <c r="E14" i="17"/>
  <c r="E27"/>
  <c r="E29" s="1"/>
  <c r="E111" s="1"/>
  <c r="E55"/>
  <c r="E65"/>
  <c r="E69"/>
  <c r="E82"/>
  <c r="E86"/>
  <c r="E92"/>
  <c r="E100"/>
  <c r="E51" i="16"/>
  <c r="E53" s="1"/>
  <c r="E108" s="1"/>
  <c r="E59"/>
  <c r="E72"/>
  <c r="E77"/>
  <c r="E82"/>
  <c r="E95"/>
  <c r="E24" i="14"/>
  <c r="E26" s="1"/>
  <c r="E103" s="1"/>
  <c r="E34"/>
  <c r="E36" s="1"/>
  <c r="E105" s="1"/>
  <c r="E46"/>
  <c r="E56"/>
  <c r="E60"/>
  <c r="E69"/>
  <c r="E74"/>
  <c r="E78"/>
  <c r="E84"/>
  <c r="E92"/>
  <c r="E15" i="13"/>
  <c r="E28"/>
  <c r="E38"/>
  <c r="E50"/>
  <c r="E60"/>
  <c r="E64"/>
  <c r="E73"/>
  <c r="E78"/>
  <c r="E82"/>
  <c r="E88"/>
  <c r="E96"/>
  <c r="E11" i="12"/>
  <c r="E16" s="1"/>
  <c r="E104" s="1"/>
  <c r="C27" i="9"/>
  <c r="C25" i="10"/>
  <c r="I25" s="1"/>
  <c r="C11" i="9"/>
  <c r="C14"/>
  <c r="I14" s="1"/>
  <c r="M14" s="1"/>
  <c r="N14" s="1"/>
  <c r="O14" s="1"/>
  <c r="C11" i="10"/>
  <c r="C14"/>
  <c r="I14" s="1"/>
  <c r="C11" i="1"/>
  <c r="C14"/>
  <c r="I14" s="1"/>
  <c r="M14" s="1"/>
  <c r="N14" s="1"/>
  <c r="C11" i="11"/>
  <c r="C14"/>
  <c r="I14" s="1"/>
  <c r="B18" i="7"/>
  <c r="B21"/>
  <c r="H21" s="1"/>
  <c r="L21" s="1"/>
  <c r="M21" s="1"/>
  <c r="N21" s="1"/>
  <c r="C20" i="15"/>
  <c r="C23"/>
  <c r="I23" s="1"/>
  <c r="C15" i="24"/>
  <c r="C18"/>
  <c r="I18" s="1"/>
  <c r="M18" s="1"/>
  <c r="N18" s="1"/>
  <c r="O18" s="1"/>
  <c r="C25" i="9"/>
  <c r="C25" i="1"/>
  <c r="I25" s="1"/>
  <c r="M25" s="1"/>
  <c r="C28" i="11"/>
  <c r="B32" i="7"/>
  <c r="H32" s="1"/>
  <c r="C37" i="15"/>
  <c r="I37" s="1"/>
  <c r="C42"/>
  <c r="I42" s="1"/>
  <c r="C38" i="24"/>
  <c r="I38" s="1"/>
  <c r="C43"/>
  <c r="I43" s="1"/>
  <c r="C47"/>
  <c r="I47" s="1"/>
  <c r="C27" i="10"/>
  <c r="C27" i="1"/>
  <c r="C26" i="11"/>
  <c r="I26" s="1"/>
  <c r="B34" i="7"/>
  <c r="C40" i="15"/>
  <c r="C41" i="24"/>
  <c r="C45"/>
  <c r="I45" s="1"/>
  <c r="C49"/>
  <c r="I49" s="1"/>
  <c r="M49" s="1"/>
  <c r="N49" s="1"/>
  <c r="O49" s="1"/>
  <c r="C37" i="10"/>
  <c r="I37" s="1"/>
  <c r="M37" s="1"/>
  <c r="N37" s="1"/>
  <c r="O37" s="1"/>
  <c r="C40" i="11"/>
  <c r="I40" s="1"/>
  <c r="B44" i="7"/>
  <c r="H44" s="1"/>
  <c r="C54" i="15"/>
  <c r="C56"/>
  <c r="I56" s="1"/>
  <c r="C64" i="24"/>
  <c r="I64" s="1"/>
  <c r="C68"/>
  <c r="I68" s="1"/>
  <c r="C37" i="9"/>
  <c r="I37" s="1"/>
  <c r="C37" i="1"/>
  <c r="I37" s="1"/>
  <c r="C58" i="15"/>
  <c r="I58" s="1"/>
  <c r="C60"/>
  <c r="I60" s="1"/>
  <c r="C62" i="24"/>
  <c r="C66"/>
  <c r="I66" s="1"/>
  <c r="M66" s="1"/>
  <c r="N66" s="1"/>
  <c r="O66" s="1"/>
  <c r="C70"/>
  <c r="I70" s="1"/>
  <c r="C53" i="20"/>
  <c r="I53" s="1"/>
  <c r="C49" i="9"/>
  <c r="I49" s="1"/>
  <c r="M49" s="1"/>
  <c r="C47"/>
  <c r="C47" i="10"/>
  <c r="C49" i="1"/>
  <c r="I49" s="1"/>
  <c r="M49" s="1"/>
  <c r="C50" i="11"/>
  <c r="B56" i="7"/>
  <c r="H56" s="1"/>
  <c r="C71" i="15"/>
  <c r="C85" i="24"/>
  <c r="C89"/>
  <c r="I89" s="1"/>
  <c r="C93"/>
  <c r="I93" s="1"/>
  <c r="C98"/>
  <c r="I98" s="1"/>
  <c r="C102"/>
  <c r="I102" s="1"/>
  <c r="C49" i="10"/>
  <c r="I49" s="1"/>
  <c r="C47" i="1"/>
  <c r="C52" i="11"/>
  <c r="I52" s="1"/>
  <c r="M52" s="1"/>
  <c r="B54" i="7"/>
  <c r="C75" i="15"/>
  <c r="I75" s="1"/>
  <c r="C87" i="24"/>
  <c r="I87" s="1"/>
  <c r="C91"/>
  <c r="I91" s="1"/>
  <c r="C96"/>
  <c r="I96" s="1"/>
  <c r="C100"/>
  <c r="I100" s="1"/>
  <c r="C104"/>
  <c r="I104" s="1"/>
  <c r="C57" i="9"/>
  <c r="C59"/>
  <c r="I59" s="1"/>
  <c r="M59" s="1"/>
  <c r="N59" s="1"/>
  <c r="O59" s="1"/>
  <c r="C61"/>
  <c r="I61" s="1"/>
  <c r="M61" s="1"/>
  <c r="N61" s="1"/>
  <c r="O61" s="1"/>
  <c r="C63"/>
  <c r="I63" s="1"/>
  <c r="M63" s="1"/>
  <c r="N63" s="1"/>
  <c r="O63" s="1"/>
  <c r="C57" i="10"/>
  <c r="C59"/>
  <c r="I59" s="1"/>
  <c r="C61"/>
  <c r="I61" s="1"/>
  <c r="C63"/>
  <c r="I63" s="1"/>
  <c r="C57" i="1"/>
  <c r="C59"/>
  <c r="I59" s="1"/>
  <c r="C61"/>
  <c r="I61" s="1"/>
  <c r="M61" s="1"/>
  <c r="N61" s="1"/>
  <c r="O61" s="1"/>
  <c r="C63"/>
  <c r="I63" s="1"/>
  <c r="M63" s="1"/>
  <c r="N63" s="1"/>
  <c r="O63" s="1"/>
  <c r="C60" i="11"/>
  <c r="C62"/>
  <c r="I62" s="1"/>
  <c r="C114" i="24"/>
  <c r="I114" s="1"/>
  <c r="C118"/>
  <c r="I118" s="1"/>
  <c r="C123"/>
  <c r="I123" s="1"/>
  <c r="C127"/>
  <c r="I127" s="1"/>
  <c r="C132"/>
  <c r="I132" s="1"/>
  <c r="C136"/>
  <c r="I136" s="1"/>
  <c r="C141"/>
  <c r="I141" s="1"/>
  <c r="C145"/>
  <c r="I145" s="1"/>
  <c r="C66" i="20"/>
  <c r="C81" i="9"/>
  <c r="I81" s="1"/>
  <c r="M81" s="1"/>
  <c r="N81" s="1"/>
  <c r="O81" s="1"/>
  <c r="C77"/>
  <c r="I77" s="1"/>
  <c r="M77" s="1"/>
  <c r="N77" s="1"/>
  <c r="O77" s="1"/>
  <c r="C72"/>
  <c r="C81" i="10"/>
  <c r="I81" s="1"/>
  <c r="C77"/>
  <c r="I77" s="1"/>
  <c r="C72"/>
  <c r="C81" i="1"/>
  <c r="I81" s="1"/>
  <c r="M81" s="1"/>
  <c r="N81" s="1"/>
  <c r="O81" s="1"/>
  <c r="C77"/>
  <c r="I77" s="1"/>
  <c r="M77" s="1"/>
  <c r="N77" s="1"/>
  <c r="O77" s="1"/>
  <c r="C72"/>
  <c r="B88" i="7"/>
  <c r="H88" s="1"/>
  <c r="B84"/>
  <c r="H84" s="1"/>
  <c r="B79"/>
  <c r="C158" i="24"/>
  <c r="C160"/>
  <c r="I160" s="1"/>
  <c r="M160" s="1"/>
  <c r="N160" s="1"/>
  <c r="O160" s="1"/>
  <c r="C162"/>
  <c r="I162" s="1"/>
  <c r="M162" s="1"/>
  <c r="N162" s="1"/>
  <c r="O162" s="1"/>
  <c r="C164"/>
  <c r="I164" s="1"/>
  <c r="M164" s="1"/>
  <c r="N164" s="1"/>
  <c r="O164" s="1"/>
  <c r="C167"/>
  <c r="I167" s="1"/>
  <c r="M167" s="1"/>
  <c r="N167" s="1"/>
  <c r="O167" s="1"/>
  <c r="C169"/>
  <c r="I169" s="1"/>
  <c r="M169" s="1"/>
  <c r="N169" s="1"/>
  <c r="O169" s="1"/>
  <c r="C171"/>
  <c r="I171" s="1"/>
  <c r="M171" s="1"/>
  <c r="N171" s="1"/>
  <c r="O171" s="1"/>
  <c r="C173"/>
  <c r="I173" s="1"/>
  <c r="M173" s="1"/>
  <c r="N173" s="1"/>
  <c r="O173" s="1"/>
  <c r="C176"/>
  <c r="I176" s="1"/>
  <c r="M176" s="1"/>
  <c r="N176" s="1"/>
  <c r="O176" s="1"/>
  <c r="C178"/>
  <c r="I178" s="1"/>
  <c r="M178" s="1"/>
  <c r="N178" s="1"/>
  <c r="O178" s="1"/>
  <c r="C180"/>
  <c r="I180" s="1"/>
  <c r="M180" s="1"/>
  <c r="N180" s="1"/>
  <c r="O180" s="1"/>
  <c r="C182"/>
  <c r="I182" s="1"/>
  <c r="M182" s="1"/>
  <c r="N182" s="1"/>
  <c r="O182" s="1"/>
  <c r="C185"/>
  <c r="I185" s="1"/>
  <c r="M185" s="1"/>
  <c r="N185" s="1"/>
  <c r="O185" s="1"/>
  <c r="C187"/>
  <c r="I187" s="1"/>
  <c r="M187" s="1"/>
  <c r="N187" s="1"/>
  <c r="O187" s="1"/>
  <c r="C189"/>
  <c r="I189" s="1"/>
  <c r="M189" s="1"/>
  <c r="N189" s="1"/>
  <c r="O189" s="1"/>
  <c r="C191"/>
  <c r="I191" s="1"/>
  <c r="M191" s="1"/>
  <c r="N191" s="1"/>
  <c r="O191" s="1"/>
  <c r="C64" i="11"/>
  <c r="I64" s="1"/>
  <c r="M64" s="1"/>
  <c r="N64" s="1"/>
  <c r="O64" s="1"/>
  <c r="C66"/>
  <c r="I66" s="1"/>
  <c r="M66" s="1"/>
  <c r="N66" s="1"/>
  <c r="O66" s="1"/>
  <c r="B64" i="7"/>
  <c r="B66"/>
  <c r="H66" s="1"/>
  <c r="B68"/>
  <c r="H68" s="1"/>
  <c r="B70"/>
  <c r="H70" s="1"/>
  <c r="C100" i="15"/>
  <c r="C98"/>
  <c r="I98" s="1"/>
  <c r="C96"/>
  <c r="I96" s="1"/>
  <c r="M96" s="1"/>
  <c r="N96" s="1"/>
  <c r="C94"/>
  <c r="I94" s="1"/>
  <c r="M94" s="1"/>
  <c r="C92"/>
  <c r="I92" s="1"/>
  <c r="M92" s="1"/>
  <c r="N92" s="1"/>
  <c r="O92" s="1"/>
  <c r="C90"/>
  <c r="I90" s="1"/>
  <c r="M90" s="1"/>
  <c r="N90" s="1"/>
  <c r="O90" s="1"/>
  <c r="C88"/>
  <c r="I88" s="1"/>
  <c r="M88" s="1"/>
  <c r="N88" s="1"/>
  <c r="O88" s="1"/>
  <c r="C86"/>
  <c r="I86" s="1"/>
  <c r="M86" s="1"/>
  <c r="C112" i="24"/>
  <c r="C116"/>
  <c r="I116" s="1"/>
  <c r="C121"/>
  <c r="I121" s="1"/>
  <c r="M121" s="1"/>
  <c r="N121" s="1"/>
  <c r="O121" s="1"/>
  <c r="C125"/>
  <c r="I125" s="1"/>
  <c r="M125" s="1"/>
  <c r="N125" s="1"/>
  <c r="O125" s="1"/>
  <c r="C130"/>
  <c r="I130" s="1"/>
  <c r="M130" s="1"/>
  <c r="N130" s="1"/>
  <c r="O130" s="1"/>
  <c r="C134"/>
  <c r="I134" s="1"/>
  <c r="M134" s="1"/>
  <c r="N134" s="1"/>
  <c r="O134" s="1"/>
  <c r="C139"/>
  <c r="I139" s="1"/>
  <c r="M139" s="1"/>
  <c r="N139" s="1"/>
  <c r="O139" s="1"/>
  <c r="C143"/>
  <c r="I143" s="1"/>
  <c r="M143" s="1"/>
  <c r="N143" s="1"/>
  <c r="O143" s="1"/>
  <c r="C87" i="9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0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87" i="1"/>
  <c r="I87" s="1"/>
  <c r="M87" s="1"/>
  <c r="N87" s="1"/>
  <c r="O87" s="1"/>
  <c r="C84"/>
  <c r="I84" s="1"/>
  <c r="M84" s="1"/>
  <c r="N84" s="1"/>
  <c r="O84" s="1"/>
  <c r="C79"/>
  <c r="I79" s="1"/>
  <c r="M79" s="1"/>
  <c r="N79" s="1"/>
  <c r="O79" s="1"/>
  <c r="C74"/>
  <c r="I74" s="1"/>
  <c r="C75" i="11"/>
  <c r="C78"/>
  <c r="I78" s="1"/>
  <c r="M78" s="1"/>
  <c r="N78" s="1"/>
  <c r="O78" s="1"/>
  <c r="C80"/>
  <c r="I80" s="1"/>
  <c r="M80" s="1"/>
  <c r="N80" s="1"/>
  <c r="O80" s="1"/>
  <c r="C83"/>
  <c r="I83" s="1"/>
  <c r="M83" s="1"/>
  <c r="N83" s="1"/>
  <c r="C86"/>
  <c r="I86" s="1"/>
  <c r="M86" s="1"/>
  <c r="N86" s="1"/>
  <c r="O86" s="1"/>
  <c r="B96" i="7"/>
  <c r="H96" s="1"/>
  <c r="L96" s="1"/>
  <c r="M96" s="1"/>
  <c r="N96" s="1"/>
  <c r="B92"/>
  <c r="H92" s="1"/>
  <c r="L92" s="1"/>
  <c r="M92" s="1"/>
  <c r="N92" s="1"/>
  <c r="B86"/>
  <c r="H86" s="1"/>
  <c r="L86" s="1"/>
  <c r="M86" s="1"/>
  <c r="N86" s="1"/>
  <c r="B81"/>
  <c r="H81" s="1"/>
  <c r="C113" i="15"/>
  <c r="C115"/>
  <c r="I115" s="1"/>
  <c r="C117"/>
  <c r="I117" s="1"/>
  <c r="M117" s="1"/>
  <c r="N117" s="1"/>
  <c r="O117" s="1"/>
  <c r="C119"/>
  <c r="I119" s="1"/>
  <c r="M119" s="1"/>
  <c r="N119" s="1"/>
  <c r="O119" s="1"/>
  <c r="C121"/>
  <c r="I121" s="1"/>
  <c r="M121" s="1"/>
  <c r="N121" s="1"/>
  <c r="O121" s="1"/>
  <c r="C123"/>
  <c r="I123" s="1"/>
  <c r="M123" s="1"/>
  <c r="N123" s="1"/>
  <c r="O123" s="1"/>
  <c r="C126"/>
  <c r="I126" s="1"/>
  <c r="M126" s="1"/>
  <c r="N126" s="1"/>
  <c r="O126" s="1"/>
  <c r="C129"/>
  <c r="I129" s="1"/>
  <c r="M129" s="1"/>
  <c r="N129" s="1"/>
  <c r="O129" s="1"/>
  <c r="C194" i="24"/>
  <c r="I194" s="1"/>
  <c r="C95" i="9"/>
  <c r="C97" i="10"/>
  <c r="I97" s="1"/>
  <c r="M97" s="1"/>
  <c r="N97" s="1"/>
  <c r="O97" s="1"/>
  <c r="C11" i="19"/>
  <c r="C25"/>
  <c r="I25" s="1"/>
  <c r="C43"/>
  <c r="I43" s="1"/>
  <c r="M43" s="1"/>
  <c r="N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8"/>
  <c r="C25"/>
  <c r="I25" s="1"/>
  <c r="C43"/>
  <c r="I43" s="1"/>
  <c r="C53"/>
  <c r="C57"/>
  <c r="I57" s="1"/>
  <c r="M57" s="1"/>
  <c r="C197" i="24"/>
  <c r="I197" s="1"/>
  <c r="M197" s="1"/>
  <c r="N197" s="1"/>
  <c r="O197" s="1"/>
  <c r="C97" i="9"/>
  <c r="I97" s="1"/>
  <c r="M97" s="1"/>
  <c r="N97" s="1"/>
  <c r="O97" s="1"/>
  <c r="C95" i="10"/>
  <c r="C95" i="1"/>
  <c r="C97"/>
  <c r="I97" s="1"/>
  <c r="M97" s="1"/>
  <c r="N97" s="1"/>
  <c r="C94" i="11"/>
  <c r="C96"/>
  <c r="I96" s="1"/>
  <c r="B104" i="7"/>
  <c r="B106"/>
  <c r="H106" s="1"/>
  <c r="C137" i="15"/>
  <c r="C140"/>
  <c r="I140" s="1"/>
  <c r="C143"/>
  <c r="I143" s="1"/>
  <c r="M143" s="1"/>
  <c r="N143" s="1"/>
  <c r="O143" s="1"/>
  <c r="C145"/>
  <c r="I145" s="1"/>
  <c r="M145" s="1"/>
  <c r="N145" s="1"/>
  <c r="O145" s="1"/>
  <c r="C205" i="24"/>
  <c r="C207"/>
  <c r="I207" s="1"/>
  <c r="M207" s="1"/>
  <c r="N207" s="1"/>
  <c r="O207" s="1"/>
  <c r="C209"/>
  <c r="I209" s="1"/>
  <c r="M209" s="1"/>
  <c r="N209" s="1"/>
  <c r="O209" s="1"/>
  <c r="C211"/>
  <c r="I211" s="1"/>
  <c r="M211" s="1"/>
  <c r="N211" s="1"/>
  <c r="O211" s="1"/>
  <c r="C213"/>
  <c r="I213" s="1"/>
  <c r="M213" s="1"/>
  <c r="N213" s="1"/>
  <c r="O213" s="1"/>
  <c r="C216"/>
  <c r="I216" s="1"/>
  <c r="M216" s="1"/>
  <c r="N216" s="1"/>
  <c r="O216" s="1"/>
  <c r="C218"/>
  <c r="I218" s="1"/>
  <c r="M218" s="1"/>
  <c r="N218" s="1"/>
  <c r="O218" s="1"/>
  <c r="C220"/>
  <c r="I220" s="1"/>
  <c r="M220" s="1"/>
  <c r="N220" s="1"/>
  <c r="O220" s="1"/>
  <c r="C222"/>
  <c r="I222" s="1"/>
  <c r="M222" s="1"/>
  <c r="N222" s="1"/>
  <c r="O222" s="1"/>
  <c r="C224"/>
  <c r="I224" s="1"/>
  <c r="M224" s="1"/>
  <c r="N224" s="1"/>
  <c r="O224" s="1"/>
  <c r="C14" i="19"/>
  <c r="I14" s="1"/>
  <c r="M14" s="1"/>
  <c r="N14" s="1"/>
  <c r="O14" s="1"/>
  <c r="C27"/>
  <c r="C55"/>
  <c r="I55" s="1"/>
  <c r="C65"/>
  <c r="C69"/>
  <c r="I69" s="1"/>
  <c r="C82"/>
  <c r="C86"/>
  <c r="I86" s="1"/>
  <c r="C92"/>
  <c r="I92" s="1"/>
  <c r="M92" s="1"/>
  <c r="N92" s="1"/>
  <c r="O92" s="1"/>
  <c r="C100"/>
  <c r="C14" i="18"/>
  <c r="I14" s="1"/>
  <c r="C27"/>
  <c r="C55"/>
  <c r="I55" s="1"/>
  <c r="C65"/>
  <c r="C69"/>
  <c r="I69" s="1"/>
  <c r="M69" s="1"/>
  <c r="N69" s="1"/>
  <c r="O69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7"/>
  <c r="C25"/>
  <c r="I25" s="1"/>
  <c r="C43"/>
  <c r="I43" s="1"/>
  <c r="C53"/>
  <c r="C57"/>
  <c r="I57" s="1"/>
  <c r="M57" s="1"/>
  <c r="C67"/>
  <c r="I67" s="1"/>
  <c r="M67" s="1"/>
  <c r="N67" s="1"/>
  <c r="O67" s="1"/>
  <c r="C71"/>
  <c r="I71" s="1"/>
  <c r="M71" s="1"/>
  <c r="N71" s="1"/>
  <c r="O71" s="1"/>
  <c r="C84"/>
  <c r="I84" s="1"/>
  <c r="M84" s="1"/>
  <c r="N84" s="1"/>
  <c r="O84" s="1"/>
  <c r="C89"/>
  <c r="I89" s="1"/>
  <c r="M89" s="1"/>
  <c r="N89" s="1"/>
  <c r="O89" s="1"/>
  <c r="C102"/>
  <c r="I102" s="1"/>
  <c r="M102" s="1"/>
  <c r="N102" s="1"/>
  <c r="O102" s="1"/>
  <c r="C11" i="16"/>
  <c r="C27"/>
  <c r="J27" s="1"/>
  <c r="N27" s="1"/>
  <c r="O27" s="1"/>
  <c r="P27" s="1"/>
  <c r="C29"/>
  <c r="J29" s="1"/>
  <c r="C31"/>
  <c r="C41"/>
  <c r="J41" s="1"/>
  <c r="N41" s="1"/>
  <c r="C61"/>
  <c r="J61" s="1"/>
  <c r="N61" s="1"/>
  <c r="O61" s="1"/>
  <c r="P61" s="1"/>
  <c r="C70"/>
  <c r="C75"/>
  <c r="J75" s="1"/>
  <c r="C79"/>
  <c r="J79" s="1"/>
  <c r="N79" s="1"/>
  <c r="O79" s="1"/>
  <c r="C85"/>
  <c r="J85" s="1"/>
  <c r="N85" s="1"/>
  <c r="O85" s="1"/>
  <c r="P85" s="1"/>
  <c r="C93"/>
  <c r="C11" i="14"/>
  <c r="C22"/>
  <c r="I22" s="1"/>
  <c r="C44"/>
  <c r="C54"/>
  <c r="C58"/>
  <c r="I58" s="1"/>
  <c r="M58" s="1"/>
  <c r="N58" s="1"/>
  <c r="O58" s="1"/>
  <c r="C71"/>
  <c r="I71" s="1"/>
  <c r="C76"/>
  <c r="I76" s="1"/>
  <c r="M76" s="1"/>
  <c r="N76" s="1"/>
  <c r="O76" s="1"/>
  <c r="C81"/>
  <c r="I81" s="1"/>
  <c r="M81" s="1"/>
  <c r="N81" s="1"/>
  <c r="O81" s="1"/>
  <c r="C94"/>
  <c r="I94" s="1"/>
  <c r="C12" i="13"/>
  <c r="C26"/>
  <c r="I26" s="1"/>
  <c r="C48"/>
  <c r="C58"/>
  <c r="C62"/>
  <c r="I62" s="1"/>
  <c r="M62" s="1"/>
  <c r="N62" s="1"/>
  <c r="C75"/>
  <c r="I75" s="1"/>
  <c r="M75" s="1"/>
  <c r="N75" s="1"/>
  <c r="O75" s="1"/>
  <c r="C80"/>
  <c r="I80" s="1"/>
  <c r="M80" s="1"/>
  <c r="N80" s="1"/>
  <c r="O80" s="1"/>
  <c r="C85"/>
  <c r="I85" s="1"/>
  <c r="M85" s="1"/>
  <c r="N85" s="1"/>
  <c r="O85" s="1"/>
  <c r="C67" i="18"/>
  <c r="I67" s="1"/>
  <c r="C71"/>
  <c r="I71" s="1"/>
  <c r="M71" s="1"/>
  <c r="N71" s="1"/>
  <c r="O71" s="1"/>
  <c r="C82"/>
  <c r="C86"/>
  <c r="I86" s="1"/>
  <c r="C92"/>
  <c r="I92" s="1"/>
  <c r="M92" s="1"/>
  <c r="N92" s="1"/>
  <c r="O92" s="1"/>
  <c r="C100"/>
  <c r="C14" i="17"/>
  <c r="I14" s="1"/>
  <c r="C27"/>
  <c r="C55"/>
  <c r="I55" s="1"/>
  <c r="C65"/>
  <c r="C69"/>
  <c r="I69" s="1"/>
  <c r="M69" s="1"/>
  <c r="N69" s="1"/>
  <c r="O69" s="1"/>
  <c r="C82"/>
  <c r="C86"/>
  <c r="I86" s="1"/>
  <c r="C92"/>
  <c r="I92" s="1"/>
  <c r="M92" s="1"/>
  <c r="N92" s="1"/>
  <c r="O92" s="1"/>
  <c r="C100"/>
  <c r="C51" i="16"/>
  <c r="C59"/>
  <c r="C72"/>
  <c r="J72" s="1"/>
  <c r="N72" s="1"/>
  <c r="O72" s="1"/>
  <c r="P72" s="1"/>
  <c r="C77"/>
  <c r="J77" s="1"/>
  <c r="N77" s="1"/>
  <c r="O77" s="1"/>
  <c r="P77" s="1"/>
  <c r="C82"/>
  <c r="J82" s="1"/>
  <c r="N82" s="1"/>
  <c r="O82" s="1"/>
  <c r="P82" s="1"/>
  <c r="C95"/>
  <c r="J95" s="1"/>
  <c r="N95" s="1"/>
  <c r="O95" s="1"/>
  <c r="P95" s="1"/>
  <c r="C24" i="14"/>
  <c r="C34"/>
  <c r="C46"/>
  <c r="I46" s="1"/>
  <c r="M46" s="1"/>
  <c r="N46" s="1"/>
  <c r="O46" s="1"/>
  <c r="C56"/>
  <c r="I56" s="1"/>
  <c r="C60"/>
  <c r="I60" s="1"/>
  <c r="M60" s="1"/>
  <c r="N60" s="1"/>
  <c r="O60" s="1"/>
  <c r="C69"/>
  <c r="C74"/>
  <c r="I74" s="1"/>
  <c r="M74" s="1"/>
  <c r="N74" s="1"/>
  <c r="O74" s="1"/>
  <c r="C78"/>
  <c r="I78" s="1"/>
  <c r="M78" s="1"/>
  <c r="N78" s="1"/>
  <c r="O78" s="1"/>
  <c r="C84"/>
  <c r="I84" s="1"/>
  <c r="M84" s="1"/>
  <c r="N84" s="1"/>
  <c r="O84" s="1"/>
  <c r="C92"/>
  <c r="C15" i="13"/>
  <c r="I15" s="1"/>
  <c r="C28"/>
  <c r="C38"/>
  <c r="I38" s="1"/>
  <c r="C50"/>
  <c r="I50" s="1"/>
  <c r="M50" s="1"/>
  <c r="N50" s="1"/>
  <c r="O50" s="1"/>
  <c r="C60"/>
  <c r="I60" s="1"/>
  <c r="C64"/>
  <c r="I64" s="1"/>
  <c r="M64" s="1"/>
  <c r="N64" s="1"/>
  <c r="O64" s="1"/>
  <c r="C73"/>
  <c r="C78"/>
  <c r="I78" s="1"/>
  <c r="C82"/>
  <c r="I82" s="1"/>
  <c r="M82" s="1"/>
  <c r="N82" s="1"/>
  <c r="O82" s="1"/>
  <c r="C88"/>
  <c r="I88" s="1"/>
  <c r="M88" s="1"/>
  <c r="N88" s="1"/>
  <c r="O88" s="1"/>
  <c r="C96"/>
  <c r="C11" i="12"/>
  <c r="P50" i="15"/>
  <c r="Q50" s="1"/>
  <c r="R50" s="1"/>
  <c r="M32"/>
  <c r="N32" s="1"/>
  <c r="O32" s="1"/>
  <c r="M39" i="20"/>
  <c r="N39" s="1"/>
  <c r="O39" s="1"/>
  <c r="K62" i="9"/>
  <c r="L62" s="1"/>
  <c r="N62"/>
  <c r="O62" s="1"/>
  <c r="K58"/>
  <c r="N58"/>
  <c r="K46"/>
  <c r="N46"/>
  <c r="K36"/>
  <c r="N36"/>
  <c r="N80" i="10"/>
  <c r="O80" s="1"/>
  <c r="K80"/>
  <c r="L80" s="1"/>
  <c r="K78"/>
  <c r="L78" s="1"/>
  <c r="N78"/>
  <c r="O78" s="1"/>
  <c r="N76"/>
  <c r="O76" s="1"/>
  <c r="K76"/>
  <c r="L76" s="1"/>
  <c r="K60"/>
  <c r="L60" s="1"/>
  <c r="L64" s="1"/>
  <c r="L111" s="1"/>
  <c r="N60"/>
  <c r="O60" s="1"/>
  <c r="N15"/>
  <c r="Q15"/>
  <c r="K62" i="1"/>
  <c r="L62" s="1"/>
  <c r="N62"/>
  <c r="O62" s="1"/>
  <c r="K58"/>
  <c r="N58"/>
  <c r="K46"/>
  <c r="K50" s="1"/>
  <c r="K109" s="1"/>
  <c r="N46"/>
  <c r="K36"/>
  <c r="K38" s="1"/>
  <c r="K107" s="1"/>
  <c r="N36"/>
  <c r="J85" i="7"/>
  <c r="K85" s="1"/>
  <c r="M85"/>
  <c r="N85" s="1"/>
  <c r="M22"/>
  <c r="P22"/>
  <c r="N120" i="15"/>
  <c r="O120" s="1"/>
  <c r="J99"/>
  <c r="P99"/>
  <c r="M99"/>
  <c r="N97"/>
  <c r="O97" s="1"/>
  <c r="P93"/>
  <c r="Q93" s="1"/>
  <c r="R93" s="1"/>
  <c r="M93"/>
  <c r="N93" s="1"/>
  <c r="O93" s="1"/>
  <c r="P89"/>
  <c r="Q89" s="1"/>
  <c r="R89" s="1"/>
  <c r="M89"/>
  <c r="N89" s="1"/>
  <c r="O89" s="1"/>
  <c r="N87"/>
  <c r="O87" s="1"/>
  <c r="K87"/>
  <c r="L87" s="1"/>
  <c r="P74"/>
  <c r="Q74" s="1"/>
  <c r="M74"/>
  <c r="N74" s="1"/>
  <c r="O74" s="1"/>
  <c r="M70"/>
  <c r="N70" s="1"/>
  <c r="P70"/>
  <c r="Q70" s="1"/>
  <c r="R70" s="1"/>
  <c r="K57"/>
  <c r="L57" s="1"/>
  <c r="N57"/>
  <c r="O57" s="1"/>
  <c r="K223" i="24"/>
  <c r="L223" s="1"/>
  <c r="N223"/>
  <c r="O223" s="1"/>
  <c r="K219"/>
  <c r="L219" s="1"/>
  <c r="N219"/>
  <c r="O219" s="1"/>
  <c r="K215"/>
  <c r="L215" s="1"/>
  <c r="N215"/>
  <c r="O215" s="1"/>
  <c r="K210"/>
  <c r="L210" s="1"/>
  <c r="N210"/>
  <c r="O210" s="1"/>
  <c r="K206"/>
  <c r="N206"/>
  <c r="M190"/>
  <c r="N190" s="1"/>
  <c r="O190" s="1"/>
  <c r="P190"/>
  <c r="Q190" s="1"/>
  <c r="R190" s="1"/>
  <c r="J190"/>
  <c r="K190" s="1"/>
  <c r="L190" s="1"/>
  <c r="M184"/>
  <c r="N184" s="1"/>
  <c r="O184" s="1"/>
  <c r="P184"/>
  <c r="Q184" s="1"/>
  <c r="R184" s="1"/>
  <c r="J184"/>
  <c r="K184" s="1"/>
  <c r="L184" s="1"/>
  <c r="M179"/>
  <c r="N179" s="1"/>
  <c r="O179" s="1"/>
  <c r="P179"/>
  <c r="Q179" s="1"/>
  <c r="R179" s="1"/>
  <c r="J179"/>
  <c r="K179" s="1"/>
  <c r="L179" s="1"/>
  <c r="M172"/>
  <c r="N172" s="1"/>
  <c r="P172"/>
  <c r="Q172" s="1"/>
  <c r="R172" s="1"/>
  <c r="J172"/>
  <c r="K172" s="1"/>
  <c r="L172" s="1"/>
  <c r="M166"/>
  <c r="N166" s="1"/>
  <c r="O166" s="1"/>
  <c r="P166"/>
  <c r="Q166" s="1"/>
  <c r="R166" s="1"/>
  <c r="J166"/>
  <c r="K166" s="1"/>
  <c r="L166" s="1"/>
  <c r="M161"/>
  <c r="N161" s="1"/>
  <c r="O161" s="1"/>
  <c r="P161"/>
  <c r="Q161" s="1"/>
  <c r="J161"/>
  <c r="K131"/>
  <c r="L131" s="1"/>
  <c r="N131"/>
  <c r="O131" s="1"/>
  <c r="K168"/>
  <c r="L168" s="1"/>
  <c r="K186"/>
  <c r="L186" s="1"/>
  <c r="N159"/>
  <c r="O159" s="1"/>
  <c r="N177"/>
  <c r="O177" s="1"/>
  <c r="K159"/>
  <c r="L159" s="1"/>
  <c r="S159" s="1"/>
  <c r="K177"/>
  <c r="L177" s="1"/>
  <c r="N168"/>
  <c r="O168" s="1"/>
  <c r="S168" s="1"/>
  <c r="N186"/>
  <c r="O186" s="1"/>
  <c r="M142"/>
  <c r="N142" s="1"/>
  <c r="O142" s="1"/>
  <c r="J142"/>
  <c r="K142" s="1"/>
  <c r="L142" s="1"/>
  <c r="P142"/>
  <c r="Q142" s="1"/>
  <c r="R142" s="1"/>
  <c r="M138"/>
  <c r="N138" s="1"/>
  <c r="J138"/>
  <c r="K138" s="1"/>
  <c r="L138" s="1"/>
  <c r="P138"/>
  <c r="Q138" s="1"/>
  <c r="R138" s="1"/>
  <c r="M133"/>
  <c r="N133" s="1"/>
  <c r="O133" s="1"/>
  <c r="J133"/>
  <c r="K133" s="1"/>
  <c r="L133" s="1"/>
  <c r="P133"/>
  <c r="Q133" s="1"/>
  <c r="R133" s="1"/>
  <c r="J126"/>
  <c r="K126" s="1"/>
  <c r="L126" s="1"/>
  <c r="P126"/>
  <c r="Q126" s="1"/>
  <c r="R126" s="1"/>
  <c r="M126"/>
  <c r="N126" s="1"/>
  <c r="O126" s="1"/>
  <c r="J122"/>
  <c r="K122" s="1"/>
  <c r="P122"/>
  <c r="Q122" s="1"/>
  <c r="R122" s="1"/>
  <c r="M122"/>
  <c r="N122" s="1"/>
  <c r="O122" s="1"/>
  <c r="J117"/>
  <c r="K117" s="1"/>
  <c r="L117" s="1"/>
  <c r="M117"/>
  <c r="N117" s="1"/>
  <c r="O117" s="1"/>
  <c r="J113"/>
  <c r="P113"/>
  <c r="Q113" s="1"/>
  <c r="R113" s="1"/>
  <c r="M113"/>
  <c r="N113" s="1"/>
  <c r="O113" s="1"/>
  <c r="N92"/>
  <c r="O92" s="1"/>
  <c r="K92"/>
  <c r="L92" s="1"/>
  <c r="J90"/>
  <c r="K90" s="1"/>
  <c r="L90" s="1"/>
  <c r="P90"/>
  <c r="Q90" s="1"/>
  <c r="R90" s="1"/>
  <c r="M90"/>
  <c r="N90" s="1"/>
  <c r="O90" s="1"/>
  <c r="M88"/>
  <c r="N88" s="1"/>
  <c r="O88" s="1"/>
  <c r="J88"/>
  <c r="K88" s="1"/>
  <c r="L88" s="1"/>
  <c r="P88"/>
  <c r="Q88" s="1"/>
  <c r="R88" s="1"/>
  <c r="J86"/>
  <c r="K86" s="1"/>
  <c r="L86" s="1"/>
  <c r="P86"/>
  <c r="Q86" s="1"/>
  <c r="R86" s="1"/>
  <c r="M86"/>
  <c r="N86" s="1"/>
  <c r="O86" s="1"/>
  <c r="M84"/>
  <c r="J84"/>
  <c r="P84"/>
  <c r="K63" i="11"/>
  <c r="L63" s="1"/>
  <c r="N63"/>
  <c r="O63" s="1"/>
  <c r="K25"/>
  <c r="N25"/>
  <c r="N15"/>
  <c r="O15" s="1"/>
  <c r="O102" s="1"/>
  <c r="Q15"/>
  <c r="K13" i="12"/>
  <c r="L13" s="1"/>
  <c r="N13"/>
  <c r="O13" s="1"/>
  <c r="Q13"/>
  <c r="R13" s="1"/>
  <c r="I15"/>
  <c r="L93" i="14"/>
  <c r="K95"/>
  <c r="K112" s="1"/>
  <c r="L10"/>
  <c r="M86" i="16"/>
  <c r="T58"/>
  <c r="M62"/>
  <c r="S81" i="17"/>
  <c r="K72"/>
  <c r="K116" s="1"/>
  <c r="L52"/>
  <c r="L58" s="1"/>
  <c r="L114" s="1"/>
  <c r="K58"/>
  <c r="K114" s="1"/>
  <c r="L10"/>
  <c r="L15" s="1"/>
  <c r="K103" i="18"/>
  <c r="K120" s="1"/>
  <c r="H77" i="15"/>
  <c r="F77"/>
  <c r="D77"/>
  <c r="H73"/>
  <c r="F73"/>
  <c r="D73"/>
  <c r="N142"/>
  <c r="O142" s="1"/>
  <c r="Q131" i="24"/>
  <c r="R131" s="1"/>
  <c r="S131" s="1"/>
  <c r="E112"/>
  <c r="E147" s="1"/>
  <c r="E240" s="1"/>
  <c r="H97" i="12"/>
  <c r="F97"/>
  <c r="D97"/>
  <c r="G95"/>
  <c r="G99" s="1"/>
  <c r="G116" s="1"/>
  <c r="E95"/>
  <c r="E99"/>
  <c r="E116" s="1"/>
  <c r="C95"/>
  <c r="G87"/>
  <c r="E87"/>
  <c r="C87"/>
  <c r="H84"/>
  <c r="F84"/>
  <c r="D84"/>
  <c r="G81"/>
  <c r="E81"/>
  <c r="C81"/>
  <c r="H79"/>
  <c r="F79"/>
  <c r="D79"/>
  <c r="G77"/>
  <c r="E77"/>
  <c r="C77"/>
  <c r="H74"/>
  <c r="F74"/>
  <c r="D74"/>
  <c r="G72"/>
  <c r="G89" s="1"/>
  <c r="G114" s="1"/>
  <c r="E72"/>
  <c r="E89" s="1"/>
  <c r="E114" s="1"/>
  <c r="C72"/>
  <c r="G63"/>
  <c r="E63"/>
  <c r="C63"/>
  <c r="H61"/>
  <c r="F61"/>
  <c r="D61"/>
  <c r="G59"/>
  <c r="E59"/>
  <c r="C59"/>
  <c r="H57"/>
  <c r="H65" s="1"/>
  <c r="H112" s="1"/>
  <c r="F57"/>
  <c r="F65" s="1"/>
  <c r="F112" s="1"/>
  <c r="D57"/>
  <c r="D65" s="1"/>
  <c r="D112" s="1"/>
  <c r="G49"/>
  <c r="E49"/>
  <c r="C49"/>
  <c r="H47"/>
  <c r="H51" s="1"/>
  <c r="H110" s="1"/>
  <c r="F47"/>
  <c r="F51" s="1"/>
  <c r="F110" s="1"/>
  <c r="D47"/>
  <c r="D51" s="1"/>
  <c r="D110" s="1"/>
  <c r="G37"/>
  <c r="E37"/>
  <c r="C37"/>
  <c r="G27"/>
  <c r="G29" s="1"/>
  <c r="G106" s="1"/>
  <c r="E27"/>
  <c r="E29" s="1"/>
  <c r="E106" s="1"/>
  <c r="C27"/>
  <c r="H25"/>
  <c r="F25"/>
  <c r="D25"/>
  <c r="G14"/>
  <c r="C14"/>
  <c r="H11"/>
  <c r="H16" s="1"/>
  <c r="H104" s="1"/>
  <c r="D11"/>
  <c r="D16" s="1"/>
  <c r="D104" s="1"/>
  <c r="E98" i="13"/>
  <c r="F96"/>
  <c r="F100" s="1"/>
  <c r="F117" s="1"/>
  <c r="S73" i="14"/>
  <c r="N18" i="16"/>
  <c r="O18" s="1"/>
  <c r="P18" s="1"/>
  <c r="M50" i="17"/>
  <c r="N50" s="1"/>
  <c r="O50" s="1"/>
  <c r="K70" i="18"/>
  <c r="L70" s="1"/>
  <c r="N70"/>
  <c r="O70" s="1"/>
  <c r="Q70"/>
  <c r="R70" s="1"/>
  <c r="K66"/>
  <c r="K72" s="1"/>
  <c r="K116" s="1"/>
  <c r="N66"/>
  <c r="Q66"/>
  <c r="I72"/>
  <c r="I116"/>
  <c r="L52"/>
  <c r="K58"/>
  <c r="K114" s="1"/>
  <c r="L24"/>
  <c r="K28"/>
  <c r="K110" s="1"/>
  <c r="L10"/>
  <c r="K15"/>
  <c r="K108" s="1"/>
  <c r="L64" i="19"/>
  <c r="S24"/>
  <c r="S10"/>
  <c r="L67" i="20"/>
  <c r="Q84" i="13"/>
  <c r="N84"/>
  <c r="Q79"/>
  <c r="R79" s="1"/>
  <c r="N79"/>
  <c r="O79" s="1"/>
  <c r="Q74"/>
  <c r="R74" s="1"/>
  <c r="N74"/>
  <c r="O74" s="1"/>
  <c r="Q61"/>
  <c r="R61" s="1"/>
  <c r="N61"/>
  <c r="O61" s="1"/>
  <c r="Q57"/>
  <c r="N57"/>
  <c r="Q47"/>
  <c r="N47"/>
  <c r="Q25"/>
  <c r="N25"/>
  <c r="Q11"/>
  <c r="R11" s="1"/>
  <c r="N11"/>
  <c r="O11" s="1"/>
  <c r="I95" i="14"/>
  <c r="I112" s="1"/>
  <c r="Q93"/>
  <c r="Q95" s="1"/>
  <c r="Q112" s="1"/>
  <c r="N93"/>
  <c r="Q80"/>
  <c r="N80"/>
  <c r="Q75"/>
  <c r="R75"/>
  <c r="N75"/>
  <c r="O75" s="1"/>
  <c r="Q70"/>
  <c r="R70" s="1"/>
  <c r="N70"/>
  <c r="O70" s="1"/>
  <c r="Q57"/>
  <c r="R57" s="1"/>
  <c r="N57"/>
  <c r="O57" s="1"/>
  <c r="Q53"/>
  <c r="N53"/>
  <c r="Q43"/>
  <c r="N43"/>
  <c r="N35"/>
  <c r="N104" s="1"/>
  <c r="K35"/>
  <c r="K104" s="1"/>
  <c r="Q21"/>
  <c r="N21"/>
  <c r="O21" s="1"/>
  <c r="P18"/>
  <c r="Q18" s="1"/>
  <c r="R18" s="1"/>
  <c r="I12"/>
  <c r="I100"/>
  <c r="Q10"/>
  <c r="N10"/>
  <c r="R92" i="16"/>
  <c r="O92"/>
  <c r="J86"/>
  <c r="J111" s="1"/>
  <c r="R84"/>
  <c r="S84" s="1"/>
  <c r="O84"/>
  <c r="P84" s="1"/>
  <c r="R78"/>
  <c r="S78" s="1"/>
  <c r="O78"/>
  <c r="P78" s="1"/>
  <c r="R74"/>
  <c r="S74" s="1"/>
  <c r="O74"/>
  <c r="P74" s="1"/>
  <c r="R69"/>
  <c r="S69" s="1"/>
  <c r="O69"/>
  <c r="P69" s="1"/>
  <c r="R60"/>
  <c r="S60" s="1"/>
  <c r="S62" s="1"/>
  <c r="S109" s="1"/>
  <c r="O60"/>
  <c r="O62" s="1"/>
  <c r="O109" s="1"/>
  <c r="R52"/>
  <c r="R107" s="1"/>
  <c r="L52"/>
  <c r="L107" s="1"/>
  <c r="Q48"/>
  <c r="R48" s="1"/>
  <c r="S48" s="1"/>
  <c r="J42"/>
  <c r="J105" s="1"/>
  <c r="R40"/>
  <c r="O40"/>
  <c r="R30"/>
  <c r="S30" s="1"/>
  <c r="O30"/>
  <c r="P30" s="1"/>
  <c r="R28"/>
  <c r="S28" s="1"/>
  <c r="O28"/>
  <c r="P28" s="1"/>
  <c r="R26"/>
  <c r="O26"/>
  <c r="Q21"/>
  <c r="R21" s="1"/>
  <c r="S21" s="1"/>
  <c r="Q19"/>
  <c r="R19" s="1"/>
  <c r="S19" s="1"/>
  <c r="J12"/>
  <c r="J101" s="1"/>
  <c r="R10"/>
  <c r="S10" s="1"/>
  <c r="O10"/>
  <c r="I103" i="17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N66"/>
  <c r="I58"/>
  <c r="I114"/>
  <c r="Q56"/>
  <c r="R56" s="1"/>
  <c r="N56"/>
  <c r="O56" s="1"/>
  <c r="Q52"/>
  <c r="N52"/>
  <c r="I44"/>
  <c r="I112" s="1"/>
  <c r="Q42"/>
  <c r="N42"/>
  <c r="M40"/>
  <c r="N40" s="1"/>
  <c r="O40" s="1"/>
  <c r="M35"/>
  <c r="N35" s="1"/>
  <c r="O35" s="1"/>
  <c r="Q24"/>
  <c r="N24"/>
  <c r="Q10"/>
  <c r="R10" s="1"/>
  <c r="N10"/>
  <c r="O10" s="1"/>
  <c r="I103" i="18"/>
  <c r="I120" s="1"/>
  <c r="Q101"/>
  <c r="N101"/>
  <c r="Q88"/>
  <c r="R88" s="1"/>
  <c r="N88"/>
  <c r="O88" s="1"/>
  <c r="Q83"/>
  <c r="R83" s="1"/>
  <c r="N83"/>
  <c r="O83" s="1"/>
  <c r="O58" i="19"/>
  <c r="O114" s="1"/>
  <c r="M39"/>
  <c r="N39" s="1"/>
  <c r="O39" s="1"/>
  <c r="S64" i="18"/>
  <c r="L42"/>
  <c r="K44"/>
  <c r="K112" s="1"/>
  <c r="L101" i="19"/>
  <c r="K103"/>
  <c r="K120" s="1"/>
  <c r="S81"/>
  <c r="L58"/>
  <c r="L26"/>
  <c r="K28"/>
  <c r="K110" s="1"/>
  <c r="L13"/>
  <c r="K15"/>
  <c r="K108" s="1"/>
  <c r="M40" i="18"/>
  <c r="N40" s="1"/>
  <c r="O40" s="1"/>
  <c r="G103" i="20"/>
  <c r="O19"/>
  <c r="L19"/>
  <c r="R19"/>
  <c r="K144" i="15"/>
  <c r="L144" s="1"/>
  <c r="Q144"/>
  <c r="R144" s="1"/>
  <c r="K139"/>
  <c r="Q139"/>
  <c r="R139" s="1"/>
  <c r="K96" i="10"/>
  <c r="Q96"/>
  <c r="I58" i="18"/>
  <c r="I114"/>
  <c r="Q56"/>
  <c r="R56" s="1"/>
  <c r="N56"/>
  <c r="O56" s="1"/>
  <c r="Q52"/>
  <c r="N52"/>
  <c r="I44"/>
  <c r="I112" s="1"/>
  <c r="Q42"/>
  <c r="N42"/>
  <c r="P34"/>
  <c r="Q34" s="1"/>
  <c r="R34" s="1"/>
  <c r="Q24"/>
  <c r="N24"/>
  <c r="Q10"/>
  <c r="R10" s="1"/>
  <c r="N10"/>
  <c r="O10" s="1"/>
  <c r="I103" i="19"/>
  <c r="I120" s="1"/>
  <c r="Q101"/>
  <c r="N101"/>
  <c r="Q88"/>
  <c r="R88" s="1"/>
  <c r="N88"/>
  <c r="O88" s="1"/>
  <c r="Q83"/>
  <c r="R83"/>
  <c r="N83"/>
  <c r="O83" s="1"/>
  <c r="I72"/>
  <c r="I116" s="1"/>
  <c r="Q70"/>
  <c r="R70" s="1"/>
  <c r="N70"/>
  <c r="O70" s="1"/>
  <c r="Q66"/>
  <c r="R66" s="1"/>
  <c r="N66"/>
  <c r="O66" s="1"/>
  <c r="P65" i="20"/>
  <c r="P67"/>
  <c r="P95" s="1"/>
  <c r="N65"/>
  <c r="P52"/>
  <c r="P54" s="1"/>
  <c r="P91" s="1"/>
  <c r="P75"/>
  <c r="Q75" s="1"/>
  <c r="R75" s="1"/>
  <c r="N52"/>
  <c r="K52"/>
  <c r="Q52"/>
  <c r="L20"/>
  <c r="R20"/>
  <c r="R22" s="1"/>
  <c r="R88" s="1"/>
  <c r="O20"/>
  <c r="O22" s="1"/>
  <c r="O88" s="1"/>
  <c r="O17"/>
  <c r="L17"/>
  <c r="R17"/>
  <c r="K95" i="11"/>
  <c r="Q95"/>
  <c r="R95" s="1"/>
  <c r="Q64" i="19"/>
  <c r="N64"/>
  <c r="N58"/>
  <c r="N114" s="1"/>
  <c r="K58"/>
  <c r="K114" s="1"/>
  <c r="P50"/>
  <c r="Q50" s="1"/>
  <c r="R50" s="1"/>
  <c r="N44"/>
  <c r="N112" s="1"/>
  <c r="Q26"/>
  <c r="N26"/>
  <c r="Q13"/>
  <c r="R13" s="1"/>
  <c r="N13"/>
  <c r="O13" s="1"/>
  <c r="S21" i="20"/>
  <c r="S87" s="1"/>
  <c r="C44" i="21" s="1"/>
  <c r="M109" i="15"/>
  <c r="N109" s="1"/>
  <c r="O109" s="1"/>
  <c r="L88" i="10"/>
  <c r="L88" i="9"/>
  <c r="Q196" i="24"/>
  <c r="R196" s="1"/>
  <c r="N196"/>
  <c r="O196" s="1"/>
  <c r="O78"/>
  <c r="M68" i="15"/>
  <c r="N68" s="1"/>
  <c r="O68" s="1"/>
  <c r="Q85" i="11"/>
  <c r="R85" s="1"/>
  <c r="Q86" i="1"/>
  <c r="R86" s="1"/>
  <c r="N73"/>
  <c r="O73" s="1"/>
  <c r="N86"/>
  <c r="O86" s="1"/>
  <c r="Q86" i="9"/>
  <c r="R86" s="1"/>
  <c r="N73"/>
  <c r="O73" s="1"/>
  <c r="S73" s="1"/>
  <c r="N86"/>
  <c r="O86" s="1"/>
  <c r="T81" i="24"/>
  <c r="M49" i="15"/>
  <c r="M50"/>
  <c r="N50" s="1"/>
  <c r="O50" s="1"/>
  <c r="Q48" i="1"/>
  <c r="R48" s="1"/>
  <c r="Q48" i="9"/>
  <c r="Q50" s="1"/>
  <c r="Q109" s="1"/>
  <c r="P20" i="22"/>
  <c r="P22" s="1"/>
  <c r="P52" s="1"/>
  <c r="P63" s="1"/>
  <c r="P34" i="1"/>
  <c r="Q34" s="1"/>
  <c r="R34" s="1"/>
  <c r="P36" i="20"/>
  <c r="Q36" s="1"/>
  <c r="R36" s="1"/>
  <c r="P31"/>
  <c r="Q31" s="1"/>
  <c r="R31" s="1"/>
  <c r="P25" i="24"/>
  <c r="P21" i="11"/>
  <c r="Q21" s="1"/>
  <c r="R21" s="1"/>
  <c r="N39" i="15"/>
  <c r="Q27" i="11"/>
  <c r="Q26" i="10"/>
  <c r="R26" s="1"/>
  <c r="Q22" i="15"/>
  <c r="R22" s="1"/>
  <c r="L113" i="9"/>
  <c r="L113" i="10"/>
  <c r="O26" i="19"/>
  <c r="O28" s="1"/>
  <c r="O110" s="1"/>
  <c r="N28"/>
  <c r="N110" s="1"/>
  <c r="Q72"/>
  <c r="Q116" s="1"/>
  <c r="R64"/>
  <c r="L95" i="11"/>
  <c r="K97"/>
  <c r="K114" s="1"/>
  <c r="U20" i="20"/>
  <c r="U22" s="1"/>
  <c r="U88" s="1"/>
  <c r="L22"/>
  <c r="J88" s="1"/>
  <c r="L52"/>
  <c r="K54"/>
  <c r="K91" s="1"/>
  <c r="K102" s="1"/>
  <c r="O65"/>
  <c r="N67"/>
  <c r="N95"/>
  <c r="R101" i="19"/>
  <c r="O24" i="18"/>
  <c r="R42"/>
  <c r="R44" s="1"/>
  <c r="R112" s="1"/>
  <c r="Q44"/>
  <c r="Q112"/>
  <c r="O52"/>
  <c r="N58"/>
  <c r="N114" s="1"/>
  <c r="L96" i="10"/>
  <c r="L139" i="15"/>
  <c r="K146"/>
  <c r="K164" s="1"/>
  <c r="L15" i="19"/>
  <c r="L28"/>
  <c r="L44" i="18"/>
  <c r="L112" s="1"/>
  <c r="R101"/>
  <c r="R103" s="1"/>
  <c r="Q103"/>
  <c r="Q120" s="1"/>
  <c r="O24" i="17"/>
  <c r="O42"/>
  <c r="O44" s="1"/>
  <c r="O112" s="1"/>
  <c r="N44"/>
  <c r="N112" s="1"/>
  <c r="R52"/>
  <c r="R58" s="1"/>
  <c r="Q58"/>
  <c r="Q114" s="1"/>
  <c r="O66"/>
  <c r="N72"/>
  <c r="N116" s="1"/>
  <c r="R101"/>
  <c r="P10" i="16"/>
  <c r="P12" s="1"/>
  <c r="O12"/>
  <c r="O101" s="1"/>
  <c r="P26"/>
  <c r="P32" s="1"/>
  <c r="P103" s="1"/>
  <c r="O32"/>
  <c r="O103" s="1"/>
  <c r="P40"/>
  <c r="P42" s="1"/>
  <c r="P105" s="1"/>
  <c r="O42"/>
  <c r="O105" s="1"/>
  <c r="P92"/>
  <c r="O10" i="14"/>
  <c r="O12" s="1"/>
  <c r="O100" s="1"/>
  <c r="N12"/>
  <c r="N100" s="1"/>
  <c r="R21"/>
  <c r="R43"/>
  <c r="R53"/>
  <c r="R80"/>
  <c r="R93"/>
  <c r="R95" s="1"/>
  <c r="R112" s="1"/>
  <c r="O25" i="13"/>
  <c r="O47"/>
  <c r="O57"/>
  <c r="O84"/>
  <c r="L95" i="20"/>
  <c r="S17"/>
  <c r="S19"/>
  <c r="R62" i="16"/>
  <c r="R109" s="1"/>
  <c r="R27" i="11"/>
  <c r="Q29"/>
  <c r="Q104" s="1"/>
  <c r="R26" i="19"/>
  <c r="R28" s="1"/>
  <c r="R110" s="1"/>
  <c r="Q28"/>
  <c r="Q110" s="1"/>
  <c r="N72"/>
  <c r="N116" s="1"/>
  <c r="O64"/>
  <c r="R52" i="20"/>
  <c r="O52"/>
  <c r="O101" i="19"/>
  <c r="R24" i="18"/>
  <c r="O42"/>
  <c r="O44" s="1"/>
  <c r="O112" s="1"/>
  <c r="N44"/>
  <c r="N112" s="1"/>
  <c r="R52"/>
  <c r="Q58"/>
  <c r="Q114" s="1"/>
  <c r="R96" i="10"/>
  <c r="L114" i="19"/>
  <c r="O101" i="18"/>
  <c r="O103" s="1"/>
  <c r="O120" s="1"/>
  <c r="N103"/>
  <c r="N120" s="1"/>
  <c r="R24" i="17"/>
  <c r="R42"/>
  <c r="R44"/>
  <c r="R112" s="1"/>
  <c r="Q44"/>
  <c r="Q112" s="1"/>
  <c r="O52"/>
  <c r="O58" s="1"/>
  <c r="O114" s="1"/>
  <c r="N58"/>
  <c r="N114" s="1"/>
  <c r="R66"/>
  <c r="O101"/>
  <c r="S26" i="16"/>
  <c r="R32"/>
  <c r="R103" s="1"/>
  <c r="S40"/>
  <c r="S42" s="1"/>
  <c r="S105" s="1"/>
  <c r="R42"/>
  <c r="R105" s="1"/>
  <c r="S92"/>
  <c r="R10" i="14"/>
  <c r="R12" s="1"/>
  <c r="R100" s="1"/>
  <c r="Q12"/>
  <c r="Q100" s="1"/>
  <c r="O43"/>
  <c r="S43" s="1"/>
  <c r="O53"/>
  <c r="N61"/>
  <c r="N108" s="1"/>
  <c r="O80"/>
  <c r="S80" s="1"/>
  <c r="O93"/>
  <c r="O95" s="1"/>
  <c r="O112" s="1"/>
  <c r="R25" i="13"/>
  <c r="O66" i="18"/>
  <c r="N72"/>
  <c r="N116" s="1"/>
  <c r="I95" i="12"/>
  <c r="C99"/>
  <c r="C116" s="1"/>
  <c r="M109" i="16"/>
  <c r="N15" i="12"/>
  <c r="I103"/>
  <c r="Q15"/>
  <c r="R15" i="11"/>
  <c r="R102" s="1"/>
  <c r="Q102"/>
  <c r="O25"/>
  <c r="Q84" i="24"/>
  <c r="N84"/>
  <c r="M105"/>
  <c r="M237" s="1"/>
  <c r="K113"/>
  <c r="L113" s="1"/>
  <c r="K161"/>
  <c r="L161" s="1"/>
  <c r="J198"/>
  <c r="J241" s="1"/>
  <c r="O206"/>
  <c r="N99" i="15"/>
  <c r="K99"/>
  <c r="N22" i="7"/>
  <c r="N112" s="1"/>
  <c r="M112"/>
  <c r="L36" i="1"/>
  <c r="L46"/>
  <c r="L50" s="1"/>
  <c r="L58"/>
  <c r="O15" i="10"/>
  <c r="O103" s="1"/>
  <c r="N103"/>
  <c r="L36" i="9"/>
  <c r="K38"/>
  <c r="K107" s="1"/>
  <c r="L46"/>
  <c r="K50"/>
  <c r="K109" s="1"/>
  <c r="L58"/>
  <c r="K64"/>
  <c r="K111" s="1"/>
  <c r="Q24" i="15"/>
  <c r="R47" i="13"/>
  <c r="R57"/>
  <c r="L15" i="18"/>
  <c r="L28"/>
  <c r="L110" s="1"/>
  <c r="S24"/>
  <c r="L58"/>
  <c r="L114" s="1"/>
  <c r="R66"/>
  <c r="R72" s="1"/>
  <c r="R116" s="1"/>
  <c r="Q72"/>
  <c r="Q116"/>
  <c r="L66"/>
  <c r="I27" i="12"/>
  <c r="C29"/>
  <c r="C106" s="1"/>
  <c r="I72"/>
  <c r="C89"/>
  <c r="C114" s="1"/>
  <c r="S52" i="17"/>
  <c r="M111" i="16"/>
  <c r="L12" i="14"/>
  <c r="N102" i="11"/>
  <c r="L25"/>
  <c r="K29"/>
  <c r="K104" s="1"/>
  <c r="K84" i="24"/>
  <c r="J105"/>
  <c r="J237" s="1"/>
  <c r="L206"/>
  <c r="K225"/>
  <c r="K243" s="1"/>
  <c r="Q99" i="15"/>
  <c r="P101"/>
  <c r="P160" s="1"/>
  <c r="Q22" i="7"/>
  <c r="Q112" s="1"/>
  <c r="P112"/>
  <c r="O36" i="1"/>
  <c r="O38" s="1"/>
  <c r="O107" s="1"/>
  <c r="N38"/>
  <c r="N107" s="1"/>
  <c r="O46"/>
  <c r="O58"/>
  <c r="R15" i="10"/>
  <c r="R103" s="1"/>
  <c r="Q103"/>
  <c r="O36" i="9"/>
  <c r="O38" s="1"/>
  <c r="O107" s="1"/>
  <c r="N38"/>
  <c r="N107" s="1"/>
  <c r="O46"/>
  <c r="O50" s="1"/>
  <c r="O109" s="1"/>
  <c r="N50"/>
  <c r="N109" s="1"/>
  <c r="O58"/>
  <c r="N64"/>
  <c r="N111" s="1"/>
  <c r="I96" i="13"/>
  <c r="I73"/>
  <c r="C90"/>
  <c r="C115" s="1"/>
  <c r="C26" i="14"/>
  <c r="C103" s="1"/>
  <c r="I24"/>
  <c r="C53" i="16"/>
  <c r="C108" s="1"/>
  <c r="J51"/>
  <c r="I82" i="17"/>
  <c r="C94"/>
  <c r="C119" s="1"/>
  <c r="I65"/>
  <c r="C73"/>
  <c r="C117" s="1"/>
  <c r="C29"/>
  <c r="C111" s="1"/>
  <c r="I27"/>
  <c r="I100" i="18"/>
  <c r="C104"/>
  <c r="C121" s="1"/>
  <c r="I58" i="13"/>
  <c r="C66"/>
  <c r="C113" s="1"/>
  <c r="I44" i="14"/>
  <c r="C48"/>
  <c r="C107" s="1"/>
  <c r="I11"/>
  <c r="C13"/>
  <c r="C101" s="1"/>
  <c r="C33" i="16"/>
  <c r="C104" s="1"/>
  <c r="J31"/>
  <c r="I53" i="17"/>
  <c r="C59"/>
  <c r="C115" s="1"/>
  <c r="I65" i="18"/>
  <c r="C73"/>
  <c r="C117" s="1"/>
  <c r="C29"/>
  <c r="C111" s="1"/>
  <c r="I27"/>
  <c r="I100" i="19"/>
  <c r="C104"/>
  <c r="C121" s="1"/>
  <c r="I205" i="24"/>
  <c r="C226"/>
  <c r="C244" s="1"/>
  <c r="I137" i="15"/>
  <c r="C147"/>
  <c r="C165" s="1"/>
  <c r="H104" i="7"/>
  <c r="B108"/>
  <c r="B125" s="1"/>
  <c r="I94" i="11"/>
  <c r="C98"/>
  <c r="C115" s="1"/>
  <c r="I95" i="1"/>
  <c r="C99"/>
  <c r="C116" s="1"/>
  <c r="I11" i="18"/>
  <c r="C16"/>
  <c r="C109" s="1"/>
  <c r="I11" i="19"/>
  <c r="C16"/>
  <c r="C109" s="1"/>
  <c r="I95" i="9"/>
  <c r="C99"/>
  <c r="C116" s="1"/>
  <c r="I75" i="11"/>
  <c r="C88"/>
  <c r="C113" s="1"/>
  <c r="I112" i="24"/>
  <c r="C147"/>
  <c r="C240" s="1"/>
  <c r="I100" i="15"/>
  <c r="C102"/>
  <c r="C161" s="1"/>
  <c r="H64" i="7"/>
  <c r="B72"/>
  <c r="B121" s="1"/>
  <c r="I158" i="24"/>
  <c r="C199"/>
  <c r="C242" s="1"/>
  <c r="I72" i="1"/>
  <c r="C89"/>
  <c r="C114" s="1"/>
  <c r="M77" i="10"/>
  <c r="N77" s="1"/>
  <c r="O77" s="1"/>
  <c r="I72" i="9"/>
  <c r="C89"/>
  <c r="C114" s="1"/>
  <c r="M145" i="24"/>
  <c r="N145" s="1"/>
  <c r="O145" s="1"/>
  <c r="M136"/>
  <c r="M127"/>
  <c r="N127" s="1"/>
  <c r="O127" s="1"/>
  <c r="M118"/>
  <c r="N118" s="1"/>
  <c r="O118" s="1"/>
  <c r="M62" i="11"/>
  <c r="N62" s="1"/>
  <c r="O62" s="1"/>
  <c r="M63" i="10"/>
  <c r="N63" s="1"/>
  <c r="O63" s="1"/>
  <c r="M59"/>
  <c r="N59" s="1"/>
  <c r="M104" i="24"/>
  <c r="N104" s="1"/>
  <c r="O104" s="1"/>
  <c r="M96"/>
  <c r="N96" s="1"/>
  <c r="M87"/>
  <c r="N87" s="1"/>
  <c r="O87" s="1"/>
  <c r="H54" i="7"/>
  <c r="B58"/>
  <c r="B119" s="1"/>
  <c r="I47" i="1"/>
  <c r="C51"/>
  <c r="C110" s="1"/>
  <c r="M102" i="24"/>
  <c r="N102" s="1"/>
  <c r="O102" s="1"/>
  <c r="M93"/>
  <c r="N93" s="1"/>
  <c r="O93" s="1"/>
  <c r="I85"/>
  <c r="C106"/>
  <c r="C238" s="1"/>
  <c r="I47" i="9"/>
  <c r="C51"/>
  <c r="C110" s="1"/>
  <c r="M60" i="15"/>
  <c r="N60" s="1"/>
  <c r="O60" s="1"/>
  <c r="M37" i="1"/>
  <c r="M68" i="24"/>
  <c r="N68" s="1"/>
  <c r="O68" s="1"/>
  <c r="M56" i="15"/>
  <c r="N56" s="1"/>
  <c r="O56" s="1"/>
  <c r="I40"/>
  <c r="C44"/>
  <c r="C155" s="1"/>
  <c r="M26" i="11"/>
  <c r="N26" s="1"/>
  <c r="O26" s="1"/>
  <c r="I27" i="10"/>
  <c r="C29"/>
  <c r="C106" s="1"/>
  <c r="M43" i="24"/>
  <c r="N43" s="1"/>
  <c r="O43" s="1"/>
  <c r="M42" i="15"/>
  <c r="N42" s="1"/>
  <c r="O42" s="1"/>
  <c r="L32" i="7"/>
  <c r="M32" s="1"/>
  <c r="N32" s="1"/>
  <c r="M23" i="15"/>
  <c r="N23" s="1"/>
  <c r="O23" s="1"/>
  <c r="M14" i="11"/>
  <c r="N14" s="1"/>
  <c r="O14" s="1"/>
  <c r="M14" i="10"/>
  <c r="N14" s="1"/>
  <c r="O14" s="1"/>
  <c r="M25"/>
  <c r="N25" s="1"/>
  <c r="O25" s="1"/>
  <c r="R26" i="12"/>
  <c r="R36"/>
  <c r="R38" s="1"/>
  <c r="R107" s="1"/>
  <c r="Q38"/>
  <c r="Q107" s="1"/>
  <c r="I47"/>
  <c r="C51"/>
  <c r="C110" s="1"/>
  <c r="R48"/>
  <c r="O58"/>
  <c r="O94"/>
  <c r="L10" i="11"/>
  <c r="K15"/>
  <c r="K102" s="1"/>
  <c r="R59"/>
  <c r="Q67"/>
  <c r="Q110" s="1"/>
  <c r="R74"/>
  <c r="Q87"/>
  <c r="Q112" s="1"/>
  <c r="O93"/>
  <c r="Q111" i="24"/>
  <c r="P146"/>
  <c r="P239" s="1"/>
  <c r="N157"/>
  <c r="M198"/>
  <c r="M241" s="1"/>
  <c r="M59" i="15"/>
  <c r="N59" s="1"/>
  <c r="O59" s="1"/>
  <c r="M112"/>
  <c r="N112" s="1"/>
  <c r="O112" s="1"/>
  <c r="R53"/>
  <c r="Q61"/>
  <c r="Q156" s="1"/>
  <c r="O136"/>
  <c r="K17" i="7"/>
  <c r="J22"/>
  <c r="J112" s="1"/>
  <c r="O24" i="1"/>
  <c r="O28" s="1"/>
  <c r="N28"/>
  <c r="N105" s="1"/>
  <c r="O94"/>
  <c r="O24" i="9"/>
  <c r="O28" s="1"/>
  <c r="O105" s="1"/>
  <c r="N28"/>
  <c r="N105" s="1"/>
  <c r="O94"/>
  <c r="M12" i="16"/>
  <c r="T40"/>
  <c r="T42" s="1"/>
  <c r="T105" s="1"/>
  <c r="M42"/>
  <c r="M105" s="1"/>
  <c r="L61" i="14"/>
  <c r="S53"/>
  <c r="S47" i="13"/>
  <c r="L39" i="11"/>
  <c r="K41"/>
  <c r="K106" s="1"/>
  <c r="L49"/>
  <c r="L65" i="24"/>
  <c r="L36" i="15"/>
  <c r="R15" i="1"/>
  <c r="R103" s="1"/>
  <c r="Q103"/>
  <c r="O36" i="10"/>
  <c r="O38" s="1"/>
  <c r="O107" s="1"/>
  <c r="N38"/>
  <c r="N107" s="1"/>
  <c r="O46"/>
  <c r="O58"/>
  <c r="N64"/>
  <c r="N111" s="1"/>
  <c r="N21" i="12"/>
  <c r="O21" s="1"/>
  <c r="L38"/>
  <c r="L107" s="1"/>
  <c r="L157" i="24"/>
  <c r="I77" i="12"/>
  <c r="I81"/>
  <c r="I87"/>
  <c r="S88" i="24"/>
  <c r="E30" i="13"/>
  <c r="E107" s="1"/>
  <c r="E96" i="14"/>
  <c r="E113" s="1"/>
  <c r="E86"/>
  <c r="E111" s="1"/>
  <c r="E63" i="16"/>
  <c r="E110" s="1"/>
  <c r="E104" i="17"/>
  <c r="E121" s="1"/>
  <c r="E94" i="18"/>
  <c r="E119" s="1"/>
  <c r="E52" i="13"/>
  <c r="E111" s="1"/>
  <c r="E17"/>
  <c r="E105" s="1"/>
  <c r="E62" i="14"/>
  <c r="E109" s="1"/>
  <c r="E97" i="16"/>
  <c r="E114" s="1"/>
  <c r="E87"/>
  <c r="E112" s="1"/>
  <c r="E16" i="17"/>
  <c r="E109" s="1"/>
  <c r="E94" i="19"/>
  <c r="E119" s="1"/>
  <c r="E73"/>
  <c r="E117" s="1"/>
  <c r="E29"/>
  <c r="E111" s="1"/>
  <c r="E16" i="18"/>
  <c r="E109" s="1"/>
  <c r="E16" i="19"/>
  <c r="E109" s="1"/>
  <c r="E131" i="15"/>
  <c r="E163" s="1"/>
  <c r="E102"/>
  <c r="E161" s="1"/>
  <c r="D72" i="7"/>
  <c r="D121" s="1"/>
  <c r="E199" i="24"/>
  <c r="E242" s="1"/>
  <c r="E89" i="1"/>
  <c r="E114" s="1"/>
  <c r="E89" i="9"/>
  <c r="E114" s="1"/>
  <c r="D58" i="7"/>
  <c r="D119" s="1"/>
  <c r="E51" i="1"/>
  <c r="E110" s="1"/>
  <c r="E51" i="9"/>
  <c r="E110" s="1"/>
  <c r="E79" i="15"/>
  <c r="E159" s="1"/>
  <c r="E54" i="11"/>
  <c r="E109" s="1"/>
  <c r="E51" i="10"/>
  <c r="E110" s="1"/>
  <c r="E44" i="15"/>
  <c r="E155" s="1"/>
  <c r="E20" i="24"/>
  <c r="E232" s="1"/>
  <c r="E25" i="15"/>
  <c r="E153" s="1"/>
  <c r="D23" i="7"/>
  <c r="D113" s="1"/>
  <c r="E16" i="11"/>
  <c r="E103" s="1"/>
  <c r="E16" i="1"/>
  <c r="E104" s="1"/>
  <c r="E16" i="10"/>
  <c r="E104" s="1"/>
  <c r="E16" i="9"/>
  <c r="E104" s="1"/>
  <c r="G16" i="12"/>
  <c r="G104" s="1"/>
  <c r="G30" i="13"/>
  <c r="G107" s="1"/>
  <c r="G96" i="14"/>
  <c r="G113" s="1"/>
  <c r="G86"/>
  <c r="G111" s="1"/>
  <c r="G63" i="16"/>
  <c r="G110" s="1"/>
  <c r="G104" i="17"/>
  <c r="G121" s="1"/>
  <c r="G94" i="18"/>
  <c r="G119" s="1"/>
  <c r="G52" i="13"/>
  <c r="G111" s="1"/>
  <c r="G17"/>
  <c r="G105" s="1"/>
  <c r="G62" i="14"/>
  <c r="G109" s="1"/>
  <c r="G97" i="16"/>
  <c r="G114" s="1"/>
  <c r="G87"/>
  <c r="G112" s="1"/>
  <c r="G16" i="17"/>
  <c r="G109" s="1"/>
  <c r="G94" i="19"/>
  <c r="G119" s="1"/>
  <c r="G73"/>
  <c r="G117" s="1"/>
  <c r="G59" i="18"/>
  <c r="G115" s="1"/>
  <c r="G59" i="19"/>
  <c r="G115" s="1"/>
  <c r="G131" i="15"/>
  <c r="G163" s="1"/>
  <c r="F98" i="7"/>
  <c r="F123" s="1"/>
  <c r="G89" i="10"/>
  <c r="G114" s="1"/>
  <c r="G68" i="11"/>
  <c r="G111" s="1"/>
  <c r="G65" i="1"/>
  <c r="G112" s="1"/>
  <c r="G65" i="10"/>
  <c r="G112" s="1"/>
  <c r="G65" i="9"/>
  <c r="G112" s="1"/>
  <c r="G79" i="15"/>
  <c r="G159" s="1"/>
  <c r="G54" i="11"/>
  <c r="G109" s="1"/>
  <c r="G51" i="10"/>
  <c r="G110" s="1"/>
  <c r="G72" i="24"/>
  <c r="G236" s="1"/>
  <c r="G62" i="15"/>
  <c r="G157" s="1"/>
  <c r="G51" i="24"/>
  <c r="G234" s="1"/>
  <c r="F36" i="7"/>
  <c r="F115" s="1"/>
  <c r="G29" i="1"/>
  <c r="G106" s="1"/>
  <c r="G29" i="10"/>
  <c r="G106" s="1"/>
  <c r="G30" i="11"/>
  <c r="G105" s="1"/>
  <c r="G29" i="9"/>
  <c r="G106" s="1"/>
  <c r="I25" i="12"/>
  <c r="F29"/>
  <c r="F106" s="1"/>
  <c r="G51"/>
  <c r="G110" s="1"/>
  <c r="E65"/>
  <c r="E112" s="1"/>
  <c r="D89"/>
  <c r="D114" s="1"/>
  <c r="H89"/>
  <c r="H114" s="1"/>
  <c r="D99"/>
  <c r="D116" s="1"/>
  <c r="H99"/>
  <c r="H116" s="1"/>
  <c r="I77" i="15"/>
  <c r="S95" i="24"/>
  <c r="S101"/>
  <c r="S129"/>
  <c r="S95" i="15"/>
  <c r="D52" i="13"/>
  <c r="D111" s="1"/>
  <c r="D62" i="14"/>
  <c r="D109" s="1"/>
  <c r="D97" i="16"/>
  <c r="D114" s="1"/>
  <c r="D87"/>
  <c r="D112" s="1"/>
  <c r="D16" i="17"/>
  <c r="D109" s="1"/>
  <c r="D26" i="14"/>
  <c r="D103" s="1"/>
  <c r="D94" i="17"/>
  <c r="D119" s="1"/>
  <c r="D73"/>
  <c r="D117" s="1"/>
  <c r="D29"/>
  <c r="D111" s="1"/>
  <c r="D104" i="18"/>
  <c r="D121" s="1"/>
  <c r="D16" i="19"/>
  <c r="D109" s="1"/>
  <c r="D94"/>
  <c r="D119" s="1"/>
  <c r="D73"/>
  <c r="D117" s="1"/>
  <c r="D29"/>
  <c r="D111" s="1"/>
  <c r="D199" i="24"/>
  <c r="D242" s="1"/>
  <c r="D89" i="1"/>
  <c r="D114" s="1"/>
  <c r="D89" i="9"/>
  <c r="D114" s="1"/>
  <c r="D88" i="11"/>
  <c r="D113" s="1"/>
  <c r="D68"/>
  <c r="D111" s="1"/>
  <c r="D65" i="1"/>
  <c r="D112" s="1"/>
  <c r="D65" i="10"/>
  <c r="D112" s="1"/>
  <c r="D65" i="9"/>
  <c r="D112" s="1"/>
  <c r="D51"/>
  <c r="D110" s="1"/>
  <c r="D62" i="15"/>
  <c r="D157" s="1"/>
  <c r="D30" i="11"/>
  <c r="D105" s="1"/>
  <c r="D51" i="24"/>
  <c r="D234" s="1"/>
  <c r="C36" i="7"/>
  <c r="C115" s="1"/>
  <c r="D29" i="1"/>
  <c r="D106" s="1"/>
  <c r="D20" i="24"/>
  <c r="D232" s="1"/>
  <c r="D25" i="15"/>
  <c r="D153" s="1"/>
  <c r="C23" i="7"/>
  <c r="C113" s="1"/>
  <c r="D16" i="11"/>
  <c r="D103" s="1"/>
  <c r="D16" i="1"/>
  <c r="D104" s="1"/>
  <c r="D16" i="10"/>
  <c r="D104" s="1"/>
  <c r="D16" i="9"/>
  <c r="D104" s="1"/>
  <c r="F17" i="13"/>
  <c r="F105" s="1"/>
  <c r="F62" i="14"/>
  <c r="F109" s="1"/>
  <c r="F87" i="16"/>
  <c r="F112" s="1"/>
  <c r="F30" i="13"/>
  <c r="F107" s="1"/>
  <c r="F96" i="14"/>
  <c r="F113" s="1"/>
  <c r="F86"/>
  <c r="F111" s="1"/>
  <c r="F63" i="16"/>
  <c r="F110" s="1"/>
  <c r="F104" i="17"/>
  <c r="F121" s="1"/>
  <c r="F94" i="18"/>
  <c r="F119" s="1"/>
  <c r="F16" i="19"/>
  <c r="F109" s="1"/>
  <c r="F94"/>
  <c r="F119" s="1"/>
  <c r="F73"/>
  <c r="F117" s="1"/>
  <c r="F29"/>
  <c r="F111" s="1"/>
  <c r="F199" i="24"/>
  <c r="F242" s="1"/>
  <c r="F89" i="1"/>
  <c r="F114" s="1"/>
  <c r="F89" i="9"/>
  <c r="F114" s="1"/>
  <c r="F68" i="11"/>
  <c r="F111" s="1"/>
  <c r="F88"/>
  <c r="F113" s="1"/>
  <c r="F79" i="15"/>
  <c r="F159" s="1"/>
  <c r="F54" i="11"/>
  <c r="F109" s="1"/>
  <c r="F51" i="10"/>
  <c r="F110" s="1"/>
  <c r="E58" i="7"/>
  <c r="E119" s="1"/>
  <c r="F51" i="1"/>
  <c r="F110" s="1"/>
  <c r="F51" i="9"/>
  <c r="F110" s="1"/>
  <c r="F62" i="15"/>
  <c r="F157" s="1"/>
  <c r="F30" i="11"/>
  <c r="F105" s="1"/>
  <c r="F51" i="24"/>
  <c r="F234" s="1"/>
  <c r="E36" i="7"/>
  <c r="E115" s="1"/>
  <c r="F29" i="1"/>
  <c r="F106" s="1"/>
  <c r="F20" i="24"/>
  <c r="F232" s="1"/>
  <c r="F25" i="15"/>
  <c r="F153" s="1"/>
  <c r="E23" i="7"/>
  <c r="E113" s="1"/>
  <c r="F16" i="11"/>
  <c r="F103" s="1"/>
  <c r="F16" i="1"/>
  <c r="F104" s="1"/>
  <c r="F16" i="10"/>
  <c r="F104" s="1"/>
  <c r="F16" i="9"/>
  <c r="F104" s="1"/>
  <c r="H17" i="13"/>
  <c r="H105" s="1"/>
  <c r="H62" i="14"/>
  <c r="H109" s="1"/>
  <c r="H87" i="16"/>
  <c r="H112" s="1"/>
  <c r="H30" i="13"/>
  <c r="H107" s="1"/>
  <c r="H96" i="14"/>
  <c r="H113" s="1"/>
  <c r="H86"/>
  <c r="H111" s="1"/>
  <c r="H63" i="16"/>
  <c r="H110" s="1"/>
  <c r="H104" i="17"/>
  <c r="H121" s="1"/>
  <c r="H94" i="18"/>
  <c r="H119" s="1"/>
  <c r="H59"/>
  <c r="H115" s="1"/>
  <c r="H59" i="19"/>
  <c r="H115" s="1"/>
  <c r="H94"/>
  <c r="H119" s="1"/>
  <c r="H73"/>
  <c r="H117" s="1"/>
  <c r="H29"/>
  <c r="H111" s="1"/>
  <c r="H199" i="24"/>
  <c r="H242" s="1"/>
  <c r="H89" i="1"/>
  <c r="H114" s="1"/>
  <c r="H89" i="9"/>
  <c r="H114" s="1"/>
  <c r="H88" i="11"/>
  <c r="H113" s="1"/>
  <c r="H147" i="24"/>
  <c r="H240" s="1"/>
  <c r="H102" i="15"/>
  <c r="H161" s="1"/>
  <c r="G72" i="7"/>
  <c r="G121" s="1"/>
  <c r="H106" i="24"/>
  <c r="H238" s="1"/>
  <c r="G58" i="7"/>
  <c r="G119" s="1"/>
  <c r="H51" i="1"/>
  <c r="H110" s="1"/>
  <c r="H72" i="24"/>
  <c r="H236" s="1"/>
  <c r="H44" i="15"/>
  <c r="H155" s="1"/>
  <c r="H29" i="10"/>
  <c r="H106" s="1"/>
  <c r="K67" i="11"/>
  <c r="K110" s="1"/>
  <c r="K64" i="10"/>
  <c r="K111" s="1"/>
  <c r="N33" i="15"/>
  <c r="O33" s="1"/>
  <c r="I11" i="12"/>
  <c r="C16"/>
  <c r="C104" s="1"/>
  <c r="C30" i="13"/>
  <c r="C107" s="1"/>
  <c r="I28"/>
  <c r="I92" i="14"/>
  <c r="C96"/>
  <c r="C113" s="1"/>
  <c r="I69"/>
  <c r="C86"/>
  <c r="C111" s="1"/>
  <c r="C63" i="16"/>
  <c r="C110" s="1"/>
  <c r="J59"/>
  <c r="I100" i="17"/>
  <c r="C104"/>
  <c r="C121" s="1"/>
  <c r="I82" i="18"/>
  <c r="C94"/>
  <c r="C119" s="1"/>
  <c r="I48" i="13"/>
  <c r="C52"/>
  <c r="C111" s="1"/>
  <c r="I12"/>
  <c r="C17"/>
  <c r="C105" s="1"/>
  <c r="I54" i="14"/>
  <c r="C62"/>
  <c r="C109" s="1"/>
  <c r="J93" i="16"/>
  <c r="C97"/>
  <c r="C114" s="1"/>
  <c r="J70"/>
  <c r="C87"/>
  <c r="C112" s="1"/>
  <c r="J11"/>
  <c r="C13"/>
  <c r="C102" s="1"/>
  <c r="I11" i="17"/>
  <c r="C16"/>
  <c r="C109" s="1"/>
  <c r="I82" i="19"/>
  <c r="C94"/>
  <c r="C119" s="1"/>
  <c r="I65"/>
  <c r="C73"/>
  <c r="C117" s="1"/>
  <c r="C29"/>
  <c r="C111" s="1"/>
  <c r="I27"/>
  <c r="I95" i="10"/>
  <c r="C99"/>
  <c r="C116" s="1"/>
  <c r="I53" i="18"/>
  <c r="C59"/>
  <c r="C115" s="1"/>
  <c r="I53" i="19"/>
  <c r="C59"/>
  <c r="C115" s="1"/>
  <c r="I113" i="15"/>
  <c r="C131"/>
  <c r="C163" s="1"/>
  <c r="H79" i="7"/>
  <c r="B98"/>
  <c r="B123" s="1"/>
  <c r="I72" i="10"/>
  <c r="C89"/>
  <c r="C114" s="1"/>
  <c r="M81"/>
  <c r="N81" s="1"/>
  <c r="O81" s="1"/>
  <c r="I66" i="20"/>
  <c r="C68"/>
  <c r="C96" s="1"/>
  <c r="C103" s="1"/>
  <c r="M141" i="24"/>
  <c r="N141" s="1"/>
  <c r="O141" s="1"/>
  <c r="M132"/>
  <c r="N132" s="1"/>
  <c r="O132" s="1"/>
  <c r="M123"/>
  <c r="N123" s="1"/>
  <c r="O123" s="1"/>
  <c r="M114"/>
  <c r="N114" s="1"/>
  <c r="O114" s="1"/>
  <c r="I60" i="11"/>
  <c r="C68"/>
  <c r="C111" s="1"/>
  <c r="I57" i="1"/>
  <c r="C65"/>
  <c r="C112" s="1"/>
  <c r="M61" i="10"/>
  <c r="N61" s="1"/>
  <c r="O61" s="1"/>
  <c r="I57"/>
  <c r="C65"/>
  <c r="C112" s="1"/>
  <c r="I57" i="9"/>
  <c r="C65"/>
  <c r="C112" s="1"/>
  <c r="M100" i="24"/>
  <c r="N100" s="1"/>
  <c r="O100" s="1"/>
  <c r="M91"/>
  <c r="N91" s="1"/>
  <c r="O91" s="1"/>
  <c r="M75" i="15"/>
  <c r="M49" i="10"/>
  <c r="M98" i="24"/>
  <c r="N98" s="1"/>
  <c r="O98" s="1"/>
  <c r="M89"/>
  <c r="N89" s="1"/>
  <c r="O89" s="1"/>
  <c r="I71" i="15"/>
  <c r="I79" s="1"/>
  <c r="I159" s="1"/>
  <c r="C79"/>
  <c r="C159" s="1"/>
  <c r="I50" i="11"/>
  <c r="C54"/>
  <c r="C109" s="1"/>
  <c r="I47" i="10"/>
  <c r="I51" s="1"/>
  <c r="I110" s="1"/>
  <c r="C51"/>
  <c r="C110" s="1"/>
  <c r="I62" i="24"/>
  <c r="C72"/>
  <c r="C236" s="1"/>
  <c r="M58" i="15"/>
  <c r="N58" s="1"/>
  <c r="O58" s="1"/>
  <c r="M37" i="9"/>
  <c r="I39"/>
  <c r="I108" s="1"/>
  <c r="M64" i="24"/>
  <c r="N64" s="1"/>
  <c r="O64" s="1"/>
  <c r="I54" i="15"/>
  <c r="C62"/>
  <c r="C157" s="1"/>
  <c r="I41" i="24"/>
  <c r="C51"/>
  <c r="C234" s="1"/>
  <c r="H34" i="7"/>
  <c r="B36"/>
  <c r="B115" s="1"/>
  <c r="I27" i="1"/>
  <c r="C29"/>
  <c r="C106" s="1"/>
  <c r="M47" i="24"/>
  <c r="N47" s="1"/>
  <c r="O47" s="1"/>
  <c r="M38"/>
  <c r="M37" i="15"/>
  <c r="N37" s="1"/>
  <c r="O37" s="1"/>
  <c r="I28" i="11"/>
  <c r="C30"/>
  <c r="C105" s="1"/>
  <c r="C20" i="24"/>
  <c r="C232" s="1"/>
  <c r="C25" i="15"/>
  <c r="C153" s="1"/>
  <c r="B23" i="7"/>
  <c r="B113" s="1"/>
  <c r="C16" i="11"/>
  <c r="C103" s="1"/>
  <c r="C16" i="1"/>
  <c r="C104" s="1"/>
  <c r="C16" i="10"/>
  <c r="C104" s="1"/>
  <c r="C16" i="9"/>
  <c r="C104" s="1"/>
  <c r="C29"/>
  <c r="C106" s="1"/>
  <c r="O26" i="12"/>
  <c r="O36"/>
  <c r="O38" s="1"/>
  <c r="O107" s="1"/>
  <c r="N38"/>
  <c r="N107" s="1"/>
  <c r="O48"/>
  <c r="O50" s="1"/>
  <c r="N50"/>
  <c r="N109" s="1"/>
  <c r="I57"/>
  <c r="C65"/>
  <c r="C112" s="1"/>
  <c r="R58"/>
  <c r="R64" s="1"/>
  <c r="R111" s="1"/>
  <c r="Q64"/>
  <c r="Q111" s="1"/>
  <c r="R94"/>
  <c r="S94" s="1"/>
  <c r="O74" i="11"/>
  <c r="O87" s="1"/>
  <c r="O112" s="1"/>
  <c r="N87"/>
  <c r="N112" s="1"/>
  <c r="R93"/>
  <c r="R97" s="1"/>
  <c r="Q97"/>
  <c r="Q114" s="1"/>
  <c r="R67" i="24"/>
  <c r="N111"/>
  <c r="M146"/>
  <c r="M239" s="1"/>
  <c r="Q157"/>
  <c r="O53" i="15"/>
  <c r="N61"/>
  <c r="N156" s="1"/>
  <c r="R136"/>
  <c r="Q146"/>
  <c r="Q164" s="1"/>
  <c r="R24" i="1"/>
  <c r="R94"/>
  <c r="L10" i="10"/>
  <c r="K15"/>
  <c r="K103" s="1"/>
  <c r="R56"/>
  <c r="R24" i="9"/>
  <c r="Q28"/>
  <c r="Q105" s="1"/>
  <c r="R94"/>
  <c r="O39" i="11"/>
  <c r="O41" s="1"/>
  <c r="O106" s="1"/>
  <c r="N41"/>
  <c r="N106" s="1"/>
  <c r="O49"/>
  <c r="O61"/>
  <c r="N67"/>
  <c r="N110" s="1"/>
  <c r="L40" i="24"/>
  <c r="O65"/>
  <c r="O15" i="1"/>
  <c r="O103" s="1"/>
  <c r="N103"/>
  <c r="L36" i="10"/>
  <c r="K38"/>
  <c r="K107" s="1"/>
  <c r="L46"/>
  <c r="K50"/>
  <c r="K109" s="1"/>
  <c r="L97" i="11"/>
  <c r="L114" s="1"/>
  <c r="R39" i="15"/>
  <c r="E100" i="13"/>
  <c r="E117" s="1"/>
  <c r="E90"/>
  <c r="E115" s="1"/>
  <c r="E94" i="17"/>
  <c r="E119" s="1"/>
  <c r="E66" i="13"/>
  <c r="E113" s="1"/>
  <c r="E48" i="14"/>
  <c r="E107" s="1"/>
  <c r="E73" i="18"/>
  <c r="E117" s="1"/>
  <c r="E226" i="24"/>
  <c r="E244" s="1"/>
  <c r="E147" i="15"/>
  <c r="E165" s="1"/>
  <c r="E88" i="11"/>
  <c r="E113" s="1"/>
  <c r="D98" i="7"/>
  <c r="D123" s="1"/>
  <c r="E89" i="10"/>
  <c r="E114" s="1"/>
  <c r="E68" i="11"/>
  <c r="E111" s="1"/>
  <c r="E65" i="1"/>
  <c r="E112" s="1"/>
  <c r="E65" i="10"/>
  <c r="E112" s="1"/>
  <c r="E65" i="9"/>
  <c r="E112" s="1"/>
  <c r="E106" i="24"/>
  <c r="E238" s="1"/>
  <c r="E72"/>
  <c r="E236" s="1"/>
  <c r="E62" i="15"/>
  <c r="E157" s="1"/>
  <c r="E51" i="24"/>
  <c r="E234" s="1"/>
  <c r="G90" i="13"/>
  <c r="G115" s="1"/>
  <c r="G94" i="17"/>
  <c r="G119" s="1"/>
  <c r="G66" i="13"/>
  <c r="G113" s="1"/>
  <c r="G48" i="14"/>
  <c r="G107" s="1"/>
  <c r="G73" i="18"/>
  <c r="G117" s="1"/>
  <c r="G226" i="24"/>
  <c r="G244" s="1"/>
  <c r="G147" i="15"/>
  <c r="G165" s="1"/>
  <c r="G16" i="19"/>
  <c r="G109" s="1"/>
  <c r="G99" i="9"/>
  <c r="G116" s="1"/>
  <c r="G88" i="11"/>
  <c r="G113" s="1"/>
  <c r="G147" i="24"/>
  <c r="G240" s="1"/>
  <c r="G102" i="15"/>
  <c r="G161" s="1"/>
  <c r="F72" i="7"/>
  <c r="F121" s="1"/>
  <c r="G199" i="24"/>
  <c r="G242" s="1"/>
  <c r="G89" i="1"/>
  <c r="G114" s="1"/>
  <c r="G89" i="9"/>
  <c r="G114" s="1"/>
  <c r="G106" i="24"/>
  <c r="G238" s="1"/>
  <c r="D29" i="12"/>
  <c r="D106" s="1"/>
  <c r="H29"/>
  <c r="H106" s="1"/>
  <c r="E51"/>
  <c r="E110" s="1"/>
  <c r="G65"/>
  <c r="G112" s="1"/>
  <c r="I61"/>
  <c r="F89"/>
  <c r="F114" s="1"/>
  <c r="I74"/>
  <c r="I79"/>
  <c r="I84"/>
  <c r="F99"/>
  <c r="F116" s="1"/>
  <c r="I97"/>
  <c r="I73" i="15"/>
  <c r="L95" i="14"/>
  <c r="S115" i="24"/>
  <c r="S175"/>
  <c r="D30" i="13"/>
  <c r="D107" s="1"/>
  <c r="D96" i="14"/>
  <c r="D113" s="1"/>
  <c r="D86"/>
  <c r="D111" s="1"/>
  <c r="D63" i="16"/>
  <c r="D110" s="1"/>
  <c r="D117" s="1"/>
  <c r="D104" i="17"/>
  <c r="D121" s="1"/>
  <c r="D94" i="18"/>
  <c r="D119" s="1"/>
  <c r="D73"/>
  <c r="D117" s="1"/>
  <c r="D29"/>
  <c r="D111" s="1"/>
  <c r="D104" i="19"/>
  <c r="D121" s="1"/>
  <c r="D226" i="24"/>
  <c r="D244" s="1"/>
  <c r="D147" i="15"/>
  <c r="D165" s="1"/>
  <c r="D131"/>
  <c r="D163" s="1"/>
  <c r="D102"/>
  <c r="D161" s="1"/>
  <c r="C72" i="7"/>
  <c r="C121" s="1"/>
  <c r="D106" i="24"/>
  <c r="D238" s="1"/>
  <c r="C58" i="7"/>
  <c r="C119" s="1"/>
  <c r="D51" i="1"/>
  <c r="D110" s="1"/>
  <c r="D72" i="24"/>
  <c r="D236" s="1"/>
  <c r="D29" i="10"/>
  <c r="D106" s="1"/>
  <c r="F90" i="13"/>
  <c r="F115" s="1"/>
  <c r="F94" i="17"/>
  <c r="F119" s="1"/>
  <c r="F73"/>
  <c r="F117" s="1"/>
  <c r="F29"/>
  <c r="F111" s="1"/>
  <c r="F104" i="18"/>
  <c r="F121" s="1"/>
  <c r="F73"/>
  <c r="F117" s="1"/>
  <c r="F29"/>
  <c r="F111" s="1"/>
  <c r="F104" i="19"/>
  <c r="F121" s="1"/>
  <c r="F226" i="24"/>
  <c r="F244" s="1"/>
  <c r="F147" i="15"/>
  <c r="F165" s="1"/>
  <c r="F131"/>
  <c r="F163" s="1"/>
  <c r="F102"/>
  <c r="F161" s="1"/>
  <c r="E72" i="7"/>
  <c r="E121" s="1"/>
  <c r="F106" i="24"/>
  <c r="F238" s="1"/>
  <c r="F65" i="1"/>
  <c r="F112" s="1"/>
  <c r="F65" i="10"/>
  <c r="F112" s="1"/>
  <c r="F65" i="9"/>
  <c r="F112" s="1"/>
  <c r="F72" i="24"/>
  <c r="F236" s="1"/>
  <c r="F29" i="10"/>
  <c r="F106" s="1"/>
  <c r="H90" i="13"/>
  <c r="H115" s="1"/>
  <c r="H94" i="17"/>
  <c r="H119" s="1"/>
  <c r="H73"/>
  <c r="H117" s="1"/>
  <c r="H29"/>
  <c r="H111" s="1"/>
  <c r="H104" i="18"/>
  <c r="H121" s="1"/>
  <c r="H226" i="24"/>
  <c r="H244" s="1"/>
  <c r="H147" i="15"/>
  <c r="H165" s="1"/>
  <c r="H131"/>
  <c r="H163" s="1"/>
  <c r="H68" i="11"/>
  <c r="H111" s="1"/>
  <c r="H65" i="1"/>
  <c r="H112" s="1"/>
  <c r="H65" i="10"/>
  <c r="H112" s="1"/>
  <c r="H65" i="9"/>
  <c r="H112" s="1"/>
  <c r="H51" i="24"/>
  <c r="H234" s="1"/>
  <c r="R29" i="11"/>
  <c r="R104" s="1"/>
  <c r="R50" i="1"/>
  <c r="R109" s="1"/>
  <c r="T9" i="15"/>
  <c r="M97" i="12"/>
  <c r="N97" s="1"/>
  <c r="O97" s="1"/>
  <c r="M28" i="11"/>
  <c r="I30"/>
  <c r="I105" s="1"/>
  <c r="N38" i="24"/>
  <c r="O38" s="1"/>
  <c r="M66" i="20"/>
  <c r="I68"/>
  <c r="I96" s="1"/>
  <c r="M72" i="10"/>
  <c r="M95"/>
  <c r="I99"/>
  <c r="I116" s="1"/>
  <c r="M54" i="14"/>
  <c r="M12" i="13"/>
  <c r="M48"/>
  <c r="N48" s="1"/>
  <c r="M92" i="14"/>
  <c r="M77" i="15"/>
  <c r="N77" s="1"/>
  <c r="O77" s="1"/>
  <c r="M81" i="12"/>
  <c r="N81" s="1"/>
  <c r="O81" s="1"/>
  <c r="M101" i="16"/>
  <c r="K22" i="7"/>
  <c r="O157" i="24"/>
  <c r="R111"/>
  <c r="L15" i="11"/>
  <c r="M47" i="12"/>
  <c r="N47" s="1"/>
  <c r="M27" i="10"/>
  <c r="I29"/>
  <c r="I106" s="1"/>
  <c r="M72" i="9"/>
  <c r="N72" s="1"/>
  <c r="M72" i="1"/>
  <c r="M100" i="15"/>
  <c r="M75" i="11"/>
  <c r="I88"/>
  <c r="I113" s="1"/>
  <c r="M95" i="9"/>
  <c r="M99" s="1"/>
  <c r="M116" s="1"/>
  <c r="I99"/>
  <c r="I116" s="1"/>
  <c r="M11" i="19"/>
  <c r="I16"/>
  <c r="I109" s="1"/>
  <c r="N57"/>
  <c r="M11" i="18"/>
  <c r="N57"/>
  <c r="O57" s="1"/>
  <c r="M205" i="24"/>
  <c r="N205" s="1"/>
  <c r="I226"/>
  <c r="I244"/>
  <c r="M100" i="19"/>
  <c r="N100" s="1"/>
  <c r="I104"/>
  <c r="I121" s="1"/>
  <c r="M65" i="18"/>
  <c r="N31" i="16"/>
  <c r="O31" s="1"/>
  <c r="P31" s="1"/>
  <c r="M11" i="14"/>
  <c r="I13"/>
  <c r="I101" s="1"/>
  <c r="M44"/>
  <c r="N44" s="1"/>
  <c r="M58" i="13"/>
  <c r="M100" i="18"/>
  <c r="M104" s="1"/>
  <c r="M121" s="1"/>
  <c r="I104"/>
  <c r="I121" s="1"/>
  <c r="M65" i="17"/>
  <c r="I73"/>
  <c r="I117" s="1"/>
  <c r="M82"/>
  <c r="N51" i="16"/>
  <c r="J53"/>
  <c r="J108" s="1"/>
  <c r="M24" i="14"/>
  <c r="N24" s="1"/>
  <c r="O24" s="1"/>
  <c r="M73" i="13"/>
  <c r="N73" s="1"/>
  <c r="O73" s="1"/>
  <c r="R24" i="15"/>
  <c r="Q152"/>
  <c r="S58" i="9"/>
  <c r="L50"/>
  <c r="S46"/>
  <c r="S36"/>
  <c r="S38" s="1"/>
  <c r="S107" s="1"/>
  <c r="C10" i="21" s="1"/>
  <c r="L38" i="9"/>
  <c r="L107" s="1"/>
  <c r="S58" i="1"/>
  <c r="S46"/>
  <c r="L38"/>
  <c r="L107" s="1"/>
  <c r="L99" i="15"/>
  <c r="O99"/>
  <c r="O101" s="1"/>
  <c r="O160" s="1"/>
  <c r="O84" i="24"/>
  <c r="R84"/>
  <c r="L110" i="19"/>
  <c r="L108"/>
  <c r="S67" i="24"/>
  <c r="M79" i="12"/>
  <c r="N79" s="1"/>
  <c r="O79" s="1"/>
  <c r="M54" i="15"/>
  <c r="M62" s="1"/>
  <c r="M157" s="1"/>
  <c r="I62"/>
  <c r="I157" s="1"/>
  <c r="M57" i="10"/>
  <c r="I65"/>
  <c r="I112" s="1"/>
  <c r="M60" i="11"/>
  <c r="N60" s="1"/>
  <c r="N68" s="1"/>
  <c r="N111" s="1"/>
  <c r="I68"/>
  <c r="I111" s="1"/>
  <c r="H98" i="7"/>
  <c r="H123" s="1"/>
  <c r="M65" i="19"/>
  <c r="M82"/>
  <c r="O41" i="16"/>
  <c r="N43"/>
  <c r="N106" s="1"/>
  <c r="N70"/>
  <c r="M100" i="17"/>
  <c r="I104"/>
  <c r="I121" s="1"/>
  <c r="M25" i="12"/>
  <c r="N25" s="1"/>
  <c r="O25" s="1"/>
  <c r="L41" i="11"/>
  <c r="L106" s="1"/>
  <c r="L108" i="14"/>
  <c r="M73" i="15"/>
  <c r="N73" s="1"/>
  <c r="O73" s="1"/>
  <c r="M84" i="12"/>
  <c r="N84" s="1"/>
  <c r="O84" s="1"/>
  <c r="M74"/>
  <c r="N74" s="1"/>
  <c r="O74" s="1"/>
  <c r="M61"/>
  <c r="N61" s="1"/>
  <c r="O61" s="1"/>
  <c r="L50" i="10"/>
  <c r="L38"/>
  <c r="L107" s="1"/>
  <c r="S40" i="24"/>
  <c r="L15" i="10"/>
  <c r="R157" i="24"/>
  <c r="O111"/>
  <c r="M57" i="12"/>
  <c r="M27" i="1"/>
  <c r="I29"/>
  <c r="I106" s="1"/>
  <c r="L34" i="7"/>
  <c r="H36"/>
  <c r="H115" s="1"/>
  <c r="M41" i="24"/>
  <c r="N41" s="1"/>
  <c r="O41" s="1"/>
  <c r="N37" i="9"/>
  <c r="O37" s="1"/>
  <c r="M62" i="24"/>
  <c r="I72"/>
  <c r="I236" s="1"/>
  <c r="N49" i="9"/>
  <c r="M47" i="10"/>
  <c r="N47" s="1"/>
  <c r="M50" i="11"/>
  <c r="N50" s="1"/>
  <c r="M71" i="15"/>
  <c r="N71" s="1"/>
  <c r="N49" i="10"/>
  <c r="N52" i="11"/>
  <c r="O52" s="1"/>
  <c r="M57" i="9"/>
  <c r="I65"/>
  <c r="I112" s="1"/>
  <c r="M57" i="1"/>
  <c r="N57" s="1"/>
  <c r="M113" i="15"/>
  <c r="M53" i="19"/>
  <c r="M53" i="18"/>
  <c r="N53" s="1"/>
  <c r="M27" i="19"/>
  <c r="M11" i="17"/>
  <c r="N11" s="1"/>
  <c r="N57"/>
  <c r="O57" s="1"/>
  <c r="N11" i="16"/>
  <c r="J13"/>
  <c r="J102" s="1"/>
  <c r="N93"/>
  <c r="J97"/>
  <c r="J114" s="1"/>
  <c r="M82" i="18"/>
  <c r="N59" i="16"/>
  <c r="J63"/>
  <c r="J110" s="1"/>
  <c r="M69" i="14"/>
  <c r="M28" i="13"/>
  <c r="N28" s="1"/>
  <c r="O28" s="1"/>
  <c r="M11" i="12"/>
  <c r="N11" s="1"/>
  <c r="O11" s="1"/>
  <c r="M87"/>
  <c r="N87" s="1"/>
  <c r="O87" s="1"/>
  <c r="M77"/>
  <c r="M40" i="15"/>
  <c r="N40" s="1"/>
  <c r="O40" s="1"/>
  <c r="I44"/>
  <c r="I155" s="1"/>
  <c r="N37" i="1"/>
  <c r="M47" i="9"/>
  <c r="N47" s="1"/>
  <c r="O47" s="1"/>
  <c r="N49" i="1"/>
  <c r="M85" i="24"/>
  <c r="N85" s="1"/>
  <c r="O85" s="1"/>
  <c r="I106"/>
  <c r="M47" i="1"/>
  <c r="N47" s="1"/>
  <c r="O47" s="1"/>
  <c r="M158" i="24"/>
  <c r="M112"/>
  <c r="M95" i="1"/>
  <c r="I99"/>
  <c r="I116" s="1"/>
  <c r="M94" i="11"/>
  <c r="N94" s="1"/>
  <c r="M137" i="15"/>
  <c r="N137" s="1"/>
  <c r="M27" i="18"/>
  <c r="M53" i="17"/>
  <c r="N53" s="1"/>
  <c r="O53" s="1"/>
  <c r="M27"/>
  <c r="N27" s="1"/>
  <c r="O27" s="1"/>
  <c r="M96" i="13"/>
  <c r="N96" s="1"/>
  <c r="O96" s="1"/>
  <c r="R99" i="15"/>
  <c r="S206" i="24"/>
  <c r="L84"/>
  <c r="L29" i="11"/>
  <c r="S25"/>
  <c r="L100" i="14"/>
  <c r="M72" i="12"/>
  <c r="I89"/>
  <c r="I114" s="1"/>
  <c r="M27"/>
  <c r="I29"/>
  <c r="I106" s="1"/>
  <c r="L72" i="18"/>
  <c r="L108"/>
  <c r="R15" i="12"/>
  <c r="R103" s="1"/>
  <c r="Q103"/>
  <c r="O15"/>
  <c r="N103"/>
  <c r="M95"/>
  <c r="N95" s="1"/>
  <c r="O95" s="1"/>
  <c r="I99"/>
  <c r="I116" s="1"/>
  <c r="O67" i="20"/>
  <c r="S65"/>
  <c r="L54"/>
  <c r="S52"/>
  <c r="F44" i="21"/>
  <c r="S24" i="9"/>
  <c r="S94"/>
  <c r="S136" i="15"/>
  <c r="S93" i="11"/>
  <c r="S74"/>
  <c r="S36" i="12"/>
  <c r="S38" s="1"/>
  <c r="S107" s="1"/>
  <c r="S101" i="19"/>
  <c r="S42" i="18"/>
  <c r="S44" s="1"/>
  <c r="S112" s="1"/>
  <c r="S26" i="19"/>
  <c r="M106" i="24"/>
  <c r="M238" s="1"/>
  <c r="O49" i="1"/>
  <c r="N27" i="19"/>
  <c r="O27" s="1"/>
  <c r="O57" i="1"/>
  <c r="O49" i="9"/>
  <c r="M34" i="7"/>
  <c r="N34" s="1"/>
  <c r="L36"/>
  <c r="L115" s="1"/>
  <c r="S15" i="10"/>
  <c r="S103" s="1"/>
  <c r="L103"/>
  <c r="N57"/>
  <c r="M65"/>
  <c r="M112" s="1"/>
  <c r="L109" i="9"/>
  <c r="R152" i="15"/>
  <c r="O51" i="16"/>
  <c r="N53"/>
  <c r="N108" s="1"/>
  <c r="N82" i="17"/>
  <c r="N65"/>
  <c r="O65" s="1"/>
  <c r="O73" s="1"/>
  <c r="O117" s="1"/>
  <c r="M73"/>
  <c r="M117" s="1"/>
  <c r="N100" i="18"/>
  <c r="O100" s="1"/>
  <c r="N58" i="13"/>
  <c r="O205" i="24"/>
  <c r="O226" s="1"/>
  <c r="O244" s="1"/>
  <c r="N95" i="9"/>
  <c r="O95" s="1"/>
  <c r="O99" s="1"/>
  <c r="O116" s="1"/>
  <c r="N75" i="11"/>
  <c r="M88"/>
  <c r="M113" s="1"/>
  <c r="N100" i="15"/>
  <c r="O100" s="1"/>
  <c r="N72" i="1"/>
  <c r="O72" s="1"/>
  <c r="L102" i="11"/>
  <c r="R22" i="7"/>
  <c r="R112" s="1"/>
  <c r="C20" i="21" s="1"/>
  <c r="K112" i="7"/>
  <c r="N92" i="14"/>
  <c r="O92" s="1"/>
  <c r="N95" i="10"/>
  <c r="M99"/>
  <c r="M116" s="1"/>
  <c r="N72"/>
  <c r="O72" s="1"/>
  <c r="N66" i="20"/>
  <c r="O66" s="1"/>
  <c r="O68" s="1"/>
  <c r="O96" s="1"/>
  <c r="M68"/>
  <c r="M96" s="1"/>
  <c r="O95"/>
  <c r="S67"/>
  <c r="S95"/>
  <c r="C48" i="21" s="1"/>
  <c r="O103" i="12"/>
  <c r="N72"/>
  <c r="O72" s="1"/>
  <c r="L104" i="11"/>
  <c r="S84" i="24"/>
  <c r="N27" i="18"/>
  <c r="O27" s="1"/>
  <c r="N95" i="1"/>
  <c r="O95" s="1"/>
  <c r="M99"/>
  <c r="M116" s="1"/>
  <c r="O37"/>
  <c r="N69" i="14"/>
  <c r="O69" s="1"/>
  <c r="N82" i="18"/>
  <c r="N13" i="16"/>
  <c r="N102" s="1"/>
  <c r="O11"/>
  <c r="P11" s="1"/>
  <c r="P13" s="1"/>
  <c r="P102" s="1"/>
  <c r="O49" i="10"/>
  <c r="N100" i="17"/>
  <c r="O100" s="1"/>
  <c r="O104" s="1"/>
  <c r="M104"/>
  <c r="M121" s="1"/>
  <c r="P41" i="16"/>
  <c r="N82" i="19"/>
  <c r="O82" s="1"/>
  <c r="N65"/>
  <c r="M68" i="11"/>
  <c r="M111" s="1"/>
  <c r="M13" i="14"/>
  <c r="M101" s="1"/>
  <c r="N11"/>
  <c r="N65" i="18"/>
  <c r="O65" s="1"/>
  <c r="M104" i="19"/>
  <c r="M121" s="1"/>
  <c r="O57"/>
  <c r="M16"/>
  <c r="M109" s="1"/>
  <c r="N11"/>
  <c r="O11" s="1"/>
  <c r="O16" s="1"/>
  <c r="O109" s="1"/>
  <c r="N27" i="10"/>
  <c r="O27" s="1"/>
  <c r="M29"/>
  <c r="M106" s="1"/>
  <c r="N12" i="13"/>
  <c r="N54" i="14"/>
  <c r="O54" s="1"/>
  <c r="N28" i="11"/>
  <c r="O28" s="1"/>
  <c r="M30"/>
  <c r="M105" s="1"/>
  <c r="O11" i="17"/>
  <c r="O13" i="16"/>
  <c r="O102" s="1"/>
  <c r="O58" i="13"/>
  <c r="N104" i="19"/>
  <c r="N121" s="1"/>
  <c r="O100"/>
  <c r="O104" s="1"/>
  <c r="O121" s="1"/>
  <c r="N68" i="20"/>
  <c r="N96" s="1"/>
  <c r="O95" i="10"/>
  <c r="O99" s="1"/>
  <c r="O116" s="1"/>
  <c r="N99"/>
  <c r="N116" s="1"/>
  <c r="O72" i="9"/>
  <c r="O75" i="11"/>
  <c r="N104" i="18"/>
  <c r="N121" s="1"/>
  <c r="N73" i="17"/>
  <c r="N117" s="1"/>
  <c r="O82"/>
  <c r="O53" i="16"/>
  <c r="O108" s="1"/>
  <c r="P51"/>
  <c r="P53" s="1"/>
  <c r="P108" s="1"/>
  <c r="O57" i="10"/>
  <c r="H8" i="21"/>
  <c r="Q50" i="1" l="1"/>
  <c r="Q109" s="1"/>
  <c r="G33" i="16"/>
  <c r="G104" s="1"/>
  <c r="D59" i="18"/>
  <c r="D115" s="1"/>
  <c r="I28" i="17"/>
  <c r="I110" s="1"/>
  <c r="T13" i="15"/>
  <c r="I98" i="12"/>
  <c r="I115" s="1"/>
  <c r="R71" i="16"/>
  <c r="S71" s="1"/>
  <c r="I93" i="17"/>
  <c r="I118" s="1"/>
  <c r="I15"/>
  <c r="I15" i="19"/>
  <c r="N48" i="10"/>
  <c r="S66" i="18"/>
  <c r="R48" i="9"/>
  <c r="N101" i="15"/>
  <c r="N160" s="1"/>
  <c r="S142"/>
  <c r="N146"/>
  <c r="N164" s="1"/>
  <c r="T10"/>
  <c r="R17" i="7"/>
  <c r="N75" i="15"/>
  <c r="O75" s="1"/>
  <c r="K39"/>
  <c r="L39" s="1"/>
  <c r="L43" s="1"/>
  <c r="L154" s="1"/>
  <c r="N49"/>
  <c r="O49" s="1"/>
  <c r="K97"/>
  <c r="L97" s="1"/>
  <c r="N86"/>
  <c r="O86" s="1"/>
  <c r="N94"/>
  <c r="O94" s="1"/>
  <c r="N51" i="11"/>
  <c r="N48" i="1"/>
  <c r="H108" i="7"/>
  <c r="H125" s="1"/>
  <c r="E99" i="10"/>
  <c r="E116" s="1"/>
  <c r="R94" i="16"/>
  <c r="Q15" i="19"/>
  <c r="M69"/>
  <c r="N69" s="1"/>
  <c r="O69" s="1"/>
  <c r="I73"/>
  <c r="I117" s="1"/>
  <c r="I51" i="24"/>
  <c r="I234" s="1"/>
  <c r="M45"/>
  <c r="N45" s="1"/>
  <c r="O45" s="1"/>
  <c r="O95" i="11"/>
  <c r="O97" s="1"/>
  <c r="O114" s="1"/>
  <c r="N97"/>
  <c r="N114" s="1"/>
  <c r="I42"/>
  <c r="I107" s="1"/>
  <c r="M40"/>
  <c r="N40" s="1"/>
  <c r="O40" s="1"/>
  <c r="L51"/>
  <c r="K53"/>
  <c r="K108" s="1"/>
  <c r="K117" s="1"/>
  <c r="M73" i="19"/>
  <c r="M117" s="1"/>
  <c r="I28" i="18"/>
  <c r="I110" s="1"/>
  <c r="Q13"/>
  <c r="R13" s="1"/>
  <c r="N73" i="19"/>
  <c r="N117" s="1"/>
  <c r="E29" i="1"/>
  <c r="E106" s="1"/>
  <c r="G73" i="17"/>
  <c r="G117" s="1"/>
  <c r="D119" i="9"/>
  <c r="G108" i="7"/>
  <c r="G125" s="1"/>
  <c r="H98" i="11"/>
  <c r="H115" s="1"/>
  <c r="H99" i="1"/>
  <c r="H116" s="1"/>
  <c r="H99" i="10"/>
  <c r="H116" s="1"/>
  <c r="H99" i="9"/>
  <c r="H116" s="1"/>
  <c r="G98" i="7"/>
  <c r="G123" s="1"/>
  <c r="H89" i="10"/>
  <c r="H114" s="1"/>
  <c r="Q87" i="15"/>
  <c r="R87" s="1"/>
  <c r="O94" i="16"/>
  <c r="Q96" i="1"/>
  <c r="N45" i="22"/>
  <c r="I73" i="18"/>
  <c r="I117" s="1"/>
  <c r="M67"/>
  <c r="I16"/>
  <c r="I109" s="1"/>
  <c r="M14"/>
  <c r="N14" s="1"/>
  <c r="O14" s="1"/>
  <c r="M26" i="13"/>
  <c r="N26" s="1"/>
  <c r="O26" s="1"/>
  <c r="I30"/>
  <c r="I107" s="1"/>
  <c r="Q25" i="24"/>
  <c r="R25" s="1"/>
  <c r="M70"/>
  <c r="N70" s="1"/>
  <c r="O70" s="1"/>
  <c r="P70"/>
  <c r="K26" i="1"/>
  <c r="Q26"/>
  <c r="E59" i="18"/>
  <c r="E115" s="1"/>
  <c r="E59" i="19"/>
  <c r="E115" s="1"/>
  <c r="G59" i="17"/>
  <c r="G115" s="1"/>
  <c r="F59"/>
  <c r="F115" s="1"/>
  <c r="R81" i="16"/>
  <c r="S81" s="1"/>
  <c r="N136" i="24"/>
  <c r="O136" s="1"/>
  <c r="K73" i="1"/>
  <c r="L73" s="1"/>
  <c r="Q73"/>
  <c r="R73" s="1"/>
  <c r="P56" i="24"/>
  <c r="J56"/>
  <c r="M56"/>
  <c r="F124" i="17"/>
  <c r="E116" i="14"/>
  <c r="E124" i="19"/>
  <c r="M87" i="15"/>
  <c r="I93" i="18"/>
  <c r="I118" s="1"/>
  <c r="Q26"/>
  <c r="I15"/>
  <c r="N13"/>
  <c r="O13" s="1"/>
  <c r="R117" i="24"/>
  <c r="S117" s="1"/>
  <c r="Q146"/>
  <c r="C48" i="20"/>
  <c r="K15" i="17"/>
  <c r="K108" s="1"/>
  <c r="S86" i="12"/>
  <c r="S144" i="24"/>
  <c r="K37"/>
  <c r="N25" i="1"/>
  <c r="O25" s="1"/>
  <c r="R61" i="15"/>
  <c r="R156" s="1"/>
  <c r="Q36"/>
  <c r="T8"/>
  <c r="K99" i="13"/>
  <c r="K116" s="1"/>
  <c r="L97"/>
  <c r="Q97"/>
  <c r="R97" s="1"/>
  <c r="N81"/>
  <c r="O81" s="1"/>
  <c r="N99" i="9"/>
  <c r="N116" s="1"/>
  <c r="S12" i="14"/>
  <c r="S100" s="1"/>
  <c r="S10"/>
  <c r="L85"/>
  <c r="L110" s="1"/>
  <c r="S93"/>
  <c r="S21"/>
  <c r="Q35"/>
  <c r="Q104" s="1"/>
  <c r="N95"/>
  <c r="N112" s="1"/>
  <c r="O61"/>
  <c r="O108" s="1"/>
  <c r="P101" i="16"/>
  <c r="T12"/>
  <c r="T101" s="1"/>
  <c r="S12"/>
  <c r="S101" s="1"/>
  <c r="T10"/>
  <c r="R12"/>
  <c r="R101" s="1"/>
  <c r="T92"/>
  <c r="T26"/>
  <c r="L62"/>
  <c r="L109" s="1"/>
  <c r="L28"/>
  <c r="S64" i="19"/>
  <c r="T5"/>
  <c r="S28"/>
  <c r="S110" s="1"/>
  <c r="S56"/>
  <c r="K44"/>
  <c r="K112" s="1"/>
  <c r="L103"/>
  <c r="K72"/>
  <c r="K116" s="1"/>
  <c r="S10" i="18"/>
  <c r="S13"/>
  <c r="S101"/>
  <c r="L103"/>
  <c r="L120" s="1"/>
  <c r="S10" i="17"/>
  <c r="L108"/>
  <c r="O99" i="12"/>
  <c r="S60"/>
  <c r="M14" i="17"/>
  <c r="N14" s="1"/>
  <c r="O14" s="1"/>
  <c r="I16"/>
  <c r="I109" s="1"/>
  <c r="M98" i="15"/>
  <c r="N98" s="1"/>
  <c r="O98" s="1"/>
  <c r="I102"/>
  <c r="I161" s="1"/>
  <c r="K103" i="17"/>
  <c r="K120" s="1"/>
  <c r="L101"/>
  <c r="I66" i="13"/>
  <c r="I113" s="1"/>
  <c r="M60"/>
  <c r="M38"/>
  <c r="N38" s="1"/>
  <c r="O38" s="1"/>
  <c r="I40"/>
  <c r="I109" s="1"/>
  <c r="I65" i="1"/>
  <c r="I112" s="1"/>
  <c r="M59"/>
  <c r="O16" i="17"/>
  <c r="O109" s="1"/>
  <c r="D124" i="18"/>
  <c r="C247" i="24"/>
  <c r="S86"/>
  <c r="E33" i="16"/>
  <c r="E104" s="1"/>
  <c r="E30" i="11"/>
  <c r="E105" s="1"/>
  <c r="F108" i="7"/>
  <c r="F125" s="1"/>
  <c r="G98" i="11"/>
  <c r="G115" s="1"/>
  <c r="G99" i="1"/>
  <c r="G116" s="1"/>
  <c r="G51" i="9"/>
  <c r="G110" s="1"/>
  <c r="G20" i="24"/>
  <c r="G232" s="1"/>
  <c r="G25" i="15"/>
  <c r="G153" s="1"/>
  <c r="F23" i="7"/>
  <c r="F113" s="1"/>
  <c r="G16" i="11"/>
  <c r="G103" s="1"/>
  <c r="G16" i="1"/>
  <c r="G104" s="1"/>
  <c r="G16" i="10"/>
  <c r="G104" s="1"/>
  <c r="G16" i="9"/>
  <c r="G104" s="1"/>
  <c r="S217" i="24"/>
  <c r="D59" i="19"/>
  <c r="D115" s="1"/>
  <c r="D124" s="1"/>
  <c r="F44" i="15"/>
  <c r="F155" s="1"/>
  <c r="H33" i="16"/>
  <c r="H104" s="1"/>
  <c r="C100" i="13"/>
  <c r="C117" s="1"/>
  <c r="I105" i="24"/>
  <c r="I237" s="1"/>
  <c r="Q73" i="12"/>
  <c r="R73" s="1"/>
  <c r="I47" i="14"/>
  <c r="I106" s="1"/>
  <c r="O81" i="16"/>
  <c r="P81" s="1"/>
  <c r="Q26" i="17"/>
  <c r="Q13"/>
  <c r="R13" s="1"/>
  <c r="N91" i="18"/>
  <c r="O91" s="1"/>
  <c r="N26"/>
  <c r="N41" i="15"/>
  <c r="O41" s="1"/>
  <c r="I34" i="14"/>
  <c r="M34" s="1"/>
  <c r="N34" s="1"/>
  <c r="O34" s="1"/>
  <c r="C36"/>
  <c r="C105" s="1"/>
  <c r="G124" i="19"/>
  <c r="I52" i="13"/>
  <c r="I118" i="12"/>
  <c r="S22" i="20"/>
  <c r="S88" s="1"/>
  <c r="D44" i="21" s="1"/>
  <c r="S70" i="18"/>
  <c r="I37" i="12"/>
  <c r="I59"/>
  <c r="M59" s="1"/>
  <c r="N59" s="1"/>
  <c r="O59" s="1"/>
  <c r="I63"/>
  <c r="M101" i="15"/>
  <c r="M160" s="1"/>
  <c r="S76"/>
  <c r="H127" i="7"/>
  <c r="I118" i="1"/>
  <c r="D59" i="17"/>
  <c r="D115" s="1"/>
  <c r="H104" i="19"/>
  <c r="H121" s="1"/>
  <c r="Q96" i="12"/>
  <c r="I29" i="13"/>
  <c r="I106" s="1"/>
  <c r="Q91" i="19"/>
  <c r="R91" s="1"/>
  <c r="S91" s="1"/>
  <c r="Q96" i="9"/>
  <c r="N193" i="24"/>
  <c r="O193" s="1"/>
  <c r="T5" i="9"/>
  <c r="S36" i="1"/>
  <c r="S38" s="1"/>
  <c r="S107" s="1"/>
  <c r="M10" i="21" s="1"/>
  <c r="S94" i="1"/>
  <c r="L109"/>
  <c r="S24"/>
  <c r="K64"/>
  <c r="K111" s="1"/>
  <c r="S73"/>
  <c r="T5"/>
  <c r="S78"/>
  <c r="S52" i="16"/>
  <c r="T50"/>
  <c r="S32"/>
  <c r="U5"/>
  <c r="R72" i="19"/>
  <c r="R116" s="1"/>
  <c r="S66"/>
  <c r="R58" i="18"/>
  <c r="R114" s="1"/>
  <c r="T5"/>
  <c r="S66" i="17"/>
  <c r="S42"/>
  <c r="S44" s="1"/>
  <c r="S112" s="1"/>
  <c r="L44"/>
  <c r="L112" s="1"/>
  <c r="K24"/>
  <c r="Q95" i="13"/>
  <c r="G100"/>
  <c r="G117" s="1"/>
  <c r="G120" s="1"/>
  <c r="H119"/>
  <c r="Q87"/>
  <c r="R87" s="1"/>
  <c r="N87"/>
  <c r="O87" s="1"/>
  <c r="Q81"/>
  <c r="R81" s="1"/>
  <c r="S81" s="1"/>
  <c r="D90"/>
  <c r="D115" s="1"/>
  <c r="I89"/>
  <c r="I114" s="1"/>
  <c r="L79"/>
  <c r="L89"/>
  <c r="L114" s="1"/>
  <c r="N77"/>
  <c r="O77" s="1"/>
  <c r="G119"/>
  <c r="N63"/>
  <c r="O63" s="1"/>
  <c r="N59"/>
  <c r="Q59"/>
  <c r="R59" s="1"/>
  <c r="L57"/>
  <c r="L65" s="1"/>
  <c r="L112" s="1"/>
  <c r="K65"/>
  <c r="K112" s="1"/>
  <c r="I65"/>
  <c r="I112" s="1"/>
  <c r="E119"/>
  <c r="Q49"/>
  <c r="I51"/>
  <c r="I110" s="1"/>
  <c r="I39"/>
  <c r="I108" s="1"/>
  <c r="K39"/>
  <c r="K108" s="1"/>
  <c r="N37"/>
  <c r="Q27"/>
  <c r="N27"/>
  <c r="K25"/>
  <c r="Q14"/>
  <c r="R14" s="1"/>
  <c r="I16"/>
  <c r="N14"/>
  <c r="O14" s="1"/>
  <c r="S14" s="1"/>
  <c r="L11"/>
  <c r="L16" s="1"/>
  <c r="K16"/>
  <c r="K104" s="1"/>
  <c r="S11"/>
  <c r="I14" i="12"/>
  <c r="Q10"/>
  <c r="R10" s="1"/>
  <c r="N10"/>
  <c r="O10" s="1"/>
  <c r="L10"/>
  <c r="K15"/>
  <c r="K103" s="1"/>
  <c r="R114" i="17"/>
  <c r="S58"/>
  <c r="S114" s="1"/>
  <c r="S64"/>
  <c r="T5"/>
  <c r="R35" i="14"/>
  <c r="R104" s="1"/>
  <c r="S33"/>
  <c r="S35" s="1"/>
  <c r="S104" s="1"/>
  <c r="T5"/>
  <c r="L25" i="13"/>
  <c r="K29"/>
  <c r="K106" s="1"/>
  <c r="S57"/>
  <c r="I25" i="14"/>
  <c r="I102" s="1"/>
  <c r="D115"/>
  <c r="Q23"/>
  <c r="G26"/>
  <c r="G103" s="1"/>
  <c r="G115"/>
  <c r="M37" i="12"/>
  <c r="N37" s="1"/>
  <c r="O37" s="1"/>
  <c r="I39"/>
  <c r="I108" s="1"/>
  <c r="H16" i="9"/>
  <c r="H104" s="1"/>
  <c r="I11"/>
  <c r="L94" i="10"/>
  <c r="K98"/>
  <c r="K115" s="1"/>
  <c r="N16" i="19"/>
  <c r="N109" s="1"/>
  <c r="G117" i="16"/>
  <c r="I55" i="20"/>
  <c r="I92" s="1"/>
  <c r="I103" s="1"/>
  <c r="M53"/>
  <c r="I103" i="9"/>
  <c r="Q15"/>
  <c r="N15"/>
  <c r="R58" i="10"/>
  <c r="S58" s="1"/>
  <c r="Q64"/>
  <c r="Q111" s="1"/>
  <c r="T69" i="16"/>
  <c r="J111" i="24"/>
  <c r="I146"/>
  <c r="I239" s="1"/>
  <c r="G116" i="14"/>
  <c r="C119" i="9"/>
  <c r="C119" i="10"/>
  <c r="C119" i="1"/>
  <c r="C118" i="11"/>
  <c r="B128" i="7"/>
  <c r="C168" i="15"/>
  <c r="C117" i="16"/>
  <c r="C120" i="13"/>
  <c r="H117" i="16"/>
  <c r="F247" i="24"/>
  <c r="D124" i="17"/>
  <c r="G118" i="11"/>
  <c r="G119" i="10"/>
  <c r="F128" i="7"/>
  <c r="E120" i="13"/>
  <c r="S70" i="19"/>
  <c r="R146" i="15"/>
  <c r="R164" s="1"/>
  <c r="T78" i="16"/>
  <c r="I115" i="14"/>
  <c r="S61" i="13"/>
  <c r="I98"/>
  <c r="S166" i="24"/>
  <c r="I59" i="17"/>
  <c r="I115" s="1"/>
  <c r="S55" i="15"/>
  <c r="S62" i="10"/>
  <c r="D44" i="15"/>
  <c r="D155" s="1"/>
  <c r="D168" s="1"/>
  <c r="H29" i="18"/>
  <c r="H111" s="1"/>
  <c r="I88" i="9"/>
  <c r="I113" s="1"/>
  <c r="Q10"/>
  <c r="R10" s="1"/>
  <c r="N10"/>
  <c r="O10" s="1"/>
  <c r="Q94" i="10"/>
  <c r="I88"/>
  <c r="I113" s="1"/>
  <c r="I118" s="1"/>
  <c r="R71" i="1"/>
  <c r="N71"/>
  <c r="O71" s="1"/>
  <c r="N56"/>
  <c r="G127" i="7"/>
  <c r="C127"/>
  <c r="F127"/>
  <c r="B127"/>
  <c r="Q120" i="15"/>
  <c r="R120" s="1"/>
  <c r="S120" s="1"/>
  <c r="E167"/>
  <c r="E124" i="18"/>
  <c r="R64" i="10"/>
  <c r="R111" s="1"/>
  <c r="I54" i="11"/>
  <c r="I109" s="1"/>
  <c r="C124" i="18"/>
  <c r="C124" i="17"/>
  <c r="F168" i="15"/>
  <c r="G119" i="1"/>
  <c r="G124" i="18"/>
  <c r="S56"/>
  <c r="T74" i="16"/>
  <c r="J116"/>
  <c r="S57" i="14"/>
  <c r="S75"/>
  <c r="I49" i="12"/>
  <c r="M49" s="1"/>
  <c r="N49" s="1"/>
  <c r="O49" s="1"/>
  <c r="S186" i="24"/>
  <c r="E73" i="17"/>
  <c r="E117" s="1"/>
  <c r="E59"/>
  <c r="E115" s="1"/>
  <c r="D108" i="7"/>
  <c r="D125" s="1"/>
  <c r="E98" i="11"/>
  <c r="E115" s="1"/>
  <c r="E99" i="1"/>
  <c r="E116" s="1"/>
  <c r="E29" i="10"/>
  <c r="E106" s="1"/>
  <c r="E29" i="9"/>
  <c r="E106" s="1"/>
  <c r="S76" i="12"/>
  <c r="S10" i="10"/>
  <c r="D66" i="13"/>
  <c r="D113" s="1"/>
  <c r="D120" s="1"/>
  <c r="C108" i="7"/>
  <c r="C125" s="1"/>
  <c r="C128" s="1"/>
  <c r="D98" i="11"/>
  <c r="D115" s="1"/>
  <c r="D118" s="1"/>
  <c r="D99" i="1"/>
  <c r="D116" s="1"/>
  <c r="D99" i="10"/>
  <c r="D116" s="1"/>
  <c r="F66" i="13"/>
  <c r="F113" s="1"/>
  <c r="F120" s="1"/>
  <c r="F33" i="16"/>
  <c r="F104" s="1"/>
  <c r="F117" s="1"/>
  <c r="F59" i="18"/>
  <c r="F115" s="1"/>
  <c r="F59" i="19"/>
  <c r="F115" s="1"/>
  <c r="F124" s="1"/>
  <c r="E108" i="7"/>
  <c r="E125" s="1"/>
  <c r="E128" s="1"/>
  <c r="F98" i="11"/>
  <c r="F115" s="1"/>
  <c r="F118" s="1"/>
  <c r="F99" i="1"/>
  <c r="F116" s="1"/>
  <c r="F119" s="1"/>
  <c r="F99" i="10"/>
  <c r="F116" s="1"/>
  <c r="F119" s="1"/>
  <c r="F99" i="9"/>
  <c r="F116" s="1"/>
  <c r="F119" s="1"/>
  <c r="H66" i="13"/>
  <c r="H113" s="1"/>
  <c r="H59" i="17"/>
  <c r="H115" s="1"/>
  <c r="H16"/>
  <c r="H109" s="1"/>
  <c r="H73" i="18"/>
  <c r="H117" s="1"/>
  <c r="H51" i="9"/>
  <c r="H110" s="1"/>
  <c r="H62" i="15"/>
  <c r="H157" s="1"/>
  <c r="H30" i="11"/>
  <c r="H105" s="1"/>
  <c r="G36" i="7"/>
  <c r="G115" s="1"/>
  <c r="H29" i="1"/>
  <c r="H106" s="1"/>
  <c r="H27" i="9"/>
  <c r="H25"/>
  <c r="I25" s="1"/>
  <c r="M25" s="1"/>
  <c r="N25" s="1"/>
  <c r="O25" s="1"/>
  <c r="H15" i="24"/>
  <c r="H20" i="15"/>
  <c r="G18" i="7"/>
  <c r="H11" i="11"/>
  <c r="H11" i="1"/>
  <c r="H11" i="10"/>
  <c r="E127" i="7"/>
  <c r="P33"/>
  <c r="Q33" s="1"/>
  <c r="I19" i="24"/>
  <c r="I231" s="1"/>
  <c r="I246" s="1"/>
  <c r="I41" i="11"/>
  <c r="I106" s="1"/>
  <c r="I117" s="1"/>
  <c r="N96" i="12"/>
  <c r="N83"/>
  <c r="Q78"/>
  <c r="R78" s="1"/>
  <c r="S78" s="1"/>
  <c r="N73"/>
  <c r="O73" s="1"/>
  <c r="N56"/>
  <c r="Q46"/>
  <c r="Q24"/>
  <c r="N95" i="13"/>
  <c r="Q77"/>
  <c r="R77" s="1"/>
  <c r="S77" s="1"/>
  <c r="Q72"/>
  <c r="R72" s="1"/>
  <c r="N72"/>
  <c r="Q63"/>
  <c r="N49"/>
  <c r="Q37"/>
  <c r="N83" i="14"/>
  <c r="O83" s="1"/>
  <c r="O85" s="1"/>
  <c r="O110" s="1"/>
  <c r="Q77"/>
  <c r="R77" s="1"/>
  <c r="S77" s="1"/>
  <c r="Q59"/>
  <c r="N45"/>
  <c r="Q68" i="17"/>
  <c r="Q67" i="20"/>
  <c r="Q95" s="1"/>
  <c r="I54"/>
  <c r="I91" s="1"/>
  <c r="I102" s="1"/>
  <c r="N96" i="1"/>
  <c r="N96" i="9"/>
  <c r="N114" i="15"/>
  <c r="Q83" i="1"/>
  <c r="R83" s="1"/>
  <c r="S83" s="1"/>
  <c r="Q73" i="10"/>
  <c r="R73" s="1"/>
  <c r="Q86"/>
  <c r="R86" s="1"/>
  <c r="N83"/>
  <c r="T79" i="24"/>
  <c r="N22" i="15"/>
  <c r="O22" s="1"/>
  <c r="M33" i="7"/>
  <c r="N33" s="1"/>
  <c r="N14" i="24"/>
  <c r="Q14"/>
  <c r="K17"/>
  <c r="Q17"/>
  <c r="R17" s="1"/>
  <c r="N17"/>
  <c r="O17" s="1"/>
  <c r="M110" i="7"/>
  <c r="P112" i="15"/>
  <c r="Q112" s="1"/>
  <c r="Q97"/>
  <c r="M72"/>
  <c r="I61"/>
  <c r="I156" s="1"/>
  <c r="I43"/>
  <c r="I154" s="1"/>
  <c r="I167" s="1"/>
  <c r="L11"/>
  <c r="J49" s="1"/>
  <c r="K49" s="1"/>
  <c r="L49" s="1"/>
  <c r="Q204" i="24"/>
  <c r="N204"/>
  <c r="P186"/>
  <c r="P198" s="1"/>
  <c r="P241" s="1"/>
  <c r="D146"/>
  <c r="D239" s="1"/>
  <c r="D246" s="1"/>
  <c r="P103"/>
  <c r="P105" s="1"/>
  <c r="P237" s="1"/>
  <c r="Q92"/>
  <c r="Q46"/>
  <c r="R46" s="1"/>
  <c r="S46" s="1"/>
  <c r="Q44"/>
  <c r="R44" s="1"/>
  <c r="Q37"/>
  <c r="N24" i="12"/>
  <c r="N28" s="1"/>
  <c r="N105" s="1"/>
  <c r="N23" i="14"/>
  <c r="T81" i="16"/>
  <c r="R76"/>
  <c r="S76" s="1"/>
  <c r="T76" s="1"/>
  <c r="O71"/>
  <c r="P71" s="1"/>
  <c r="T71" s="1"/>
  <c r="Q99" i="17"/>
  <c r="N99"/>
  <c r="N91"/>
  <c r="O91" s="1"/>
  <c r="Q85"/>
  <c r="R85" s="1"/>
  <c r="N26"/>
  <c r="N13"/>
  <c r="O13" s="1"/>
  <c r="S13" s="1"/>
  <c r="Q91" i="18"/>
  <c r="R91" s="1"/>
  <c r="Q81"/>
  <c r="R81" s="1"/>
  <c r="Q99" i="19"/>
  <c r="N99"/>
  <c r="I93"/>
  <c r="I118" s="1"/>
  <c r="Q85"/>
  <c r="R85" s="1"/>
  <c r="S85" s="1"/>
  <c r="Q52"/>
  <c r="I44"/>
  <c r="I112" s="1"/>
  <c r="Q42"/>
  <c r="I28"/>
  <c r="I110" s="1"/>
  <c r="Q41" i="15"/>
  <c r="R41" s="1"/>
  <c r="N27" i="11"/>
  <c r="N26" i="10"/>
  <c r="O26" s="1"/>
  <c r="S58" i="12"/>
  <c r="S62"/>
  <c r="O24"/>
  <c r="O28" s="1"/>
  <c r="O105" s="1"/>
  <c r="S80"/>
  <c r="S71"/>
  <c r="S48" i="24"/>
  <c r="S103"/>
  <c r="S208"/>
  <c r="L8"/>
  <c r="T78"/>
  <c r="R67" i="11"/>
  <c r="R110" s="1"/>
  <c r="S59"/>
  <c r="S15"/>
  <c r="S102" s="1"/>
  <c r="C32" i="21" s="1"/>
  <c r="S10" i="11"/>
  <c r="R114"/>
  <c r="S97"/>
  <c r="S114" s="1"/>
  <c r="C38" i="21" s="1"/>
  <c r="S95" i="11"/>
  <c r="R53"/>
  <c r="R108" s="1"/>
  <c r="R120" i="18"/>
  <c r="S103"/>
  <c r="S120" s="1"/>
  <c r="M14" i="12"/>
  <c r="N14" s="1"/>
  <c r="O14" s="1"/>
  <c r="O16" s="1"/>
  <c r="O104" s="1"/>
  <c r="I16"/>
  <c r="I104" s="1"/>
  <c r="M63"/>
  <c r="N63" s="1"/>
  <c r="O63" s="1"/>
  <c r="I65"/>
  <c r="I112" s="1"/>
  <c r="M78" i="13"/>
  <c r="N78" s="1"/>
  <c r="O78" s="1"/>
  <c r="I90"/>
  <c r="I115" s="1"/>
  <c r="M86" i="18"/>
  <c r="I94"/>
  <c r="I119" s="1"/>
  <c r="I86" i="14"/>
  <c r="I111" s="1"/>
  <c r="M71"/>
  <c r="M22"/>
  <c r="I26"/>
  <c r="I103" s="1"/>
  <c r="N29" i="16"/>
  <c r="O29" s="1"/>
  <c r="P29" s="1"/>
  <c r="J33"/>
  <c r="J104" s="1"/>
  <c r="I45" i="17"/>
  <c r="I113" s="1"/>
  <c r="M43"/>
  <c r="N43" s="1"/>
  <c r="O43" s="1"/>
  <c r="I94" i="19"/>
  <c r="I119" s="1"/>
  <c r="M86"/>
  <c r="M140" i="15"/>
  <c r="N140" s="1"/>
  <c r="O140" s="1"/>
  <c r="I147"/>
  <c r="I165" s="1"/>
  <c r="M43" i="18"/>
  <c r="N43" s="1"/>
  <c r="O43" s="1"/>
  <c r="I45"/>
  <c r="I113" s="1"/>
  <c r="I199" i="24"/>
  <c r="I242" s="1"/>
  <c r="M194"/>
  <c r="N194" s="1"/>
  <c r="O194" s="1"/>
  <c r="M74" i="1"/>
  <c r="I89"/>
  <c r="I114" s="1"/>
  <c r="M74" i="10"/>
  <c r="N74" s="1"/>
  <c r="O74" s="1"/>
  <c r="I89"/>
  <c r="I114" s="1"/>
  <c r="M74" i="9"/>
  <c r="I89"/>
  <c r="I114" s="1"/>
  <c r="M116" i="24"/>
  <c r="N116" s="1"/>
  <c r="O116" s="1"/>
  <c r="I147"/>
  <c r="I240" s="1"/>
  <c r="H124" i="17"/>
  <c r="F124" i="18"/>
  <c r="D247" i="24"/>
  <c r="F116" i="14"/>
  <c r="D119" i="1"/>
  <c r="F119" i="12"/>
  <c r="G168" i="15"/>
  <c r="G124" i="17"/>
  <c r="E168" i="15"/>
  <c r="E118" i="11"/>
  <c r="E119" i="9"/>
  <c r="E117" i="16"/>
  <c r="C124" i="19"/>
  <c r="C116" i="14"/>
  <c r="E119" i="12"/>
  <c r="S85" i="11"/>
  <c r="R87"/>
  <c r="R112" s="1"/>
  <c r="M15" i="13"/>
  <c r="I17"/>
  <c r="I105" s="1"/>
  <c r="M56" i="14"/>
  <c r="N56" s="1"/>
  <c r="O56" s="1"/>
  <c r="I62"/>
  <c r="I109" s="1"/>
  <c r="M86" i="17"/>
  <c r="N86" s="1"/>
  <c r="I94"/>
  <c r="I119" s="1"/>
  <c r="I96" i="14"/>
  <c r="I113" s="1"/>
  <c r="M94"/>
  <c r="N75" i="16"/>
  <c r="O75" s="1"/>
  <c r="P75" s="1"/>
  <c r="J87"/>
  <c r="J112" s="1"/>
  <c r="I29" i="17"/>
  <c r="I111" s="1"/>
  <c r="M25"/>
  <c r="M96" i="11"/>
  <c r="I98"/>
  <c r="I115" s="1"/>
  <c r="M25" i="18"/>
  <c r="I29"/>
  <c r="I111" s="1"/>
  <c r="I29" i="19"/>
  <c r="I111" s="1"/>
  <c r="M25"/>
  <c r="M115" i="15"/>
  <c r="N115" s="1"/>
  <c r="O115" s="1"/>
  <c r="I131"/>
  <c r="I163" s="1"/>
  <c r="C119" i="12"/>
  <c r="H124" i="19"/>
  <c r="H124" i="18"/>
  <c r="H116" i="14"/>
  <c r="H120" i="13"/>
  <c r="D119" i="10"/>
  <c r="D116" i="14"/>
  <c r="G247" i="24"/>
  <c r="D128" i="7"/>
  <c r="E247" i="24"/>
  <c r="E119" i="10"/>
  <c r="E119" i="1"/>
  <c r="Q117" i="11"/>
  <c r="D119" i="12"/>
  <c r="H119"/>
  <c r="G119"/>
  <c r="H72" i="7"/>
  <c r="H121" s="1"/>
  <c r="L96" i="12"/>
  <c r="L98" s="1"/>
  <c r="K98"/>
  <c r="K115" s="1"/>
  <c r="L83"/>
  <c r="L88"/>
  <c r="L48"/>
  <c r="L50" s="1"/>
  <c r="L109" s="1"/>
  <c r="K50"/>
  <c r="K109" s="1"/>
  <c r="L26"/>
  <c r="K28"/>
  <c r="K105" s="1"/>
  <c r="K118" s="1"/>
  <c r="L45" i="14"/>
  <c r="K47"/>
  <c r="K106" s="1"/>
  <c r="L96" i="1"/>
  <c r="L98" s="1"/>
  <c r="L115" s="1"/>
  <c r="K98"/>
  <c r="K115" s="1"/>
  <c r="L96" i="9"/>
  <c r="K98"/>
  <c r="K115" s="1"/>
  <c r="L26"/>
  <c r="L28" s="1"/>
  <c r="L105" s="1"/>
  <c r="K28"/>
  <c r="K105" s="1"/>
  <c r="N16" i="12"/>
  <c r="N104" s="1"/>
  <c r="M94" i="17"/>
  <c r="M119" s="1"/>
  <c r="S196" i="24"/>
  <c r="S70" i="14"/>
  <c r="S74" i="13"/>
  <c r="R84"/>
  <c r="S90" i="24"/>
  <c r="S179"/>
  <c r="S190"/>
  <c r="L49" i="13"/>
  <c r="K51"/>
  <c r="K110" s="1"/>
  <c r="L23" i="14"/>
  <c r="K25"/>
  <c r="K102" s="1"/>
  <c r="M94" i="16"/>
  <c r="L96"/>
  <c r="L113" s="1"/>
  <c r="O96" i="10"/>
  <c r="S96" s="1"/>
  <c r="N98"/>
  <c r="N115" s="1"/>
  <c r="L77" i="11"/>
  <c r="L87" s="1"/>
  <c r="K87"/>
  <c r="K112" s="1"/>
  <c r="L26" i="10"/>
  <c r="K28"/>
  <c r="K105" s="1"/>
  <c r="L17" i="24"/>
  <c r="K19"/>
  <c r="K231" s="1"/>
  <c r="L22" i="15"/>
  <c r="K24"/>
  <c r="K152" s="1"/>
  <c r="N87" i="16"/>
  <c r="N112" s="1"/>
  <c r="M90" i="13"/>
  <c r="M115" s="1"/>
  <c r="M62" i="14"/>
  <c r="M109" s="1"/>
  <c r="M89" i="10"/>
  <c r="M114" s="1"/>
  <c r="S13" i="19"/>
  <c r="S88"/>
  <c r="S88" i="18"/>
  <c r="S88" i="17"/>
  <c r="S122" i="15"/>
  <c r="S80" i="10"/>
  <c r="S76"/>
  <c r="S13" i="1"/>
  <c r="Q83" i="14"/>
  <c r="R83" s="1"/>
  <c r="Q45"/>
  <c r="L72" i="17"/>
  <c r="L116" s="1"/>
  <c r="I59" i="18"/>
  <c r="I115" s="1"/>
  <c r="I59" i="19"/>
  <c r="I115" s="1"/>
  <c r="O146" i="15"/>
  <c r="O164" s="1"/>
  <c r="R88" i="10"/>
  <c r="H58" i="7"/>
  <c r="H119" s="1"/>
  <c r="I51" i="1"/>
  <c r="I110" s="1"/>
  <c r="Q48" i="10"/>
  <c r="S135" i="24"/>
  <c r="S13" i="9"/>
  <c r="S42" i="24"/>
  <c r="Q83" i="12"/>
  <c r="I51"/>
  <c r="I110" s="1"/>
  <c r="I48" i="14"/>
  <c r="I107" s="1"/>
  <c r="I36"/>
  <c r="I105" s="1"/>
  <c r="J43" i="16"/>
  <c r="J106" s="1"/>
  <c r="J117" s="1"/>
  <c r="Q91" i="17"/>
  <c r="R91" s="1"/>
  <c r="S91" s="1"/>
  <c r="Q193" i="24"/>
  <c r="R193" s="1"/>
  <c r="Q83" i="9"/>
  <c r="R83" s="1"/>
  <c r="S83" s="1"/>
  <c r="I39" i="1"/>
  <c r="I108" s="1"/>
  <c r="I39" i="10"/>
  <c r="I108" s="1"/>
  <c r="P85" i="7"/>
  <c r="Q85" s="1"/>
  <c r="P31"/>
  <c r="L51"/>
  <c r="M51" s="1"/>
  <c r="N51" s="1"/>
  <c r="N31"/>
  <c r="N35" s="1"/>
  <c r="N114" s="1"/>
  <c r="M35"/>
  <c r="M114" s="1"/>
  <c r="J63"/>
  <c r="K12"/>
  <c r="J31" s="1"/>
  <c r="S10"/>
  <c r="R91"/>
  <c r="R95"/>
  <c r="R64" i="1"/>
  <c r="R111" s="1"/>
  <c r="O105"/>
  <c r="O88"/>
  <c r="O113" s="1"/>
  <c r="S71"/>
  <c r="L64"/>
  <c r="L15"/>
  <c r="S10"/>
  <c r="K15"/>
  <c r="K103" s="1"/>
  <c r="S46" i="10"/>
  <c r="S36"/>
  <c r="S38" s="1"/>
  <c r="S107" s="1"/>
  <c r="H10" i="21" s="1"/>
  <c r="R38" i="10"/>
  <c r="R107" s="1"/>
  <c r="Q28"/>
  <c r="Q105" s="1"/>
  <c r="R24"/>
  <c r="T5"/>
  <c r="S60"/>
  <c r="S56"/>
  <c r="Q38"/>
  <c r="Q107" s="1"/>
  <c r="R113"/>
  <c r="O64"/>
  <c r="O111" s="1"/>
  <c r="S78"/>
  <c r="S73"/>
  <c r="O98"/>
  <c r="O115" s="1"/>
  <c r="O28"/>
  <c r="S71"/>
  <c r="L98"/>
  <c r="O96" i="24"/>
  <c r="N106"/>
  <c r="N238" s="1"/>
  <c r="O104" i="18"/>
  <c r="O121" s="1"/>
  <c r="M65" i="12"/>
  <c r="M112" s="1"/>
  <c r="S10" i="9"/>
  <c r="L15"/>
  <c r="K15"/>
  <c r="K103" s="1"/>
  <c r="R64"/>
  <c r="R111" s="1"/>
  <c r="R28"/>
  <c r="R105" s="1"/>
  <c r="S71"/>
  <c r="S56"/>
  <c r="L64"/>
  <c r="L111" s="1"/>
  <c r="P153" i="24"/>
  <c r="Q153" s="1"/>
  <c r="R153" s="1"/>
  <c r="M47" i="11"/>
  <c r="N47" s="1"/>
  <c r="O47" s="1"/>
  <c r="P44" i="9"/>
  <c r="Q44" s="1"/>
  <c r="R44" s="1"/>
  <c r="L41" i="7"/>
  <c r="M41" s="1"/>
  <c r="P38" i="20"/>
  <c r="Q38" s="1"/>
  <c r="R38" s="1"/>
  <c r="P33"/>
  <c r="Q33" s="1"/>
  <c r="R33" s="1"/>
  <c r="P28"/>
  <c r="Q28" s="1"/>
  <c r="R28" s="1"/>
  <c r="P21" i="17"/>
  <c r="Q22" s="1"/>
  <c r="R22" s="1"/>
  <c r="M50" i="18"/>
  <c r="N50" s="1"/>
  <c r="O50" s="1"/>
  <c r="P36"/>
  <c r="Q36" s="1"/>
  <c r="R36" s="1"/>
  <c r="P22" i="13"/>
  <c r="Q23" s="1"/>
  <c r="R23" s="1"/>
  <c r="P30" i="15"/>
  <c r="Q31" s="1"/>
  <c r="R31" s="1"/>
  <c r="M22" i="11"/>
  <c r="N22" i="16"/>
  <c r="O22" s="1"/>
  <c r="P22" s="1"/>
  <c r="M37" i="17"/>
  <c r="N37" s="1"/>
  <c r="O37" s="1"/>
  <c r="M37" i="19"/>
  <c r="N37" s="1"/>
  <c r="O37" s="1"/>
  <c r="P109" i="15"/>
  <c r="Q109" s="1"/>
  <c r="R109" s="1"/>
  <c r="P51"/>
  <c r="Q51" s="1"/>
  <c r="R51" s="1"/>
  <c r="J31" i="24"/>
  <c r="K31" s="1"/>
  <c r="L31" s="1"/>
  <c r="M34"/>
  <c r="N34" s="1"/>
  <c r="O34" s="1"/>
  <c r="P21" i="10"/>
  <c r="Q22" s="1"/>
  <c r="R22" s="1"/>
  <c r="Q21" i="17"/>
  <c r="R21" s="1"/>
  <c r="O39" i="12"/>
  <c r="O108" s="1"/>
  <c r="P32" i="24"/>
  <c r="Q32" s="1"/>
  <c r="R32" s="1"/>
  <c r="I51" i="9"/>
  <c r="I110" s="1"/>
  <c r="M31" i="24"/>
  <c r="N31" s="1"/>
  <c r="O31" s="1"/>
  <c r="H46" i="7"/>
  <c r="H117" s="1"/>
  <c r="Q20" i="22"/>
  <c r="Q22" s="1"/>
  <c r="Q52" s="1"/>
  <c r="Q63" s="1"/>
  <c r="O41" i="7"/>
  <c r="P41" s="1"/>
  <c r="Q41" s="1"/>
  <c r="M25" i="24"/>
  <c r="M51" i="15"/>
  <c r="N51" s="1"/>
  <c r="O51" s="1"/>
  <c r="M36" i="19"/>
  <c r="N36" s="1"/>
  <c r="O36" s="1"/>
  <c r="N20" i="16"/>
  <c r="O20" s="1"/>
  <c r="P20" s="1"/>
  <c r="P44" i="12"/>
  <c r="Q44" s="1"/>
  <c r="R44" s="1"/>
  <c r="M45" i="13"/>
  <c r="M52" s="1"/>
  <c r="M111" s="1"/>
  <c r="P35"/>
  <c r="Q35" s="1"/>
  <c r="R35" s="1"/>
  <c r="P31" i="14"/>
  <c r="Q31" s="1"/>
  <c r="R31" s="1"/>
  <c r="J18"/>
  <c r="K18" s="1"/>
  <c r="L18" s="1"/>
  <c r="P39" i="17"/>
  <c r="Q39" s="1"/>
  <c r="R39" s="1"/>
  <c r="P36"/>
  <c r="Q36" s="1"/>
  <c r="R36" s="1"/>
  <c r="P34"/>
  <c r="Q34" s="1"/>
  <c r="R34" s="1"/>
  <c r="M37" i="18"/>
  <c r="N37" s="1"/>
  <c r="O37" s="1"/>
  <c r="P21"/>
  <c r="Q22" s="1"/>
  <c r="R22" s="1"/>
  <c r="M34" i="19"/>
  <c r="N34" s="1"/>
  <c r="M154" i="24"/>
  <c r="N154" s="1"/>
  <c r="O154" s="1"/>
  <c r="M108" i="15"/>
  <c r="N108" s="1"/>
  <c r="O108" s="1"/>
  <c r="M67"/>
  <c r="N67" s="1"/>
  <c r="O67" s="1"/>
  <c r="P44" i="1"/>
  <c r="Q44" s="1"/>
  <c r="R44" s="1"/>
  <c r="M44" i="10"/>
  <c r="N44" s="1"/>
  <c r="O44" s="1"/>
  <c r="M57" i="24"/>
  <c r="N57" s="1"/>
  <c r="O57" s="1"/>
  <c r="Q56"/>
  <c r="R56" s="1"/>
  <c r="P35" i="11"/>
  <c r="Q35" s="1"/>
  <c r="R35" s="1"/>
  <c r="M34" i="10"/>
  <c r="N34" s="1"/>
  <c r="P34" i="9"/>
  <c r="Q34" s="1"/>
  <c r="R34" s="1"/>
  <c r="P39" i="20"/>
  <c r="Q39" s="1"/>
  <c r="R39" s="1"/>
  <c r="M29" i="24"/>
  <c r="M30" s="1"/>
  <c r="N30" s="1"/>
  <c r="O30" s="1"/>
  <c r="P32" i="15"/>
  <c r="Q33" s="1"/>
  <c r="R33" s="1"/>
  <c r="O28" i="7"/>
  <c r="P28" s="1"/>
  <c r="Q28" s="1"/>
  <c r="M23" i="11"/>
  <c r="N23" s="1"/>
  <c r="O23" s="1"/>
  <c r="P21" i="1"/>
  <c r="P21" i="9"/>
  <c r="Q22" s="1"/>
  <c r="R22" s="1"/>
  <c r="P43" i="16"/>
  <c r="P106" s="1"/>
  <c r="I111" i="13"/>
  <c r="M39" i="12"/>
  <c r="M108" s="1"/>
  <c r="O43" i="16"/>
  <c r="O106" s="1"/>
  <c r="M32" i="24"/>
  <c r="N32" s="1"/>
  <c r="O32" s="1"/>
  <c r="U32" s="1"/>
  <c r="I45" i="19"/>
  <c r="I113" s="1"/>
  <c r="Q19" i="14"/>
  <c r="R19" s="1"/>
  <c r="P27" i="20"/>
  <c r="Q27" s="1"/>
  <c r="R27" s="1"/>
  <c r="P29"/>
  <c r="Q29" s="1"/>
  <c r="R29" s="1"/>
  <c r="P32"/>
  <c r="Q32" s="1"/>
  <c r="R32" s="1"/>
  <c r="P34"/>
  <c r="Q34" s="1"/>
  <c r="R34" s="1"/>
  <c r="P37"/>
  <c r="Q37" s="1"/>
  <c r="R37" s="1"/>
  <c r="P76"/>
  <c r="Q76" s="1"/>
  <c r="R76" s="1"/>
  <c r="M35" i="18"/>
  <c r="N35" s="1"/>
  <c r="O35" s="1"/>
  <c r="P49" i="15"/>
  <c r="Q49" s="1"/>
  <c r="R49" s="1"/>
  <c r="Q21" i="10"/>
  <c r="R21" s="1"/>
  <c r="Q30" i="15"/>
  <c r="R30" s="1"/>
  <c r="M18" i="14"/>
  <c r="N18" s="1"/>
  <c r="O18" s="1"/>
  <c r="J31"/>
  <c r="K31" s="1"/>
  <c r="L31" s="1"/>
  <c r="M31"/>
  <c r="P26" i="24"/>
  <c r="P41" i="14"/>
  <c r="Q41" s="1"/>
  <c r="R41" s="1"/>
  <c r="M41"/>
  <c r="N41" s="1"/>
  <c r="J41"/>
  <c r="K41" s="1"/>
  <c r="L41" s="1"/>
  <c r="S53" i="15"/>
  <c r="S65" i="11"/>
  <c r="O83"/>
  <c r="N88"/>
  <c r="N113" s="1"/>
  <c r="R120" i="24"/>
  <c r="Q239"/>
  <c r="L111" i="12"/>
  <c r="L98" i="9"/>
  <c r="O88" i="11"/>
  <c r="O113" s="1"/>
  <c r="O67"/>
  <c r="O110" s="1"/>
  <c r="S170" i="24"/>
  <c r="S63"/>
  <c r="S61"/>
  <c r="S44"/>
  <c r="O52" i="16"/>
  <c r="O107" s="1"/>
  <c r="S85" i="18"/>
  <c r="S193" i="24"/>
  <c r="O82" i="18"/>
  <c r="N104" i="17"/>
  <c r="N121" s="1"/>
  <c r="N39" i="12"/>
  <c r="N108" s="1"/>
  <c r="S139" i="15"/>
  <c r="S124" i="24"/>
  <c r="O96" i="15"/>
  <c r="O102" s="1"/>
  <c r="O161" s="1"/>
  <c r="O138" i="24"/>
  <c r="S138" s="1"/>
  <c r="N146"/>
  <c r="N239" s="1"/>
  <c r="O172"/>
  <c r="N198"/>
  <c r="N241" s="1"/>
  <c r="S184"/>
  <c r="O59" i="10"/>
  <c r="O65" s="1"/>
  <c r="O112" s="1"/>
  <c r="N65"/>
  <c r="N112" s="1"/>
  <c r="L122" i="24"/>
  <c r="S122" s="1"/>
  <c r="S57" i="15"/>
  <c r="S61" s="1"/>
  <c r="S156" s="1"/>
  <c r="H22" i="21" s="1"/>
  <c r="O61" i="15"/>
  <c r="O156" s="1"/>
  <c r="O97" i="24"/>
  <c r="S97" s="1"/>
  <c r="N105"/>
  <c r="N237" s="1"/>
  <c r="O106"/>
  <c r="O238" s="1"/>
  <c r="O146"/>
  <c r="O239" s="1"/>
  <c r="O198"/>
  <c r="O241" s="1"/>
  <c r="S79" i="13"/>
  <c r="S172" i="24"/>
  <c r="S219"/>
  <c r="S73" i="12"/>
  <c r="O105" i="24"/>
  <c r="O237" s="1"/>
  <c r="S84" i="13"/>
  <c r="S215" i="24"/>
  <c r="S223"/>
  <c r="S76" i="9"/>
  <c r="N13" i="14"/>
  <c r="N101" s="1"/>
  <c r="O11"/>
  <c r="O13" s="1"/>
  <c r="O101" s="1"/>
  <c r="O94" i="11"/>
  <c r="M147" i="24"/>
  <c r="M240" s="1"/>
  <c r="N112"/>
  <c r="N63" i="16"/>
  <c r="N110" s="1"/>
  <c r="O59"/>
  <c r="M65" i="9"/>
  <c r="M112" s="1"/>
  <c r="N57"/>
  <c r="O12" i="13"/>
  <c r="M16" i="18"/>
  <c r="M109" s="1"/>
  <c r="N11"/>
  <c r="O43" i="19"/>
  <c r="L112" i="11"/>
  <c r="O97" i="1"/>
  <c r="O99" s="1"/>
  <c r="O116" s="1"/>
  <c r="N99"/>
  <c r="N116" s="1"/>
  <c r="O62" i="13"/>
  <c r="S144" i="15"/>
  <c r="L146"/>
  <c r="L15" i="12"/>
  <c r="S13"/>
  <c r="R161" i="24"/>
  <c r="R198" s="1"/>
  <c r="R241" s="1"/>
  <c r="Q198"/>
  <c r="Q241" s="1"/>
  <c r="S210"/>
  <c r="L225"/>
  <c r="O70" i="15"/>
  <c r="N78"/>
  <c r="N158" s="1"/>
  <c r="R74"/>
  <c r="R78" s="1"/>
  <c r="R158" s="1"/>
  <c r="Q78"/>
  <c r="Q158" s="1"/>
  <c r="O89" i="10"/>
  <c r="O114" s="1"/>
  <c r="O60" i="11"/>
  <c r="O68" s="1"/>
  <c r="O111" s="1"/>
  <c r="N99" i="12"/>
  <c r="N116" s="1"/>
  <c r="N62" i="14"/>
  <c r="N109" s="1"/>
  <c r="O70" i="16"/>
  <c r="P70" s="1"/>
  <c r="M16" i="17"/>
  <c r="M109" s="1"/>
  <c r="N54" i="15"/>
  <c r="N57" i="12"/>
  <c r="N62" i="24"/>
  <c r="M30" i="13"/>
  <c r="M107" s="1"/>
  <c r="L116" i="18"/>
  <c r="S61" i="11"/>
  <c r="M99" i="12"/>
  <c r="M116" s="1"/>
  <c r="S39" i="11"/>
  <c r="S41" s="1"/>
  <c r="S106" s="1"/>
  <c r="C34" i="21" s="1"/>
  <c r="S65" i="24"/>
  <c r="S71" s="1"/>
  <c r="S235" s="1"/>
  <c r="M22" i="21" s="1"/>
  <c r="S87" i="15"/>
  <c r="S78" i="9"/>
  <c r="O137" i="15"/>
  <c r="O147" s="1"/>
  <c r="O165" s="1"/>
  <c r="N147"/>
  <c r="N165" s="1"/>
  <c r="N158" i="24"/>
  <c r="M199"/>
  <c r="M242" s="1"/>
  <c r="M131" i="15"/>
  <c r="M163" s="1"/>
  <c r="N113"/>
  <c r="O47" i="10"/>
  <c r="L109"/>
  <c r="O48" i="13"/>
  <c r="S95" i="14"/>
  <c r="S112" s="1"/>
  <c r="L112"/>
  <c r="P79" i="16"/>
  <c r="O14" i="1"/>
  <c r="S113" i="24"/>
  <c r="S63" i="11"/>
  <c r="L67"/>
  <c r="L110" s="1"/>
  <c r="R85" i="7"/>
  <c r="L99" i="24"/>
  <c r="S99" s="1"/>
  <c r="K105"/>
  <c r="K237" s="1"/>
  <c r="L163"/>
  <c r="K198"/>
  <c r="K241" s="1"/>
  <c r="L53" i="11"/>
  <c r="N226" i="24"/>
  <c r="N244" s="1"/>
  <c r="O64" i="9"/>
  <c r="S161" i="24"/>
  <c r="O72" i="18"/>
  <c r="O116" s="1"/>
  <c r="L93" i="19"/>
  <c r="L118" s="1"/>
  <c r="S50" i="20"/>
  <c r="K119" i="13"/>
  <c r="S72" i="15"/>
  <c r="S118"/>
  <c r="O50" i="11"/>
  <c r="O53" i="18"/>
  <c r="O58"/>
  <c r="S52"/>
  <c r="O39" i="15"/>
  <c r="N43"/>
  <c r="N154" s="1"/>
  <c r="S81" i="18"/>
  <c r="L93"/>
  <c r="L118" s="1"/>
  <c r="S17" i="24"/>
  <c r="L19"/>
  <c r="Q22" i="11"/>
  <c r="R22" s="1"/>
  <c r="S91" i="18"/>
  <c r="J44" i="12"/>
  <c r="K44" s="1"/>
  <c r="L44" s="1"/>
  <c r="J28" i="24"/>
  <c r="K28" s="1"/>
  <c r="L28" s="1"/>
  <c r="J29"/>
  <c r="K29" s="1"/>
  <c r="L29" s="1"/>
  <c r="J35"/>
  <c r="J36" i="11"/>
  <c r="K36" s="1"/>
  <c r="L36" s="1"/>
  <c r="J46" i="20"/>
  <c r="J37" i="11"/>
  <c r="K37" s="1"/>
  <c r="L37" s="1"/>
  <c r="J59" i="24"/>
  <c r="K59" s="1"/>
  <c r="L59" s="1"/>
  <c r="J27"/>
  <c r="K27" s="1"/>
  <c r="L27" s="1"/>
  <c r="J44" i="10"/>
  <c r="K44" s="1"/>
  <c r="L44" s="1"/>
  <c r="J68" i="15"/>
  <c r="K68" s="1"/>
  <c r="L68" s="1"/>
  <c r="J75" i="20"/>
  <c r="K75" s="1"/>
  <c r="L75" s="1"/>
  <c r="J40" i="18"/>
  <c r="K40" s="1"/>
  <c r="L40" s="1"/>
  <c r="J50"/>
  <c r="K50" s="1"/>
  <c r="L50" s="1"/>
  <c r="J21" i="19"/>
  <c r="J36"/>
  <c r="K36" s="1"/>
  <c r="L36" s="1"/>
  <c r="J39"/>
  <c r="K39" s="1"/>
  <c r="L39" s="1"/>
  <c r="J40" i="17"/>
  <c r="K40" s="1"/>
  <c r="L40" s="1"/>
  <c r="J50"/>
  <c r="K50" s="1"/>
  <c r="L50" s="1"/>
  <c r="K38" i="16"/>
  <c r="L38" s="1"/>
  <c r="M38" s="1"/>
  <c r="J45" i="13"/>
  <c r="K45" s="1"/>
  <c r="L45" s="1"/>
  <c r="J34" i="12"/>
  <c r="K34" s="1"/>
  <c r="L34" s="1"/>
  <c r="J22" i="11"/>
  <c r="J153" i="24"/>
  <c r="K153" s="1"/>
  <c r="L153" s="1"/>
  <c r="U153" s="1"/>
  <c r="K48" i="16"/>
  <c r="L48" s="1"/>
  <c r="M48" s="1"/>
  <c r="J34" i="17"/>
  <c r="K34" s="1"/>
  <c r="L34" s="1"/>
  <c r="J39" i="20"/>
  <c r="K39" s="1"/>
  <c r="L39" s="1"/>
  <c r="K23" i="16"/>
  <c r="L23" s="1"/>
  <c r="M23" s="1"/>
  <c r="J50" i="19"/>
  <c r="K50" s="1"/>
  <c r="L50" s="1"/>
  <c r="J76" i="20"/>
  <c r="K76" s="1"/>
  <c r="L76" s="1"/>
  <c r="J74"/>
  <c r="J44" i="9"/>
  <c r="K44" s="1"/>
  <c r="L44" s="1"/>
  <c r="J20" i="22"/>
  <c r="J34" i="1"/>
  <c r="K34" s="1"/>
  <c r="L34" s="1"/>
  <c r="J34" i="9"/>
  <c r="K34" s="1"/>
  <c r="L34" s="1"/>
  <c r="J38" i="20"/>
  <c r="K38" s="1"/>
  <c r="L38" s="1"/>
  <c r="J36"/>
  <c r="K36" s="1"/>
  <c r="L36" s="1"/>
  <c r="J34"/>
  <c r="K34" s="1"/>
  <c r="L34" s="1"/>
  <c r="J33"/>
  <c r="K33" s="1"/>
  <c r="L33" s="1"/>
  <c r="J31"/>
  <c r="K31" s="1"/>
  <c r="L31" s="1"/>
  <c r="J29"/>
  <c r="K29" s="1"/>
  <c r="L29" s="1"/>
  <c r="J28"/>
  <c r="K28" s="1"/>
  <c r="L28" s="1"/>
  <c r="J30" i="15"/>
  <c r="J21" i="11"/>
  <c r="J21" i="10"/>
  <c r="J23" i="11"/>
  <c r="K23" s="1"/>
  <c r="L23" s="1"/>
  <c r="J26" i="24"/>
  <c r="K26" s="1"/>
  <c r="L26" s="1"/>
  <c r="J30"/>
  <c r="K30" s="1"/>
  <c r="L30" s="1"/>
  <c r="J33"/>
  <c r="K33" s="1"/>
  <c r="L33" s="1"/>
  <c r="J34" i="10"/>
  <c r="K34" s="1"/>
  <c r="L34" s="1"/>
  <c r="J47" i="20"/>
  <c r="K47" s="1"/>
  <c r="L47" s="1"/>
  <c r="J57" i="24"/>
  <c r="K57" s="1"/>
  <c r="L57" s="1"/>
  <c r="J58"/>
  <c r="K58" s="1"/>
  <c r="L58" s="1"/>
  <c r="J25"/>
  <c r="K25" s="1"/>
  <c r="L25" s="1"/>
  <c r="J47" i="11"/>
  <c r="K47" s="1"/>
  <c r="L47" s="1"/>
  <c r="J67" i="15"/>
  <c r="K67" s="1"/>
  <c r="L67" s="1"/>
  <c r="J35" i="19"/>
  <c r="K35" s="1"/>
  <c r="L35" s="1"/>
  <c r="J40"/>
  <c r="K40" s="1"/>
  <c r="L40" s="1"/>
  <c r="J35" i="18"/>
  <c r="K35" s="1"/>
  <c r="L35" s="1"/>
  <c r="J37"/>
  <c r="K37" s="1"/>
  <c r="L37" s="1"/>
  <c r="J108" i="15"/>
  <c r="K108" s="1"/>
  <c r="L108" s="1"/>
  <c r="J154" i="24"/>
  <c r="K154" s="1"/>
  <c r="L154" s="1"/>
  <c r="J34" i="19"/>
  <c r="K34" s="1"/>
  <c r="L34" s="1"/>
  <c r="J79"/>
  <c r="K79" s="1"/>
  <c r="L79" s="1"/>
  <c r="J39" i="18"/>
  <c r="K39" s="1"/>
  <c r="L39" s="1"/>
  <c r="J79"/>
  <c r="K79" s="1"/>
  <c r="L79" s="1"/>
  <c r="J35" i="17"/>
  <c r="K35" s="1"/>
  <c r="L35" s="1"/>
  <c r="J37"/>
  <c r="K37" s="1"/>
  <c r="L37" s="1"/>
  <c r="K18" i="16"/>
  <c r="L18" s="1"/>
  <c r="K20"/>
  <c r="L20" s="1"/>
  <c r="M20" s="1"/>
  <c r="K22"/>
  <c r="L22" s="1"/>
  <c r="M22" s="1"/>
  <c r="J79" i="17"/>
  <c r="K79" s="1"/>
  <c r="L79" s="1"/>
  <c r="J21" i="12"/>
  <c r="J51" i="15"/>
  <c r="K51" s="1"/>
  <c r="L51" s="1"/>
  <c r="J37" i="19"/>
  <c r="K37" s="1"/>
  <c r="L37" s="1"/>
  <c r="J35" i="13"/>
  <c r="K35" s="1"/>
  <c r="L35" s="1"/>
  <c r="J22"/>
  <c r="J21" i="17"/>
  <c r="J34" i="24"/>
  <c r="K34" s="1"/>
  <c r="L34" s="1"/>
  <c r="J50" i="15"/>
  <c r="K50" s="1"/>
  <c r="L50" s="1"/>
  <c r="T50" s="1"/>
  <c r="J32"/>
  <c r="K19" i="16"/>
  <c r="L19" s="1"/>
  <c r="M19" s="1"/>
  <c r="K21"/>
  <c r="L21" s="1"/>
  <c r="M21" s="1"/>
  <c r="J39" i="17"/>
  <c r="K39" s="1"/>
  <c r="L39" s="1"/>
  <c r="J36"/>
  <c r="K36" s="1"/>
  <c r="L36" s="1"/>
  <c r="J34" i="18"/>
  <c r="K34" s="1"/>
  <c r="L34" s="1"/>
  <c r="J21"/>
  <c r="J109" i="15"/>
  <c r="K109" s="1"/>
  <c r="L109" s="1"/>
  <c r="J36" i="18"/>
  <c r="K36" s="1"/>
  <c r="L36" s="1"/>
  <c r="I51" i="7"/>
  <c r="J51" s="1"/>
  <c r="K51" s="1"/>
  <c r="J44" i="1"/>
  <c r="K44" s="1"/>
  <c r="L44" s="1"/>
  <c r="J35" i="11"/>
  <c r="K35" s="1"/>
  <c r="L35" s="1"/>
  <c r="J37" i="20"/>
  <c r="K37" s="1"/>
  <c r="L37" s="1"/>
  <c r="J32"/>
  <c r="K32" s="1"/>
  <c r="L32" s="1"/>
  <c r="J27"/>
  <c r="K27" s="1"/>
  <c r="L27" s="1"/>
  <c r="I41" i="7"/>
  <c r="J41" s="1"/>
  <c r="K41" s="1"/>
  <c r="J34" i="15"/>
  <c r="I28" i="7"/>
  <c r="J21" i="1"/>
  <c r="J21" i="9"/>
  <c r="S85" i="17"/>
  <c r="L93"/>
  <c r="L118" s="1"/>
  <c r="S68" i="19"/>
  <c r="L72"/>
  <c r="L88" i="1"/>
  <c r="S86"/>
  <c r="S64" i="10"/>
  <c r="S111" s="1"/>
  <c r="K118"/>
  <c r="O72" i="19"/>
  <c r="O116" s="1"/>
  <c r="P60" i="16"/>
  <c r="S177" i="24"/>
  <c r="S62" i="1"/>
  <c r="O50" i="24"/>
  <c r="S76" i="1"/>
  <c r="S13" i="10"/>
  <c r="R33" i="7"/>
  <c r="S125" i="15"/>
  <c r="S82" i="11"/>
  <c r="S77"/>
  <c r="S79"/>
  <c r="S86" i="10"/>
  <c r="S56" i="17"/>
  <c r="T30" i="16"/>
  <c r="K115" i="14"/>
  <c r="S140" i="24"/>
  <c r="S212"/>
  <c r="S221"/>
  <c r="S60" i="9"/>
  <c r="S80"/>
  <c r="S13" i="11"/>
  <c r="S68" i="18"/>
  <c r="S18" i="20"/>
  <c r="O116" i="12"/>
  <c r="O121" i="17"/>
  <c r="O62" i="14"/>
  <c r="N27" i="1"/>
  <c r="O27" s="1"/>
  <c r="M29"/>
  <c r="M106" s="1"/>
  <c r="O44" i="14"/>
  <c r="O47" i="12"/>
  <c r="O65" i="19"/>
  <c r="O71" i="15"/>
  <c r="F56" i="21"/>
  <c r="G44"/>
  <c r="L91" i="20"/>
  <c r="L102" s="1"/>
  <c r="M29" i="12"/>
  <c r="M106" s="1"/>
  <c r="N27"/>
  <c r="O27" s="1"/>
  <c r="S99" i="15"/>
  <c r="N77" i="12"/>
  <c r="M89"/>
  <c r="M114" s="1"/>
  <c r="N97" i="16"/>
  <c r="N114" s="1"/>
  <c r="N117" s="1"/>
  <c r="O93"/>
  <c r="N53" i="19"/>
  <c r="O109" i="12"/>
  <c r="S157" i="24"/>
  <c r="S49" i="11"/>
  <c r="S48" i="12"/>
  <c r="O88" i="9"/>
  <c r="S86"/>
  <c r="O93" i="19"/>
  <c r="S83"/>
  <c r="O93" i="18"/>
  <c r="S83"/>
  <c r="O72" i="17"/>
  <c r="O116" s="1"/>
  <c r="S70"/>
  <c r="P86" i="16"/>
  <c r="T84"/>
  <c r="K123" i="19"/>
  <c r="K123" i="18"/>
  <c r="S133" i="24"/>
  <c r="L120" i="19"/>
  <c r="O93" i="17"/>
  <c r="S83"/>
  <c r="Q54" i="18"/>
  <c r="R54" s="1"/>
  <c r="S54" s="1"/>
  <c r="Q54" i="17"/>
  <c r="R54" s="1"/>
  <c r="S54" s="1"/>
  <c r="S126" i="24"/>
  <c r="S142"/>
  <c r="S54" i="19"/>
  <c r="S62" i="9"/>
  <c r="S91" i="15"/>
  <c r="S116"/>
  <c r="S60" i="1"/>
  <c r="S80"/>
  <c r="P23" i="11"/>
  <c r="Q23" s="1"/>
  <c r="R23" s="1"/>
  <c r="P35" i="24"/>
  <c r="P36" i="11"/>
  <c r="Q36" s="1"/>
  <c r="R36" s="1"/>
  <c r="P47" i="20"/>
  <c r="Q47" s="1"/>
  <c r="R47" s="1"/>
  <c r="P57" i="24"/>
  <c r="P59"/>
  <c r="Q59" s="1"/>
  <c r="R59" s="1"/>
  <c r="P44" i="10"/>
  <c r="Q44" s="1"/>
  <c r="R44" s="1"/>
  <c r="P67" i="15"/>
  <c r="Q67" s="1"/>
  <c r="R67" s="1"/>
  <c r="P74" i="20"/>
  <c r="P154" i="24"/>
  <c r="Q154" s="1"/>
  <c r="R154" s="1"/>
  <c r="P40" i="19"/>
  <c r="Q40" s="1"/>
  <c r="R40" s="1"/>
  <c r="P37" i="18"/>
  <c r="Q37" s="1"/>
  <c r="R37" s="1"/>
  <c r="P50"/>
  <c r="Q50" s="1"/>
  <c r="R50" s="1"/>
  <c r="P34" i="19"/>
  <c r="Q34" s="1"/>
  <c r="R34" s="1"/>
  <c r="P39"/>
  <c r="Q39" s="1"/>
  <c r="R39" s="1"/>
  <c r="U39" s="1"/>
  <c r="P39" i="18"/>
  <c r="Q39" s="1"/>
  <c r="R39" s="1"/>
  <c r="P35" i="17"/>
  <c r="Q35" s="1"/>
  <c r="R35" s="1"/>
  <c r="P40"/>
  <c r="Q40" s="1"/>
  <c r="R40" s="1"/>
  <c r="Q18" i="16"/>
  <c r="R18" s="1"/>
  <c r="Q20"/>
  <c r="R20" s="1"/>
  <c r="S20" s="1"/>
  <c r="Q38"/>
  <c r="R38" s="1"/>
  <c r="S38" s="1"/>
  <c r="P79" i="17"/>
  <c r="Q79" s="1"/>
  <c r="R79" s="1"/>
  <c r="P21" i="12"/>
  <c r="P34" i="15"/>
  <c r="P33" i="24"/>
  <c r="Q33" s="1"/>
  <c r="R33" s="1"/>
  <c r="P34" i="10"/>
  <c r="Q34" s="1"/>
  <c r="R34" s="1"/>
  <c r="P46" i="20"/>
  <c r="P37" i="11"/>
  <c r="Q37" s="1"/>
  <c r="R37" s="1"/>
  <c r="P58" i="24"/>
  <c r="Q58" s="1"/>
  <c r="R58" s="1"/>
  <c r="P29"/>
  <c r="P47" i="11"/>
  <c r="Q47" s="1"/>
  <c r="R47" s="1"/>
  <c r="P68" i="15"/>
  <c r="Q68" s="1"/>
  <c r="R68" s="1"/>
  <c r="P108"/>
  <c r="Q108" s="1"/>
  <c r="R108" s="1"/>
  <c r="P35" i="19"/>
  <c r="Q35" s="1"/>
  <c r="R35" s="1"/>
  <c r="P35" i="18"/>
  <c r="Q35" s="1"/>
  <c r="R35" s="1"/>
  <c r="P40"/>
  <c r="Q40" s="1"/>
  <c r="R40" s="1"/>
  <c r="P21" i="19"/>
  <c r="P36"/>
  <c r="Q36" s="1"/>
  <c r="R36" s="1"/>
  <c r="P79"/>
  <c r="Q79" s="1"/>
  <c r="R79" s="1"/>
  <c r="P79" i="18"/>
  <c r="Q79" s="1"/>
  <c r="R79" s="1"/>
  <c r="P37" i="17"/>
  <c r="Q37" s="1"/>
  <c r="R37" s="1"/>
  <c r="P50"/>
  <c r="Q50" s="1"/>
  <c r="R50" s="1"/>
  <c r="Q22" i="16"/>
  <c r="R22" s="1"/>
  <c r="S22" s="1"/>
  <c r="P45" i="13"/>
  <c r="Q45" s="1"/>
  <c r="R45" s="1"/>
  <c r="Q23" i="16"/>
  <c r="R23" s="1"/>
  <c r="S23" s="1"/>
  <c r="P34" i="12"/>
  <c r="Q34" s="1"/>
  <c r="R34" s="1"/>
  <c r="N49" i="20"/>
  <c r="T82" i="24"/>
  <c r="M21" i="9"/>
  <c r="M21" i="1"/>
  <c r="L28" i="7"/>
  <c r="M27" i="20"/>
  <c r="N27" s="1"/>
  <c r="M29"/>
  <c r="N29" s="1"/>
  <c r="O29" s="1"/>
  <c r="M32"/>
  <c r="N32" s="1"/>
  <c r="O32" s="1"/>
  <c r="M34"/>
  <c r="N34" s="1"/>
  <c r="O34" s="1"/>
  <c r="M37"/>
  <c r="N37" s="1"/>
  <c r="O37" s="1"/>
  <c r="M34" i="9"/>
  <c r="M35" i="11"/>
  <c r="N35" s="1"/>
  <c r="M33" i="24"/>
  <c r="M36" i="11"/>
  <c r="N36" s="1"/>
  <c r="O36" s="1"/>
  <c r="M47" i="20"/>
  <c r="N47" s="1"/>
  <c r="O47" s="1"/>
  <c r="M58" i="24"/>
  <c r="N58" s="1"/>
  <c r="O58" s="1"/>
  <c r="M44" i="9"/>
  <c r="M74" i="20"/>
  <c r="M21" i="19"/>
  <c r="M21" i="18"/>
  <c r="M36"/>
  <c r="N36" s="1"/>
  <c r="O36" s="1"/>
  <c r="M75" i="20"/>
  <c r="N75" s="1"/>
  <c r="O75" s="1"/>
  <c r="M40" i="19"/>
  <c r="N40" s="1"/>
  <c r="O40" s="1"/>
  <c r="M79" i="18"/>
  <c r="N79" s="1"/>
  <c r="O79" s="1"/>
  <c r="M34" i="17"/>
  <c r="M39"/>
  <c r="N39" s="1"/>
  <c r="O39" s="1"/>
  <c r="N19" i="16"/>
  <c r="O19" s="1"/>
  <c r="N23"/>
  <c r="O23" s="1"/>
  <c r="P23" s="1"/>
  <c r="M22" i="13"/>
  <c r="M44" i="12"/>
  <c r="M21" i="10"/>
  <c r="M21" i="11"/>
  <c r="M30" i="15"/>
  <c r="M28" i="20"/>
  <c r="N28" s="1"/>
  <c r="O28" s="1"/>
  <c r="M31"/>
  <c r="N31" s="1"/>
  <c r="O31" s="1"/>
  <c r="M33"/>
  <c r="N33" s="1"/>
  <c r="O33" s="1"/>
  <c r="M36"/>
  <c r="N36" s="1"/>
  <c r="O36" s="1"/>
  <c r="M38"/>
  <c r="N38" s="1"/>
  <c r="O38" s="1"/>
  <c r="M34" i="1"/>
  <c r="M20" i="22"/>
  <c r="M35" i="24"/>
  <c r="M46" i="20"/>
  <c r="M37" i="11"/>
  <c r="N37" s="1"/>
  <c r="O37" s="1"/>
  <c r="M59" i="24"/>
  <c r="N59" s="1"/>
  <c r="O59" s="1"/>
  <c r="M44" i="1"/>
  <c r="M76" i="20"/>
  <c r="N76" s="1"/>
  <c r="O76" s="1"/>
  <c r="M79" i="19"/>
  <c r="N79" s="1"/>
  <c r="O79" s="1"/>
  <c r="M34" i="18"/>
  <c r="M39"/>
  <c r="N39" s="1"/>
  <c r="O39" s="1"/>
  <c r="M35" i="19"/>
  <c r="N35" s="1"/>
  <c r="O35" s="1"/>
  <c r="M50"/>
  <c r="N50" s="1"/>
  <c r="O50" s="1"/>
  <c r="M21" i="17"/>
  <c r="M36"/>
  <c r="N36" s="1"/>
  <c r="O36" s="1"/>
  <c r="M79"/>
  <c r="N79" s="1"/>
  <c r="O79" s="1"/>
  <c r="N21" i="16"/>
  <c r="O21" s="1"/>
  <c r="P21" s="1"/>
  <c r="N48"/>
  <c r="O48" s="1"/>
  <c r="P48" s="1"/>
  <c r="M35" i="13"/>
  <c r="S128" i="15"/>
  <c r="T80" i="24"/>
  <c r="T106" s="1"/>
  <c r="T238" s="1"/>
  <c r="O23" i="21" s="1"/>
  <c r="S41" i="15"/>
  <c r="R20" i="7"/>
  <c r="N15" i="19" l="1"/>
  <c r="I108"/>
  <c r="S48" i="9"/>
  <c r="R50"/>
  <c r="O48" i="10"/>
  <c r="O50" s="1"/>
  <c r="O109" s="1"/>
  <c r="N50"/>
  <c r="N109" s="1"/>
  <c r="N15" i="17"/>
  <c r="I108"/>
  <c r="I123" s="1"/>
  <c r="Q15"/>
  <c r="P87" i="16"/>
  <c r="P112" s="1"/>
  <c r="N79" i="15"/>
  <c r="N159" s="1"/>
  <c r="M79"/>
  <c r="M159" s="1"/>
  <c r="U39" i="20"/>
  <c r="N51" i="10"/>
  <c r="N110" s="1"/>
  <c r="I119" i="12"/>
  <c r="T79" i="19"/>
  <c r="T94" s="1"/>
  <c r="T119" s="1"/>
  <c r="U31" i="20"/>
  <c r="U40" i="19"/>
  <c r="U34" i="20"/>
  <c r="T44" i="10"/>
  <c r="T51" s="1"/>
  <c r="T110" s="1"/>
  <c r="J11" i="21" s="1"/>
  <c r="U23" i="11"/>
  <c r="R41" i="20"/>
  <c r="R90" s="1"/>
  <c r="K43" i="15"/>
  <c r="K154" s="1"/>
  <c r="S94" i="16"/>
  <c r="S96" s="1"/>
  <c r="S113" s="1"/>
  <c r="R96"/>
  <c r="R113" s="1"/>
  <c r="R116" s="1"/>
  <c r="O51" i="11"/>
  <c r="N53"/>
  <c r="N108" s="1"/>
  <c r="G119" i="9"/>
  <c r="R15" i="19"/>
  <c r="R108" s="1"/>
  <c r="Q108"/>
  <c r="O48" i="1"/>
  <c r="N50"/>
  <c r="N109" s="1"/>
  <c r="P94" i="16"/>
  <c r="P96" s="1"/>
  <c r="P113" s="1"/>
  <c r="O96"/>
  <c r="O113" s="1"/>
  <c r="O116" s="1"/>
  <c r="R96" i="1"/>
  <c r="R98" s="1"/>
  <c r="R115" s="1"/>
  <c r="Q98"/>
  <c r="Q115" s="1"/>
  <c r="Q35" i="24"/>
  <c r="R35" s="1"/>
  <c r="K35"/>
  <c r="L35" s="1"/>
  <c r="N15" i="18"/>
  <c r="I108"/>
  <c r="I123" s="1"/>
  <c r="Q15"/>
  <c r="L26" i="1"/>
  <c r="L28" s="1"/>
  <c r="L105" s="1"/>
  <c r="K28"/>
  <c r="K105" s="1"/>
  <c r="K118" s="1"/>
  <c r="N35" i="24"/>
  <c r="O35" s="1"/>
  <c r="M26"/>
  <c r="N25"/>
  <c r="R26" i="18"/>
  <c r="R28" s="1"/>
  <c r="R110" s="1"/>
  <c r="Q28"/>
  <c r="Q110" s="1"/>
  <c r="N67"/>
  <c r="M73"/>
  <c r="M117" s="1"/>
  <c r="U32" i="20"/>
  <c r="T50" i="17"/>
  <c r="T59" s="1"/>
  <c r="T115" s="1"/>
  <c r="U40" i="18"/>
  <c r="T68" i="15"/>
  <c r="T37" i="18"/>
  <c r="U34" i="24"/>
  <c r="T37" i="19"/>
  <c r="N54" i="11"/>
  <c r="N109" s="1"/>
  <c r="K19" i="14"/>
  <c r="L19" s="1"/>
  <c r="O25" i="24"/>
  <c r="U25" s="1"/>
  <c r="R20" i="22"/>
  <c r="R22" s="1"/>
  <c r="R52" s="1"/>
  <c r="R63" s="1"/>
  <c r="I124" i="19"/>
  <c r="V21" i="16"/>
  <c r="T36" i="17"/>
  <c r="T50" i="19"/>
  <c r="T59" s="1"/>
  <c r="T115" s="1"/>
  <c r="U37" i="11"/>
  <c r="U42" s="1"/>
  <c r="U107" s="1"/>
  <c r="F34" i="21" s="1"/>
  <c r="U36" i="20"/>
  <c r="T47"/>
  <c r="U29"/>
  <c r="V22" i="16"/>
  <c r="T108" i="15"/>
  <c r="T47" i="11"/>
  <c r="T54" s="1"/>
  <c r="T109" s="1"/>
  <c r="E35" i="21" s="1"/>
  <c r="U38" i="16"/>
  <c r="U43" s="1"/>
  <c r="U106" s="1"/>
  <c r="T35" i="17"/>
  <c r="I116" i="14"/>
  <c r="I124" i="18"/>
  <c r="U48" i="16"/>
  <c r="U53" s="1"/>
  <c r="U108" s="1"/>
  <c r="F59" i="21" s="1"/>
  <c r="F8" i="23" s="1"/>
  <c r="U76" i="20"/>
  <c r="U38"/>
  <c r="U33"/>
  <c r="U28"/>
  <c r="U39" i="17"/>
  <c r="U75" i="20"/>
  <c r="U58" i="24"/>
  <c r="U37" i="20"/>
  <c r="T34" i="12"/>
  <c r="T39" s="1"/>
  <c r="T108" s="1"/>
  <c r="T36" i="19"/>
  <c r="V20" i="16"/>
  <c r="U40" i="17"/>
  <c r="U154" i="24"/>
  <c r="U199" s="1"/>
  <c r="U242" s="1"/>
  <c r="P25" i="21" s="1"/>
  <c r="Q41" i="20"/>
  <c r="Q90" s="1"/>
  <c r="O79" i="15"/>
  <c r="O159" s="1"/>
  <c r="T109"/>
  <c r="T131" s="1"/>
  <c r="K25" i="21" s="1"/>
  <c r="U51" i="15"/>
  <c r="U62" s="1"/>
  <c r="K22" i="21" s="1"/>
  <c r="T49" i="15"/>
  <c r="T62" s="1"/>
  <c r="T157" s="1"/>
  <c r="J22" i="21" s="1"/>
  <c r="M51" i="10"/>
  <c r="M110" s="1"/>
  <c r="O51"/>
  <c r="O110" s="1"/>
  <c r="Q22" i="13"/>
  <c r="R22" s="1"/>
  <c r="Q21" i="18"/>
  <c r="R21" s="1"/>
  <c r="N21" i="1"/>
  <c r="O21" s="1"/>
  <c r="N22"/>
  <c r="N16" i="17"/>
  <c r="N109" s="1"/>
  <c r="Q22" i="1"/>
  <c r="Q21"/>
  <c r="R21" s="1"/>
  <c r="L37" i="24"/>
  <c r="L50" s="1"/>
  <c r="L233" s="1"/>
  <c r="K50"/>
  <c r="K233" s="1"/>
  <c r="S67" i="11"/>
  <c r="S110" s="1"/>
  <c r="O54"/>
  <c r="O109" s="1"/>
  <c r="R36" i="15"/>
  <c r="S36" s="1"/>
  <c r="Q43"/>
  <c r="Q154" s="1"/>
  <c r="R43"/>
  <c r="R154" s="1"/>
  <c r="N102"/>
  <c r="N161" s="1"/>
  <c r="M102"/>
  <c r="M161" s="1"/>
  <c r="T67"/>
  <c r="T79" s="1"/>
  <c r="T159" s="1"/>
  <c r="L99" i="13"/>
  <c r="L116" s="1"/>
  <c r="S97"/>
  <c r="M28" i="16"/>
  <c r="L32"/>
  <c r="L103" s="1"/>
  <c r="L116" s="1"/>
  <c r="T36" i="18"/>
  <c r="T35"/>
  <c r="T50"/>
  <c r="T59" s="1"/>
  <c r="T115" s="1"/>
  <c r="T37" i="17"/>
  <c r="R96" i="12"/>
  <c r="R98" s="1"/>
  <c r="R115" s="1"/>
  <c r="Q98"/>
  <c r="Q115" s="1"/>
  <c r="O26" i="18"/>
  <c r="N28"/>
  <c r="N110" s="1"/>
  <c r="N59" i="1"/>
  <c r="M65"/>
  <c r="M112" s="1"/>
  <c r="N60" i="13"/>
  <c r="M66"/>
  <c r="M113" s="1"/>
  <c r="I123" i="19"/>
  <c r="R93" i="18"/>
  <c r="R118" s="1"/>
  <c r="E124" i="17"/>
  <c r="S87" i="13"/>
  <c r="O27" i="20"/>
  <c r="O41" s="1"/>
  <c r="O90" s="1"/>
  <c r="N41"/>
  <c r="N90" s="1"/>
  <c r="R96" i="9"/>
  <c r="R98" s="1"/>
  <c r="R115" s="1"/>
  <c r="Q98"/>
  <c r="Q115" s="1"/>
  <c r="R26" i="17"/>
  <c r="R28" s="1"/>
  <c r="R110" s="1"/>
  <c r="Q28"/>
  <c r="Q110" s="1"/>
  <c r="L103"/>
  <c r="L120" s="1"/>
  <c r="S101"/>
  <c r="S107" i="16"/>
  <c r="T52"/>
  <c r="T107" s="1"/>
  <c r="S103"/>
  <c r="V23"/>
  <c r="L24" i="17"/>
  <c r="K28"/>
  <c r="K110" s="1"/>
  <c r="K123" s="1"/>
  <c r="R95" i="13"/>
  <c r="R99" s="1"/>
  <c r="R116" s="1"/>
  <c r="Q99"/>
  <c r="Q116" s="1"/>
  <c r="O59"/>
  <c r="N65"/>
  <c r="N112" s="1"/>
  <c r="R49"/>
  <c r="R51" s="1"/>
  <c r="R110" s="1"/>
  <c r="Q51"/>
  <c r="Q110" s="1"/>
  <c r="O37"/>
  <c r="O39" s="1"/>
  <c r="O108" s="1"/>
  <c r="N39"/>
  <c r="N108" s="1"/>
  <c r="R27"/>
  <c r="R29" s="1"/>
  <c r="R106" s="1"/>
  <c r="Q29"/>
  <c r="Q106" s="1"/>
  <c r="O27"/>
  <c r="N29"/>
  <c r="N106" s="1"/>
  <c r="N16"/>
  <c r="I104"/>
  <c r="I119" s="1"/>
  <c r="Q16"/>
  <c r="L104"/>
  <c r="M16" i="12"/>
  <c r="M104" s="1"/>
  <c r="S10"/>
  <c r="N29" i="24"/>
  <c r="O29" s="1"/>
  <c r="U39" i="18"/>
  <c r="U45" s="1"/>
  <c r="U113" s="1"/>
  <c r="L123"/>
  <c r="O90" i="13"/>
  <c r="O115" s="1"/>
  <c r="L29"/>
  <c r="S25"/>
  <c r="N45"/>
  <c r="U18" i="14"/>
  <c r="R23"/>
  <c r="R25" s="1"/>
  <c r="R102" s="1"/>
  <c r="Q25"/>
  <c r="Q102" s="1"/>
  <c r="K118" i="9"/>
  <c r="S26"/>
  <c r="O27" i="11"/>
  <c r="N29"/>
  <c r="N104" s="1"/>
  <c r="N117" s="1"/>
  <c r="R42" i="19"/>
  <c r="Q44"/>
  <c r="Q112" s="1"/>
  <c r="R52"/>
  <c r="Q58"/>
  <c r="Q114" s="1"/>
  <c r="R99"/>
  <c r="R103" s="1"/>
  <c r="R120" s="1"/>
  <c r="Q103"/>
  <c r="Q120" s="1"/>
  <c r="O26" i="17"/>
  <c r="N28"/>
  <c r="N110" s="1"/>
  <c r="R99"/>
  <c r="R103" s="1"/>
  <c r="R120" s="1"/>
  <c r="Q103"/>
  <c r="Q120" s="1"/>
  <c r="O23" i="14"/>
  <c r="O25" s="1"/>
  <c r="O102" s="1"/>
  <c r="N25"/>
  <c r="N102" s="1"/>
  <c r="R37" i="24"/>
  <c r="Q50"/>
  <c r="Q233" s="1"/>
  <c r="R204"/>
  <c r="R225" s="1"/>
  <c r="R243" s="1"/>
  <c r="Q225"/>
  <c r="Q243" s="1"/>
  <c r="Q130" i="15"/>
  <c r="Q162" s="1"/>
  <c r="R112"/>
  <c r="R130" s="1"/>
  <c r="R162" s="1"/>
  <c r="R14" i="24"/>
  <c r="Q19"/>
  <c r="O83" i="10"/>
  <c r="S83" s="1"/>
  <c r="O88"/>
  <c r="O114" i="15"/>
  <c r="N130"/>
  <c r="N162" s="1"/>
  <c r="O96" i="1"/>
  <c r="N98"/>
  <c r="N115" s="1"/>
  <c r="R59" i="14"/>
  <c r="Q61"/>
  <c r="Q108" s="1"/>
  <c r="O49" i="13"/>
  <c r="O51" s="1"/>
  <c r="O110" s="1"/>
  <c r="N51"/>
  <c r="N110" s="1"/>
  <c r="O72"/>
  <c r="S72" s="1"/>
  <c r="O89"/>
  <c r="R24" i="12"/>
  <c r="R28" s="1"/>
  <c r="R105" s="1"/>
  <c r="Q28"/>
  <c r="Q105" s="1"/>
  <c r="O56"/>
  <c r="N64"/>
  <c r="N111" s="1"/>
  <c r="O96"/>
  <c r="N98"/>
  <c r="N115" s="1"/>
  <c r="H16" i="1"/>
  <c r="H104" s="1"/>
  <c r="H119" s="1"/>
  <c r="I11"/>
  <c r="G23" i="7"/>
  <c r="G113" s="1"/>
  <c r="G128" s="1"/>
  <c r="H18"/>
  <c r="H20" i="24"/>
  <c r="H232" s="1"/>
  <c r="H247" s="1"/>
  <c r="I15"/>
  <c r="H29" i="9"/>
  <c r="H106" s="1"/>
  <c r="H119" s="1"/>
  <c r="I27"/>
  <c r="R94" i="10"/>
  <c r="Q98"/>
  <c r="Q115" s="1"/>
  <c r="M98" i="13"/>
  <c r="I100"/>
  <c r="I117" s="1"/>
  <c r="R15" i="9"/>
  <c r="R103" s="1"/>
  <c r="Q103"/>
  <c r="Q118" s="1"/>
  <c r="N53" i="20"/>
  <c r="M55"/>
  <c r="M92" s="1"/>
  <c r="N24" i="15"/>
  <c r="R89" i="13"/>
  <c r="R114" s="1"/>
  <c r="R88" i="1"/>
  <c r="R113" s="1"/>
  <c r="N28" i="10"/>
  <c r="N105" s="1"/>
  <c r="R26" i="1"/>
  <c r="Q28"/>
  <c r="Q105" s="1"/>
  <c r="Q118" s="1"/>
  <c r="O99" i="19"/>
  <c r="N103"/>
  <c r="N120" s="1"/>
  <c r="O99" i="17"/>
  <c r="N103"/>
  <c r="N120" s="1"/>
  <c r="R92" i="24"/>
  <c r="Q105"/>
  <c r="Q237" s="1"/>
  <c r="O204"/>
  <c r="N225"/>
  <c r="N243" s="1"/>
  <c r="J85" i="15"/>
  <c r="K85" s="1"/>
  <c r="L85" s="1"/>
  <c r="S85" s="1"/>
  <c r="J93"/>
  <c r="J74"/>
  <c r="K74" s="1"/>
  <c r="L74" s="1"/>
  <c r="S74" s="1"/>
  <c r="J70"/>
  <c r="K70" s="1"/>
  <c r="J89"/>
  <c r="K89" s="1"/>
  <c r="L89" s="1"/>
  <c r="S89" s="1"/>
  <c r="R97"/>
  <c r="Q101"/>
  <c r="Q160" s="1"/>
  <c r="J78" i="7"/>
  <c r="K78" s="1"/>
  <c r="J65"/>
  <c r="K65" s="1"/>
  <c r="J53"/>
  <c r="J105"/>
  <c r="K105" s="1"/>
  <c r="J83"/>
  <c r="K83" s="1"/>
  <c r="J67"/>
  <c r="K67" s="1"/>
  <c r="J69"/>
  <c r="K69" s="1"/>
  <c r="J55"/>
  <c r="K55" s="1"/>
  <c r="J43"/>
  <c r="J87"/>
  <c r="K87" s="1"/>
  <c r="J80"/>
  <c r="K80" s="1"/>
  <c r="N19" i="24"/>
  <c r="O14"/>
  <c r="S14" s="1"/>
  <c r="O96" i="9"/>
  <c r="N98"/>
  <c r="N115" s="1"/>
  <c r="R68" i="17"/>
  <c r="Q72"/>
  <c r="Q116" s="1"/>
  <c r="O45" i="14"/>
  <c r="O47" s="1"/>
  <c r="O106" s="1"/>
  <c r="N47"/>
  <c r="N106" s="1"/>
  <c r="R37" i="13"/>
  <c r="Q39"/>
  <c r="Q108" s="1"/>
  <c r="R63"/>
  <c r="Q65"/>
  <c r="Q112" s="1"/>
  <c r="O95"/>
  <c r="N99"/>
  <c r="N116" s="1"/>
  <c r="R46" i="12"/>
  <c r="Q50"/>
  <c r="Q109" s="1"/>
  <c r="O83"/>
  <c r="O88"/>
  <c r="O113" s="1"/>
  <c r="H16" i="10"/>
  <c r="H104" s="1"/>
  <c r="H119" s="1"/>
  <c r="I11"/>
  <c r="H16" i="11"/>
  <c r="H103" s="1"/>
  <c r="H118" s="1"/>
  <c r="I11"/>
  <c r="H25" i="15"/>
  <c r="H153" s="1"/>
  <c r="H168" s="1"/>
  <c r="I20"/>
  <c r="O56" i="1"/>
  <c r="N64"/>
  <c r="N111" s="1"/>
  <c r="N118" s="1"/>
  <c r="K111" i="24"/>
  <c r="J146"/>
  <c r="J239" s="1"/>
  <c r="N103" i="9"/>
  <c r="O15"/>
  <c r="O103" s="1"/>
  <c r="I16"/>
  <c r="I104" s="1"/>
  <c r="M11"/>
  <c r="O115" i="14"/>
  <c r="I120" i="13"/>
  <c r="N118" i="10"/>
  <c r="J103" i="7"/>
  <c r="R93" i="19"/>
  <c r="R118" s="1"/>
  <c r="J59" i="15"/>
  <c r="K59" s="1"/>
  <c r="J112"/>
  <c r="K112" s="1"/>
  <c r="S86" i="16"/>
  <c r="S111" s="1"/>
  <c r="S116" s="1"/>
  <c r="I118" i="9"/>
  <c r="J69" i="24"/>
  <c r="K69" s="1"/>
  <c r="N56"/>
  <c r="O56" s="1"/>
  <c r="M69"/>
  <c r="N69" s="1"/>
  <c r="P69"/>
  <c r="Q69" s="1"/>
  <c r="S87" i="11"/>
  <c r="S112" s="1"/>
  <c r="C37" i="21" s="1"/>
  <c r="T36" i="11"/>
  <c r="R117"/>
  <c r="R83" i="12"/>
  <c r="S83" s="1"/>
  <c r="R88"/>
  <c r="R113" s="1"/>
  <c r="R45" i="14"/>
  <c r="R47" s="1"/>
  <c r="R106" s="1"/>
  <c r="Q47"/>
  <c r="Q106" s="1"/>
  <c r="L47"/>
  <c r="L28" i="12"/>
  <c r="S26"/>
  <c r="L115"/>
  <c r="N25" i="19"/>
  <c r="O25" s="1"/>
  <c r="M29"/>
  <c r="M111" s="1"/>
  <c r="N25" i="17"/>
  <c r="O25" s="1"/>
  <c r="M29"/>
  <c r="M111" s="1"/>
  <c r="N94" i="14"/>
  <c r="M96"/>
  <c r="M113" s="1"/>
  <c r="N74" i="9"/>
  <c r="M89"/>
  <c r="M114" s="1"/>
  <c r="N74" i="1"/>
  <c r="M89"/>
  <c r="M114" s="1"/>
  <c r="N22" i="14"/>
  <c r="O22" s="1"/>
  <c r="M26"/>
  <c r="M103" s="1"/>
  <c r="N86" i="18"/>
  <c r="M94"/>
  <c r="M119" s="1"/>
  <c r="R88" i="9"/>
  <c r="R113" s="1"/>
  <c r="R93" i="17"/>
  <c r="R118" s="1"/>
  <c r="I124"/>
  <c r="R48" i="10"/>
  <c r="Q50"/>
  <c r="Q109" s="1"/>
  <c r="Q118" s="1"/>
  <c r="S83" i="14"/>
  <c r="R85"/>
  <c r="L24" i="15"/>
  <c r="S22"/>
  <c r="L28" i="10"/>
  <c r="L105" s="1"/>
  <c r="S26"/>
  <c r="T94" i="16"/>
  <c r="M96"/>
  <c r="L25" i="14"/>
  <c r="L51" i="13"/>
  <c r="L113" i="12"/>
  <c r="N25" i="18"/>
  <c r="O25" s="1"/>
  <c r="M29"/>
  <c r="M111" s="1"/>
  <c r="N96" i="11"/>
  <c r="M98"/>
  <c r="M115" s="1"/>
  <c r="O86" i="17"/>
  <c r="O94" s="1"/>
  <c r="O119" s="1"/>
  <c r="N94"/>
  <c r="N119" s="1"/>
  <c r="N15" i="13"/>
  <c r="M17"/>
  <c r="M105" s="1"/>
  <c r="N86" i="19"/>
  <c r="M94"/>
  <c r="M119" s="1"/>
  <c r="N71" i="14"/>
  <c r="M86"/>
  <c r="M111" s="1"/>
  <c r="Q31" i="7"/>
  <c r="Q35" s="1"/>
  <c r="Q114" s="1"/>
  <c r="P35"/>
  <c r="P114" s="1"/>
  <c r="P43"/>
  <c r="P53"/>
  <c r="P65"/>
  <c r="Q65" s="1"/>
  <c r="P67"/>
  <c r="Q67" s="1"/>
  <c r="P69"/>
  <c r="Q69" s="1"/>
  <c r="P80"/>
  <c r="Q80" s="1"/>
  <c r="P83"/>
  <c r="Q83" s="1"/>
  <c r="P87"/>
  <c r="Q87" s="1"/>
  <c r="P78"/>
  <c r="Q78" s="1"/>
  <c r="O51"/>
  <c r="P51" s="1"/>
  <c r="Q51" s="1"/>
  <c r="S51" s="1"/>
  <c r="S58" s="1"/>
  <c r="S119" s="1"/>
  <c r="E23" i="21" s="1"/>
  <c r="P55" i="7"/>
  <c r="Q55" s="1"/>
  <c r="P103"/>
  <c r="P105"/>
  <c r="Q105" s="1"/>
  <c r="P63"/>
  <c r="M63"/>
  <c r="M103"/>
  <c r="M78"/>
  <c r="N78" s="1"/>
  <c r="R78" s="1"/>
  <c r="L81"/>
  <c r="M81" s="1"/>
  <c r="N81" s="1"/>
  <c r="L84"/>
  <c r="M84" s="1"/>
  <c r="N84" s="1"/>
  <c r="L44"/>
  <c r="M44" s="1"/>
  <c r="N44" s="1"/>
  <c r="L106"/>
  <c r="M106" s="1"/>
  <c r="N106" s="1"/>
  <c r="L70"/>
  <c r="M70" s="1"/>
  <c r="N70" s="1"/>
  <c r="L88"/>
  <c r="M88" s="1"/>
  <c r="L79"/>
  <c r="L54"/>
  <c r="M54" s="1"/>
  <c r="N54" s="1"/>
  <c r="L64"/>
  <c r="L104"/>
  <c r="M69"/>
  <c r="N69" s="1"/>
  <c r="R69" s="1"/>
  <c r="M65"/>
  <c r="N65" s="1"/>
  <c r="R65" s="1"/>
  <c r="M55"/>
  <c r="N55" s="1"/>
  <c r="M53"/>
  <c r="M43"/>
  <c r="M105"/>
  <c r="N105" s="1"/>
  <c r="R105" s="1"/>
  <c r="M87"/>
  <c r="N87" s="1"/>
  <c r="M83"/>
  <c r="N83" s="1"/>
  <c r="R83" s="1"/>
  <c r="M80"/>
  <c r="N80" s="1"/>
  <c r="R80" s="1"/>
  <c r="M67"/>
  <c r="N67" s="1"/>
  <c r="L68"/>
  <c r="M68" s="1"/>
  <c r="N68" s="1"/>
  <c r="L56"/>
  <c r="M56" s="1"/>
  <c r="L66"/>
  <c r="M66" s="1"/>
  <c r="N66" s="1"/>
  <c r="L58"/>
  <c r="L119" s="1"/>
  <c r="L46"/>
  <c r="L117" s="1"/>
  <c r="K63"/>
  <c r="J71"/>
  <c r="J120" s="1"/>
  <c r="K31"/>
  <c r="J35"/>
  <c r="J114" s="1"/>
  <c r="L111" i="1"/>
  <c r="L103"/>
  <c r="S15"/>
  <c r="S103" s="1"/>
  <c r="M8" i="21" s="1"/>
  <c r="S24" i="10"/>
  <c r="R28"/>
  <c r="R105" s="1"/>
  <c r="O105"/>
  <c r="L115"/>
  <c r="S15" i="9"/>
  <c r="S103" s="1"/>
  <c r="C8" i="21" s="1"/>
  <c r="L103" i="9"/>
  <c r="S28"/>
  <c r="S105" s="1"/>
  <c r="C9" i="21" s="1"/>
  <c r="N41" i="7"/>
  <c r="M46"/>
  <c r="M117" s="1"/>
  <c r="M54" i="11"/>
  <c r="M109" s="1"/>
  <c r="R22" i="1"/>
  <c r="P29" i="7"/>
  <c r="Q29" s="1"/>
  <c r="U31" i="24"/>
  <c r="M39" i="10"/>
  <c r="M108" s="1"/>
  <c r="M45" i="19"/>
  <c r="M113" s="1"/>
  <c r="Q21" i="9"/>
  <c r="R21" s="1"/>
  <c r="Q32" i="15"/>
  <c r="R32" s="1"/>
  <c r="O34" i="10"/>
  <c r="O39" s="1"/>
  <c r="O108" s="1"/>
  <c r="N39"/>
  <c r="N108" s="1"/>
  <c r="O34" i="19"/>
  <c r="T34" s="1"/>
  <c r="N45"/>
  <c r="N113" s="1"/>
  <c r="O45"/>
  <c r="O113" s="1"/>
  <c r="T79" i="17"/>
  <c r="T94" s="1"/>
  <c r="T119" s="1"/>
  <c r="T35" i="19"/>
  <c r="U59" i="24"/>
  <c r="T79" i="18"/>
  <c r="T94" s="1"/>
  <c r="T119" s="1"/>
  <c r="N19" i="14"/>
  <c r="O19" s="1"/>
  <c r="O26" s="1"/>
  <c r="O103" s="1"/>
  <c r="N31"/>
  <c r="M36"/>
  <c r="M105" s="1"/>
  <c r="K41" i="20"/>
  <c r="K90" s="1"/>
  <c r="P27" i="24"/>
  <c r="Q26"/>
  <c r="R26" s="1"/>
  <c r="M48" i="14"/>
  <c r="M107" s="1"/>
  <c r="O41"/>
  <c r="T41" s="1"/>
  <c r="T48" s="1"/>
  <c r="T107" s="1"/>
  <c r="N48"/>
  <c r="N107" s="1"/>
  <c r="O48"/>
  <c r="O107" s="1"/>
  <c r="L115" i="9"/>
  <c r="R146" i="24"/>
  <c r="R239" s="1"/>
  <c r="S120"/>
  <c r="L105"/>
  <c r="O111" i="9"/>
  <c r="S64"/>
  <c r="S111" s="1"/>
  <c r="C12" i="21" s="1"/>
  <c r="L108" i="11"/>
  <c r="L117" s="1"/>
  <c r="N131" i="15"/>
  <c r="N163" s="1"/>
  <c r="O113"/>
  <c r="O131" s="1"/>
  <c r="O163" s="1"/>
  <c r="O62" i="24"/>
  <c r="O78" i="15"/>
  <c r="L103" i="12"/>
  <c r="S15"/>
  <c r="S103" s="1"/>
  <c r="S72" i="18"/>
  <c r="S116" s="1"/>
  <c r="S163" i="24"/>
  <c r="L198"/>
  <c r="N199"/>
  <c r="N242" s="1"/>
  <c r="O158"/>
  <c r="O199" s="1"/>
  <c r="O242" s="1"/>
  <c r="N65" i="12"/>
  <c r="N112" s="1"/>
  <c r="O57"/>
  <c r="O65" s="1"/>
  <c r="O112" s="1"/>
  <c r="O54" i="15"/>
  <c r="O62" s="1"/>
  <c r="O157" s="1"/>
  <c r="N62"/>
  <c r="N157" s="1"/>
  <c r="L243" i="24"/>
  <c r="L164" i="15"/>
  <c r="S146"/>
  <c r="S164" s="1"/>
  <c r="H26" i="21" s="1"/>
  <c r="O11" i="18"/>
  <c r="O16" s="1"/>
  <c r="O109" s="1"/>
  <c r="N16"/>
  <c r="N109" s="1"/>
  <c r="N65" i="9"/>
  <c r="N112" s="1"/>
  <c r="O57"/>
  <c r="O65" s="1"/>
  <c r="O112" s="1"/>
  <c r="O63" i="16"/>
  <c r="O110" s="1"/>
  <c r="P59"/>
  <c r="P63" s="1"/>
  <c r="P110" s="1"/>
  <c r="N147" i="24"/>
  <c r="N240" s="1"/>
  <c r="O112"/>
  <c r="O147" s="1"/>
  <c r="O240" s="1"/>
  <c r="O233"/>
  <c r="P62" i="16"/>
  <c r="T60"/>
  <c r="H12" i="21"/>
  <c r="L113" i="1"/>
  <c r="S88"/>
  <c r="S113" s="1"/>
  <c r="K21"/>
  <c r="L21" s="1"/>
  <c r="K22"/>
  <c r="L22" s="1"/>
  <c r="K34" i="15"/>
  <c r="L34" s="1"/>
  <c r="N34"/>
  <c r="O34" s="1"/>
  <c r="Q34"/>
  <c r="R34" s="1"/>
  <c r="K56" i="24"/>
  <c r="K21" i="17"/>
  <c r="L21" s="1"/>
  <c r="K22"/>
  <c r="L22" s="1"/>
  <c r="K22" i="12"/>
  <c r="L22" s="1"/>
  <c r="K21"/>
  <c r="L21" s="1"/>
  <c r="M18" i="16"/>
  <c r="M24" s="1"/>
  <c r="L24"/>
  <c r="K22" i="10"/>
  <c r="L22" s="1"/>
  <c r="K21"/>
  <c r="L21" s="1"/>
  <c r="K31" i="15"/>
  <c r="L31" s="1"/>
  <c r="K30"/>
  <c r="L30" s="1"/>
  <c r="K20" i="22"/>
  <c r="J22"/>
  <c r="J52" s="1"/>
  <c r="J63" s="1"/>
  <c r="K74" i="20"/>
  <c r="J78"/>
  <c r="J98" s="1"/>
  <c r="K46"/>
  <c r="J48"/>
  <c r="L231" i="24"/>
  <c r="U117" i="16"/>
  <c r="C36" i="21"/>
  <c r="L116" i="19"/>
  <c r="S72"/>
  <c r="S116" s="1"/>
  <c r="K21" i="9"/>
  <c r="L21" s="1"/>
  <c r="K22"/>
  <c r="L22" s="1"/>
  <c r="J28" i="7"/>
  <c r="K28" s="1"/>
  <c r="J29"/>
  <c r="K29" s="1"/>
  <c r="K21" i="18"/>
  <c r="L21" s="1"/>
  <c r="K22"/>
  <c r="L22" s="1"/>
  <c r="K32" i="15"/>
  <c r="L32" s="1"/>
  <c r="K33"/>
  <c r="L33" s="1"/>
  <c r="U33" s="1"/>
  <c r="K22" i="13"/>
  <c r="L22" s="1"/>
  <c r="K23"/>
  <c r="L23" s="1"/>
  <c r="J14" i="12"/>
  <c r="K14" s="1"/>
  <c r="L14" s="1"/>
  <c r="J59"/>
  <c r="K59" s="1"/>
  <c r="L59" s="1"/>
  <c r="J63"/>
  <c r="K63" s="1"/>
  <c r="L63" s="1"/>
  <c r="J82" i="13"/>
  <c r="K82" s="1"/>
  <c r="L82" s="1"/>
  <c r="K82" i="16"/>
  <c r="L82" s="1"/>
  <c r="M82" s="1"/>
  <c r="K72"/>
  <c r="L72" s="1"/>
  <c r="M72" s="1"/>
  <c r="J71" i="18"/>
  <c r="K71" s="1"/>
  <c r="L71" s="1"/>
  <c r="J94" i="14"/>
  <c r="K94" s="1"/>
  <c r="L94" s="1"/>
  <c r="K85" i="16"/>
  <c r="L85" s="1"/>
  <c r="M85" s="1"/>
  <c r="K27"/>
  <c r="L27" s="1"/>
  <c r="M27" s="1"/>
  <c r="J84" i="17"/>
  <c r="K84" s="1"/>
  <c r="L84" s="1"/>
  <c r="J25"/>
  <c r="K25" s="1"/>
  <c r="L25" s="1"/>
  <c r="J102" i="18"/>
  <c r="K102" s="1"/>
  <c r="L102" s="1"/>
  <c r="J85" i="13"/>
  <c r="K85" s="1"/>
  <c r="L85" s="1"/>
  <c r="J75"/>
  <c r="K75" s="1"/>
  <c r="L75" s="1"/>
  <c r="J76" i="14"/>
  <c r="K76" s="1"/>
  <c r="L76" s="1"/>
  <c r="J58"/>
  <c r="K58" s="1"/>
  <c r="L58" s="1"/>
  <c r="K75" i="16"/>
  <c r="L75" s="1"/>
  <c r="M75" s="1"/>
  <c r="K61"/>
  <c r="L61" s="1"/>
  <c r="M61" s="1"/>
  <c r="J102" i="17"/>
  <c r="K102" s="1"/>
  <c r="L102" s="1"/>
  <c r="J67"/>
  <c r="K67" s="1"/>
  <c r="L67" s="1"/>
  <c r="J84" i="18"/>
  <c r="K84" s="1"/>
  <c r="L84" s="1"/>
  <c r="J69" i="19"/>
  <c r="K69" s="1"/>
  <c r="L69" s="1"/>
  <c r="J55"/>
  <c r="K55" s="1"/>
  <c r="L55" s="1"/>
  <c r="J14"/>
  <c r="K14" s="1"/>
  <c r="L14" s="1"/>
  <c r="J222" i="24"/>
  <c r="K222" s="1"/>
  <c r="L222" s="1"/>
  <c r="J213"/>
  <c r="K213" s="1"/>
  <c r="L213" s="1"/>
  <c r="J209"/>
  <c r="K209" s="1"/>
  <c r="L209" s="1"/>
  <c r="J89" i="19"/>
  <c r="K89" s="1"/>
  <c r="L89" s="1"/>
  <c r="J71"/>
  <c r="K71" s="1"/>
  <c r="L71" s="1"/>
  <c r="J57"/>
  <c r="J43"/>
  <c r="J119" i="15"/>
  <c r="K119" s="1"/>
  <c r="L119" s="1"/>
  <c r="J115"/>
  <c r="K115" s="1"/>
  <c r="L115" s="1"/>
  <c r="J86" i="11"/>
  <c r="K86" s="1"/>
  <c r="L86" s="1"/>
  <c r="J87" i="10"/>
  <c r="K87" s="1"/>
  <c r="L87" s="1"/>
  <c r="J92" i="15"/>
  <c r="K92" s="1"/>
  <c r="L92" s="1"/>
  <c r="I68" i="7"/>
  <c r="J68" s="1"/>
  <c r="K68" s="1"/>
  <c r="J64" i="11"/>
  <c r="K64" s="1"/>
  <c r="L64" s="1"/>
  <c r="J189" i="24"/>
  <c r="K189" s="1"/>
  <c r="L189" s="1"/>
  <c r="J176"/>
  <c r="K176" s="1"/>
  <c r="L176" s="1"/>
  <c r="J171"/>
  <c r="K171" s="1"/>
  <c r="L171" s="1"/>
  <c r="J167"/>
  <c r="K167" s="1"/>
  <c r="L167" s="1"/>
  <c r="J162"/>
  <c r="K162" s="1"/>
  <c r="L162" s="1"/>
  <c r="J81" i="1"/>
  <c r="K81" s="1"/>
  <c r="L81" s="1"/>
  <c r="J77" i="10"/>
  <c r="K77" s="1"/>
  <c r="L77" s="1"/>
  <c r="J81" i="9"/>
  <c r="K81" s="1"/>
  <c r="L81" s="1"/>
  <c r="J145" i="24"/>
  <c r="K145" s="1"/>
  <c r="L145" s="1"/>
  <c r="J136"/>
  <c r="J118"/>
  <c r="J62" i="11"/>
  <c r="K62" s="1"/>
  <c r="L62" s="1"/>
  <c r="J63" i="1"/>
  <c r="K63" s="1"/>
  <c r="L63" s="1"/>
  <c r="J93" i="24"/>
  <c r="K93" s="1"/>
  <c r="L93" s="1"/>
  <c r="J60" i="15"/>
  <c r="K60" s="1"/>
  <c r="L60" s="1"/>
  <c r="J68" i="24"/>
  <c r="K68" s="1"/>
  <c r="L68" s="1"/>
  <c r="J56" i="15"/>
  <c r="K56" s="1"/>
  <c r="L56" s="1"/>
  <c r="I44" i="7"/>
  <c r="J37" i="10"/>
  <c r="J26" i="11"/>
  <c r="K26" s="1"/>
  <c r="L26" s="1"/>
  <c r="J78" i="13"/>
  <c r="K78" s="1"/>
  <c r="L78" s="1"/>
  <c r="J64"/>
  <c r="K64" s="1"/>
  <c r="L64" s="1"/>
  <c r="J50"/>
  <c r="J78" i="14"/>
  <c r="K78" s="1"/>
  <c r="L78" s="1"/>
  <c r="M55" i="17"/>
  <c r="J14"/>
  <c r="K14" s="1"/>
  <c r="L14" s="1"/>
  <c r="J92" i="18"/>
  <c r="K92" s="1"/>
  <c r="L92" s="1"/>
  <c r="J80" i="13"/>
  <c r="K80" s="1"/>
  <c r="L80" s="1"/>
  <c r="J62"/>
  <c r="K62" s="1"/>
  <c r="L62" s="1"/>
  <c r="J22" i="14"/>
  <c r="K22" s="1"/>
  <c r="L22" s="1"/>
  <c r="K79" i="16"/>
  <c r="L79" s="1"/>
  <c r="M79" s="1"/>
  <c r="K41"/>
  <c r="J57" i="17"/>
  <c r="J43"/>
  <c r="J69" i="18"/>
  <c r="K69" s="1"/>
  <c r="L69" s="1"/>
  <c r="J220" i="24"/>
  <c r="K220" s="1"/>
  <c r="L220" s="1"/>
  <c r="J216"/>
  <c r="K216" s="1"/>
  <c r="L216" s="1"/>
  <c r="J145" i="15"/>
  <c r="K145" s="1"/>
  <c r="L145" s="1"/>
  <c r="J140"/>
  <c r="K140" s="1"/>
  <c r="L140" s="1"/>
  <c r="J97" i="1"/>
  <c r="K97" s="1"/>
  <c r="L97" s="1"/>
  <c r="J25" i="18"/>
  <c r="K25" s="1"/>
  <c r="L25" s="1"/>
  <c r="J84" i="19"/>
  <c r="K84" s="1"/>
  <c r="L84" s="1"/>
  <c r="J67"/>
  <c r="K67" s="1"/>
  <c r="L67" s="1"/>
  <c r="J25"/>
  <c r="K25" s="1"/>
  <c r="L25" s="1"/>
  <c r="J97" i="10"/>
  <c r="K97" s="1"/>
  <c r="L97" s="1"/>
  <c r="J78" i="11"/>
  <c r="K78" s="1"/>
  <c r="L78" s="1"/>
  <c r="J84" i="10"/>
  <c r="K84" s="1"/>
  <c r="L84" s="1"/>
  <c r="J134" i="24"/>
  <c r="K134" s="1"/>
  <c r="L134" s="1"/>
  <c r="J125"/>
  <c r="K125" s="1"/>
  <c r="L125" s="1"/>
  <c r="J90" i="15"/>
  <c r="K90" s="1"/>
  <c r="L90" s="1"/>
  <c r="J94"/>
  <c r="K94" s="1"/>
  <c r="L94" s="1"/>
  <c r="I66" i="7"/>
  <c r="J66" s="1"/>
  <c r="K66" s="1"/>
  <c r="J191" i="24"/>
  <c r="K191" s="1"/>
  <c r="L191" s="1"/>
  <c r="J187"/>
  <c r="K187" s="1"/>
  <c r="L187" s="1"/>
  <c r="J173"/>
  <c r="K173" s="1"/>
  <c r="L173" s="1"/>
  <c r="J169"/>
  <c r="K169" s="1"/>
  <c r="L169" s="1"/>
  <c r="I88" i="7"/>
  <c r="J88" s="1"/>
  <c r="K88" s="1"/>
  <c r="J77" i="9"/>
  <c r="K77" s="1"/>
  <c r="L77" s="1"/>
  <c r="J141" i="24"/>
  <c r="K141" s="1"/>
  <c r="L141" s="1"/>
  <c r="J132"/>
  <c r="K132" s="1"/>
  <c r="L132" s="1"/>
  <c r="J61" i="1"/>
  <c r="K61" s="1"/>
  <c r="L61" s="1"/>
  <c r="J61" i="10"/>
  <c r="K61" s="1"/>
  <c r="L61" s="1"/>
  <c r="J61" i="9"/>
  <c r="K61" s="1"/>
  <c r="L61" s="1"/>
  <c r="J100" i="24"/>
  <c r="K100" s="1"/>
  <c r="L100" s="1"/>
  <c r="J91"/>
  <c r="K91" s="1"/>
  <c r="L91" s="1"/>
  <c r="J75" i="15"/>
  <c r="J52" i="11"/>
  <c r="J49" i="10"/>
  <c r="J89" i="24"/>
  <c r="K89" s="1"/>
  <c r="L89" s="1"/>
  <c r="J49" i="9"/>
  <c r="J37"/>
  <c r="J64" i="24"/>
  <c r="K64" s="1"/>
  <c r="L64" s="1"/>
  <c r="J49"/>
  <c r="K49" s="1"/>
  <c r="L49" s="1"/>
  <c r="J25" i="9"/>
  <c r="K25" s="1"/>
  <c r="L25" s="1"/>
  <c r="J54" i="14"/>
  <c r="J12" i="13"/>
  <c r="J48"/>
  <c r="K48" s="1"/>
  <c r="L48" s="1"/>
  <c r="J92" i="14"/>
  <c r="J77" i="15"/>
  <c r="K77" s="1"/>
  <c r="L77" s="1"/>
  <c r="J81" i="12"/>
  <c r="K81" s="1"/>
  <c r="L81" s="1"/>
  <c r="J72" i="9"/>
  <c r="J72" i="1"/>
  <c r="J100" i="15"/>
  <c r="J75" i="11"/>
  <c r="J95" i="9"/>
  <c r="J37" i="12"/>
  <c r="J49"/>
  <c r="J98" i="13"/>
  <c r="K98" s="1"/>
  <c r="L98" s="1"/>
  <c r="J60"/>
  <c r="K60" s="1"/>
  <c r="L60" s="1"/>
  <c r="J38"/>
  <c r="J15"/>
  <c r="K15" s="1"/>
  <c r="L15" s="1"/>
  <c r="J84" i="14"/>
  <c r="K84" s="1"/>
  <c r="L84" s="1"/>
  <c r="J74"/>
  <c r="K74" s="1"/>
  <c r="L74" s="1"/>
  <c r="J60"/>
  <c r="K60" s="1"/>
  <c r="L60" s="1"/>
  <c r="J46"/>
  <c r="J92" i="17"/>
  <c r="K92" s="1"/>
  <c r="L92" s="1"/>
  <c r="J86" i="18"/>
  <c r="K86" s="1"/>
  <c r="L86" s="1"/>
  <c r="J26" i="13"/>
  <c r="K26" s="1"/>
  <c r="L26" s="1"/>
  <c r="J86" i="19"/>
  <c r="K86" s="1"/>
  <c r="L86" s="1"/>
  <c r="P55"/>
  <c r="Q55" s="1"/>
  <c r="R55" s="1"/>
  <c r="M55"/>
  <c r="N55" s="1"/>
  <c r="O55" s="1"/>
  <c r="J218" i="24"/>
  <c r="K218" s="1"/>
  <c r="L218" s="1"/>
  <c r="J143" i="15"/>
  <c r="K143" s="1"/>
  <c r="L143" s="1"/>
  <c r="J97" i="9"/>
  <c r="K97" s="1"/>
  <c r="L97" s="1"/>
  <c r="J57" i="18"/>
  <c r="J43"/>
  <c r="J129" i="15"/>
  <c r="K129" s="1"/>
  <c r="L129" s="1"/>
  <c r="J123"/>
  <c r="K123" s="1"/>
  <c r="L123" s="1"/>
  <c r="I81" i="7"/>
  <c r="J81" s="1"/>
  <c r="K81" s="1"/>
  <c r="I92"/>
  <c r="J92" s="1"/>
  <c r="K92" s="1"/>
  <c r="J80" i="11"/>
  <c r="K80" s="1"/>
  <c r="L80" s="1"/>
  <c r="J79" i="1"/>
  <c r="K79" s="1"/>
  <c r="L79" s="1"/>
  <c r="J87"/>
  <c r="K87" s="1"/>
  <c r="L87" s="1"/>
  <c r="J79" i="10"/>
  <c r="K79" s="1"/>
  <c r="L79" s="1"/>
  <c r="J79" i="9"/>
  <c r="K79" s="1"/>
  <c r="L79" s="1"/>
  <c r="J87"/>
  <c r="K87" s="1"/>
  <c r="L87" s="1"/>
  <c r="J139" i="24"/>
  <c r="K139" s="1"/>
  <c r="L139" s="1"/>
  <c r="J130"/>
  <c r="K130" s="1"/>
  <c r="L130" s="1"/>
  <c r="J121"/>
  <c r="K121" s="1"/>
  <c r="L121" s="1"/>
  <c r="J88" i="15"/>
  <c r="K88" s="1"/>
  <c r="L88" s="1"/>
  <c r="J96"/>
  <c r="K96" s="1"/>
  <c r="L96" s="1"/>
  <c r="J185" i="24"/>
  <c r="K185" s="1"/>
  <c r="L185" s="1"/>
  <c r="J180"/>
  <c r="K180" s="1"/>
  <c r="L180" s="1"/>
  <c r="I84" i="7"/>
  <c r="J84" s="1"/>
  <c r="K84" s="1"/>
  <c r="J127" i="24"/>
  <c r="J59" i="1"/>
  <c r="K59" s="1"/>
  <c r="L59" s="1"/>
  <c r="J63" i="10"/>
  <c r="K63" s="1"/>
  <c r="L63" s="1"/>
  <c r="J59"/>
  <c r="K59" s="1"/>
  <c r="L59" s="1"/>
  <c r="J63" i="9"/>
  <c r="K63" s="1"/>
  <c r="L63" s="1"/>
  <c r="J59"/>
  <c r="K59" s="1"/>
  <c r="L59" s="1"/>
  <c r="J104" i="24"/>
  <c r="K104" s="1"/>
  <c r="L104" s="1"/>
  <c r="J96"/>
  <c r="K96" s="1"/>
  <c r="L96" s="1"/>
  <c r="J87"/>
  <c r="K87" s="1"/>
  <c r="L87" s="1"/>
  <c r="J102"/>
  <c r="K102" s="1"/>
  <c r="L102" s="1"/>
  <c r="I56" i="7"/>
  <c r="J49" i="1"/>
  <c r="J53" i="20"/>
  <c r="J66" i="24"/>
  <c r="K66" s="1"/>
  <c r="L66" s="1"/>
  <c r="J37" i="1"/>
  <c r="J45" i="24"/>
  <c r="K45" s="1"/>
  <c r="L45" s="1"/>
  <c r="J43"/>
  <c r="K43" s="1"/>
  <c r="L43" s="1"/>
  <c r="J42" i="15"/>
  <c r="K42" s="1"/>
  <c r="L42" s="1"/>
  <c r="I32" i="7"/>
  <c r="J32" s="1"/>
  <c r="K32" s="1"/>
  <c r="J25" i="1"/>
  <c r="K25" s="1"/>
  <c r="L25" s="1"/>
  <c r="J18" i="24"/>
  <c r="K18" s="1"/>
  <c r="L18" s="1"/>
  <c r="J23" i="15"/>
  <c r="K23" s="1"/>
  <c r="L23" s="1"/>
  <c r="I21" i="7"/>
  <c r="J21" s="1"/>
  <c r="K21" s="1"/>
  <c r="J14" i="11"/>
  <c r="K14" s="1"/>
  <c r="L14" s="1"/>
  <c r="J14" i="1"/>
  <c r="K14" s="1"/>
  <c r="L14" s="1"/>
  <c r="J14" i="10"/>
  <c r="K14" s="1"/>
  <c r="L14" s="1"/>
  <c r="J14" i="9"/>
  <c r="K14" s="1"/>
  <c r="L14" s="1"/>
  <c r="J25" i="10"/>
  <c r="K25" s="1"/>
  <c r="L25" s="1"/>
  <c r="J88" i="13"/>
  <c r="K88" s="1"/>
  <c r="L88" s="1"/>
  <c r="J56" i="14"/>
  <c r="K56" s="1"/>
  <c r="L56" s="1"/>
  <c r="J34"/>
  <c r="K95" i="16"/>
  <c r="L95" s="1"/>
  <c r="M95" s="1"/>
  <c r="K77"/>
  <c r="L77" s="1"/>
  <c r="M77" s="1"/>
  <c r="J86" i="17"/>
  <c r="K86" s="1"/>
  <c r="L86" s="1"/>
  <c r="J69"/>
  <c r="K69" s="1"/>
  <c r="L69" s="1"/>
  <c r="J55"/>
  <c r="K55" s="1"/>
  <c r="L55" s="1"/>
  <c r="P55"/>
  <c r="Q55" s="1"/>
  <c r="R55" s="1"/>
  <c r="J67" i="18"/>
  <c r="K67" s="1"/>
  <c r="L67" s="1"/>
  <c r="J81" i="14"/>
  <c r="K81" s="1"/>
  <c r="L81" s="1"/>
  <c r="J71"/>
  <c r="K71" s="1"/>
  <c r="L71" s="1"/>
  <c r="K29" i="16"/>
  <c r="L29" s="1"/>
  <c r="M29" s="1"/>
  <c r="J89" i="17"/>
  <c r="K89" s="1"/>
  <c r="L89" s="1"/>
  <c r="J71"/>
  <c r="K71" s="1"/>
  <c r="L71" s="1"/>
  <c r="J89" i="18"/>
  <c r="K89" s="1"/>
  <c r="L89" s="1"/>
  <c r="J55"/>
  <c r="K55" s="1"/>
  <c r="L55" s="1"/>
  <c r="P55"/>
  <c r="Q55" s="1"/>
  <c r="R55" s="1"/>
  <c r="M55"/>
  <c r="J14"/>
  <c r="K14" s="1"/>
  <c r="L14" s="1"/>
  <c r="J92" i="19"/>
  <c r="K92" s="1"/>
  <c r="L92" s="1"/>
  <c r="J224" i="24"/>
  <c r="K224" s="1"/>
  <c r="L224" s="1"/>
  <c r="J211"/>
  <c r="K211" s="1"/>
  <c r="L211" s="1"/>
  <c r="J207"/>
  <c r="K207" s="1"/>
  <c r="L207" s="1"/>
  <c r="I106" i="7"/>
  <c r="J106" s="1"/>
  <c r="K106" s="1"/>
  <c r="J96" i="11"/>
  <c r="K96" s="1"/>
  <c r="L96" s="1"/>
  <c r="J197" i="24"/>
  <c r="K197" s="1"/>
  <c r="L197" s="1"/>
  <c r="J102" i="19"/>
  <c r="K102" s="1"/>
  <c r="L102" s="1"/>
  <c r="J194" i="24"/>
  <c r="K194" s="1"/>
  <c r="L194" s="1"/>
  <c r="J126" i="15"/>
  <c r="K126" s="1"/>
  <c r="L126" s="1"/>
  <c r="J121"/>
  <c r="K121" s="1"/>
  <c r="L121" s="1"/>
  <c r="J117"/>
  <c r="K117" s="1"/>
  <c r="L117" s="1"/>
  <c r="I86" i="7"/>
  <c r="J86" s="1"/>
  <c r="K86" s="1"/>
  <c r="I96"/>
  <c r="J96" s="1"/>
  <c r="K96" s="1"/>
  <c r="J83" i="11"/>
  <c r="K83" s="1"/>
  <c r="L83" s="1"/>
  <c r="J74" i="1"/>
  <c r="K74" s="1"/>
  <c r="L74" s="1"/>
  <c r="J84"/>
  <c r="K84" s="1"/>
  <c r="L84" s="1"/>
  <c r="J74" i="10"/>
  <c r="K74" s="1"/>
  <c r="L74" s="1"/>
  <c r="J74" i="9"/>
  <c r="K74" s="1"/>
  <c r="L74" s="1"/>
  <c r="J84"/>
  <c r="K84" s="1"/>
  <c r="L84" s="1"/>
  <c r="J143" i="24"/>
  <c r="K143" s="1"/>
  <c r="L143" s="1"/>
  <c r="J116"/>
  <c r="K116" s="1"/>
  <c r="L116" s="1"/>
  <c r="J86" i="15"/>
  <c r="K86" s="1"/>
  <c r="L86" s="1"/>
  <c r="J98"/>
  <c r="K98" s="1"/>
  <c r="L98" s="1"/>
  <c r="I70" i="7"/>
  <c r="J70" s="1"/>
  <c r="K70" s="1"/>
  <c r="J66" i="11"/>
  <c r="K66" s="1"/>
  <c r="L66" s="1"/>
  <c r="J182" i="24"/>
  <c r="K182" s="1"/>
  <c r="L182" s="1"/>
  <c r="J178"/>
  <c r="K178" s="1"/>
  <c r="L178" s="1"/>
  <c r="J164"/>
  <c r="K164" s="1"/>
  <c r="L164" s="1"/>
  <c r="J160"/>
  <c r="K160" s="1"/>
  <c r="L160" s="1"/>
  <c r="J77" i="1"/>
  <c r="K77" s="1"/>
  <c r="L77" s="1"/>
  <c r="J81" i="10"/>
  <c r="K81" s="1"/>
  <c r="L81" s="1"/>
  <c r="J123" i="24"/>
  <c r="K123" s="1"/>
  <c r="L123" s="1"/>
  <c r="J114"/>
  <c r="J98"/>
  <c r="K98" s="1"/>
  <c r="L98" s="1"/>
  <c r="J70"/>
  <c r="K70" s="1"/>
  <c r="L70" s="1"/>
  <c r="J58" i="15"/>
  <c r="K58" s="1"/>
  <c r="L58" s="1"/>
  <c r="J40" i="11"/>
  <c r="J47" i="24"/>
  <c r="K47" s="1"/>
  <c r="L47" s="1"/>
  <c r="J38"/>
  <c r="J37" i="15"/>
  <c r="J97" i="12"/>
  <c r="K97" s="1"/>
  <c r="L97" s="1"/>
  <c r="J28" i="11"/>
  <c r="J66" i="20"/>
  <c r="J72" i="10"/>
  <c r="J95"/>
  <c r="J47" i="12"/>
  <c r="K47" s="1"/>
  <c r="L47" s="1"/>
  <c r="J27" i="10"/>
  <c r="J205" i="24"/>
  <c r="K205" s="1"/>
  <c r="J100" i="19"/>
  <c r="K31" i="16"/>
  <c r="L31" s="1"/>
  <c r="M31" s="1"/>
  <c r="J58" i="13"/>
  <c r="J73"/>
  <c r="J54" i="15"/>
  <c r="J60" i="11"/>
  <c r="K70" i="16"/>
  <c r="J73" i="15"/>
  <c r="K73" s="1"/>
  <c r="L73" s="1"/>
  <c r="J84" i="12"/>
  <c r="K84" s="1"/>
  <c r="L84" s="1"/>
  <c r="J74"/>
  <c r="K74" s="1"/>
  <c r="L74" s="1"/>
  <c r="J61"/>
  <c r="K61" s="1"/>
  <c r="L61" s="1"/>
  <c r="J57"/>
  <c r="J11" i="9"/>
  <c r="J11" i="10"/>
  <c r="J27" i="1"/>
  <c r="I34" i="7"/>
  <c r="J41" i="24"/>
  <c r="K41" s="1"/>
  <c r="L41" s="1"/>
  <c r="J62"/>
  <c r="K62" s="1"/>
  <c r="L62" s="1"/>
  <c r="J47" i="10"/>
  <c r="K47" s="1"/>
  <c r="L47" s="1"/>
  <c r="J50" i="11"/>
  <c r="K50" s="1"/>
  <c r="L50" s="1"/>
  <c r="J71" i="15"/>
  <c r="K71" s="1"/>
  <c r="L71" s="1"/>
  <c r="J53" i="19"/>
  <c r="K53" s="1"/>
  <c r="L53" s="1"/>
  <c r="J53" i="18"/>
  <c r="K53" s="1"/>
  <c r="J11" i="17"/>
  <c r="K11" i="16"/>
  <c r="K93"/>
  <c r="J11" i="12"/>
  <c r="J77"/>
  <c r="K77" s="1"/>
  <c r="L77" s="1"/>
  <c r="J85" i="24"/>
  <c r="J47" i="1"/>
  <c r="K47" s="1"/>
  <c r="L47" s="1"/>
  <c r="J158" i="24"/>
  <c r="J11" i="19"/>
  <c r="J11" i="18"/>
  <c r="J65"/>
  <c r="J11" i="14"/>
  <c r="J44"/>
  <c r="K44" s="1"/>
  <c r="L44" s="1"/>
  <c r="J100" i="18"/>
  <c r="J65" i="17"/>
  <c r="J82"/>
  <c r="K51" i="16"/>
  <c r="J24" i="14"/>
  <c r="J79" i="12"/>
  <c r="K79" s="1"/>
  <c r="L79" s="1"/>
  <c r="J57" i="10"/>
  <c r="I79" i="7"/>
  <c r="J65" i="19"/>
  <c r="J82"/>
  <c r="J100" i="17"/>
  <c r="J25" i="12"/>
  <c r="K25" s="1"/>
  <c r="L25" s="1"/>
  <c r="J27" i="9"/>
  <c r="J11" i="1"/>
  <c r="J11" i="11"/>
  <c r="I18" i="7"/>
  <c r="J20" i="15"/>
  <c r="J15" i="24"/>
  <c r="J57" i="9"/>
  <c r="J57" i="1"/>
  <c r="J113" i="15"/>
  <c r="J27" i="19"/>
  <c r="J82" i="18"/>
  <c r="K59" i="16"/>
  <c r="J69" i="14"/>
  <c r="J28" i="13"/>
  <c r="J87" i="12"/>
  <c r="K87" s="1"/>
  <c r="L87" s="1"/>
  <c r="J40" i="15"/>
  <c r="K40" s="1"/>
  <c r="L40" s="1"/>
  <c r="J47" i="9"/>
  <c r="K47" s="1"/>
  <c r="L47" s="1"/>
  <c r="I54" i="7"/>
  <c r="J54" s="1"/>
  <c r="K54" s="1"/>
  <c r="I64"/>
  <c r="J112" i="24"/>
  <c r="J95" i="1"/>
  <c r="J94" i="11"/>
  <c r="I104" i="7"/>
  <c r="J137" i="15"/>
  <c r="K137" s="1"/>
  <c r="J27" i="18"/>
  <c r="J53" i="17"/>
  <c r="K53" s="1"/>
  <c r="L53" s="1"/>
  <c r="J27"/>
  <c r="J96" i="13"/>
  <c r="J72" i="12"/>
  <c r="J27"/>
  <c r="J95"/>
  <c r="K21" i="11"/>
  <c r="L21" s="1"/>
  <c r="K22"/>
  <c r="L22" s="1"/>
  <c r="K22" i="19"/>
  <c r="L22" s="1"/>
  <c r="K21"/>
  <c r="L21" s="1"/>
  <c r="O43" i="15"/>
  <c r="S39"/>
  <c r="O114" i="18"/>
  <c r="S58"/>
  <c r="S114" s="1"/>
  <c r="L123" i="19"/>
  <c r="N35" i="13"/>
  <c r="M40"/>
  <c r="M109" s="1"/>
  <c r="N44" i="1"/>
  <c r="M51"/>
  <c r="M110" s="1"/>
  <c r="N34"/>
  <c r="M39"/>
  <c r="M108" s="1"/>
  <c r="N21" i="10"/>
  <c r="O21" s="1"/>
  <c r="N22"/>
  <c r="O22" s="1"/>
  <c r="P19" i="16"/>
  <c r="O24"/>
  <c r="N21" i="19"/>
  <c r="O21" s="1"/>
  <c r="N22"/>
  <c r="O22" s="1"/>
  <c r="N44" i="9"/>
  <c r="M51"/>
  <c r="M110" s="1"/>
  <c r="N33" i="24"/>
  <c r="N34" i="9"/>
  <c r="M39"/>
  <c r="M108" s="1"/>
  <c r="M28" i="7"/>
  <c r="N28" s="1"/>
  <c r="M29"/>
  <c r="N29" s="1"/>
  <c r="P14" i="12"/>
  <c r="Q14" s="1"/>
  <c r="R14" s="1"/>
  <c r="S14" s="1"/>
  <c r="P37"/>
  <c r="P59"/>
  <c r="Q59" s="1"/>
  <c r="R59" s="1"/>
  <c r="S59" s="1"/>
  <c r="P98" i="13"/>
  <c r="Q98" s="1"/>
  <c r="R98" s="1"/>
  <c r="P82"/>
  <c r="Q82" s="1"/>
  <c r="R82" s="1"/>
  <c r="S82" s="1"/>
  <c r="P60"/>
  <c r="Q60" s="1"/>
  <c r="R60" s="1"/>
  <c r="P15"/>
  <c r="Q15" s="1"/>
  <c r="R15" s="1"/>
  <c r="P74" i="14"/>
  <c r="Q74" s="1"/>
  <c r="R74" s="1"/>
  <c r="S74" s="1"/>
  <c r="P46"/>
  <c r="Q82" i="16"/>
  <c r="R82" s="1"/>
  <c r="S82" s="1"/>
  <c r="T82" s="1"/>
  <c r="P86" i="18"/>
  <c r="Q86" s="1"/>
  <c r="R86" s="1"/>
  <c r="P75" i="13"/>
  <c r="Q75" s="1"/>
  <c r="R75" s="1"/>
  <c r="S75" s="1"/>
  <c r="P26"/>
  <c r="Q26" s="1"/>
  <c r="R26" s="1"/>
  <c r="P94" i="14"/>
  <c r="Q94" s="1"/>
  <c r="R94" s="1"/>
  <c r="Q85" i="16"/>
  <c r="R85" s="1"/>
  <c r="S85" s="1"/>
  <c r="Q75"/>
  <c r="R75" s="1"/>
  <c r="S75" s="1"/>
  <c r="T75" s="1"/>
  <c r="Q27"/>
  <c r="R27" s="1"/>
  <c r="S27" s="1"/>
  <c r="T27" s="1"/>
  <c r="P102" i="17"/>
  <c r="Q102" s="1"/>
  <c r="R102" s="1"/>
  <c r="S102" s="1"/>
  <c r="P84"/>
  <c r="Q84" s="1"/>
  <c r="R84" s="1"/>
  <c r="S84" s="1"/>
  <c r="P25"/>
  <c r="Q25" s="1"/>
  <c r="R25" s="1"/>
  <c r="S25" s="1"/>
  <c r="P86" i="19"/>
  <c r="Q86" s="1"/>
  <c r="R86" s="1"/>
  <c r="P218" i="24"/>
  <c r="Q218" s="1"/>
  <c r="R218" s="1"/>
  <c r="S218" s="1"/>
  <c r="P209"/>
  <c r="Q209" s="1"/>
  <c r="R209" s="1"/>
  <c r="S209" s="1"/>
  <c r="P143" i="15"/>
  <c r="Q143" s="1"/>
  <c r="R143" s="1"/>
  <c r="S143" s="1"/>
  <c r="P97" i="9"/>
  <c r="Q97" s="1"/>
  <c r="R97" s="1"/>
  <c r="S97" s="1"/>
  <c r="P57" i="18"/>
  <c r="P57" i="19"/>
  <c r="P123" i="15"/>
  <c r="Q123" s="1"/>
  <c r="R123" s="1"/>
  <c r="S123" s="1"/>
  <c r="P115"/>
  <c r="Q115" s="1"/>
  <c r="R115" s="1"/>
  <c r="S115" s="1"/>
  <c r="O81" i="7"/>
  <c r="P81" s="1"/>
  <c r="Q81" s="1"/>
  <c r="R81" s="1"/>
  <c r="P86" i="11"/>
  <c r="Q86" s="1"/>
  <c r="R86" s="1"/>
  <c r="S86" s="1"/>
  <c r="P87" i="1"/>
  <c r="Q87" s="1"/>
  <c r="R87" s="1"/>
  <c r="P87" i="10"/>
  <c r="Q87" s="1"/>
  <c r="R87" s="1"/>
  <c r="P87" i="9"/>
  <c r="Q87" s="1"/>
  <c r="R87" s="1"/>
  <c r="P139" i="24"/>
  <c r="Q139" s="1"/>
  <c r="R139" s="1"/>
  <c r="S139" s="1"/>
  <c r="P121"/>
  <c r="Q121" s="1"/>
  <c r="R121" s="1"/>
  <c r="S121" s="1"/>
  <c r="P92" i="15"/>
  <c r="Q92" s="1"/>
  <c r="R92" s="1"/>
  <c r="S92" s="1"/>
  <c r="P189" i="24"/>
  <c r="Q189" s="1"/>
  <c r="R189" s="1"/>
  <c r="S189" s="1"/>
  <c r="P180"/>
  <c r="Q180" s="1"/>
  <c r="R180" s="1"/>
  <c r="S180" s="1"/>
  <c r="P176"/>
  <c r="Q176" s="1"/>
  <c r="R176" s="1"/>
  <c r="S176" s="1"/>
  <c r="P162"/>
  <c r="Q162" s="1"/>
  <c r="R162" s="1"/>
  <c r="S162" s="1"/>
  <c r="O84" i="7"/>
  <c r="P84" s="1"/>
  <c r="Q84" s="1"/>
  <c r="R84" s="1"/>
  <c r="P81" i="1"/>
  <c r="Q81" s="1"/>
  <c r="R81" s="1"/>
  <c r="S81" s="1"/>
  <c r="P136" i="24"/>
  <c r="P49" i="12"/>
  <c r="P63"/>
  <c r="Q63" s="1"/>
  <c r="R63" s="1"/>
  <c r="S63" s="1"/>
  <c r="P38" i="13"/>
  <c r="P84" i="14"/>
  <c r="Q84" s="1"/>
  <c r="R84" s="1"/>
  <c r="P60"/>
  <c r="Q60" s="1"/>
  <c r="R60" s="1"/>
  <c r="S60" s="1"/>
  <c r="Q72" i="16"/>
  <c r="R72" s="1"/>
  <c r="S72" s="1"/>
  <c r="T72" s="1"/>
  <c r="P92" i="17"/>
  <c r="Q92" s="1"/>
  <c r="R92" s="1"/>
  <c r="S92" s="1"/>
  <c r="P76" i="14"/>
  <c r="Q76" s="1"/>
  <c r="R76" s="1"/>
  <c r="S76" s="1"/>
  <c r="P58"/>
  <c r="Q58" s="1"/>
  <c r="R58" s="1"/>
  <c r="S58" s="1"/>
  <c r="P67" i="17"/>
  <c r="Q67" s="1"/>
  <c r="R67" s="1"/>
  <c r="S67" s="1"/>
  <c r="P213" i="24"/>
  <c r="Q213" s="1"/>
  <c r="R213" s="1"/>
  <c r="S213" s="1"/>
  <c r="P43" i="18"/>
  <c r="P89" i="19"/>
  <c r="Q89" s="1"/>
  <c r="R89" s="1"/>
  <c r="S89" s="1"/>
  <c r="P71"/>
  <c r="Q71" s="1"/>
  <c r="R71" s="1"/>
  <c r="S71" s="1"/>
  <c r="P43"/>
  <c r="P119" i="15"/>
  <c r="Q119" s="1"/>
  <c r="R119" s="1"/>
  <c r="S119" s="1"/>
  <c r="O92" i="7"/>
  <c r="P92" s="1"/>
  <c r="Q92" s="1"/>
  <c r="R92" s="1"/>
  <c r="P79" i="1"/>
  <c r="Q79" s="1"/>
  <c r="R79" s="1"/>
  <c r="S79" s="1"/>
  <c r="P79" i="9"/>
  <c r="Q79" s="1"/>
  <c r="R79" s="1"/>
  <c r="S79" s="1"/>
  <c r="P130" i="24"/>
  <c r="Q130" s="1"/>
  <c r="R130" s="1"/>
  <c r="S130" s="1"/>
  <c r="P88" i="15"/>
  <c r="Q88" s="1"/>
  <c r="R88" s="1"/>
  <c r="S88" s="1"/>
  <c r="O68" i="7"/>
  <c r="P68" s="1"/>
  <c r="Q68" s="1"/>
  <c r="R68" s="1"/>
  <c r="P185" i="24"/>
  <c r="Q185" s="1"/>
  <c r="R185" s="1"/>
  <c r="S185" s="1"/>
  <c r="P77" i="10"/>
  <c r="Q77" s="1"/>
  <c r="R77" s="1"/>
  <c r="S77" s="1"/>
  <c r="P118" i="24"/>
  <c r="Q118" s="1"/>
  <c r="R118" s="1"/>
  <c r="P62" i="11"/>
  <c r="Q62" s="1"/>
  <c r="R62" s="1"/>
  <c r="S62" s="1"/>
  <c r="P63" i="1"/>
  <c r="Q63" s="1"/>
  <c r="R63" s="1"/>
  <c r="S63" s="1"/>
  <c r="P59"/>
  <c r="Q59" s="1"/>
  <c r="R59" s="1"/>
  <c r="P59" i="10"/>
  <c r="Q59" s="1"/>
  <c r="R59" s="1"/>
  <c r="S59" s="1"/>
  <c r="P59" i="9"/>
  <c r="Q59" s="1"/>
  <c r="R59" s="1"/>
  <c r="P96" i="24"/>
  <c r="Q96" s="1"/>
  <c r="R96" s="1"/>
  <c r="S96" s="1"/>
  <c r="P102"/>
  <c r="Q102" s="1"/>
  <c r="R102" s="1"/>
  <c r="S102" s="1"/>
  <c r="P49" i="1"/>
  <c r="P53" i="20"/>
  <c r="P66" i="24"/>
  <c r="Q66" s="1"/>
  <c r="R66" s="1"/>
  <c r="S66" s="1"/>
  <c r="P37" i="1"/>
  <c r="P68" i="24"/>
  <c r="Q68" s="1"/>
  <c r="R68" s="1"/>
  <c r="S68" s="1"/>
  <c r="P37" i="10"/>
  <c r="P45" i="24"/>
  <c r="Q45" s="1"/>
  <c r="R45" s="1"/>
  <c r="S45" s="1"/>
  <c r="P26" i="11"/>
  <c r="Q26" s="1"/>
  <c r="R26" s="1"/>
  <c r="S26" s="1"/>
  <c r="P42" i="15"/>
  <c r="Q42" s="1"/>
  <c r="R42" s="1"/>
  <c r="P25" i="1"/>
  <c r="P18" i="24"/>
  <c r="Q18" s="1"/>
  <c r="R18" s="1"/>
  <c r="S18" s="1"/>
  <c r="O21" i="7"/>
  <c r="P21" s="1"/>
  <c r="Q21" s="1"/>
  <c r="R21" s="1"/>
  <c r="P14" i="1"/>
  <c r="P14" i="9"/>
  <c r="Q14" s="1"/>
  <c r="R14" s="1"/>
  <c r="S14" s="1"/>
  <c r="P64" i="13"/>
  <c r="Q64" s="1"/>
  <c r="R64" s="1"/>
  <c r="P78" i="14"/>
  <c r="Q78" s="1"/>
  <c r="R78" s="1"/>
  <c r="S78" s="1"/>
  <c r="P56"/>
  <c r="Q56" s="1"/>
  <c r="R56" s="1"/>
  <c r="S56" s="1"/>
  <c r="Q95" i="16"/>
  <c r="R95" s="1"/>
  <c r="S95" s="1"/>
  <c r="T95" s="1"/>
  <c r="P86" i="17"/>
  <c r="Q86" s="1"/>
  <c r="R86" s="1"/>
  <c r="S86" s="1"/>
  <c r="P92" i="18"/>
  <c r="Q92" s="1"/>
  <c r="R92" s="1"/>
  <c r="S92" s="1"/>
  <c r="P67"/>
  <c r="Q67" s="1"/>
  <c r="R67" s="1"/>
  <c r="P80" i="13"/>
  <c r="Q80" s="1"/>
  <c r="R80" s="1"/>
  <c r="S80" s="1"/>
  <c r="P62"/>
  <c r="Q62" s="1"/>
  <c r="R62" s="1"/>
  <c r="S62" s="1"/>
  <c r="P71" i="18"/>
  <c r="Q71" s="1"/>
  <c r="R71" s="1"/>
  <c r="S71" s="1"/>
  <c r="P85" i="13"/>
  <c r="Q85" s="1"/>
  <c r="R85" s="1"/>
  <c r="S85" s="1"/>
  <c r="Q61" i="16"/>
  <c r="R61" s="1"/>
  <c r="S61" s="1"/>
  <c r="T61" s="1"/>
  <c r="P102" i="18"/>
  <c r="Q102" s="1"/>
  <c r="R102" s="1"/>
  <c r="S102" s="1"/>
  <c r="P84"/>
  <c r="Q84" s="1"/>
  <c r="R84" s="1"/>
  <c r="P69" i="19"/>
  <c r="Q69" s="1"/>
  <c r="R69" s="1"/>
  <c r="S69" s="1"/>
  <c r="P14"/>
  <c r="Q14" s="1"/>
  <c r="R14" s="1"/>
  <c r="S14" s="1"/>
  <c r="P222" i="24"/>
  <c r="Q222" s="1"/>
  <c r="R222" s="1"/>
  <c r="S222" s="1"/>
  <c r="P129" i="15"/>
  <c r="Q129" s="1"/>
  <c r="R129" s="1"/>
  <c r="S129" s="1"/>
  <c r="P80" i="11"/>
  <c r="Q80" s="1"/>
  <c r="R80" s="1"/>
  <c r="P79" i="10"/>
  <c r="Q79" s="1"/>
  <c r="R79" s="1"/>
  <c r="S79" s="1"/>
  <c r="P96" i="15"/>
  <c r="Q96" s="1"/>
  <c r="R96" s="1"/>
  <c r="S96" s="1"/>
  <c r="P64" i="11"/>
  <c r="Q64" s="1"/>
  <c r="R64" s="1"/>
  <c r="S64" s="1"/>
  <c r="P171" i="24"/>
  <c r="Q171" s="1"/>
  <c r="R171" s="1"/>
  <c r="S171" s="1"/>
  <c r="P167"/>
  <c r="Q167" s="1"/>
  <c r="R167" s="1"/>
  <c r="S167" s="1"/>
  <c r="P81" i="9"/>
  <c r="Q81" s="1"/>
  <c r="R81" s="1"/>
  <c r="S81" s="1"/>
  <c r="P145" i="24"/>
  <c r="Q145" s="1"/>
  <c r="R145" s="1"/>
  <c r="S145" s="1"/>
  <c r="P127"/>
  <c r="Q127" s="1"/>
  <c r="R127" s="1"/>
  <c r="P63" i="10"/>
  <c r="Q63" s="1"/>
  <c r="R63" s="1"/>
  <c r="S63" s="1"/>
  <c r="P63" i="9"/>
  <c r="Q63" s="1"/>
  <c r="R63" s="1"/>
  <c r="S63" s="1"/>
  <c r="P104" i="24"/>
  <c r="Q104" s="1"/>
  <c r="R104" s="1"/>
  <c r="S104" s="1"/>
  <c r="P87"/>
  <c r="Q87" s="1"/>
  <c r="R87" s="1"/>
  <c r="S87" s="1"/>
  <c r="P93"/>
  <c r="Q93" s="1"/>
  <c r="R93" s="1"/>
  <c r="S93" s="1"/>
  <c r="O56" i="7"/>
  <c r="Q70" i="24"/>
  <c r="R70" s="1"/>
  <c r="S70" s="1"/>
  <c r="O44" i="7"/>
  <c r="P43" i="24"/>
  <c r="Q43" s="1"/>
  <c r="R43" s="1"/>
  <c r="S43" s="1"/>
  <c r="O32" i="7"/>
  <c r="P32" s="1"/>
  <c r="Q32" s="1"/>
  <c r="R32" s="1"/>
  <c r="P23" i="15"/>
  <c r="Q23" s="1"/>
  <c r="R23" s="1"/>
  <c r="P14" i="11"/>
  <c r="Q14" s="1"/>
  <c r="R14" s="1"/>
  <c r="S14" s="1"/>
  <c r="P14" i="10"/>
  <c r="Q14" s="1"/>
  <c r="R14" s="1"/>
  <c r="S14" s="1"/>
  <c r="P25"/>
  <c r="Q25" s="1"/>
  <c r="R25" s="1"/>
  <c r="S25" s="1"/>
  <c r="P88" i="13"/>
  <c r="Q88" s="1"/>
  <c r="R88" s="1"/>
  <c r="P78"/>
  <c r="Q78" s="1"/>
  <c r="R78" s="1"/>
  <c r="S78" s="1"/>
  <c r="P50"/>
  <c r="P34" i="14"/>
  <c r="Q77" i="16"/>
  <c r="R77" s="1"/>
  <c r="S77" s="1"/>
  <c r="T77" s="1"/>
  <c r="P69" i="17"/>
  <c r="Q69" s="1"/>
  <c r="R69" s="1"/>
  <c r="S69" s="1"/>
  <c r="P14"/>
  <c r="Q14" s="1"/>
  <c r="R14" s="1"/>
  <c r="S14" s="1"/>
  <c r="P81" i="14"/>
  <c r="Q81" s="1"/>
  <c r="R81" s="1"/>
  <c r="S81" s="1"/>
  <c r="P71"/>
  <c r="Q71" s="1"/>
  <c r="R71" s="1"/>
  <c r="P22"/>
  <c r="Q22" s="1"/>
  <c r="R22" s="1"/>
  <c r="S22" s="1"/>
  <c r="P89" i="17"/>
  <c r="Q89" s="1"/>
  <c r="R89" s="1"/>
  <c r="S89" s="1"/>
  <c r="P57"/>
  <c r="P69" i="18"/>
  <c r="Q69" s="1"/>
  <c r="R69" s="1"/>
  <c r="P92" i="19"/>
  <c r="Q92" s="1"/>
  <c r="R92" s="1"/>
  <c r="S92" s="1"/>
  <c r="P224" i="24"/>
  <c r="Q224" s="1"/>
  <c r="R224" s="1"/>
  <c r="S224" s="1"/>
  <c r="P216"/>
  <c r="Q216" s="1"/>
  <c r="R216" s="1"/>
  <c r="S216" s="1"/>
  <c r="P207"/>
  <c r="Q207" s="1"/>
  <c r="R207" s="1"/>
  <c r="S207" s="1"/>
  <c r="P140" i="15"/>
  <c r="Q140" s="1"/>
  <c r="R140" s="1"/>
  <c r="S140" s="1"/>
  <c r="P96" i="11"/>
  <c r="Q96" s="1"/>
  <c r="R96" s="1"/>
  <c r="P102" i="19"/>
  <c r="Q102" s="1"/>
  <c r="R102" s="1"/>
  <c r="S102" s="1"/>
  <c r="P84"/>
  <c r="Q84" s="1"/>
  <c r="R84" s="1"/>
  <c r="S84" s="1"/>
  <c r="P25"/>
  <c r="Q25" s="1"/>
  <c r="R25" s="1"/>
  <c r="S25" s="1"/>
  <c r="P97" i="10"/>
  <c r="Q97" s="1"/>
  <c r="R97" s="1"/>
  <c r="S97" s="1"/>
  <c r="P121" i="15"/>
  <c r="Q121" s="1"/>
  <c r="R121" s="1"/>
  <c r="O96" i="7"/>
  <c r="P96" s="1"/>
  <c r="Q96" s="1"/>
  <c r="P78" i="11"/>
  <c r="Q78" s="1"/>
  <c r="R78" s="1"/>
  <c r="S78" s="1"/>
  <c r="P84" i="1"/>
  <c r="Q84" s="1"/>
  <c r="R84" s="1"/>
  <c r="S84" s="1"/>
  <c r="P84" i="10"/>
  <c r="Q84" s="1"/>
  <c r="R84" s="1"/>
  <c r="S84" s="1"/>
  <c r="P84" i="9"/>
  <c r="Q84" s="1"/>
  <c r="R84" s="1"/>
  <c r="P143" i="24"/>
  <c r="Q143" s="1"/>
  <c r="R143" s="1"/>
  <c r="S143" s="1"/>
  <c r="P125"/>
  <c r="Q125" s="1"/>
  <c r="R125" s="1"/>
  <c r="S125" s="1"/>
  <c r="P86" i="15"/>
  <c r="Q86" s="1"/>
  <c r="R86" s="1"/>
  <c r="P94"/>
  <c r="Q94" s="1"/>
  <c r="R94" s="1"/>
  <c r="S94" s="1"/>
  <c r="O70" i="7"/>
  <c r="P70" s="1"/>
  <c r="Q70" s="1"/>
  <c r="R70" s="1"/>
  <c r="Q41" i="16"/>
  <c r="P89" i="18"/>
  <c r="Q89" s="1"/>
  <c r="R89" s="1"/>
  <c r="S89" s="1"/>
  <c r="P220" i="24"/>
  <c r="Q220" s="1"/>
  <c r="R220" s="1"/>
  <c r="S220" s="1"/>
  <c r="P145" i="15"/>
  <c r="Q145" s="1"/>
  <c r="R145" s="1"/>
  <c r="S145" s="1"/>
  <c r="P97" i="1"/>
  <c r="Q97" s="1"/>
  <c r="R97" s="1"/>
  <c r="S97" s="1"/>
  <c r="P25" i="18"/>
  <c r="Q25" s="1"/>
  <c r="R25" s="1"/>
  <c r="S25" s="1"/>
  <c r="P117" i="15"/>
  <c r="Q117" s="1"/>
  <c r="R117" s="1"/>
  <c r="S117" s="1"/>
  <c r="P83" i="11"/>
  <c r="Q83" s="1"/>
  <c r="R83" s="1"/>
  <c r="S83" s="1"/>
  <c r="P74" i="10"/>
  <c r="Q74" s="1"/>
  <c r="R74" s="1"/>
  <c r="S74" s="1"/>
  <c r="P116" i="24"/>
  <c r="Q116" s="1"/>
  <c r="R116" s="1"/>
  <c r="S116" s="1"/>
  <c r="P98" i="15"/>
  <c r="Q98" s="1"/>
  <c r="R98" s="1"/>
  <c r="S98" s="1"/>
  <c r="P66" i="11"/>
  <c r="Q66" s="1"/>
  <c r="R66" s="1"/>
  <c r="S66" s="1"/>
  <c r="P191" i="24"/>
  <c r="Q191" s="1"/>
  <c r="R191" s="1"/>
  <c r="S191" s="1"/>
  <c r="P187"/>
  <c r="Q187" s="1"/>
  <c r="R187" s="1"/>
  <c r="S187" s="1"/>
  <c r="P173"/>
  <c r="Q173" s="1"/>
  <c r="R173" s="1"/>
  <c r="S173" s="1"/>
  <c r="P169"/>
  <c r="Q169" s="1"/>
  <c r="R169" s="1"/>
  <c r="S169" s="1"/>
  <c r="P77" i="1"/>
  <c r="Q77" s="1"/>
  <c r="R77" s="1"/>
  <c r="S77" s="1"/>
  <c r="P81" i="10"/>
  <c r="Q81" s="1"/>
  <c r="R81" s="1"/>
  <c r="S81" s="1"/>
  <c r="P141" i="24"/>
  <c r="Q141" s="1"/>
  <c r="R141" s="1"/>
  <c r="S141" s="1"/>
  <c r="P132"/>
  <c r="Q132" s="1"/>
  <c r="R132" s="1"/>
  <c r="S132" s="1"/>
  <c r="P100"/>
  <c r="Q100" s="1"/>
  <c r="R100" s="1"/>
  <c r="S100" s="1"/>
  <c r="P75" i="15"/>
  <c r="P49" i="10"/>
  <c r="P89" i="24"/>
  <c r="Q89" s="1"/>
  <c r="R89" s="1"/>
  <c r="S89" s="1"/>
  <c r="P54" i="15"/>
  <c r="P60"/>
  <c r="Q60" s="1"/>
  <c r="R60" s="1"/>
  <c r="S60" s="1"/>
  <c r="P64" i="24"/>
  <c r="Q64" s="1"/>
  <c r="R64" s="1"/>
  <c r="S64" s="1"/>
  <c r="P40" i="11"/>
  <c r="P49" i="24"/>
  <c r="Q49" s="1"/>
  <c r="R49" s="1"/>
  <c r="S49" s="1"/>
  <c r="P47"/>
  <c r="Q47" s="1"/>
  <c r="R47" s="1"/>
  <c r="S47" s="1"/>
  <c r="P25" i="9"/>
  <c r="Q25" s="1"/>
  <c r="R25" s="1"/>
  <c r="P72" i="10"/>
  <c r="P54" i="14"/>
  <c r="P48" i="13"/>
  <c r="Q48" s="1"/>
  <c r="R48" s="1"/>
  <c r="S48" s="1"/>
  <c r="P72" i="1"/>
  <c r="P75" i="11"/>
  <c r="P11" i="19"/>
  <c r="P205" i="24"/>
  <c r="Q205" s="1"/>
  <c r="P44" i="14"/>
  <c r="Q44" s="1"/>
  <c r="R44" s="1"/>
  <c r="P65" i="17"/>
  <c r="Q51" i="16"/>
  <c r="P79" i="12"/>
  <c r="Q79" s="1"/>
  <c r="R79" s="1"/>
  <c r="S79" s="1"/>
  <c r="P57" i="10"/>
  <c r="O79" i="7"/>
  <c r="P82" i="19"/>
  <c r="Q70" i="16"/>
  <c r="P100" i="17"/>
  <c r="P25" i="12"/>
  <c r="Q25" s="1"/>
  <c r="R25" s="1"/>
  <c r="S25" s="1"/>
  <c r="P73" i="15"/>
  <c r="Q73" s="1"/>
  <c r="R73" s="1"/>
  <c r="S73" s="1"/>
  <c r="P74" i="12"/>
  <c r="Q74" s="1"/>
  <c r="R74" s="1"/>
  <c r="S74" s="1"/>
  <c r="P57"/>
  <c r="P27" i="9"/>
  <c r="P11" i="10"/>
  <c r="P11" i="1"/>
  <c r="Q11" s="1"/>
  <c r="O18" i="7"/>
  <c r="Q79" i="16"/>
  <c r="R79" s="1"/>
  <c r="S79" s="1"/>
  <c r="T79" s="1"/>
  <c r="Q29"/>
  <c r="R29" s="1"/>
  <c r="S29" s="1"/>
  <c r="T29" s="1"/>
  <c r="P71" i="17"/>
  <c r="Q71" s="1"/>
  <c r="R71" s="1"/>
  <c r="S71" s="1"/>
  <c r="P43"/>
  <c r="P14" i="18"/>
  <c r="Q14" s="1"/>
  <c r="R14" s="1"/>
  <c r="S14" s="1"/>
  <c r="P211" i="24"/>
  <c r="Q211" s="1"/>
  <c r="R211" s="1"/>
  <c r="S211" s="1"/>
  <c r="O106" i="7"/>
  <c r="P106" s="1"/>
  <c r="Q106" s="1"/>
  <c r="R106" s="1"/>
  <c r="P197" i="24"/>
  <c r="Q197" s="1"/>
  <c r="R197" s="1"/>
  <c r="S197" s="1"/>
  <c r="P67" i="19"/>
  <c r="Q67" s="1"/>
  <c r="R67" s="1"/>
  <c r="S67" s="1"/>
  <c r="P194" i="24"/>
  <c r="Q194" s="1"/>
  <c r="R194" s="1"/>
  <c r="S194" s="1"/>
  <c r="P126" i="15"/>
  <c r="Q126" s="1"/>
  <c r="R126" s="1"/>
  <c r="S126" s="1"/>
  <c r="O86" i="7"/>
  <c r="P86" s="1"/>
  <c r="Q86" s="1"/>
  <c r="R86" s="1"/>
  <c r="P74" i="1"/>
  <c r="Q74" s="1"/>
  <c r="R74" s="1"/>
  <c r="P74" i="9"/>
  <c r="Q74" s="1"/>
  <c r="R74" s="1"/>
  <c r="P134" i="24"/>
  <c r="Q134" s="1"/>
  <c r="R134" s="1"/>
  <c r="S134" s="1"/>
  <c r="P90" i="15"/>
  <c r="Q90" s="1"/>
  <c r="R90" s="1"/>
  <c r="S90" s="1"/>
  <c r="O66" i="7"/>
  <c r="P66" s="1"/>
  <c r="Q66" s="1"/>
  <c r="R66" s="1"/>
  <c r="P182" i="24"/>
  <c r="Q182" s="1"/>
  <c r="R182" s="1"/>
  <c r="S182" s="1"/>
  <c r="P178"/>
  <c r="Q178" s="1"/>
  <c r="R178" s="1"/>
  <c r="S178" s="1"/>
  <c r="P164"/>
  <c r="Q164" s="1"/>
  <c r="R164" s="1"/>
  <c r="S164" s="1"/>
  <c r="P160"/>
  <c r="Q160" s="1"/>
  <c r="R160" s="1"/>
  <c r="S160" s="1"/>
  <c r="O88" i="7"/>
  <c r="P88" s="1"/>
  <c r="Q88" s="1"/>
  <c r="P77" i="9"/>
  <c r="Q77" s="1"/>
  <c r="R77" s="1"/>
  <c r="S77" s="1"/>
  <c r="P123" i="24"/>
  <c r="Q123" s="1"/>
  <c r="R123" s="1"/>
  <c r="S123" s="1"/>
  <c r="P114"/>
  <c r="Q114" s="1"/>
  <c r="R114" s="1"/>
  <c r="P61" i="1"/>
  <c r="Q61" s="1"/>
  <c r="R61" s="1"/>
  <c r="S61" s="1"/>
  <c r="P61" i="10"/>
  <c r="Q61" s="1"/>
  <c r="R61" s="1"/>
  <c r="S61" s="1"/>
  <c r="P61" i="9"/>
  <c r="Q61" s="1"/>
  <c r="R61" s="1"/>
  <c r="S61" s="1"/>
  <c r="P91" i="24"/>
  <c r="Q91" s="1"/>
  <c r="R91" s="1"/>
  <c r="S91" s="1"/>
  <c r="P52" i="11"/>
  <c r="P98" i="24"/>
  <c r="Q98" s="1"/>
  <c r="R98" s="1"/>
  <c r="S98" s="1"/>
  <c r="P49" i="9"/>
  <c r="P56" i="15"/>
  <c r="Q56" s="1"/>
  <c r="R56" s="1"/>
  <c r="S56" s="1"/>
  <c r="P58"/>
  <c r="Q58" s="1"/>
  <c r="R58" s="1"/>
  <c r="S58" s="1"/>
  <c r="P37" i="9"/>
  <c r="P38" i="24"/>
  <c r="P37" i="15"/>
  <c r="Q37" s="1"/>
  <c r="P97" i="12"/>
  <c r="Q97" s="1"/>
  <c r="R97" s="1"/>
  <c r="S97" s="1"/>
  <c r="P28" i="11"/>
  <c r="P66" i="20"/>
  <c r="P95" i="10"/>
  <c r="P12" i="13"/>
  <c r="P92" i="14"/>
  <c r="P77" i="15"/>
  <c r="Q77" s="1"/>
  <c r="R77" s="1"/>
  <c r="S77" s="1"/>
  <c r="P81" i="12"/>
  <c r="Q81" s="1"/>
  <c r="R81" s="1"/>
  <c r="S81" s="1"/>
  <c r="P47"/>
  <c r="Q47" s="1"/>
  <c r="R47" s="1"/>
  <c r="S47" s="1"/>
  <c r="P27" i="10"/>
  <c r="P72" i="9"/>
  <c r="P100" i="15"/>
  <c r="P95" i="9"/>
  <c r="P11" i="18"/>
  <c r="P100" i="19"/>
  <c r="P65" i="18"/>
  <c r="Q31" i="16"/>
  <c r="R31" s="1"/>
  <c r="S31" s="1"/>
  <c r="T31" s="1"/>
  <c r="T33" s="1"/>
  <c r="T104" s="1"/>
  <c r="P11" i="14"/>
  <c r="P58" i="13"/>
  <c r="P100" i="18"/>
  <c r="P82" i="17"/>
  <c r="P24" i="14"/>
  <c r="P73" i="13"/>
  <c r="P60" i="11"/>
  <c r="P65" i="19"/>
  <c r="P84" i="12"/>
  <c r="Q84" s="1"/>
  <c r="R84" s="1"/>
  <c r="S84" s="1"/>
  <c r="P61"/>
  <c r="Q61" s="1"/>
  <c r="R61" s="1"/>
  <c r="S61" s="1"/>
  <c r="P11" i="9"/>
  <c r="P11" i="11"/>
  <c r="P20" i="15"/>
  <c r="P27" i="1"/>
  <c r="P41" i="24"/>
  <c r="Q41" s="1"/>
  <c r="R41" s="1"/>
  <c r="S41" s="1"/>
  <c r="P50" i="11"/>
  <c r="Q50" s="1"/>
  <c r="R50" s="1"/>
  <c r="P57" i="9"/>
  <c r="P113" i="15"/>
  <c r="P53" i="18"/>
  <c r="Q53" s="1"/>
  <c r="R53" s="1"/>
  <c r="P27" i="19"/>
  <c r="P11" i="17"/>
  <c r="Q59" i="16"/>
  <c r="P28" i="13"/>
  <c r="P11" i="12"/>
  <c r="P87"/>
  <c r="Q87" s="1"/>
  <c r="R87" s="1"/>
  <c r="P40" i="15"/>
  <c r="Q40" s="1"/>
  <c r="R40" s="1"/>
  <c r="P47" i="1"/>
  <c r="O64" i="7"/>
  <c r="P112" i="24"/>
  <c r="P94" i="11"/>
  <c r="P137" i="15"/>
  <c r="Q137" s="1"/>
  <c r="P27" i="17"/>
  <c r="P96" i="13"/>
  <c r="P72" i="12"/>
  <c r="P95"/>
  <c r="P15" i="24"/>
  <c r="P71" i="15"/>
  <c r="Q71" s="1"/>
  <c r="R71" s="1"/>
  <c r="P53" i="19"/>
  <c r="Q53" s="1"/>
  <c r="R53" s="1"/>
  <c r="Q93" i="16"/>
  <c r="P82" i="18"/>
  <c r="P77" i="12"/>
  <c r="Q77" s="1"/>
  <c r="R77" s="1"/>
  <c r="P47" i="9"/>
  <c r="Q47" s="1"/>
  <c r="R47" s="1"/>
  <c r="P85" i="24"/>
  <c r="O104" i="7"/>
  <c r="P27" i="12"/>
  <c r="O34" i="7"/>
  <c r="P62" i="24"/>
  <c r="Q62" s="1"/>
  <c r="R62" s="1"/>
  <c r="S62" s="1"/>
  <c r="P47" i="10"/>
  <c r="Q47" s="1"/>
  <c r="R47" s="1"/>
  <c r="S47" s="1"/>
  <c r="P57" i="1"/>
  <c r="Q11" i="16"/>
  <c r="P69" i="14"/>
  <c r="O54" i="7"/>
  <c r="P54" s="1"/>
  <c r="Q54" s="1"/>
  <c r="P158" i="24"/>
  <c r="P95" i="1"/>
  <c r="P27" i="18"/>
  <c r="P53" i="17"/>
  <c r="Q53" s="1"/>
  <c r="R53" s="1"/>
  <c r="S53" s="1"/>
  <c r="Q21" i="19"/>
  <c r="R21" s="1"/>
  <c r="Q22"/>
  <c r="R22" s="1"/>
  <c r="P48" i="20"/>
  <c r="Q46"/>
  <c r="Q22" i="12"/>
  <c r="R22" s="1"/>
  <c r="Q21"/>
  <c r="R21" s="1"/>
  <c r="S18" i="16"/>
  <c r="R24"/>
  <c r="Q74" i="20"/>
  <c r="P78"/>
  <c r="P98" s="1"/>
  <c r="Q57" i="24"/>
  <c r="O118" i="17"/>
  <c r="P111" i="16"/>
  <c r="T86"/>
  <c r="T111" s="1"/>
  <c r="O118" i="18"/>
  <c r="S93"/>
  <c r="S118" s="1"/>
  <c r="S93" i="19"/>
  <c r="S118" s="1"/>
  <c r="O118"/>
  <c r="O113" i="9"/>
  <c r="S88"/>
  <c r="S113" s="1"/>
  <c r="U27" i="20"/>
  <c r="U41" s="1"/>
  <c r="U90" s="1"/>
  <c r="L41"/>
  <c r="L90" s="1"/>
  <c r="O97" i="16"/>
  <c r="O114" s="1"/>
  <c r="O117" s="1"/>
  <c r="P93"/>
  <c r="O29" i="12"/>
  <c r="O106" s="1"/>
  <c r="O109" i="14"/>
  <c r="U45" i="19"/>
  <c r="U113" s="1"/>
  <c r="M59"/>
  <c r="M115" s="1"/>
  <c r="M42" i="11"/>
  <c r="M107" s="1"/>
  <c r="S44" i="14"/>
  <c r="N30" i="15"/>
  <c r="N31"/>
  <c r="O31" s="1"/>
  <c r="M44"/>
  <c r="M155" s="1"/>
  <c r="N22" i="13"/>
  <c r="O22" s="1"/>
  <c r="N23"/>
  <c r="O23" s="1"/>
  <c r="N34" i="17"/>
  <c r="M45"/>
  <c r="M113" s="1"/>
  <c r="N21" i="9"/>
  <c r="O21" s="1"/>
  <c r="N22"/>
  <c r="O22" s="1"/>
  <c r="N21" i="17"/>
  <c r="O21" s="1"/>
  <c r="N22"/>
  <c r="O22" s="1"/>
  <c r="N34" i="18"/>
  <c r="M45"/>
  <c r="M113" s="1"/>
  <c r="N46" i="20"/>
  <c r="M48"/>
  <c r="N20" i="22"/>
  <c r="M22"/>
  <c r="M52" s="1"/>
  <c r="M63" s="1"/>
  <c r="N21" i="11"/>
  <c r="O21" s="1"/>
  <c r="N22"/>
  <c r="O22" s="1"/>
  <c r="N44" i="12"/>
  <c r="M51"/>
  <c r="M110" s="1"/>
  <c r="M119" s="1"/>
  <c r="N21" i="18"/>
  <c r="O21" s="1"/>
  <c r="N22"/>
  <c r="O22" s="1"/>
  <c r="M78" i="20"/>
  <c r="M98" s="1"/>
  <c r="M103" s="1"/>
  <c r="N74"/>
  <c r="O35" i="11"/>
  <c r="N42"/>
  <c r="N107" s="1"/>
  <c r="O22" i="1"/>
  <c r="O49" i="20"/>
  <c r="N54"/>
  <c r="N91" s="1"/>
  <c r="N102" s="1"/>
  <c r="P30" i="24"/>
  <c r="Q30" s="1"/>
  <c r="R30" s="1"/>
  <c r="U30" s="1"/>
  <c r="Q29"/>
  <c r="R29" s="1"/>
  <c r="N59" i="19"/>
  <c r="N115" s="1"/>
  <c r="O53"/>
  <c r="O59" s="1"/>
  <c r="O115" s="1"/>
  <c r="O89" i="12"/>
  <c r="O114" s="1"/>
  <c r="O77"/>
  <c r="S77" s="1"/>
  <c r="F5" i="23"/>
  <c r="O73" i="19"/>
  <c r="P44" i="15"/>
  <c r="P155" s="1"/>
  <c r="R54" i="7"/>
  <c r="S71" i="15" l="1"/>
  <c r="R15" i="17"/>
  <c r="R108" s="1"/>
  <c r="Q108"/>
  <c r="O15"/>
  <c r="N108"/>
  <c r="N108" i="19"/>
  <c r="O15"/>
  <c r="R109" i="9"/>
  <c r="S50"/>
  <c r="S109" s="1"/>
  <c r="C11" i="21" s="1"/>
  <c r="N123" i="19"/>
  <c r="Q167" i="15"/>
  <c r="R118" i="9"/>
  <c r="S84"/>
  <c r="R55" i="7"/>
  <c r="S47" i="9"/>
  <c r="S25"/>
  <c r="S59"/>
  <c r="S23" i="15"/>
  <c r="S86"/>
  <c r="S121"/>
  <c r="S51" i="11"/>
  <c r="O53"/>
  <c r="N118" i="9"/>
  <c r="K97" i="7"/>
  <c r="K122" s="1"/>
  <c r="S48" i="1"/>
  <c r="O50"/>
  <c r="U35" i="24"/>
  <c r="K114"/>
  <c r="L114" s="1"/>
  <c r="S114" s="1"/>
  <c r="K136"/>
  <c r="L136" s="1"/>
  <c r="R15" i="18"/>
  <c r="R108" s="1"/>
  <c r="R123" s="1"/>
  <c r="Q108"/>
  <c r="Q123" s="1"/>
  <c r="N108"/>
  <c r="O15"/>
  <c r="N123"/>
  <c r="Q136" i="24"/>
  <c r="R136" s="1"/>
  <c r="S136" s="1"/>
  <c r="K127"/>
  <c r="L127" s="1"/>
  <c r="S127" s="1"/>
  <c r="K118"/>
  <c r="L118" s="1"/>
  <c r="S118" s="1"/>
  <c r="O67" i="18"/>
  <c r="O73" s="1"/>
  <c r="O117" s="1"/>
  <c r="N73"/>
  <c r="N117" s="1"/>
  <c r="N26" i="24"/>
  <c r="O26" s="1"/>
  <c r="U26" s="1"/>
  <c r="M27"/>
  <c r="N124" i="19"/>
  <c r="U22" i="12"/>
  <c r="U32" i="15"/>
  <c r="U45" i="17"/>
  <c r="U113" s="1"/>
  <c r="M124" i="19"/>
  <c r="U21" i="12"/>
  <c r="U29" s="1"/>
  <c r="U106" s="1"/>
  <c r="U29" i="24"/>
  <c r="T163" i="15"/>
  <c r="T168" s="1"/>
  <c r="Q25" i="1"/>
  <c r="R25" s="1"/>
  <c r="S25" s="1"/>
  <c r="Q47"/>
  <c r="R47" s="1"/>
  <c r="S47" s="1"/>
  <c r="Q14"/>
  <c r="R14" s="1"/>
  <c r="S14" s="1"/>
  <c r="S24" i="12"/>
  <c r="S64" i="13"/>
  <c r="S26"/>
  <c r="S49"/>
  <c r="L118" i="10"/>
  <c r="M32" i="16"/>
  <c r="T28"/>
  <c r="S69" i="18"/>
  <c r="S84"/>
  <c r="S93" i="17"/>
  <c r="S118" s="1"/>
  <c r="N72" i="24"/>
  <c r="N236" s="1"/>
  <c r="O60" i="13"/>
  <c r="O66" s="1"/>
  <c r="O113" s="1"/>
  <c r="N66"/>
  <c r="N113" s="1"/>
  <c r="O59" i="1"/>
  <c r="O65" s="1"/>
  <c r="O112" s="1"/>
  <c r="N65"/>
  <c r="N112" s="1"/>
  <c r="S26" i="18"/>
  <c r="O28"/>
  <c r="S59" i="1"/>
  <c r="S28" i="10"/>
  <c r="S105" s="1"/>
  <c r="H9" i="21" s="1"/>
  <c r="S45" i="14"/>
  <c r="S24" i="17"/>
  <c r="L28"/>
  <c r="L110" s="1"/>
  <c r="L123" s="1"/>
  <c r="O65" i="13"/>
  <c r="O112" s="1"/>
  <c r="S59"/>
  <c r="S27"/>
  <c r="O29"/>
  <c r="O106" s="1"/>
  <c r="R16"/>
  <c r="R104" s="1"/>
  <c r="Q104"/>
  <c r="Q119" s="1"/>
  <c r="N104"/>
  <c r="O16"/>
  <c r="P34" i="21"/>
  <c r="S29" i="13"/>
  <c r="S106" s="1"/>
  <c r="L106"/>
  <c r="S60"/>
  <c r="T28" i="7"/>
  <c r="O45" i="13"/>
  <c r="N52"/>
  <c r="N111" s="1"/>
  <c r="U19" i="14"/>
  <c r="U26" s="1"/>
  <c r="U103" s="1"/>
  <c r="U116" s="1"/>
  <c r="S23"/>
  <c r="Q115"/>
  <c r="S88" i="12"/>
  <c r="S113" s="1"/>
  <c r="L59" i="15"/>
  <c r="K61"/>
  <c r="K156" s="1"/>
  <c r="K103" i="7"/>
  <c r="K107" s="1"/>
  <c r="K124" s="1"/>
  <c r="J107"/>
  <c r="J124" s="1"/>
  <c r="N11" i="9"/>
  <c r="M16"/>
  <c r="M104" s="1"/>
  <c r="M20" i="15"/>
  <c r="I25"/>
  <c r="I153" s="1"/>
  <c r="I168" s="1"/>
  <c r="I16" i="11"/>
  <c r="I103" s="1"/>
  <c r="I118" s="1"/>
  <c r="M11"/>
  <c r="M11" i="10"/>
  <c r="I16"/>
  <c r="I104" s="1"/>
  <c r="I119" s="1"/>
  <c r="J45" i="7"/>
  <c r="J116" s="1"/>
  <c r="K43"/>
  <c r="K45" s="1"/>
  <c r="K116" s="1"/>
  <c r="J57"/>
  <c r="J118" s="1"/>
  <c r="K53"/>
  <c r="K57" s="1"/>
  <c r="K118" s="1"/>
  <c r="S97" i="15"/>
  <c r="R101"/>
  <c r="R160" s="1"/>
  <c r="R167" s="1"/>
  <c r="L70"/>
  <c r="K78"/>
  <c r="K158" s="1"/>
  <c r="K93"/>
  <c r="J101"/>
  <c r="J160" s="1"/>
  <c r="O53" i="20"/>
  <c r="O55" s="1"/>
  <c r="O92" s="1"/>
  <c r="N55"/>
  <c r="N92" s="1"/>
  <c r="N103" s="1"/>
  <c r="N98" i="13"/>
  <c r="M100"/>
  <c r="M117" s="1"/>
  <c r="S94" i="10"/>
  <c r="R98"/>
  <c r="S96" i="12"/>
  <c r="O98"/>
  <c r="S56"/>
  <c r="O64"/>
  <c r="S59" i="14"/>
  <c r="R61"/>
  <c r="O98" i="1"/>
  <c r="S96"/>
  <c r="O130" i="15"/>
  <c r="O162" s="1"/>
  <c r="S114"/>
  <c r="R50" i="24"/>
  <c r="S37"/>
  <c r="S26" i="17"/>
  <c r="O28"/>
  <c r="R58" i="19"/>
  <c r="S52"/>
  <c r="R44"/>
  <c r="R112" s="1"/>
  <c r="S42"/>
  <c r="S44" s="1"/>
  <c r="S112" s="1"/>
  <c r="O29" i="11"/>
  <c r="S27"/>
  <c r="J127" i="7"/>
  <c r="L112" i="15"/>
  <c r="K130"/>
  <c r="K162" s="1"/>
  <c r="L111" i="24"/>
  <c r="K146"/>
  <c r="K239" s="1"/>
  <c r="O64" i="1"/>
  <c r="S56"/>
  <c r="R50" i="12"/>
  <c r="S46"/>
  <c r="O99" i="13"/>
  <c r="S95"/>
  <c r="S63"/>
  <c r="R65"/>
  <c r="R39"/>
  <c r="R108" s="1"/>
  <c r="S37"/>
  <c r="S39" s="1"/>
  <c r="S108" s="1"/>
  <c r="S68" i="17"/>
  <c r="R72"/>
  <c r="S96" i="9"/>
  <c r="O98"/>
  <c r="N231" i="24"/>
  <c r="O19"/>
  <c r="S204"/>
  <c r="O225"/>
  <c r="R105"/>
  <c r="R237" s="1"/>
  <c r="S92"/>
  <c r="S99" i="17"/>
  <c r="O103"/>
  <c r="S99" i="19"/>
  <c r="O103"/>
  <c r="R28" i="1"/>
  <c r="S26"/>
  <c r="O24" i="15"/>
  <c r="O152" s="1"/>
  <c r="N152"/>
  <c r="N167" s="1"/>
  <c r="I29" i="9"/>
  <c r="I106" s="1"/>
  <c r="M27"/>
  <c r="M15" i="24"/>
  <c r="I20"/>
  <c r="I232" s="1"/>
  <c r="H23" i="7"/>
  <c r="H113" s="1"/>
  <c r="H128" s="1"/>
  <c r="L18"/>
  <c r="M11" i="1"/>
  <c r="N11" s="1"/>
  <c r="I16"/>
  <c r="I104" s="1"/>
  <c r="I119" s="1"/>
  <c r="O114" i="13"/>
  <c r="S89"/>
  <c r="S114" s="1"/>
  <c r="O113" i="10"/>
  <c r="O118" s="1"/>
  <c r="S88"/>
  <c r="S113" s="1"/>
  <c r="H13" i="21" s="1"/>
  <c r="Q231" i="24"/>
  <c r="R19"/>
  <c r="R231" s="1"/>
  <c r="M120" i="13"/>
  <c r="I119" i="9"/>
  <c r="N118" i="12"/>
  <c r="Q118"/>
  <c r="N119" i="13"/>
  <c r="N115" i="14"/>
  <c r="Q123" i="17"/>
  <c r="N123"/>
  <c r="Q123" i="19"/>
  <c r="U21" i="11"/>
  <c r="S80"/>
  <c r="N71" i="24"/>
  <c r="N235" s="1"/>
  <c r="N246" s="1"/>
  <c r="O69"/>
  <c r="O71" s="1"/>
  <c r="O235" s="1"/>
  <c r="L69"/>
  <c r="K71"/>
  <c r="K235" s="1"/>
  <c r="K246" s="1"/>
  <c r="S72"/>
  <c r="S236" s="1"/>
  <c r="N22" i="21" s="1"/>
  <c r="O72" i="24"/>
  <c r="O236" s="1"/>
  <c r="M72"/>
  <c r="M236" s="1"/>
  <c r="R69"/>
  <c r="R71" s="1"/>
  <c r="R235" s="1"/>
  <c r="Q71"/>
  <c r="Q235" s="1"/>
  <c r="Q246" s="1"/>
  <c r="S51" i="13"/>
  <c r="S110" s="1"/>
  <c r="L110"/>
  <c r="S25" i="14"/>
  <c r="S102" s="1"/>
  <c r="L102"/>
  <c r="T96" i="16"/>
  <c r="T113" s="1"/>
  <c r="M113"/>
  <c r="R110" i="14"/>
  <c r="S85"/>
  <c r="S110" s="1"/>
  <c r="O86" i="18"/>
  <c r="O94" s="1"/>
  <c r="O119" s="1"/>
  <c r="N94"/>
  <c r="N119" s="1"/>
  <c r="O74" i="1"/>
  <c r="S74" s="1"/>
  <c r="O89"/>
  <c r="O114" s="1"/>
  <c r="O74" i="9"/>
  <c r="O89"/>
  <c r="O114" s="1"/>
  <c r="O94" i="14"/>
  <c r="O96" s="1"/>
  <c r="O113" s="1"/>
  <c r="N96"/>
  <c r="N113" s="1"/>
  <c r="L105" i="12"/>
  <c r="L118" s="1"/>
  <c r="S28"/>
  <c r="S105" s="1"/>
  <c r="S74" i="9"/>
  <c r="O71" i="14"/>
  <c r="S71" s="1"/>
  <c r="O86"/>
  <c r="O111" s="1"/>
  <c r="O86" i="19"/>
  <c r="O94" s="1"/>
  <c r="O119" s="1"/>
  <c r="N94"/>
  <c r="N119" s="1"/>
  <c r="O15" i="13"/>
  <c r="O17" s="1"/>
  <c r="O105" s="1"/>
  <c r="N17"/>
  <c r="N105" s="1"/>
  <c r="O96" i="11"/>
  <c r="O98" s="1"/>
  <c r="O115" s="1"/>
  <c r="N98"/>
  <c r="N115" s="1"/>
  <c r="L152" i="15"/>
  <c r="S24"/>
  <c r="S152" s="1"/>
  <c r="H20" i="21" s="1"/>
  <c r="R50" i="10"/>
  <c r="S48"/>
  <c r="S47" i="14"/>
  <c r="S106" s="1"/>
  <c r="L106"/>
  <c r="N46" i="7"/>
  <c r="N117" s="1"/>
  <c r="Q97"/>
  <c r="Q122" s="1"/>
  <c r="R67"/>
  <c r="Q43"/>
  <c r="Q45" s="1"/>
  <c r="Q116" s="1"/>
  <c r="P45"/>
  <c r="P116" s="1"/>
  <c r="Q63"/>
  <c r="Q71" s="1"/>
  <c r="Q120" s="1"/>
  <c r="P71"/>
  <c r="P120" s="1"/>
  <c r="Q103"/>
  <c r="Q107" s="1"/>
  <c r="Q124" s="1"/>
  <c r="P107"/>
  <c r="P124" s="1"/>
  <c r="Q53"/>
  <c r="Q57" s="1"/>
  <c r="Q118" s="1"/>
  <c r="Q127" s="1"/>
  <c r="P57"/>
  <c r="P118" s="1"/>
  <c r="R87"/>
  <c r="N97"/>
  <c r="N43"/>
  <c r="M45"/>
  <c r="M116" s="1"/>
  <c r="L72"/>
  <c r="L121" s="1"/>
  <c r="M64"/>
  <c r="M79"/>
  <c r="N79" s="1"/>
  <c r="L98"/>
  <c r="L123" s="1"/>
  <c r="N103"/>
  <c r="M107"/>
  <c r="M124" s="1"/>
  <c r="N56"/>
  <c r="N58" s="1"/>
  <c r="N119" s="1"/>
  <c r="M58"/>
  <c r="M119" s="1"/>
  <c r="N53"/>
  <c r="M57"/>
  <c r="M118" s="1"/>
  <c r="M104"/>
  <c r="L108"/>
  <c r="L125" s="1"/>
  <c r="N88"/>
  <c r="R88" s="1"/>
  <c r="N63"/>
  <c r="N71" s="1"/>
  <c r="N120" s="1"/>
  <c r="M71"/>
  <c r="M120" s="1"/>
  <c r="K71"/>
  <c r="R31"/>
  <c r="K35"/>
  <c r="L118" i="1"/>
  <c r="P72" i="24"/>
  <c r="P236" s="1"/>
  <c r="L118" i="9"/>
  <c r="S41" i="7"/>
  <c r="S46" s="1"/>
  <c r="S117" s="1"/>
  <c r="T45" i="19"/>
  <c r="T113" s="1"/>
  <c r="T124" s="1"/>
  <c r="T34" i="10"/>
  <c r="T39" s="1"/>
  <c r="T108" s="1"/>
  <c r="U21" i="1"/>
  <c r="U21" i="18"/>
  <c r="U21" i="17"/>
  <c r="U21" i="9"/>
  <c r="U22" i="13"/>
  <c r="U31" i="15"/>
  <c r="M33" i="16"/>
  <c r="M104" s="1"/>
  <c r="O31" i="14"/>
  <c r="N36"/>
  <c r="N105" s="1"/>
  <c r="M116"/>
  <c r="Q27" i="24"/>
  <c r="R27" s="1"/>
  <c r="Q28"/>
  <c r="R28" s="1"/>
  <c r="P28"/>
  <c r="U22" i="1"/>
  <c r="U21" i="10"/>
  <c r="L237" i="24"/>
  <c r="S105"/>
  <c r="S237" s="1"/>
  <c r="M23" i="21" s="1"/>
  <c r="S198" i="24"/>
  <c r="S241" s="1"/>
  <c r="L241"/>
  <c r="O158" i="15"/>
  <c r="J99" i="12"/>
  <c r="J116" s="1"/>
  <c r="K95"/>
  <c r="J89"/>
  <c r="J114" s="1"/>
  <c r="K72"/>
  <c r="J29" i="17"/>
  <c r="J111" s="1"/>
  <c r="K27"/>
  <c r="L27" s="1"/>
  <c r="L29" s="1"/>
  <c r="L111" s="1"/>
  <c r="K27" i="18"/>
  <c r="L27" s="1"/>
  <c r="L29" s="1"/>
  <c r="L111" s="1"/>
  <c r="J29"/>
  <c r="J111" s="1"/>
  <c r="J104" i="7"/>
  <c r="I108"/>
  <c r="I125" s="1"/>
  <c r="K95" i="1"/>
  <c r="J99"/>
  <c r="J116" s="1"/>
  <c r="J64" i="7"/>
  <c r="I72"/>
  <c r="I121" s="1"/>
  <c r="J86" i="14"/>
  <c r="J111" s="1"/>
  <c r="K69"/>
  <c r="L69" s="1"/>
  <c r="J94" i="18"/>
  <c r="J119" s="1"/>
  <c r="K82"/>
  <c r="J131" i="15"/>
  <c r="J163" s="1"/>
  <c r="K113"/>
  <c r="K57" i="9"/>
  <c r="J65"/>
  <c r="J112" s="1"/>
  <c r="J25" i="15"/>
  <c r="J153" s="1"/>
  <c r="K20"/>
  <c r="K11" i="11"/>
  <c r="J16"/>
  <c r="J103" s="1"/>
  <c r="K27" i="9"/>
  <c r="L27" s="1"/>
  <c r="L29" s="1"/>
  <c r="L106" s="1"/>
  <c r="J29"/>
  <c r="J106" s="1"/>
  <c r="J104" i="17"/>
  <c r="J121" s="1"/>
  <c r="K100"/>
  <c r="J73" i="19"/>
  <c r="J117" s="1"/>
  <c r="K65"/>
  <c r="K57" i="10"/>
  <c r="J65"/>
  <c r="J112" s="1"/>
  <c r="K24" i="14"/>
  <c r="L24" s="1"/>
  <c r="L26" s="1"/>
  <c r="L103" s="1"/>
  <c r="J26"/>
  <c r="J103" s="1"/>
  <c r="J94" i="17"/>
  <c r="J119" s="1"/>
  <c r="K82"/>
  <c r="J104" i="18"/>
  <c r="J121" s="1"/>
  <c r="K100"/>
  <c r="K11" i="14"/>
  <c r="J13"/>
  <c r="J101" s="1"/>
  <c r="J16" i="18"/>
  <c r="J109" s="1"/>
  <c r="K11"/>
  <c r="K158" i="24"/>
  <c r="J199"/>
  <c r="J242" s="1"/>
  <c r="K85"/>
  <c r="J106"/>
  <c r="I238" s="1"/>
  <c r="I247" s="1"/>
  <c r="K11" i="12"/>
  <c r="J16"/>
  <c r="J104" s="1"/>
  <c r="L11" i="16"/>
  <c r="K13"/>
  <c r="K102" s="1"/>
  <c r="L53" i="18"/>
  <c r="S53" s="1"/>
  <c r="J29" i="1"/>
  <c r="J106" s="1"/>
  <c r="K27"/>
  <c r="L27" s="1"/>
  <c r="L29" s="1"/>
  <c r="L106" s="1"/>
  <c r="K11" i="9"/>
  <c r="J16"/>
  <c r="J104" s="1"/>
  <c r="K87" i="16"/>
  <c r="K112" s="1"/>
  <c r="L70"/>
  <c r="K54" i="15"/>
  <c r="J62"/>
  <c r="J157" s="1"/>
  <c r="K58" i="13"/>
  <c r="J66"/>
  <c r="J113" s="1"/>
  <c r="J104" i="19"/>
  <c r="J121" s="1"/>
  <c r="K100"/>
  <c r="J29" i="10"/>
  <c r="J106" s="1"/>
  <c r="K27"/>
  <c r="L27" s="1"/>
  <c r="L29" s="1"/>
  <c r="L106" s="1"/>
  <c r="K95"/>
  <c r="J99"/>
  <c r="J116" s="1"/>
  <c r="K66" i="20"/>
  <c r="J68"/>
  <c r="J96" s="1"/>
  <c r="K38" i="24"/>
  <c r="J51"/>
  <c r="J234" s="1"/>
  <c r="J42" i="11"/>
  <c r="J107" s="1"/>
  <c r="K40"/>
  <c r="K49" i="1"/>
  <c r="J51"/>
  <c r="J110" s="1"/>
  <c r="K43" i="18"/>
  <c r="J45"/>
  <c r="J113" s="1"/>
  <c r="J40" i="13"/>
  <c r="J109" s="1"/>
  <c r="K38"/>
  <c r="K37" i="12"/>
  <c r="J39"/>
  <c r="J108" s="1"/>
  <c r="J88" i="11"/>
  <c r="J113" s="1"/>
  <c r="K75"/>
  <c r="J89" i="1"/>
  <c r="J114" s="1"/>
  <c r="K72"/>
  <c r="L72" s="1"/>
  <c r="J96" i="14"/>
  <c r="J113" s="1"/>
  <c r="K92"/>
  <c r="J17" i="13"/>
  <c r="J105" s="1"/>
  <c r="K12"/>
  <c r="K49" i="9"/>
  <c r="J51"/>
  <c r="J110" s="1"/>
  <c r="K49" i="10"/>
  <c r="J51"/>
  <c r="J110" s="1"/>
  <c r="K75" i="15"/>
  <c r="J79"/>
  <c r="J159" s="1"/>
  <c r="J45" i="17"/>
  <c r="J113" s="1"/>
  <c r="K43"/>
  <c r="K43" i="16"/>
  <c r="K106" s="1"/>
  <c r="L41"/>
  <c r="I46" i="7"/>
  <c r="I117" s="1"/>
  <c r="J44"/>
  <c r="K57" i="19"/>
  <c r="J59"/>
  <c r="J115" s="1"/>
  <c r="P109" i="16"/>
  <c r="T62"/>
  <c r="T109" s="1"/>
  <c r="J72" i="24"/>
  <c r="J236" s="1"/>
  <c r="U34" i="15"/>
  <c r="O154"/>
  <c r="S43"/>
  <c r="S154" s="1"/>
  <c r="H21" i="21" s="1"/>
  <c r="K27" i="12"/>
  <c r="L27" s="1"/>
  <c r="L29" s="1"/>
  <c r="L106" s="1"/>
  <c r="J29"/>
  <c r="J106" s="1"/>
  <c r="K96" i="13"/>
  <c r="J100"/>
  <c r="J117" s="1"/>
  <c r="L137" i="15"/>
  <c r="L147" s="1"/>
  <c r="L165" s="1"/>
  <c r="K147"/>
  <c r="K165" s="1"/>
  <c r="J98" i="11"/>
  <c r="J115" s="1"/>
  <c r="K94"/>
  <c r="K112" i="24"/>
  <c r="J147"/>
  <c r="J240" s="1"/>
  <c r="J30" i="13"/>
  <c r="J107" s="1"/>
  <c r="K28"/>
  <c r="L28" s="1"/>
  <c r="L30" s="1"/>
  <c r="L107" s="1"/>
  <c r="K63" i="16"/>
  <c r="K110" s="1"/>
  <c r="L59"/>
  <c r="J29" i="19"/>
  <c r="J111" s="1"/>
  <c r="K27"/>
  <c r="L27" s="1"/>
  <c r="L29" s="1"/>
  <c r="L111" s="1"/>
  <c r="J65" i="1"/>
  <c r="J112" s="1"/>
  <c r="K57"/>
  <c r="K15" i="24"/>
  <c r="J20"/>
  <c r="J232" s="1"/>
  <c r="J18" i="7"/>
  <c r="I23"/>
  <c r="I113" s="1"/>
  <c r="K11" i="1"/>
  <c r="J16"/>
  <c r="J104" s="1"/>
  <c r="J94" i="19"/>
  <c r="J119" s="1"/>
  <c r="K82"/>
  <c r="J79" i="7"/>
  <c r="K79" s="1"/>
  <c r="I98"/>
  <c r="I123" s="1"/>
  <c r="K53" i="16"/>
  <c r="K108" s="1"/>
  <c r="L51"/>
  <c r="J73" i="17"/>
  <c r="J117" s="1"/>
  <c r="K65"/>
  <c r="K65" i="18"/>
  <c r="J73"/>
  <c r="J117" s="1"/>
  <c r="K11" i="19"/>
  <c r="J16"/>
  <c r="J109" s="1"/>
  <c r="L93" i="16"/>
  <c r="K97"/>
  <c r="K114" s="1"/>
  <c r="K11" i="17"/>
  <c r="J16"/>
  <c r="J109" s="1"/>
  <c r="J34" i="7"/>
  <c r="K34" s="1"/>
  <c r="K36" s="1"/>
  <c r="K115" s="1"/>
  <c r="I36"/>
  <c r="I115" s="1"/>
  <c r="K11" i="10"/>
  <c r="J16"/>
  <c r="J104" s="1"/>
  <c r="J65" i="12"/>
  <c r="J112" s="1"/>
  <c r="K57"/>
  <c r="K60" i="11"/>
  <c r="J68"/>
  <c r="J111" s="1"/>
  <c r="J90" i="13"/>
  <c r="J115" s="1"/>
  <c r="K73"/>
  <c r="L73" s="1"/>
  <c r="L205" i="24"/>
  <c r="L226" s="1"/>
  <c r="L244" s="1"/>
  <c r="K226"/>
  <c r="K244" s="1"/>
  <c r="J89" i="10"/>
  <c r="J114" s="1"/>
  <c r="K72"/>
  <c r="K28" i="11"/>
  <c r="L28" s="1"/>
  <c r="L30" s="1"/>
  <c r="L105" s="1"/>
  <c r="J30"/>
  <c r="J105" s="1"/>
  <c r="K37" i="15"/>
  <c r="J44"/>
  <c r="J155" s="1"/>
  <c r="N55" i="18"/>
  <c r="M59"/>
  <c r="M115" s="1"/>
  <c r="M124" s="1"/>
  <c r="K34" i="14"/>
  <c r="J36"/>
  <c r="J105" s="1"/>
  <c r="J39" i="1"/>
  <c r="J108" s="1"/>
  <c r="K37"/>
  <c r="K53" i="20"/>
  <c r="J55"/>
  <c r="J92" s="1"/>
  <c r="J56" i="7"/>
  <c r="I58"/>
  <c r="I119" s="1"/>
  <c r="J59" i="18"/>
  <c r="J115" s="1"/>
  <c r="K57"/>
  <c r="L57" s="1"/>
  <c r="L59" s="1"/>
  <c r="L115" s="1"/>
  <c r="J48" i="14"/>
  <c r="J107" s="1"/>
  <c r="K46"/>
  <c r="K49" i="12"/>
  <c r="J51"/>
  <c r="J110" s="1"/>
  <c r="J99" i="9"/>
  <c r="J116" s="1"/>
  <c r="K95"/>
  <c r="J102" i="15"/>
  <c r="J161" s="1"/>
  <c r="K100"/>
  <c r="J89" i="9"/>
  <c r="J114" s="1"/>
  <c r="K72"/>
  <c r="L72" s="1"/>
  <c r="K54" i="14"/>
  <c r="J62"/>
  <c r="J109" s="1"/>
  <c r="K37" i="9"/>
  <c r="J39"/>
  <c r="J108" s="1"/>
  <c r="K52" i="11"/>
  <c r="J54"/>
  <c r="J109" s="1"/>
  <c r="K57" i="17"/>
  <c r="J59"/>
  <c r="J115" s="1"/>
  <c r="N55"/>
  <c r="M59"/>
  <c r="M115" s="1"/>
  <c r="M124" s="1"/>
  <c r="K50" i="13"/>
  <c r="J52"/>
  <c r="J111" s="1"/>
  <c r="J39" i="10"/>
  <c r="J108" s="1"/>
  <c r="K37"/>
  <c r="J45" i="19"/>
  <c r="J113" s="1"/>
  <c r="K43"/>
  <c r="L46" i="20"/>
  <c r="L48" s="1"/>
  <c r="K48"/>
  <c r="K78"/>
  <c r="K98" s="1"/>
  <c r="L74"/>
  <c r="L78" s="1"/>
  <c r="L98" s="1"/>
  <c r="L20" i="22"/>
  <c r="L22" s="1"/>
  <c r="L52" s="1"/>
  <c r="L63" s="1"/>
  <c r="K22"/>
  <c r="K52" s="1"/>
  <c r="K63" s="1"/>
  <c r="L56" i="24"/>
  <c r="K72"/>
  <c r="K236" s="1"/>
  <c r="M13" i="21"/>
  <c r="P116" i="16"/>
  <c r="L89" i="1"/>
  <c r="L114" s="1"/>
  <c r="S55" i="19"/>
  <c r="J23" i="21"/>
  <c r="J27" s="1"/>
  <c r="S40" i="15"/>
  <c r="N78" i="20"/>
  <c r="N98" s="1"/>
  <c r="O74"/>
  <c r="U22" i="18"/>
  <c r="U29" s="1"/>
  <c r="U111" s="1"/>
  <c r="U124" s="1"/>
  <c r="O29"/>
  <c r="O111" s="1"/>
  <c r="U22" i="11"/>
  <c r="U30" s="1"/>
  <c r="U105" s="1"/>
  <c r="O30"/>
  <c r="O105" s="1"/>
  <c r="U22" i="17"/>
  <c r="O29"/>
  <c r="O111" s="1"/>
  <c r="U22" i="9"/>
  <c r="U23" i="13"/>
  <c r="O30"/>
  <c r="O107" s="1"/>
  <c r="O30" i="15"/>
  <c r="N44"/>
  <c r="N155" s="1"/>
  <c r="S50" i="11"/>
  <c r="F45" i="21"/>
  <c r="R57" i="24"/>
  <c r="Q72"/>
  <c r="Q236" s="1"/>
  <c r="R74" i="20"/>
  <c r="R78" s="1"/>
  <c r="R98" s="1"/>
  <c r="U98" s="1"/>
  <c r="F49" i="21" s="1"/>
  <c r="G49" s="1"/>
  <c r="Q78" i="20"/>
  <c r="Q98" s="1"/>
  <c r="S24" i="16"/>
  <c r="S33" s="1"/>
  <c r="S104" s="1"/>
  <c r="V18"/>
  <c r="Q27" i="18"/>
  <c r="R27" s="1"/>
  <c r="P29"/>
  <c r="P111" s="1"/>
  <c r="P199" i="24"/>
  <c r="P242" s="1"/>
  <c r="Q158"/>
  <c r="Q69" i="14"/>
  <c r="R69" s="1"/>
  <c r="P86"/>
  <c r="P111" s="1"/>
  <c r="Q57" i="1"/>
  <c r="P65"/>
  <c r="P112" s="1"/>
  <c r="Q27" i="12"/>
  <c r="R27" s="1"/>
  <c r="P29"/>
  <c r="P106" s="1"/>
  <c r="P106" i="24"/>
  <c r="P238" s="1"/>
  <c r="Q85"/>
  <c r="R93" i="16"/>
  <c r="Q97"/>
  <c r="Q114" s="1"/>
  <c r="Q95" i="12"/>
  <c r="P99"/>
  <c r="P116" s="1"/>
  <c r="Q96" i="13"/>
  <c r="P100"/>
  <c r="P117" s="1"/>
  <c r="Q147" i="15"/>
  <c r="Q165" s="1"/>
  <c r="R137"/>
  <c r="Q112" i="24"/>
  <c r="P147"/>
  <c r="P240" s="1"/>
  <c r="S87" i="12"/>
  <c r="Q28" i="13"/>
  <c r="R28" s="1"/>
  <c r="P30"/>
  <c r="P107" s="1"/>
  <c r="Q11" i="17"/>
  <c r="R11" s="1"/>
  <c r="P16"/>
  <c r="Q57" i="9"/>
  <c r="P65"/>
  <c r="P112" s="1"/>
  <c r="P25" i="15"/>
  <c r="P153" s="1"/>
  <c r="Q20"/>
  <c r="Q11" i="9"/>
  <c r="R11" s="1"/>
  <c r="P16"/>
  <c r="Q60" i="11"/>
  <c r="P68"/>
  <c r="P111" s="1"/>
  <c r="Q24" i="14"/>
  <c r="R24" s="1"/>
  <c r="P26"/>
  <c r="P103" s="1"/>
  <c r="P104" i="18"/>
  <c r="P121" s="1"/>
  <c r="Q100"/>
  <c r="Q11" i="14"/>
  <c r="P13"/>
  <c r="P101" s="1"/>
  <c r="P73" i="18"/>
  <c r="P117" s="1"/>
  <c r="Q65"/>
  <c r="Q11"/>
  <c r="R11" s="1"/>
  <c r="P16"/>
  <c r="Q100" i="15"/>
  <c r="P102"/>
  <c r="P161" s="1"/>
  <c r="Q27" i="10"/>
  <c r="R27" s="1"/>
  <c r="P29"/>
  <c r="P106" s="1"/>
  <c r="P96" i="14"/>
  <c r="P113" s="1"/>
  <c r="Q92"/>
  <c r="P99" i="10"/>
  <c r="P116" s="1"/>
  <c r="Q95"/>
  <c r="Q28" i="11"/>
  <c r="R28" s="1"/>
  <c r="P30"/>
  <c r="P105" s="1"/>
  <c r="R37" i="15"/>
  <c r="R44" s="1"/>
  <c r="R155" s="1"/>
  <c r="Q44"/>
  <c r="Q155" s="1"/>
  <c r="P39" i="9"/>
  <c r="P108" s="1"/>
  <c r="Q37"/>
  <c r="R11" i="1"/>
  <c r="P16"/>
  <c r="Q27" i="9"/>
  <c r="R27" s="1"/>
  <c r="P29"/>
  <c r="P106" s="1"/>
  <c r="Q87" i="16"/>
  <c r="Q112" s="1"/>
  <c r="R70"/>
  <c r="S70" s="1"/>
  <c r="P79" i="7"/>
  <c r="Q79" s="1"/>
  <c r="R79" s="1"/>
  <c r="O98"/>
  <c r="O123" s="1"/>
  <c r="P73" i="17"/>
  <c r="P117" s="1"/>
  <c r="Q65"/>
  <c r="Q226" i="24"/>
  <c r="Q244" s="1"/>
  <c r="R205"/>
  <c r="Q75" i="11"/>
  <c r="P88"/>
  <c r="P113" s="1"/>
  <c r="P89" i="10"/>
  <c r="P114" s="1"/>
  <c r="Q72"/>
  <c r="R72" s="1"/>
  <c r="Q40" i="11"/>
  <c r="P42"/>
  <c r="P107" s="1"/>
  <c r="Q75" i="15"/>
  <c r="P79"/>
  <c r="P159" s="1"/>
  <c r="Q57" i="17"/>
  <c r="P59"/>
  <c r="P115" s="1"/>
  <c r="P36" i="14"/>
  <c r="P105" s="1"/>
  <c r="Q34"/>
  <c r="O46" i="7"/>
  <c r="O117" s="1"/>
  <c r="P44"/>
  <c r="P56"/>
  <c r="O58"/>
  <c r="O119" s="1"/>
  <c r="S42" i="15"/>
  <c r="Q49" i="1"/>
  <c r="P51"/>
  <c r="P110" s="1"/>
  <c r="P45" i="19"/>
  <c r="P113" s="1"/>
  <c r="Q43"/>
  <c r="P40" i="13"/>
  <c r="P109" s="1"/>
  <c r="Q38"/>
  <c r="P51" i="12"/>
  <c r="P110" s="1"/>
  <c r="Q49"/>
  <c r="S87" i="10"/>
  <c r="Q57" i="19"/>
  <c r="P59"/>
  <c r="P115" s="1"/>
  <c r="T85" i="16"/>
  <c r="S87"/>
  <c r="Q46" i="14"/>
  <c r="P48"/>
  <c r="P107" s="1"/>
  <c r="O34" i="9"/>
  <c r="N39"/>
  <c r="N108" s="1"/>
  <c r="O33" i="24"/>
  <c r="O44" i="9"/>
  <c r="N51"/>
  <c r="N110" s="1"/>
  <c r="P24" i="16"/>
  <c r="V19"/>
  <c r="O34" i="1"/>
  <c r="N39"/>
  <c r="N108" s="1"/>
  <c r="O44"/>
  <c r="N51"/>
  <c r="N110" s="1"/>
  <c r="O35" i="13"/>
  <c r="N40"/>
  <c r="N109" s="1"/>
  <c r="S53" i="19"/>
  <c r="U21"/>
  <c r="O117"/>
  <c r="Q49" i="20"/>
  <c r="O54"/>
  <c r="O42" i="11"/>
  <c r="O107" s="1"/>
  <c r="T35"/>
  <c r="T42" s="1"/>
  <c r="T107" s="1"/>
  <c r="O44" i="12"/>
  <c r="N51"/>
  <c r="N110" s="1"/>
  <c r="N119" s="1"/>
  <c r="O20" i="22"/>
  <c r="N22"/>
  <c r="N52" s="1"/>
  <c r="N63" s="1"/>
  <c r="O46" i="20"/>
  <c r="N48"/>
  <c r="O34" i="18"/>
  <c r="N45"/>
  <c r="N113" s="1"/>
  <c r="O34" i="17"/>
  <c r="N45"/>
  <c r="N113" s="1"/>
  <c r="P97" i="16"/>
  <c r="C13" i="21"/>
  <c r="R46" i="20"/>
  <c r="R48" s="1"/>
  <c r="Q48"/>
  <c r="P99" i="1"/>
  <c r="P116" s="1"/>
  <c r="Q95"/>
  <c r="Q13" i="16"/>
  <c r="Q102" s="1"/>
  <c r="R11"/>
  <c r="P34" i="7"/>
  <c r="Q34" s="1"/>
  <c r="O36"/>
  <c r="O115" s="1"/>
  <c r="O108"/>
  <c r="O125" s="1"/>
  <c r="P104"/>
  <c r="P94" i="18"/>
  <c r="P119" s="1"/>
  <c r="Q82"/>
  <c r="P20" i="24"/>
  <c r="P232" s="1"/>
  <c r="Q15"/>
  <c r="Q72" i="12"/>
  <c r="R72" s="1"/>
  <c r="P89"/>
  <c r="P114" s="1"/>
  <c r="Q27" i="17"/>
  <c r="R27" s="1"/>
  <c r="P29"/>
  <c r="P111" s="1"/>
  <c r="P98" i="11"/>
  <c r="P115" s="1"/>
  <c r="Q94"/>
  <c r="O72" i="7"/>
  <c r="O121" s="1"/>
  <c r="P64"/>
  <c r="Q11" i="12"/>
  <c r="R11" s="1"/>
  <c r="P16"/>
  <c r="Q63" i="16"/>
  <c r="Q110" s="1"/>
  <c r="R59"/>
  <c r="Q27" i="19"/>
  <c r="R27" s="1"/>
  <c r="P29"/>
  <c r="P111" s="1"/>
  <c r="Q113" i="15"/>
  <c r="P131"/>
  <c r="P163" s="1"/>
  <c r="Q27" i="1"/>
  <c r="R27" s="1"/>
  <c r="P29"/>
  <c r="P106" s="1"/>
  <c r="Q11" i="11"/>
  <c r="R11" s="1"/>
  <c r="P16"/>
  <c r="P73" i="19"/>
  <c r="P117" s="1"/>
  <c r="Q65"/>
  <c r="P90" i="13"/>
  <c r="P115" s="1"/>
  <c r="Q73"/>
  <c r="R73" s="1"/>
  <c r="S73" s="1"/>
  <c r="P94" i="17"/>
  <c r="P119" s="1"/>
  <c r="Q82"/>
  <c r="Q58" i="13"/>
  <c r="P66"/>
  <c r="P113" s="1"/>
  <c r="P104" i="19"/>
  <c r="P121" s="1"/>
  <c r="Q100"/>
  <c r="Q95" i="9"/>
  <c r="P99"/>
  <c r="P116" s="1"/>
  <c r="Q72"/>
  <c r="R72" s="1"/>
  <c r="S72" s="1"/>
  <c r="P89"/>
  <c r="P114" s="1"/>
  <c r="Q12" i="13"/>
  <c r="R12" s="1"/>
  <c r="P17"/>
  <c r="P68" i="20"/>
  <c r="P96" s="1"/>
  <c r="Q66"/>
  <c r="Q38" i="24"/>
  <c r="P51"/>
  <c r="P234" s="1"/>
  <c r="Q49" i="9"/>
  <c r="P51"/>
  <c r="P110" s="1"/>
  <c r="Q52" i="11"/>
  <c r="P54"/>
  <c r="P109" s="1"/>
  <c r="P45" i="17"/>
  <c r="P113" s="1"/>
  <c r="Q43"/>
  <c r="P18" i="7"/>
  <c r="Q18" s="1"/>
  <c r="O23"/>
  <c r="Q11" i="10"/>
  <c r="R11" s="1"/>
  <c r="P16"/>
  <c r="P65" i="12"/>
  <c r="P112" s="1"/>
  <c r="Q57"/>
  <c r="P104" i="17"/>
  <c r="P121" s="1"/>
  <c r="Q100"/>
  <c r="P94" i="19"/>
  <c r="P119" s="1"/>
  <c r="Q82"/>
  <c r="Q57" i="10"/>
  <c r="P65"/>
  <c r="P112" s="1"/>
  <c r="Q53" i="16"/>
  <c r="Q108" s="1"/>
  <c r="R51"/>
  <c r="P16" i="19"/>
  <c r="Q11"/>
  <c r="R11" s="1"/>
  <c r="Q72" i="1"/>
  <c r="R72" s="1"/>
  <c r="S72" s="1"/>
  <c r="P89"/>
  <c r="P114" s="1"/>
  <c r="Q54" i="14"/>
  <c r="P62"/>
  <c r="P109" s="1"/>
  <c r="P62" i="15"/>
  <c r="P157" s="1"/>
  <c r="Q54"/>
  <c r="Q49" i="10"/>
  <c r="P51"/>
  <c r="P110" s="1"/>
  <c r="R41" i="16"/>
  <c r="Q43"/>
  <c r="Q106" s="1"/>
  <c r="R96" i="7"/>
  <c r="P52" i="13"/>
  <c r="P111" s="1"/>
  <c r="Q50"/>
  <c r="S88"/>
  <c r="P39" i="10"/>
  <c r="P108" s="1"/>
  <c r="Q37"/>
  <c r="P39" i="1"/>
  <c r="P108" s="1"/>
  <c r="Q37"/>
  <c r="Q53" i="20"/>
  <c r="P55"/>
  <c r="P92" s="1"/>
  <c r="Q43" i="18"/>
  <c r="P45"/>
  <c r="P113" s="1"/>
  <c r="S84" i="14"/>
  <c r="R86"/>
  <c r="S87" i="9"/>
  <c r="S87" i="1"/>
  <c r="Q57" i="18"/>
  <c r="P59"/>
  <c r="P115" s="1"/>
  <c r="P39" i="12"/>
  <c r="P108" s="1"/>
  <c r="Q37"/>
  <c r="T29" i="7"/>
  <c r="N36"/>
  <c r="N115" s="1"/>
  <c r="U22" i="19"/>
  <c r="O29"/>
  <c r="O111" s="1"/>
  <c r="O124" s="1"/>
  <c r="U22" i="10"/>
  <c r="O29"/>
  <c r="O106" s="1"/>
  <c r="O29" i="1"/>
  <c r="O106" s="1"/>
  <c r="F61" i="21"/>
  <c r="F10" i="23" s="1"/>
  <c r="O108" i="17" l="1"/>
  <c r="S15"/>
  <c r="S108" s="1"/>
  <c r="S15" i="19"/>
  <c r="S108" s="1"/>
  <c r="O108"/>
  <c r="T36" i="7"/>
  <c r="T115" s="1"/>
  <c r="U29" i="17"/>
  <c r="U111" s="1"/>
  <c r="U124" s="1"/>
  <c r="O109" i="1"/>
  <c r="S50"/>
  <c r="S109" s="1"/>
  <c r="M11" i="21" s="1"/>
  <c r="O108" i="11"/>
  <c r="S53"/>
  <c r="S108" s="1"/>
  <c r="C35" i="21" s="1"/>
  <c r="N27" i="24"/>
  <c r="M28"/>
  <c r="M51" s="1"/>
  <c r="M234" s="1"/>
  <c r="N28"/>
  <c r="O28" s="1"/>
  <c r="O108" i="18"/>
  <c r="S15"/>
  <c r="S108" s="1"/>
  <c r="U28" i="24"/>
  <c r="S67" i="18"/>
  <c r="M37" i="21"/>
  <c r="M34"/>
  <c r="S86" i="18"/>
  <c r="Q16" i="1"/>
  <c r="O167" i="15"/>
  <c r="M103" i="16"/>
  <c r="T32"/>
  <c r="T103" s="1"/>
  <c r="M116"/>
  <c r="T116"/>
  <c r="O110" i="18"/>
  <c r="S28"/>
  <c r="S110" s="1"/>
  <c r="S123" s="1"/>
  <c r="N116" i="14"/>
  <c r="L90" i="13"/>
  <c r="L115" s="1"/>
  <c r="O104"/>
  <c r="S16"/>
  <c r="S104" s="1"/>
  <c r="M32" i="21" s="1"/>
  <c r="U30" i="13"/>
  <c r="U107" s="1"/>
  <c r="U120" s="1"/>
  <c r="S94" i="14"/>
  <c r="S69"/>
  <c r="L86"/>
  <c r="L111" s="1"/>
  <c r="R90" i="13"/>
  <c r="R115" s="1"/>
  <c r="L119"/>
  <c r="T45"/>
  <c r="T52" s="1"/>
  <c r="T111" s="1"/>
  <c r="O52"/>
  <c r="O111" s="1"/>
  <c r="O36" i="14"/>
  <c r="O105" s="1"/>
  <c r="O116" s="1"/>
  <c r="T31"/>
  <c r="T36" s="1"/>
  <c r="T105" s="1"/>
  <c r="T116" s="1"/>
  <c r="U119" i="12"/>
  <c r="M16" i="1"/>
  <c r="M104" s="1"/>
  <c r="M119" s="1"/>
  <c r="M20" i="24"/>
  <c r="M232" s="1"/>
  <c r="N15"/>
  <c r="R105" i="1"/>
  <c r="R118" s="1"/>
  <c r="S28"/>
  <c r="S105" s="1"/>
  <c r="O116" i="13"/>
  <c r="O119" s="1"/>
  <c r="S99"/>
  <c r="S116" s="1"/>
  <c r="R109" i="12"/>
  <c r="R118" s="1"/>
  <c r="S50"/>
  <c r="S109" s="1"/>
  <c r="O111" i="1"/>
  <c r="S64"/>
  <c r="S111" s="1"/>
  <c r="M12" i="21" s="1"/>
  <c r="S111" i="24"/>
  <c r="S146" s="1"/>
  <c r="S239" s="1"/>
  <c r="M24" i="21" s="1"/>
  <c r="L146" i="24"/>
  <c r="L239" s="1"/>
  <c r="L130" i="15"/>
  <c r="S112"/>
  <c r="O104" i="11"/>
  <c r="O117" s="1"/>
  <c r="S29"/>
  <c r="S104" s="1"/>
  <c r="R114" i="19"/>
  <c r="S58"/>
  <c r="S114" s="1"/>
  <c r="R233" i="24"/>
  <c r="R246" s="1"/>
  <c r="S50"/>
  <c r="S233" s="1"/>
  <c r="M21" i="21" s="1"/>
  <c r="O115" i="1"/>
  <c r="S98"/>
  <c r="S115" s="1"/>
  <c r="M14" i="21" s="1"/>
  <c r="O98" i="13"/>
  <c r="N100"/>
  <c r="N117" s="1"/>
  <c r="N120" s="1"/>
  <c r="L93" i="15"/>
  <c r="K101"/>
  <c r="K160" s="1"/>
  <c r="K167" s="1"/>
  <c r="L78"/>
  <c r="S70"/>
  <c r="M16" i="10"/>
  <c r="M104" s="1"/>
  <c r="M119" s="1"/>
  <c r="N11"/>
  <c r="M25" i="15"/>
  <c r="M153" s="1"/>
  <c r="N20"/>
  <c r="O11" i="9"/>
  <c r="O16" s="1"/>
  <c r="O104" s="1"/>
  <c r="N16"/>
  <c r="N104" s="1"/>
  <c r="S59" i="15"/>
  <c r="L61"/>
  <c r="L156" s="1"/>
  <c r="S15" i="13"/>
  <c r="S86" i="19"/>
  <c r="R123"/>
  <c r="M18" i="7"/>
  <c r="L23"/>
  <c r="L113" s="1"/>
  <c r="N27" i="9"/>
  <c r="O27" s="1"/>
  <c r="O29" s="1"/>
  <c r="O106" s="1"/>
  <c r="M29"/>
  <c r="M106" s="1"/>
  <c r="M119" s="1"/>
  <c r="O120" i="19"/>
  <c r="O123" s="1"/>
  <c r="S103"/>
  <c r="S120" s="1"/>
  <c r="O120" i="17"/>
  <c r="S103"/>
  <c r="S120" s="1"/>
  <c r="O243" i="24"/>
  <c r="S225"/>
  <c r="S243" s="1"/>
  <c r="M26" i="21" s="1"/>
  <c r="O231" i="24"/>
  <c r="O246" s="1"/>
  <c r="S19"/>
  <c r="S231" s="1"/>
  <c r="M20" i="21" s="1"/>
  <c r="O115" i="9"/>
  <c r="O118" s="1"/>
  <c r="S98"/>
  <c r="S115" s="1"/>
  <c r="R116" i="17"/>
  <c r="R123" s="1"/>
  <c r="S72"/>
  <c r="S116" s="1"/>
  <c r="R112" i="13"/>
  <c r="R119" s="1"/>
  <c r="S65"/>
  <c r="S112" s="1"/>
  <c r="O110" i="17"/>
  <c r="O123" s="1"/>
  <c r="S28"/>
  <c r="S110" s="1"/>
  <c r="M33" i="21" s="1"/>
  <c r="R108" i="14"/>
  <c r="R115" s="1"/>
  <c r="S61"/>
  <c r="S108" s="1"/>
  <c r="S115" s="1"/>
  <c r="O111" i="12"/>
  <c r="S64"/>
  <c r="S111" s="1"/>
  <c r="O115"/>
  <c r="S98"/>
  <c r="S115" s="1"/>
  <c r="R115" i="10"/>
  <c r="S98"/>
  <c r="S115" s="1"/>
  <c r="H14" i="21" s="1"/>
  <c r="M16" i="11"/>
  <c r="M103" s="1"/>
  <c r="M118" s="1"/>
  <c r="N11"/>
  <c r="L71" i="24"/>
  <c r="L235" s="1"/>
  <c r="L246" s="1"/>
  <c r="S69"/>
  <c r="R109" i="10"/>
  <c r="R118" s="1"/>
  <c r="S50"/>
  <c r="S109" s="1"/>
  <c r="S96" i="11"/>
  <c r="L115" i="14"/>
  <c r="N98" i="7"/>
  <c r="N123" s="1"/>
  <c r="P127"/>
  <c r="Q98"/>
  <c r="L128"/>
  <c r="R103"/>
  <c r="N107"/>
  <c r="N45"/>
  <c r="N116" s="1"/>
  <c r="R43"/>
  <c r="R45" s="1"/>
  <c r="R116" s="1"/>
  <c r="C22" i="21" s="1"/>
  <c r="R63" i="7"/>
  <c r="M108"/>
  <c r="M125" s="1"/>
  <c r="N104"/>
  <c r="N108" s="1"/>
  <c r="N125" s="1"/>
  <c r="R53"/>
  <c r="N57"/>
  <c r="N64"/>
  <c r="N72" s="1"/>
  <c r="N121" s="1"/>
  <c r="M72"/>
  <c r="M121" s="1"/>
  <c r="N122"/>
  <c r="R97"/>
  <c r="R122" s="1"/>
  <c r="C25" i="21" s="1"/>
  <c r="M127" i="7"/>
  <c r="K120"/>
  <c r="R71"/>
  <c r="R120" s="1"/>
  <c r="C24" i="21" s="1"/>
  <c r="K114" i="7"/>
  <c r="K127" s="1"/>
  <c r="R35"/>
  <c r="R114" s="1"/>
  <c r="R89" i="10"/>
  <c r="S128" i="7"/>
  <c r="E22" i="21"/>
  <c r="E27" s="1"/>
  <c r="U29" i="9"/>
  <c r="U106" s="1"/>
  <c r="F9" i="21" s="1"/>
  <c r="J10"/>
  <c r="J15" s="1"/>
  <c r="T119" i="10"/>
  <c r="U29" i="1"/>
  <c r="U106" s="1"/>
  <c r="P9" i="21" s="1"/>
  <c r="P15" s="1"/>
  <c r="U29" i="10"/>
  <c r="U106" s="1"/>
  <c r="J118" i="11"/>
  <c r="M25" i="21"/>
  <c r="L43" i="19"/>
  <c r="L45" s="1"/>
  <c r="L113" s="1"/>
  <c r="K45"/>
  <c r="K113" s="1"/>
  <c r="K39" i="10"/>
  <c r="K108" s="1"/>
  <c r="L37"/>
  <c r="L39" s="1"/>
  <c r="L108" s="1"/>
  <c r="L100" i="15"/>
  <c r="L102" s="1"/>
  <c r="L161" s="1"/>
  <c r="K102"/>
  <c r="K161" s="1"/>
  <c r="L95" i="9"/>
  <c r="L99" s="1"/>
  <c r="L116" s="1"/>
  <c r="K99"/>
  <c r="K116" s="1"/>
  <c r="L46" i="14"/>
  <c r="L48" s="1"/>
  <c r="L107" s="1"/>
  <c r="K48"/>
  <c r="K107" s="1"/>
  <c r="L37" i="1"/>
  <c r="L39" s="1"/>
  <c r="L108" s="1"/>
  <c r="K39"/>
  <c r="K108" s="1"/>
  <c r="L89" i="10"/>
  <c r="L114" s="1"/>
  <c r="L72"/>
  <c r="S72" s="1"/>
  <c r="L57" i="12"/>
  <c r="L65" s="1"/>
  <c r="L112" s="1"/>
  <c r="K65"/>
  <c r="K112" s="1"/>
  <c r="K73" i="17"/>
  <c r="K117" s="1"/>
  <c r="L65"/>
  <c r="L73" s="1"/>
  <c r="L117" s="1"/>
  <c r="M51" i="16"/>
  <c r="M53" s="1"/>
  <c r="M108" s="1"/>
  <c r="L53"/>
  <c r="L108" s="1"/>
  <c r="K94" i="19"/>
  <c r="K119" s="1"/>
  <c r="L82"/>
  <c r="L94" s="1"/>
  <c r="L119" s="1"/>
  <c r="L57" i="1"/>
  <c r="L65" s="1"/>
  <c r="L112" s="1"/>
  <c r="K65"/>
  <c r="K112" s="1"/>
  <c r="L63" i="16"/>
  <c r="L110" s="1"/>
  <c r="M59"/>
  <c r="M63" s="1"/>
  <c r="L94" i="11"/>
  <c r="L98" s="1"/>
  <c r="L115" s="1"/>
  <c r="K98"/>
  <c r="K115" s="1"/>
  <c r="L57" i="19"/>
  <c r="L59" s="1"/>
  <c r="L115" s="1"/>
  <c r="K59"/>
  <c r="K115" s="1"/>
  <c r="L75" i="15"/>
  <c r="L79" s="1"/>
  <c r="L159" s="1"/>
  <c r="K79"/>
  <c r="K159" s="1"/>
  <c r="K51" i="10"/>
  <c r="K110" s="1"/>
  <c r="L49"/>
  <c r="L51" s="1"/>
  <c r="L110" s="1"/>
  <c r="L49" i="9"/>
  <c r="L51" s="1"/>
  <c r="L110" s="1"/>
  <c r="K51"/>
  <c r="K110" s="1"/>
  <c r="K39" i="12"/>
  <c r="K108" s="1"/>
  <c r="L37"/>
  <c r="L39" s="1"/>
  <c r="L108" s="1"/>
  <c r="L43" i="18"/>
  <c r="L45" s="1"/>
  <c r="L113" s="1"/>
  <c r="K45"/>
  <c r="K113" s="1"/>
  <c r="L49" i="1"/>
  <c r="L51" s="1"/>
  <c r="L110" s="1"/>
  <c r="K51"/>
  <c r="K110" s="1"/>
  <c r="L38" i="24"/>
  <c r="L51" s="1"/>
  <c r="L234" s="1"/>
  <c r="K51"/>
  <c r="K234" s="1"/>
  <c r="K68" i="20"/>
  <c r="K96" s="1"/>
  <c r="L66"/>
  <c r="L68" s="1"/>
  <c r="L96" s="1"/>
  <c r="L95" i="10"/>
  <c r="L99" s="1"/>
  <c r="L116" s="1"/>
  <c r="K99"/>
  <c r="K116" s="1"/>
  <c r="K66" i="13"/>
  <c r="K113" s="1"/>
  <c r="L58"/>
  <c r="L66" s="1"/>
  <c r="L113" s="1"/>
  <c r="L54" i="15"/>
  <c r="L62" s="1"/>
  <c r="L157" s="1"/>
  <c r="K62"/>
  <c r="K157" s="1"/>
  <c r="K16" i="9"/>
  <c r="K104" s="1"/>
  <c r="L11"/>
  <c r="L16" s="1"/>
  <c r="L104" s="1"/>
  <c r="L13" i="16"/>
  <c r="L102" s="1"/>
  <c r="M11"/>
  <c r="M13" s="1"/>
  <c r="M102" s="1"/>
  <c r="K16" i="12"/>
  <c r="K104" s="1"/>
  <c r="L11"/>
  <c r="L16" s="1"/>
  <c r="L104" s="1"/>
  <c r="L85" i="24"/>
  <c r="L106" s="1"/>
  <c r="L238" s="1"/>
  <c r="K106"/>
  <c r="K238" s="1"/>
  <c r="K199"/>
  <c r="K242" s="1"/>
  <c r="L158"/>
  <c r="L199" s="1"/>
  <c r="L242" s="1"/>
  <c r="K13" i="14"/>
  <c r="K101" s="1"/>
  <c r="L11"/>
  <c r="L13" s="1"/>
  <c r="L101" s="1"/>
  <c r="L57" i="10"/>
  <c r="L65" s="1"/>
  <c r="L112" s="1"/>
  <c r="K65"/>
  <c r="K112" s="1"/>
  <c r="K16" i="11"/>
  <c r="K103" s="1"/>
  <c r="L11"/>
  <c r="L16" s="1"/>
  <c r="L103" s="1"/>
  <c r="L57" i="9"/>
  <c r="L65" s="1"/>
  <c r="L112" s="1"/>
  <c r="K65"/>
  <c r="K112" s="1"/>
  <c r="K64" i="7"/>
  <c r="K72" s="1"/>
  <c r="K121" s="1"/>
  <c r="J72"/>
  <c r="J121" s="1"/>
  <c r="K99" i="1"/>
  <c r="K116" s="1"/>
  <c r="L95"/>
  <c r="L99" s="1"/>
  <c r="L116" s="1"/>
  <c r="J108" i="7"/>
  <c r="J125" s="1"/>
  <c r="K104"/>
  <c r="K108" s="1"/>
  <c r="K125" s="1"/>
  <c r="R89" i="1"/>
  <c r="R89" i="9"/>
  <c r="R114" s="1"/>
  <c r="P103" i="20"/>
  <c r="S11" i="9"/>
  <c r="J119" i="12"/>
  <c r="J119" i="10"/>
  <c r="I128" i="7"/>
  <c r="J120" i="13"/>
  <c r="J119" i="1"/>
  <c r="K59" i="18"/>
  <c r="K115" s="1"/>
  <c r="J124"/>
  <c r="J124" i="17"/>
  <c r="T56" i="24"/>
  <c r="T72" s="1"/>
  <c r="T236" s="1"/>
  <c r="L72"/>
  <c r="L236" s="1"/>
  <c r="K52" i="13"/>
  <c r="K111" s="1"/>
  <c r="L50"/>
  <c r="L52" s="1"/>
  <c r="L111" s="1"/>
  <c r="O55" i="17"/>
  <c r="N59"/>
  <c r="N115" s="1"/>
  <c r="K59"/>
  <c r="K115" s="1"/>
  <c r="L57"/>
  <c r="L59" s="1"/>
  <c r="L115" s="1"/>
  <c r="L52" i="11"/>
  <c r="L54" s="1"/>
  <c r="L109" s="1"/>
  <c r="K54"/>
  <c r="K109" s="1"/>
  <c r="L37" i="9"/>
  <c r="L39" s="1"/>
  <c r="L108" s="1"/>
  <c r="K39"/>
  <c r="K108" s="1"/>
  <c r="K62" i="14"/>
  <c r="K109" s="1"/>
  <c r="L54"/>
  <c r="L62" s="1"/>
  <c r="L109" s="1"/>
  <c r="L49" i="12"/>
  <c r="L51" s="1"/>
  <c r="L110" s="1"/>
  <c r="K51"/>
  <c r="K110" s="1"/>
  <c r="J58" i="7"/>
  <c r="J119" s="1"/>
  <c r="K56"/>
  <c r="K58" s="1"/>
  <c r="K119" s="1"/>
  <c r="L53" i="20"/>
  <c r="L55" s="1"/>
  <c r="L92" s="1"/>
  <c r="L103" s="1"/>
  <c r="K55"/>
  <c r="K92" s="1"/>
  <c r="L34" i="14"/>
  <c r="L36" s="1"/>
  <c r="K36"/>
  <c r="K105" s="1"/>
  <c r="O55" i="18"/>
  <c r="N59"/>
  <c r="N115" s="1"/>
  <c r="N124" s="1"/>
  <c r="L37" i="15"/>
  <c r="L44" s="1"/>
  <c r="L155" s="1"/>
  <c r="K44"/>
  <c r="K155" s="1"/>
  <c r="L60" i="11"/>
  <c r="L68" s="1"/>
  <c r="L111" s="1"/>
  <c r="K68"/>
  <c r="K111" s="1"/>
  <c r="L11" i="10"/>
  <c r="L16" s="1"/>
  <c r="L104" s="1"/>
  <c r="K16"/>
  <c r="K104" s="1"/>
  <c r="K16" i="17"/>
  <c r="K109" s="1"/>
  <c r="L11"/>
  <c r="L16" s="1"/>
  <c r="L109" s="1"/>
  <c r="L97" i="16"/>
  <c r="L114" s="1"/>
  <c r="M93"/>
  <c r="M97" s="1"/>
  <c r="M114" s="1"/>
  <c r="L11" i="19"/>
  <c r="L16" s="1"/>
  <c r="L109" s="1"/>
  <c r="K16"/>
  <c r="K109" s="1"/>
  <c r="L65" i="18"/>
  <c r="L73" s="1"/>
  <c r="L117" s="1"/>
  <c r="K73"/>
  <c r="K117" s="1"/>
  <c r="L11" i="1"/>
  <c r="L16" s="1"/>
  <c r="L104" s="1"/>
  <c r="K16"/>
  <c r="K104" s="1"/>
  <c r="K18" i="7"/>
  <c r="K23" s="1"/>
  <c r="K113" s="1"/>
  <c r="J23"/>
  <c r="J113" s="1"/>
  <c r="L15" i="24"/>
  <c r="L20" s="1"/>
  <c r="L232" s="1"/>
  <c r="K20"/>
  <c r="K232" s="1"/>
  <c r="K147"/>
  <c r="K240" s="1"/>
  <c r="L112"/>
  <c r="L147" s="1"/>
  <c r="L240" s="1"/>
  <c r="K100" i="13"/>
  <c r="K117" s="1"/>
  <c r="L96"/>
  <c r="L100" s="1"/>
  <c r="L117" s="1"/>
  <c r="K44" i="7"/>
  <c r="K46" s="1"/>
  <c r="K117" s="1"/>
  <c r="J46"/>
  <c r="J117" s="1"/>
  <c r="L43" i="16"/>
  <c r="L106" s="1"/>
  <c r="M41"/>
  <c r="M43" s="1"/>
  <c r="M106" s="1"/>
  <c r="L43" i="17"/>
  <c r="L45" s="1"/>
  <c r="L113" s="1"/>
  <c r="K45"/>
  <c r="K113" s="1"/>
  <c r="L12" i="13"/>
  <c r="L17" s="1"/>
  <c r="L105" s="1"/>
  <c r="K17"/>
  <c r="K105" s="1"/>
  <c r="K96" i="14"/>
  <c r="K113" s="1"/>
  <c r="L92"/>
  <c r="L96" s="1"/>
  <c r="L113" s="1"/>
  <c r="K88" i="11"/>
  <c r="K113" s="1"/>
  <c r="L75"/>
  <c r="L88" s="1"/>
  <c r="L113" s="1"/>
  <c r="L38" i="13"/>
  <c r="L40" s="1"/>
  <c r="L109" s="1"/>
  <c r="K40"/>
  <c r="K109" s="1"/>
  <c r="K42" i="11"/>
  <c r="K107" s="1"/>
  <c r="L40"/>
  <c r="L42" s="1"/>
  <c r="L107" s="1"/>
  <c r="K104" i="19"/>
  <c r="K121" s="1"/>
  <c r="L100"/>
  <c r="L104" s="1"/>
  <c r="L121" s="1"/>
  <c r="M87" i="16"/>
  <c r="M112" s="1"/>
  <c r="M70"/>
  <c r="T70" s="1"/>
  <c r="L11" i="18"/>
  <c r="L16" s="1"/>
  <c r="L109" s="1"/>
  <c r="K16"/>
  <c r="K109" s="1"/>
  <c r="K104"/>
  <c r="K121" s="1"/>
  <c r="L100"/>
  <c r="L104" s="1"/>
  <c r="L121" s="1"/>
  <c r="L82" i="17"/>
  <c r="L94" s="1"/>
  <c r="L119" s="1"/>
  <c r="K94"/>
  <c r="K119" s="1"/>
  <c r="K73" i="19"/>
  <c r="K117" s="1"/>
  <c r="L65"/>
  <c r="L73" s="1"/>
  <c r="L117" s="1"/>
  <c r="L100" i="17"/>
  <c r="L104" s="1"/>
  <c r="L121" s="1"/>
  <c r="K104"/>
  <c r="K121" s="1"/>
  <c r="K25" i="15"/>
  <c r="K153" s="1"/>
  <c r="L20"/>
  <c r="L25" s="1"/>
  <c r="L153" s="1"/>
  <c r="L113"/>
  <c r="L131" s="1"/>
  <c r="L163" s="1"/>
  <c r="K131"/>
  <c r="K163" s="1"/>
  <c r="L82" i="18"/>
  <c r="L94" s="1"/>
  <c r="L119" s="1"/>
  <c r="K94"/>
  <c r="K119" s="1"/>
  <c r="L72" i="12"/>
  <c r="S72" s="1"/>
  <c r="L89"/>
  <c r="L114" s="1"/>
  <c r="K99"/>
  <c r="K116" s="1"/>
  <c r="L95"/>
  <c r="L99" s="1"/>
  <c r="L116" s="1"/>
  <c r="S11"/>
  <c r="N124" i="17"/>
  <c r="J124" i="19"/>
  <c r="K117" i="16"/>
  <c r="L89" i="9"/>
  <c r="L114" s="1"/>
  <c r="K98" i="7"/>
  <c r="K123" s="1"/>
  <c r="J103" i="20"/>
  <c r="J116" i="14"/>
  <c r="J119" i="9"/>
  <c r="U119" i="10"/>
  <c r="K9" i="21"/>
  <c r="K15" s="1"/>
  <c r="F21"/>
  <c r="F27" s="1"/>
  <c r="T128" i="7"/>
  <c r="U119" i="9"/>
  <c r="F33" i="21"/>
  <c r="F39" s="1"/>
  <c r="U118" i="11"/>
  <c r="R57" i="18"/>
  <c r="Q59"/>
  <c r="Q115" s="1"/>
  <c r="R43"/>
  <c r="Q45"/>
  <c r="Q113" s="1"/>
  <c r="Q55" i="20"/>
  <c r="Q92" s="1"/>
  <c r="R53"/>
  <c r="R43" i="16"/>
  <c r="R106" s="1"/>
  <c r="S41"/>
  <c r="Q51" i="10"/>
  <c r="Q110" s="1"/>
  <c r="R49"/>
  <c r="Q62" i="14"/>
  <c r="Q109" s="1"/>
  <c r="R54"/>
  <c r="P109" i="19"/>
  <c r="P124" s="1"/>
  <c r="Q16"/>
  <c r="Q65" i="10"/>
  <c r="Q112" s="1"/>
  <c r="R57"/>
  <c r="Q54" i="11"/>
  <c r="Q109" s="1"/>
  <c r="R52"/>
  <c r="R49" i="9"/>
  <c r="Q51"/>
  <c r="Q110" s="1"/>
  <c r="Q51" i="24"/>
  <c r="Q234" s="1"/>
  <c r="R38"/>
  <c r="Q99" i="9"/>
  <c r="Q116" s="1"/>
  <c r="R95"/>
  <c r="Q66" i="13"/>
  <c r="Q113" s="1"/>
  <c r="R58"/>
  <c r="R29" i="1"/>
  <c r="R106" s="1"/>
  <c r="S27"/>
  <c r="S29" s="1"/>
  <c r="S106" s="1"/>
  <c r="N9" i="21" s="1"/>
  <c r="R113" i="15"/>
  <c r="Q131"/>
  <c r="Q163" s="1"/>
  <c r="R29" i="19"/>
  <c r="R111" s="1"/>
  <c r="S27"/>
  <c r="S29" s="1"/>
  <c r="S111" s="1"/>
  <c r="R29" i="17"/>
  <c r="R111" s="1"/>
  <c r="S27"/>
  <c r="S29" s="1"/>
  <c r="S111" s="1"/>
  <c r="Q36" i="7"/>
  <c r="Q115" s="1"/>
  <c r="R34"/>
  <c r="R36" s="1"/>
  <c r="R115" s="1"/>
  <c r="D21" i="21" s="1"/>
  <c r="P114" i="16"/>
  <c r="M110"/>
  <c r="T34" i="17"/>
  <c r="T45" s="1"/>
  <c r="T113" s="1"/>
  <c r="T124" s="1"/>
  <c r="O45"/>
  <c r="O113" s="1"/>
  <c r="O45" i="18"/>
  <c r="O113" s="1"/>
  <c r="T34"/>
  <c r="T45" s="1"/>
  <c r="T113" s="1"/>
  <c r="T124" s="1"/>
  <c r="T46" i="20"/>
  <c r="T48" s="1"/>
  <c r="T92" s="1"/>
  <c r="O48"/>
  <c r="O22" i="22"/>
  <c r="O52" s="1"/>
  <c r="O63" s="1"/>
  <c r="U20"/>
  <c r="U22" s="1"/>
  <c r="U52" s="1"/>
  <c r="T44" i="12"/>
  <c r="T51" s="1"/>
  <c r="T110" s="1"/>
  <c r="O51"/>
  <c r="O110" s="1"/>
  <c r="O119" s="1"/>
  <c r="O91" i="20"/>
  <c r="O102" s="1"/>
  <c r="T35" i="13"/>
  <c r="T40" s="1"/>
  <c r="T109" s="1"/>
  <c r="O40"/>
  <c r="T44" i="1"/>
  <c r="T51" s="1"/>
  <c r="T110" s="1"/>
  <c r="O11" i="21" s="1"/>
  <c r="O51" i="1"/>
  <c r="O110" s="1"/>
  <c r="O39"/>
  <c r="T34"/>
  <c r="T39" s="1"/>
  <c r="T108" s="1"/>
  <c r="P33" i="16"/>
  <c r="P104" s="1"/>
  <c r="V24"/>
  <c r="V33" s="1"/>
  <c r="V104" s="1"/>
  <c r="V117" s="1"/>
  <c r="O51" i="9"/>
  <c r="O110" s="1"/>
  <c r="T44"/>
  <c r="T51" s="1"/>
  <c r="T110" s="1"/>
  <c r="E11" i="21" s="1"/>
  <c r="U33" i="24"/>
  <c r="O39" i="9"/>
  <c r="T34"/>
  <c r="T39" s="1"/>
  <c r="T108" s="1"/>
  <c r="R46" i="14"/>
  <c r="Q48"/>
  <c r="Q107" s="1"/>
  <c r="R57" i="19"/>
  <c r="Q59"/>
  <c r="Q115" s="1"/>
  <c r="R49" i="1"/>
  <c r="Q51"/>
  <c r="Q110" s="1"/>
  <c r="Q56" i="7"/>
  <c r="P58"/>
  <c r="P119" s="1"/>
  <c r="Q59" i="17"/>
  <c r="Q115" s="1"/>
  <c r="R57"/>
  <c r="R75" i="15"/>
  <c r="Q79"/>
  <c r="Q159" s="1"/>
  <c r="Q42" i="11"/>
  <c r="Q107" s="1"/>
  <c r="R40"/>
  <c r="Q88"/>
  <c r="Q113" s="1"/>
  <c r="R75"/>
  <c r="R29" i="9"/>
  <c r="R106" s="1"/>
  <c r="R30" i="11"/>
  <c r="R105" s="1"/>
  <c r="S28"/>
  <c r="S30" s="1"/>
  <c r="S105" s="1"/>
  <c r="D33" i="21" s="1"/>
  <c r="R29" i="10"/>
  <c r="R106" s="1"/>
  <c r="S27"/>
  <c r="S29" s="1"/>
  <c r="S106" s="1"/>
  <c r="I9" i="21" s="1"/>
  <c r="Q102" i="15"/>
  <c r="Q161" s="1"/>
  <c r="R100"/>
  <c r="Q13" i="14"/>
  <c r="Q101" s="1"/>
  <c r="R11"/>
  <c r="R26"/>
  <c r="R103" s="1"/>
  <c r="S24"/>
  <c r="S26" s="1"/>
  <c r="S103" s="1"/>
  <c r="Q68" i="11"/>
  <c r="Q111" s="1"/>
  <c r="R60"/>
  <c r="R57" i="9"/>
  <c r="Q65"/>
  <c r="Q112" s="1"/>
  <c r="R30" i="13"/>
  <c r="R107" s="1"/>
  <c r="S28"/>
  <c r="S30" s="1"/>
  <c r="S107" s="1"/>
  <c r="Q147" i="24"/>
  <c r="Q240" s="1"/>
  <c r="R112"/>
  <c r="Q100" i="13"/>
  <c r="Q117" s="1"/>
  <c r="R96"/>
  <c r="Q99" i="12"/>
  <c r="Q116" s="1"/>
  <c r="R95"/>
  <c r="R97" i="16"/>
  <c r="R114" s="1"/>
  <c r="S93"/>
  <c r="R29" i="12"/>
  <c r="R106" s="1"/>
  <c r="S27"/>
  <c r="S29" s="1"/>
  <c r="S106" s="1"/>
  <c r="R57" i="1"/>
  <c r="Q65"/>
  <c r="Q112" s="1"/>
  <c r="R29" i="18"/>
  <c r="R111" s="1"/>
  <c r="S27"/>
  <c r="S29" s="1"/>
  <c r="S111" s="1"/>
  <c r="U57" i="24"/>
  <c r="U72" s="1"/>
  <c r="U236" s="1"/>
  <c r="P22" i="21" s="1"/>
  <c r="R72" i="24"/>
  <c r="R236" s="1"/>
  <c r="U30" i="15"/>
  <c r="U44" s="1"/>
  <c r="U155" s="1"/>
  <c r="O44"/>
  <c r="O155" s="1"/>
  <c r="Q117" i="16"/>
  <c r="R89" i="12"/>
  <c r="R37"/>
  <c r="Q39"/>
  <c r="Q108" s="1"/>
  <c r="R114" i="1"/>
  <c r="S89"/>
  <c r="S114" s="1"/>
  <c r="N13" i="21" s="1"/>
  <c r="Q13" s="1"/>
  <c r="R111" i="14"/>
  <c r="S86"/>
  <c r="S111" s="1"/>
  <c r="Q39" i="1"/>
  <c r="Q108" s="1"/>
  <c r="R37"/>
  <c r="Q39" i="10"/>
  <c r="Q108" s="1"/>
  <c r="R37"/>
  <c r="S90" i="13"/>
  <c r="S115" s="1"/>
  <c r="Q52"/>
  <c r="Q111" s="1"/>
  <c r="R50"/>
  <c r="Q123" i="7"/>
  <c r="R54" i="15"/>
  <c r="Q62"/>
  <c r="Q157" s="1"/>
  <c r="S51" i="16"/>
  <c r="R53"/>
  <c r="R108" s="1"/>
  <c r="Q94" i="19"/>
  <c r="Q119" s="1"/>
  <c r="R82"/>
  <c r="R100" i="17"/>
  <c r="Q104"/>
  <c r="Q121" s="1"/>
  <c r="R57" i="12"/>
  <c r="Q65"/>
  <c r="Q112" s="1"/>
  <c r="Q16" i="10"/>
  <c r="P104"/>
  <c r="P119" s="1"/>
  <c r="P23" i="7"/>
  <c r="O113"/>
  <c r="O128" s="1"/>
  <c r="Q45" i="17"/>
  <c r="Q113" s="1"/>
  <c r="R43"/>
  <c r="R66" i="20"/>
  <c r="Q68"/>
  <c r="Q96" s="1"/>
  <c r="P105" i="13"/>
  <c r="P120" s="1"/>
  <c r="Q17"/>
  <c r="Q104" i="19"/>
  <c r="Q121" s="1"/>
  <c r="R100"/>
  <c r="Q94" i="17"/>
  <c r="Q119" s="1"/>
  <c r="R82"/>
  <c r="R65" i="19"/>
  <c r="Q73"/>
  <c r="Q117" s="1"/>
  <c r="P103" i="11"/>
  <c r="P118" s="1"/>
  <c r="Q16"/>
  <c r="S59" i="16"/>
  <c r="R63"/>
  <c r="R110" s="1"/>
  <c r="P104" i="12"/>
  <c r="P119" s="1"/>
  <c r="Q16"/>
  <c r="Q64" i="7"/>
  <c r="P72"/>
  <c r="P121" s="1"/>
  <c r="R94" i="11"/>
  <c r="Q98"/>
  <c r="Q115" s="1"/>
  <c r="Q20" i="24"/>
  <c r="Q232" s="1"/>
  <c r="R15"/>
  <c r="Q94" i="18"/>
  <c r="Q119" s="1"/>
  <c r="R82"/>
  <c r="P108" i="7"/>
  <c r="P125" s="1"/>
  <c r="Q104"/>
  <c r="R13" i="16"/>
  <c r="R102" s="1"/>
  <c r="S11"/>
  <c r="R95" i="1"/>
  <c r="Q99"/>
  <c r="Q116" s="1"/>
  <c r="E34" i="21"/>
  <c r="E39" s="1"/>
  <c r="T118" i="11"/>
  <c r="R49" i="20"/>
  <c r="Q54"/>
  <c r="Q91" s="1"/>
  <c r="Q102" s="1"/>
  <c r="S112" i="16"/>
  <c r="T87"/>
  <c r="T112" s="1"/>
  <c r="O37" i="21" s="1"/>
  <c r="E61" s="1"/>
  <c r="E10" i="23" s="1"/>
  <c r="R114" i="10"/>
  <c r="S89"/>
  <c r="S114" s="1"/>
  <c r="I13" i="21" s="1"/>
  <c r="L13" s="1"/>
  <c r="R49" i="12"/>
  <c r="Q51"/>
  <c r="Q110" s="1"/>
  <c r="R38" i="13"/>
  <c r="Q40"/>
  <c r="Q109" s="1"/>
  <c r="R43" i="19"/>
  <c r="Q45"/>
  <c r="Q113" s="1"/>
  <c r="P46" i="7"/>
  <c r="P117" s="1"/>
  <c r="Q44"/>
  <c r="Q36" i="14"/>
  <c r="Q105" s="1"/>
  <c r="R34"/>
  <c r="R226" i="24"/>
  <c r="S205"/>
  <c r="R65" i="17"/>
  <c r="Q73"/>
  <c r="Q117" s="1"/>
  <c r="P104" i="1"/>
  <c r="P119" s="1"/>
  <c r="R37" i="9"/>
  <c r="Q39"/>
  <c r="Q108" s="1"/>
  <c r="R95" i="10"/>
  <c r="Q99"/>
  <c r="Q116" s="1"/>
  <c r="Q96" i="14"/>
  <c r="Q113" s="1"/>
  <c r="R92"/>
  <c r="Q16" i="18"/>
  <c r="P109"/>
  <c r="P124" s="1"/>
  <c r="Q73"/>
  <c r="Q117" s="1"/>
  <c r="R65"/>
  <c r="Q104"/>
  <c r="Q121" s="1"/>
  <c r="R100"/>
  <c r="P104" i="9"/>
  <c r="P119" s="1"/>
  <c r="Q16"/>
  <c r="R20" i="15"/>
  <c r="Q25"/>
  <c r="Q153" s="1"/>
  <c r="Q16" i="17"/>
  <c r="P109"/>
  <c r="P124" s="1"/>
  <c r="R147" i="15"/>
  <c r="S137"/>
  <c r="Q106" i="24"/>
  <c r="Q238" s="1"/>
  <c r="R85"/>
  <c r="R158"/>
  <c r="Q199"/>
  <c r="Q242" s="1"/>
  <c r="G45" i="21"/>
  <c r="F51"/>
  <c r="O78" i="20"/>
  <c r="O98" s="1"/>
  <c r="O103" s="1"/>
  <c r="U74"/>
  <c r="U78" s="1"/>
  <c r="U103" s="1"/>
  <c r="U29" i="19"/>
  <c r="U111" s="1"/>
  <c r="U124" s="1"/>
  <c r="N119" i="9"/>
  <c r="P116" i="14"/>
  <c r="S89" i="9" l="1"/>
  <c r="S114" s="1"/>
  <c r="D13" i="21" s="1"/>
  <c r="O123" i="18"/>
  <c r="O27" i="24"/>
  <c r="N51"/>
  <c r="N234" s="1"/>
  <c r="M35" i="21"/>
  <c r="M38"/>
  <c r="M36"/>
  <c r="K103" i="20"/>
  <c r="N33" i="21"/>
  <c r="U119" i="1"/>
  <c r="S246" i="24"/>
  <c r="S27" i="9"/>
  <c r="S29" s="1"/>
  <c r="S106" s="1"/>
  <c r="D9" i="21" s="1"/>
  <c r="G33"/>
  <c r="S119" i="13"/>
  <c r="P33" i="21"/>
  <c r="P39" s="1"/>
  <c r="Q168" i="15"/>
  <c r="T120" i="13"/>
  <c r="T119" i="12"/>
  <c r="S118"/>
  <c r="O11" i="11"/>
  <c r="N16"/>
  <c r="N103" s="1"/>
  <c r="N118" s="1"/>
  <c r="C14" i="21"/>
  <c r="C15" s="1"/>
  <c r="S118" i="9"/>
  <c r="M27" i="21"/>
  <c r="C56"/>
  <c r="C5" i="23" s="1"/>
  <c r="N25" i="15"/>
  <c r="N153" s="1"/>
  <c r="N168" s="1"/>
  <c r="O20"/>
  <c r="O25" s="1"/>
  <c r="O153" s="1"/>
  <c r="O168" s="1"/>
  <c r="O11" i="10"/>
  <c r="N16"/>
  <c r="N104" s="1"/>
  <c r="N119" s="1"/>
  <c r="C33" i="21"/>
  <c r="C39" s="1"/>
  <c r="S117" i="11"/>
  <c r="M9" i="21"/>
  <c r="M15" s="1"/>
  <c r="S118" i="1"/>
  <c r="N20" i="24"/>
  <c r="N232" s="1"/>
  <c r="N247" s="1"/>
  <c r="O15"/>
  <c r="O20" s="1"/>
  <c r="O232" s="1"/>
  <c r="O11" i="1"/>
  <c r="O16" s="1"/>
  <c r="O104" s="1"/>
  <c r="N16"/>
  <c r="N104" s="1"/>
  <c r="N119" s="1"/>
  <c r="S123" i="17"/>
  <c r="S123" i="19"/>
  <c r="N18" i="7"/>
  <c r="N23" s="1"/>
  <c r="N113" s="1"/>
  <c r="M23"/>
  <c r="M113" s="1"/>
  <c r="M128" s="1"/>
  <c r="L158" i="15"/>
  <c r="S78"/>
  <c r="S158" s="1"/>
  <c r="S93"/>
  <c r="L101"/>
  <c r="O100" i="13"/>
  <c r="O117" s="1"/>
  <c r="S98"/>
  <c r="L162" i="15"/>
  <c r="S130"/>
  <c r="S162" s="1"/>
  <c r="H25" i="21" s="1"/>
  <c r="C61" s="1"/>
  <c r="C10" i="23" s="1"/>
  <c r="O118" i="12"/>
  <c r="O118" i="1"/>
  <c r="H11" i="21"/>
  <c r="H15" s="1"/>
  <c r="S118" i="10"/>
  <c r="N128" i="7"/>
  <c r="N118"/>
  <c r="R57"/>
  <c r="R118" s="1"/>
  <c r="C23" i="21" s="1"/>
  <c r="N124" i="7"/>
  <c r="R107"/>
  <c r="R124" s="1"/>
  <c r="C26" i="21" s="1"/>
  <c r="C21"/>
  <c r="R98" i="7"/>
  <c r="R123" s="1"/>
  <c r="D25" i="21" s="1"/>
  <c r="G25" s="1"/>
  <c r="S12" i="13"/>
  <c r="K119" i="1"/>
  <c r="M117" i="16"/>
  <c r="L9" i="21"/>
  <c r="K119" i="10"/>
  <c r="L119"/>
  <c r="G21" i="21"/>
  <c r="L119" i="1"/>
  <c r="L124" i="17"/>
  <c r="L247" i="24"/>
  <c r="L124" i="19"/>
  <c r="K124" i="17"/>
  <c r="P117" i="16"/>
  <c r="Q9" i="21"/>
  <c r="L119" i="12"/>
  <c r="K124" i="18"/>
  <c r="K120" i="13"/>
  <c r="K247" i="24"/>
  <c r="J128" i="7"/>
  <c r="K168" i="15"/>
  <c r="K118" i="11"/>
  <c r="S11" i="17"/>
  <c r="S11" i="18"/>
  <c r="L119" i="9"/>
  <c r="K116" i="14"/>
  <c r="K119" i="12"/>
  <c r="L117" i="16"/>
  <c r="O59" i="18"/>
  <c r="O115" s="1"/>
  <c r="O124" s="1"/>
  <c r="S55"/>
  <c r="L105" i="14"/>
  <c r="L116" s="1"/>
  <c r="O59" i="17"/>
  <c r="O115" s="1"/>
  <c r="O124" s="1"/>
  <c r="S55"/>
  <c r="O22" i="21"/>
  <c r="O27" s="1"/>
  <c r="T247" i="24"/>
  <c r="L124" i="18"/>
  <c r="L120" i="13"/>
  <c r="K128" i="7"/>
  <c r="L168" i="15"/>
  <c r="L118" i="11"/>
  <c r="S37" i="15"/>
  <c r="S44" s="1"/>
  <c r="S155" s="1"/>
  <c r="I21" i="21" s="1"/>
  <c r="S11" i="19"/>
  <c r="K119" i="9"/>
  <c r="K124" i="19"/>
  <c r="R106" i="24"/>
  <c r="R238" s="1"/>
  <c r="S85"/>
  <c r="S106" s="1"/>
  <c r="S238" s="1"/>
  <c r="N23" i="21" s="1"/>
  <c r="Q23" s="1"/>
  <c r="R16" i="9"/>
  <c r="Q104"/>
  <c r="Q119" s="1"/>
  <c r="R104" i="18"/>
  <c r="S100"/>
  <c r="R73"/>
  <c r="S65"/>
  <c r="R96" i="14"/>
  <c r="S92"/>
  <c r="Q104" i="1"/>
  <c r="Q119" s="1"/>
  <c r="R16"/>
  <c r="R36" i="14"/>
  <c r="R105" s="1"/>
  <c r="S34"/>
  <c r="Q46" i="7"/>
  <c r="Q117" s="1"/>
  <c r="R44"/>
  <c r="R46" s="1"/>
  <c r="R117" s="1"/>
  <c r="D22" i="21" s="1"/>
  <c r="G22" s="1"/>
  <c r="S13" i="16"/>
  <c r="T11"/>
  <c r="Q108" i="7"/>
  <c r="R104"/>
  <c r="R94" i="18"/>
  <c r="S82"/>
  <c r="R20" i="24"/>
  <c r="S15"/>
  <c r="R16" i="12"/>
  <c r="Q104"/>
  <c r="Q119" s="1"/>
  <c r="R16" i="11"/>
  <c r="Q103"/>
  <c r="Q118" s="1"/>
  <c r="R94" i="17"/>
  <c r="S82"/>
  <c r="R104" i="19"/>
  <c r="S100"/>
  <c r="Q105" i="13"/>
  <c r="Q120" s="1"/>
  <c r="R17"/>
  <c r="R45" i="17"/>
  <c r="R113" s="1"/>
  <c r="S43"/>
  <c r="S45" s="1"/>
  <c r="S113" s="1"/>
  <c r="R94" i="19"/>
  <c r="S82"/>
  <c r="R52" i="13"/>
  <c r="R111" s="1"/>
  <c r="S50"/>
  <c r="S52" s="1"/>
  <c r="S111" s="1"/>
  <c r="R39" i="10"/>
  <c r="S37"/>
  <c r="R39" i="1"/>
  <c r="R108" s="1"/>
  <c r="S37"/>
  <c r="G13" i="21"/>
  <c r="K21"/>
  <c r="K27" s="1"/>
  <c r="U168" i="15"/>
  <c r="R65" i="1"/>
  <c r="S57"/>
  <c r="R65" i="9"/>
  <c r="S57"/>
  <c r="S75" i="15"/>
  <c r="S79" s="1"/>
  <c r="S159" s="1"/>
  <c r="I23" i="21" s="1"/>
  <c r="L23" s="1"/>
  <c r="R79" i="15"/>
  <c r="R159" s="1"/>
  <c r="Q58" i="7"/>
  <c r="Q119" s="1"/>
  <c r="R56"/>
  <c r="R58" s="1"/>
  <c r="R119" s="1"/>
  <c r="D23" i="21" s="1"/>
  <c r="G23" s="1"/>
  <c r="S49" i="1"/>
  <c r="S51" s="1"/>
  <c r="S110" s="1"/>
  <c r="N11" i="21" s="1"/>
  <c r="Q11" s="1"/>
  <c r="R51" i="1"/>
  <c r="R110" s="1"/>
  <c r="R59" i="19"/>
  <c r="R115" s="1"/>
  <c r="S57"/>
  <c r="S59" s="1"/>
  <c r="S115" s="1"/>
  <c r="R48" i="14"/>
  <c r="R107" s="1"/>
  <c r="S46"/>
  <c r="S48" s="1"/>
  <c r="S107" s="1"/>
  <c r="O108" i="9"/>
  <c r="O119" s="1"/>
  <c r="O108" i="1"/>
  <c r="O119" s="1"/>
  <c r="E46" i="21"/>
  <c r="E51" s="1"/>
  <c r="T103" i="20"/>
  <c r="S113" i="15"/>
  <c r="R131"/>
  <c r="R51" i="9"/>
  <c r="R110" s="1"/>
  <c r="S49"/>
  <c r="S51" s="1"/>
  <c r="S110" s="1"/>
  <c r="D11" i="21" s="1"/>
  <c r="S43" i="18"/>
  <c r="S45" s="1"/>
  <c r="S113" s="1"/>
  <c r="R45"/>
  <c r="R113" s="1"/>
  <c r="R59"/>
  <c r="R115" s="1"/>
  <c r="S57"/>
  <c r="Q116" i="14"/>
  <c r="Q103" i="20"/>
  <c r="R199" i="24"/>
  <c r="R242" s="1"/>
  <c r="S158"/>
  <c r="S199" s="1"/>
  <c r="S242" s="1"/>
  <c r="N25" i="21" s="1"/>
  <c r="Q25" s="1"/>
  <c r="R165" i="15"/>
  <c r="S147"/>
  <c r="S165" s="1"/>
  <c r="I26" i="21" s="1"/>
  <c r="L26" s="1"/>
  <c r="Q109" i="17"/>
  <c r="Q124" s="1"/>
  <c r="R16"/>
  <c r="R25" i="15"/>
  <c r="S20"/>
  <c r="Q109" i="18"/>
  <c r="Q124" s="1"/>
  <c r="R16"/>
  <c r="R99" i="10"/>
  <c r="S95"/>
  <c r="R39" i="9"/>
  <c r="R108" s="1"/>
  <c r="S37"/>
  <c r="R73" i="17"/>
  <c r="S65"/>
  <c r="R244" i="24"/>
  <c r="S226"/>
  <c r="S244" s="1"/>
  <c r="N26" i="21" s="1"/>
  <c r="Q26" s="1"/>
  <c r="S43" i="19"/>
  <c r="S45" s="1"/>
  <c r="S113" s="1"/>
  <c r="R45"/>
  <c r="R113" s="1"/>
  <c r="R40" i="13"/>
  <c r="R109" s="1"/>
  <c r="S38"/>
  <c r="R51" i="12"/>
  <c r="R110" s="1"/>
  <c r="S49"/>
  <c r="S51" s="1"/>
  <c r="S110" s="1"/>
  <c r="R54" i="20"/>
  <c r="S49"/>
  <c r="R99" i="1"/>
  <c r="S95"/>
  <c r="R98" i="11"/>
  <c r="S94"/>
  <c r="Q72" i="7"/>
  <c r="R64"/>
  <c r="S63" i="16"/>
  <c r="T59"/>
  <c r="R73" i="19"/>
  <c r="S65"/>
  <c r="S66" i="20"/>
  <c r="R68"/>
  <c r="P113" i="7"/>
  <c r="P128" s="1"/>
  <c r="Q23"/>
  <c r="Q104" i="10"/>
  <c r="Q119" s="1"/>
  <c r="R16"/>
  <c r="R65" i="12"/>
  <c r="S57"/>
  <c r="R104" i="17"/>
  <c r="S100"/>
  <c r="S53" i="16"/>
  <c r="S108" s="1"/>
  <c r="T51"/>
  <c r="T53" s="1"/>
  <c r="T108" s="1"/>
  <c r="R62" i="15"/>
  <c r="R157" s="1"/>
  <c r="S54"/>
  <c r="S62" s="1"/>
  <c r="S157" s="1"/>
  <c r="I22" i="21" s="1"/>
  <c r="L22" s="1"/>
  <c r="R39" i="12"/>
  <c r="S37"/>
  <c r="R114"/>
  <c r="S89"/>
  <c r="S114" s="1"/>
  <c r="S97" i="16"/>
  <c r="T93"/>
  <c r="R99" i="12"/>
  <c r="S95"/>
  <c r="S96" i="13"/>
  <c r="R100"/>
  <c r="R147" i="24"/>
  <c r="R240" s="1"/>
  <c r="S112"/>
  <c r="S147" s="1"/>
  <c r="S240" s="1"/>
  <c r="N24" i="21" s="1"/>
  <c r="Q24" s="1"/>
  <c r="R68" i="11"/>
  <c r="S60"/>
  <c r="R13" i="14"/>
  <c r="S11"/>
  <c r="R102" i="15"/>
  <c r="S100"/>
  <c r="G9" i="21"/>
  <c r="R88" i="11"/>
  <c r="S75"/>
  <c r="R42"/>
  <c r="R107" s="1"/>
  <c r="S40"/>
  <c r="S42" s="1"/>
  <c r="S107" s="1"/>
  <c r="D34" i="21" s="1"/>
  <c r="G34" s="1"/>
  <c r="R59" i="17"/>
  <c r="R115" s="1"/>
  <c r="S57"/>
  <c r="S59" s="1"/>
  <c r="S115" s="1"/>
  <c r="T119" i="9"/>
  <c r="E10" i="21"/>
  <c r="O10"/>
  <c r="O15" s="1"/>
  <c r="T119" i="1"/>
  <c r="O109" i="13"/>
  <c r="S40"/>
  <c r="S109" s="1"/>
  <c r="U63" i="22"/>
  <c r="K34" i="21"/>
  <c r="R66" i="13"/>
  <c r="S58"/>
  <c r="R99" i="9"/>
  <c r="S95"/>
  <c r="R51" i="24"/>
  <c r="R234" s="1"/>
  <c r="S38"/>
  <c r="S51" s="1"/>
  <c r="S234" s="1"/>
  <c r="N21" i="21" s="1"/>
  <c r="R54" i="11"/>
  <c r="R109" s="1"/>
  <c r="S52"/>
  <c r="S54" s="1"/>
  <c r="S109" s="1"/>
  <c r="D35" i="21" s="1"/>
  <c r="G35" s="1"/>
  <c r="R65" i="10"/>
  <c r="S57"/>
  <c r="Q109" i="19"/>
  <c r="Q124" s="1"/>
  <c r="R16"/>
  <c r="R62" i="14"/>
  <c r="S54"/>
  <c r="R51" i="10"/>
  <c r="R110" s="1"/>
  <c r="S49"/>
  <c r="S51" s="1"/>
  <c r="S110" s="1"/>
  <c r="I11" i="21" s="1"/>
  <c r="L11" s="1"/>
  <c r="S43" i="16"/>
  <c r="T41"/>
  <c r="R55" i="20"/>
  <c r="S53"/>
  <c r="F15" i="21"/>
  <c r="R117" i="16"/>
  <c r="Q247" i="24"/>
  <c r="U27" l="1"/>
  <c r="U51" s="1"/>
  <c r="U234" s="1"/>
  <c r="O51"/>
  <c r="O234" s="1"/>
  <c r="O247" s="1"/>
  <c r="S11" i="1"/>
  <c r="R18" i="7"/>
  <c r="O35" i="21"/>
  <c r="E59" s="1"/>
  <c r="E8" i="23" s="1"/>
  <c r="L21" i="21"/>
  <c r="Q33"/>
  <c r="S59" i="18"/>
  <c r="S115" s="1"/>
  <c r="N35" i="21" s="1"/>
  <c r="C62"/>
  <c r="C11" i="23" s="1"/>
  <c r="M39" i="21"/>
  <c r="O120" i="13"/>
  <c r="S36" i="14"/>
  <c r="S105" s="1"/>
  <c r="O16" i="10"/>
  <c r="O104" s="1"/>
  <c r="O119" s="1"/>
  <c r="S11"/>
  <c r="O16" i="11"/>
  <c r="O103" s="1"/>
  <c r="O118" s="1"/>
  <c r="S11"/>
  <c r="L160" i="15"/>
  <c r="L167" s="1"/>
  <c r="S101"/>
  <c r="S160" s="1"/>
  <c r="H24" i="21" s="1"/>
  <c r="C60" s="1"/>
  <c r="C9" i="23" s="1"/>
  <c r="H23" i="21"/>
  <c r="C59" s="1"/>
  <c r="C8" i="23" s="1"/>
  <c r="R127" i="7"/>
  <c r="N127"/>
  <c r="C27" i="21"/>
  <c r="C57"/>
  <c r="S39" i="1"/>
  <c r="S108" s="1"/>
  <c r="N10" i="21" s="1"/>
  <c r="Q10" s="1"/>
  <c r="Q22"/>
  <c r="R109" i="19"/>
  <c r="S16"/>
  <c r="S109" s="1"/>
  <c r="L34" i="21"/>
  <c r="L39" s="1"/>
  <c r="K39"/>
  <c r="F58"/>
  <c r="F7" i="23" s="1"/>
  <c r="E15" i="21"/>
  <c r="R117" i="13"/>
  <c r="S100"/>
  <c r="S117" s="1"/>
  <c r="R104" i="10"/>
  <c r="S16"/>
  <c r="S104" s="1"/>
  <c r="Q113" i="7"/>
  <c r="R23"/>
  <c r="R113" s="1"/>
  <c r="R96" i="20"/>
  <c r="S68"/>
  <c r="S96" s="1"/>
  <c r="D48" i="21" s="1"/>
  <c r="G48" s="1"/>
  <c r="R109" i="18"/>
  <c r="S16"/>
  <c r="S109" s="1"/>
  <c r="R109" i="17"/>
  <c r="S16"/>
  <c r="S109" s="1"/>
  <c r="R112" i="9"/>
  <c r="S65"/>
  <c r="S112" s="1"/>
  <c r="D12" i="21" s="1"/>
  <c r="R112" i="1"/>
  <c r="S65"/>
  <c r="S112" s="1"/>
  <c r="N12" i="21" s="1"/>
  <c r="Q12" s="1"/>
  <c r="R108" i="10"/>
  <c r="S39"/>
  <c r="S108" s="1"/>
  <c r="I10" i="21" s="1"/>
  <c r="L10" s="1"/>
  <c r="R119" i="19"/>
  <c r="S94"/>
  <c r="S119" s="1"/>
  <c r="R121"/>
  <c r="S104"/>
  <c r="S121" s="1"/>
  <c r="R119" i="17"/>
  <c r="S94"/>
  <c r="S119" s="1"/>
  <c r="R103" i="11"/>
  <c r="S16"/>
  <c r="S103" s="1"/>
  <c r="R104" i="12"/>
  <c r="S16"/>
  <c r="S104" s="1"/>
  <c r="R232" i="24"/>
  <c r="R247" s="1"/>
  <c r="S20"/>
  <c r="S232" s="1"/>
  <c r="R119" i="18"/>
  <c r="S94"/>
  <c r="S119" s="1"/>
  <c r="Q125" i="7"/>
  <c r="R108"/>
  <c r="R125" s="1"/>
  <c r="D26" i="21" s="1"/>
  <c r="G26" s="1"/>
  <c r="S102" i="16"/>
  <c r="T13"/>
  <c r="T102" s="1"/>
  <c r="R113" i="14"/>
  <c r="S96"/>
  <c r="S113" s="1"/>
  <c r="R117" i="18"/>
  <c r="S73"/>
  <c r="S117" s="1"/>
  <c r="R121"/>
  <c r="S104"/>
  <c r="S121" s="1"/>
  <c r="R104" i="9"/>
  <c r="S16"/>
  <c r="S104" s="1"/>
  <c r="R92" i="20"/>
  <c r="R103" s="1"/>
  <c r="S55"/>
  <c r="S92" s="1"/>
  <c r="S106" i="16"/>
  <c r="T43"/>
  <c r="T106" s="1"/>
  <c r="O34" i="21" s="1"/>
  <c r="R109" i="14"/>
  <c r="S62"/>
  <c r="S109" s="1"/>
  <c r="R112" i="10"/>
  <c r="S65"/>
  <c r="S112" s="1"/>
  <c r="I12" i="21" s="1"/>
  <c r="L12" s="1"/>
  <c r="R116" i="9"/>
  <c r="S99"/>
  <c r="S116" s="1"/>
  <c r="D14" i="21" s="1"/>
  <c r="R113" i="13"/>
  <c r="S66"/>
  <c r="S113" s="1"/>
  <c r="R113" i="11"/>
  <c r="S88"/>
  <c r="S113" s="1"/>
  <c r="D37" i="21" s="1"/>
  <c r="R161" i="15"/>
  <c r="S102"/>
  <c r="S161" s="1"/>
  <c r="I24" i="21" s="1"/>
  <c r="L24" s="1"/>
  <c r="R101" i="14"/>
  <c r="R116" s="1"/>
  <c r="S13"/>
  <c r="S101" s="1"/>
  <c r="R111" i="11"/>
  <c r="S68"/>
  <c r="S111" s="1"/>
  <c r="D36" i="21" s="1"/>
  <c r="G36" s="1"/>
  <c r="R116" i="12"/>
  <c r="S99"/>
  <c r="S116" s="1"/>
  <c r="S114" i="16"/>
  <c r="T97"/>
  <c r="T114" s="1"/>
  <c r="R108" i="12"/>
  <c r="S39"/>
  <c r="S108" s="1"/>
  <c r="R121" i="17"/>
  <c r="S104"/>
  <c r="S121" s="1"/>
  <c r="R112" i="12"/>
  <c r="S65"/>
  <c r="S112" s="1"/>
  <c r="R117" i="19"/>
  <c r="S73"/>
  <c r="S117" s="1"/>
  <c r="S110" i="16"/>
  <c r="T63"/>
  <c r="T110" s="1"/>
  <c r="Q121" i="7"/>
  <c r="R72"/>
  <c r="R121" s="1"/>
  <c r="D24" i="21" s="1"/>
  <c r="G24" s="1"/>
  <c r="R115" i="11"/>
  <c r="S98"/>
  <c r="S115" s="1"/>
  <c r="D38" i="21" s="1"/>
  <c r="G38" s="1"/>
  <c r="R116" i="1"/>
  <c r="S99"/>
  <c r="S116" s="1"/>
  <c r="N14" i="21" s="1"/>
  <c r="Q14" s="1"/>
  <c r="R91" i="20"/>
  <c r="R102" s="1"/>
  <c r="S54"/>
  <c r="S91" s="1"/>
  <c r="R117" i="17"/>
  <c r="S73"/>
  <c r="S117" s="1"/>
  <c r="R116" i="10"/>
  <c r="S99"/>
  <c r="S116" s="1"/>
  <c r="I14" i="21" s="1"/>
  <c r="L14" s="1"/>
  <c r="R153" i="15"/>
  <c r="S25"/>
  <c r="S153" s="1"/>
  <c r="G11" i="21"/>
  <c r="R163" i="15"/>
  <c r="S131"/>
  <c r="S163" s="1"/>
  <c r="I25" i="21" s="1"/>
  <c r="L25" s="1"/>
  <c r="R105" i="13"/>
  <c r="S17"/>
  <c r="S105" s="1"/>
  <c r="R104" i="1"/>
  <c r="S16"/>
  <c r="S104" s="1"/>
  <c r="D57" i="21"/>
  <c r="S39" i="9"/>
  <c r="S108" s="1"/>
  <c r="D10" i="21" s="1"/>
  <c r="S167" i="15" l="1"/>
  <c r="U247" i="24"/>
  <c r="P21" i="21"/>
  <c r="N34"/>
  <c r="Q35"/>
  <c r="N37"/>
  <c r="Q37" s="1"/>
  <c r="N38"/>
  <c r="Q38" s="1"/>
  <c r="N36"/>
  <c r="N32"/>
  <c r="Q32" s="1"/>
  <c r="R120" i="13"/>
  <c r="R119" i="1"/>
  <c r="D59" i="21"/>
  <c r="D8" i="23" s="1"/>
  <c r="G8" s="1"/>
  <c r="E58" i="21"/>
  <c r="E7" i="23" s="1"/>
  <c r="E12" s="1"/>
  <c r="O39" i="21"/>
  <c r="S120" i="13"/>
  <c r="S116" i="14"/>
  <c r="H27" i="21"/>
  <c r="C6" i="23"/>
  <c r="N8" i="21"/>
  <c r="S119" i="1"/>
  <c r="I20" i="21"/>
  <c r="S168" i="15"/>
  <c r="C46" i="21"/>
  <c r="S102" i="20"/>
  <c r="G37" i="21"/>
  <c r="G14"/>
  <c r="D62"/>
  <c r="D46"/>
  <c r="S103" i="20"/>
  <c r="D8" i="21"/>
  <c r="S119" i="9"/>
  <c r="N20" i="21"/>
  <c r="S247" i="24"/>
  <c r="D32" i="21"/>
  <c r="S118" i="11"/>
  <c r="G12" i="21"/>
  <c r="D20"/>
  <c r="R128" i="7"/>
  <c r="I8" i="21"/>
  <c r="S119" i="10"/>
  <c r="T117" i="16"/>
  <c r="S119" i="12"/>
  <c r="S124" i="17"/>
  <c r="S124" i="18"/>
  <c r="R124" i="19"/>
  <c r="G10" i="21"/>
  <c r="D6" i="23"/>
  <c r="R168" i="15"/>
  <c r="R119" i="9"/>
  <c r="S117" i="16"/>
  <c r="R119" i="12"/>
  <c r="R118" i="11"/>
  <c r="R124" i="17"/>
  <c r="R124" i="18"/>
  <c r="Q128" i="7"/>
  <c r="R119" i="10"/>
  <c r="S124" i="19"/>
  <c r="S251" i="24" l="1"/>
  <c r="P27" i="21"/>
  <c r="F57"/>
  <c r="Q21"/>
  <c r="D61"/>
  <c r="D10" i="23" s="1"/>
  <c r="G10" s="1"/>
  <c r="G59" i="21"/>
  <c r="E63"/>
  <c r="D60"/>
  <c r="G60" s="1"/>
  <c r="Q36"/>
  <c r="D58"/>
  <c r="D7" i="23" s="1"/>
  <c r="G7" s="1"/>
  <c r="Q34" i="21"/>
  <c r="N39"/>
  <c r="Q39" s="1"/>
  <c r="L8"/>
  <c r="L15" s="1"/>
  <c r="I15"/>
  <c r="G20"/>
  <c r="G27" s="1"/>
  <c r="D27"/>
  <c r="D39"/>
  <c r="G32"/>
  <c r="G39" s="1"/>
  <c r="Q20"/>
  <c r="N27"/>
  <c r="D56"/>
  <c r="G8"/>
  <c r="G15" s="1"/>
  <c r="D15"/>
  <c r="G46"/>
  <c r="G51" s="1"/>
  <c r="D51"/>
  <c r="C51"/>
  <c r="C58"/>
  <c r="L20"/>
  <c r="L27" s="1"/>
  <c r="I27"/>
  <c r="Q8"/>
  <c r="Q15" s="1"/>
  <c r="N15"/>
  <c r="D9" i="23"/>
  <c r="G9" s="1"/>
  <c r="D11"/>
  <c r="G11" s="1"/>
  <c r="G62" i="21"/>
  <c r="G61"/>
  <c r="Q27" l="1"/>
  <c r="F6" i="23"/>
  <c r="G57" i="21"/>
  <c r="F63"/>
  <c r="G58"/>
  <c r="C7" i="23"/>
  <c r="C12" s="1"/>
  <c r="C63" i="21"/>
  <c r="D5" i="23"/>
  <c r="G56" i="21"/>
  <c r="D63"/>
  <c r="F12" i="23" l="1"/>
  <c r="G6"/>
  <c r="G63" i="21"/>
  <c r="G5" i="23"/>
  <c r="D12"/>
  <c r="G12" l="1"/>
</calcChain>
</file>

<file path=xl/comments1.xml><?xml version="1.0" encoding="utf-8"?>
<comments xmlns="http://schemas.openxmlformats.org/spreadsheetml/2006/main">
  <authors>
    <author>eer</author>
  </authors>
  <commentList>
    <comment ref="B5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Why 1119 sites with microbalances but only 114 clean rooms?</t>
        </r>
      </text>
    </comment>
    <comment ref="B65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Are there 538 or 577 continuous samplers? We're installing 538, but visiting 577 of them.</t>
        </r>
      </text>
    </comment>
    <comment ref="B113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22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40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5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Question on number of continuous analyzers.</t>
        </r>
      </text>
    </comment>
    <comment ref="B159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68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77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  <comment ref="B186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how number of samplers was determined.</t>
        </r>
      </text>
    </comment>
  </commentList>
</comments>
</file>

<file path=xl/comments2.xml><?xml version="1.0" encoding="utf-8"?>
<comments xmlns="http://schemas.openxmlformats.org/spreadsheetml/2006/main">
  <authors>
    <author>eer</author>
  </authors>
  <commentList>
    <comment ref="B74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Where is the capital cost for Audit/Calibration kits (in report, not in ss)</t>
        </r>
      </text>
    </comment>
  </commentList>
</comments>
</file>

<file path=xl/comments3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4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comments5.xml><?xml version="1.0" encoding="utf-8"?>
<comments xmlns="http://schemas.openxmlformats.org/spreadsheetml/2006/main">
  <authors>
    <author>eer</author>
  </authors>
  <commentList>
    <comment ref="B31" authorId="0">
      <text>
        <r>
          <rPr>
            <b/>
            <sz val="10"/>
            <color indexed="81"/>
            <rFont val="Tahoma"/>
            <family val="2"/>
          </rPr>
          <t>eer:</t>
        </r>
        <r>
          <rPr>
            <sz val="10"/>
            <color indexed="81"/>
            <rFont val="Tahoma"/>
            <family val="2"/>
          </rPr>
          <t xml:space="preserve">
Unclear on handling of analysis hours</t>
        </r>
      </text>
    </comment>
  </commentList>
</comments>
</file>

<file path=xl/sharedStrings.xml><?xml version="1.0" encoding="utf-8"?>
<sst xmlns="http://schemas.openxmlformats.org/spreadsheetml/2006/main" count="10407" uniqueCount="389">
  <si>
    <t>Data Entry for</t>
  </si>
  <si>
    <t>NO2</t>
  </si>
  <si>
    <t>Overall Comment</t>
  </si>
  <si>
    <t>Element 1 - Network Design</t>
  </si>
  <si>
    <t>Hours per site</t>
  </si>
  <si>
    <t>Year 1</t>
  </si>
  <si>
    <t>Comment</t>
  </si>
  <si>
    <t>b) Site Selection (Reporting Organization)</t>
  </si>
  <si>
    <t>Cost per site</t>
  </si>
  <si>
    <t>Inflation Adjustment for</t>
  </si>
  <si>
    <t>Year 2</t>
  </si>
  <si>
    <t>Year 3</t>
  </si>
  <si>
    <t>NA</t>
  </si>
  <si>
    <t>Total</t>
  </si>
  <si>
    <t>Analyzers</t>
  </si>
  <si>
    <t>Spare Analyzers</t>
  </si>
  <si>
    <t>Element 2 - Site Installation</t>
  </si>
  <si>
    <t>Labor</t>
  </si>
  <si>
    <t>Supplies</t>
  </si>
  <si>
    <t>Spare parts/supplies</t>
  </si>
  <si>
    <t>Coordination/implementation</t>
  </si>
  <si>
    <t>Planning/coordination</t>
  </si>
  <si>
    <t>Element 3 - Supplies and Site Visits</t>
  </si>
  <si>
    <t>Routine visits</t>
  </si>
  <si>
    <t>Element 4 - Maintenance</t>
  </si>
  <si>
    <t>Remedial Repairs</t>
  </si>
  <si>
    <t>Element 5 - Data Management</t>
  </si>
  <si>
    <t>Data aquisition/processing</t>
  </si>
  <si>
    <t>Element 6 - Quality Assurance</t>
  </si>
  <si>
    <t>QA Plan review (annual)</t>
  </si>
  <si>
    <t>Element 7 - Supervision</t>
  </si>
  <si>
    <t>Updated on</t>
  </si>
  <si>
    <t>Professional/Technical Level</t>
  </si>
  <si>
    <t>Overhead Multiplier</t>
  </si>
  <si>
    <t>Labor Rate ($/hr)</t>
  </si>
  <si>
    <t>Loaded Labor Rate ($/hr)</t>
  </si>
  <si>
    <t>Labor rates based on year</t>
  </si>
  <si>
    <t>Junior Technician (TEC1)</t>
  </si>
  <si>
    <t>Senior Technician (TEC2)</t>
  </si>
  <si>
    <t>Junior Professional (PRO1)</t>
  </si>
  <si>
    <t>Mid-level Professional (PRO2)</t>
  </si>
  <si>
    <t>Staff Professional (PRO3)</t>
  </si>
  <si>
    <t>Senior Professional (PRO4)</t>
  </si>
  <si>
    <t>Labor Rates</t>
  </si>
  <si>
    <t>a) Network Design (by Reporting Organization)</t>
  </si>
  <si>
    <t>TEC1</t>
  </si>
  <si>
    <t>TEC2</t>
  </si>
  <si>
    <t>PRO1</t>
  </si>
  <si>
    <t>PRO2</t>
  </si>
  <si>
    <t>PRO3</t>
  </si>
  <si>
    <t>PRO4</t>
  </si>
  <si>
    <t>Hours per RO</t>
  </si>
  <si>
    <t>Costs per RO</t>
  </si>
  <si>
    <t>Labor Category</t>
  </si>
  <si>
    <t>Years Amoritized</t>
  </si>
  <si>
    <t>Per RO</t>
  </si>
  <si>
    <t>Adjusted</t>
  </si>
  <si>
    <t>Entire Network</t>
  </si>
  <si>
    <t>Materials</t>
  </si>
  <si>
    <t>Spare Factor</t>
  </si>
  <si>
    <t>Unit cost</t>
  </si>
  <si>
    <t>Per Site</t>
  </si>
  <si>
    <t>Year</t>
  </si>
  <si>
    <t>Hours per reporting organization</t>
  </si>
  <si>
    <t>Cost per reporting organization</t>
  </si>
  <si>
    <t>QA Plan preparation</t>
  </si>
  <si>
    <t>Sub Total - Hours</t>
  </si>
  <si>
    <t>Sub Total - Costs</t>
  </si>
  <si>
    <t>Yearly Cost</t>
  </si>
  <si>
    <t>Sites</t>
  </si>
  <si>
    <t>Spares</t>
  </si>
  <si>
    <t>Report Org</t>
  </si>
  <si>
    <t xml:space="preserve"> Sites</t>
  </si>
  <si>
    <t>General Costs</t>
  </si>
  <si>
    <t>Per Site Total</t>
  </si>
  <si>
    <t>Hours</t>
  </si>
  <si>
    <t>Costs</t>
  </si>
  <si>
    <t>Average Yearly Costs</t>
  </si>
  <si>
    <t>Non Labor O &amp; M</t>
  </si>
  <si>
    <t>Equipment</t>
  </si>
  <si>
    <t>O3</t>
  </si>
  <si>
    <t>4 month</t>
  </si>
  <si>
    <t>7 month</t>
  </si>
  <si>
    <t>5 month</t>
  </si>
  <si>
    <t>6 month</t>
  </si>
  <si>
    <t>8 month</t>
  </si>
  <si>
    <t>9 month</t>
  </si>
  <si>
    <t>12 month</t>
  </si>
  <si>
    <t xml:space="preserve"> Total Sites</t>
  </si>
  <si>
    <t>Total Sites</t>
  </si>
  <si>
    <t>Pollutant</t>
  </si>
  <si>
    <t>Analyzer</t>
  </si>
  <si>
    <t>SO2</t>
  </si>
  <si>
    <t>CO</t>
  </si>
  <si>
    <t>Maintenance</t>
  </si>
  <si>
    <t>Routine Visits</t>
  </si>
  <si>
    <r>
      <t xml:space="preserve">3 - Supplies &amp; site visits         </t>
    </r>
    <r>
      <rPr>
        <sz val="10"/>
        <rFont val="Arial"/>
        <family val="2"/>
      </rPr>
      <t>Hours</t>
    </r>
  </si>
  <si>
    <r>
      <t xml:space="preserve">1 - Network Design               </t>
    </r>
    <r>
      <rPr>
        <sz val="10"/>
        <rFont val="Arial"/>
        <family val="2"/>
      </rPr>
      <t>Hours</t>
    </r>
  </si>
  <si>
    <r>
      <t xml:space="preserve">2 - Site Installation               </t>
    </r>
    <r>
      <rPr>
        <sz val="10"/>
        <rFont val="Arial"/>
        <family val="2"/>
      </rPr>
      <t>Hours</t>
    </r>
  </si>
  <si>
    <r>
      <t xml:space="preserve">4 - Maintenance                    </t>
    </r>
    <r>
      <rPr>
        <sz val="10"/>
        <rFont val="Arial"/>
        <family val="2"/>
      </rPr>
      <t>Hours</t>
    </r>
  </si>
  <si>
    <r>
      <t xml:space="preserve">5 - Data Managment              </t>
    </r>
    <r>
      <rPr>
        <sz val="10"/>
        <rFont val="Arial"/>
        <family val="2"/>
      </rPr>
      <t>Hours</t>
    </r>
  </si>
  <si>
    <r>
      <t xml:space="preserve">6 - Quality Assurance            </t>
    </r>
    <r>
      <rPr>
        <sz val="10"/>
        <rFont val="Arial"/>
        <family val="2"/>
      </rPr>
      <t>Hours</t>
    </r>
  </si>
  <si>
    <r>
      <t xml:space="preserve">7 - Supervision                     </t>
    </r>
    <r>
      <rPr>
        <sz val="10"/>
        <rFont val="Arial"/>
        <family val="2"/>
      </rPr>
      <t>Hours</t>
    </r>
  </si>
  <si>
    <t>Non Labor
 O &amp; M</t>
  </si>
  <si>
    <r>
      <t xml:space="preserve">Supervision/review   </t>
    </r>
    <r>
      <rPr>
        <sz val="10"/>
        <rFont val="Arial"/>
        <family val="2"/>
      </rPr>
      <t>Hours per site</t>
    </r>
  </si>
  <si>
    <t>Cost per RO</t>
  </si>
  <si>
    <t xml:space="preserve">QA Plan preparation </t>
  </si>
  <si>
    <t>Cost</t>
  </si>
  <si>
    <r>
      <t xml:space="preserve">Reporting </t>
    </r>
    <r>
      <rPr>
        <sz val="10"/>
        <rFont val="Arial"/>
        <family val="2"/>
      </rPr>
      <t xml:space="preserve">                 Hours per site</t>
    </r>
  </si>
  <si>
    <r>
      <t>Training</t>
    </r>
    <r>
      <rPr>
        <sz val="10"/>
        <rFont val="Arial"/>
        <family val="2"/>
      </rPr>
      <t xml:space="preserve">                    Hours per site</t>
    </r>
  </si>
  <si>
    <r>
      <t xml:space="preserve">Routine Calibrations </t>
    </r>
    <r>
      <rPr>
        <sz val="10"/>
        <rFont val="Arial"/>
        <family val="2"/>
      </rPr>
      <t>Hours per site</t>
    </r>
  </si>
  <si>
    <r>
      <t>Audits</t>
    </r>
    <r>
      <rPr>
        <sz val="10"/>
        <rFont val="Arial"/>
        <family val="2"/>
      </rPr>
      <t xml:space="preserve">                        Hours per site</t>
    </r>
  </si>
  <si>
    <t>Labor per RO</t>
  </si>
  <si>
    <t>Adjusted per RO</t>
  </si>
  <si>
    <r>
      <t xml:space="preserve">Data reporting </t>
    </r>
    <r>
      <rPr>
        <sz val="10"/>
        <rFont val="Arial"/>
        <family val="2"/>
      </rPr>
      <t xml:space="preserve">          Hours per site</t>
    </r>
  </si>
  <si>
    <r>
      <t xml:space="preserve">Data validation         </t>
    </r>
    <r>
      <rPr>
        <sz val="10"/>
        <rFont val="Arial"/>
        <family val="2"/>
      </rPr>
      <t xml:space="preserve"> Hours per site</t>
    </r>
  </si>
  <si>
    <r>
      <t xml:space="preserve">Data distribution </t>
    </r>
    <r>
      <rPr>
        <sz val="10"/>
        <rFont val="Arial"/>
        <family val="2"/>
      </rPr>
      <t xml:space="preserve">       Hours per site</t>
    </r>
  </si>
  <si>
    <r>
      <t xml:space="preserve">Routine Maint.          </t>
    </r>
    <r>
      <rPr>
        <sz val="10"/>
        <rFont val="Arial"/>
        <family val="2"/>
      </rPr>
      <t>Hours per site</t>
    </r>
  </si>
  <si>
    <r>
      <t>Installation</t>
    </r>
    <r>
      <rPr>
        <sz val="10"/>
        <rFont val="Arial"/>
        <family val="2"/>
      </rPr>
      <t xml:space="preserve">                Hours per site</t>
    </r>
  </si>
  <si>
    <r>
      <t xml:space="preserve">Procurement </t>
    </r>
    <r>
      <rPr>
        <sz val="10"/>
        <rFont val="Arial"/>
        <family val="2"/>
      </rPr>
      <t xml:space="preserve">           Hours per site</t>
    </r>
  </si>
  <si>
    <t>SpareParts/
Supplies</t>
  </si>
  <si>
    <t>Summary by Element</t>
  </si>
  <si>
    <t>Element 1 - Network design</t>
  </si>
  <si>
    <r>
      <t>2 - Site Installation</t>
    </r>
    <r>
      <rPr>
        <sz val="10"/>
        <rFont val="Arial"/>
        <family val="2"/>
      </rPr>
      <t xml:space="preserve">              Hours</t>
    </r>
  </si>
  <si>
    <r>
      <t>4 - Maintenance</t>
    </r>
    <r>
      <rPr>
        <sz val="10"/>
        <rFont val="Arial"/>
        <family val="2"/>
      </rPr>
      <t xml:space="preserve">                   Hours</t>
    </r>
  </si>
  <si>
    <r>
      <t>3 - Supplies and Site Visits</t>
    </r>
    <r>
      <rPr>
        <sz val="10"/>
        <rFont val="Arial"/>
        <family val="2"/>
      </rPr>
      <t xml:space="preserve">  Hours</t>
    </r>
  </si>
  <si>
    <r>
      <t>5 - Data Management</t>
    </r>
    <r>
      <rPr>
        <sz val="10"/>
        <rFont val="Arial"/>
        <family val="2"/>
      </rPr>
      <t xml:space="preserve">          Hours</t>
    </r>
  </si>
  <si>
    <r>
      <t>6 - Quality Assurance</t>
    </r>
    <r>
      <rPr>
        <sz val="10"/>
        <rFont val="Arial"/>
        <family val="2"/>
      </rPr>
      <t xml:space="preserve">           Hours</t>
    </r>
  </si>
  <si>
    <r>
      <t>7 - Supervision</t>
    </r>
    <r>
      <rPr>
        <sz val="10"/>
        <rFont val="Arial"/>
        <family val="2"/>
      </rPr>
      <t xml:space="preserve">                    Hours</t>
    </r>
  </si>
  <si>
    <r>
      <t>1 - Network Design</t>
    </r>
    <r>
      <rPr>
        <sz val="10"/>
        <rFont val="Arial"/>
        <family val="2"/>
      </rPr>
      <t xml:space="preserve">                    Hours</t>
    </r>
  </si>
  <si>
    <r>
      <t>Planning/coordination</t>
    </r>
    <r>
      <rPr>
        <sz val="10"/>
        <rFont val="Arial"/>
        <family val="2"/>
      </rPr>
      <t xml:space="preserve">  Hours per site</t>
    </r>
  </si>
  <si>
    <r>
      <t xml:space="preserve">Supervision/review      </t>
    </r>
    <r>
      <rPr>
        <sz val="10"/>
        <rFont val="Arial"/>
        <family val="2"/>
      </rPr>
      <t xml:space="preserve"> Hours per site</t>
    </r>
  </si>
  <si>
    <r>
      <t>Audits</t>
    </r>
    <r>
      <rPr>
        <sz val="10"/>
        <rFont val="Arial"/>
        <family val="2"/>
      </rPr>
      <t xml:space="preserve">                            Hours per site</t>
    </r>
  </si>
  <si>
    <r>
      <t>Routine Calibrations</t>
    </r>
    <r>
      <rPr>
        <sz val="10"/>
        <rFont val="Arial"/>
        <family val="2"/>
      </rPr>
      <t xml:space="preserve">      Hours per site</t>
    </r>
  </si>
  <si>
    <r>
      <t>Training</t>
    </r>
    <r>
      <rPr>
        <sz val="10"/>
        <rFont val="Arial"/>
        <family val="2"/>
      </rPr>
      <t xml:space="preserve">                         Hours per site</t>
    </r>
  </si>
  <si>
    <r>
      <t>Reporting</t>
    </r>
    <r>
      <rPr>
        <sz val="10"/>
        <rFont val="Arial"/>
        <family val="2"/>
      </rPr>
      <t xml:space="preserve">                       Hours per site</t>
    </r>
  </si>
  <si>
    <r>
      <t>Data distribution</t>
    </r>
    <r>
      <rPr>
        <sz val="10"/>
        <rFont val="Arial"/>
        <family val="2"/>
      </rPr>
      <t xml:space="preserve">            Hours per site</t>
    </r>
  </si>
  <si>
    <r>
      <t>Data validation</t>
    </r>
    <r>
      <rPr>
        <sz val="10"/>
        <rFont val="Arial"/>
        <family val="2"/>
      </rPr>
      <t xml:space="preserve">              Hours per site</t>
    </r>
  </si>
  <si>
    <r>
      <t>Data reporting</t>
    </r>
    <r>
      <rPr>
        <sz val="10"/>
        <rFont val="Arial"/>
        <family val="2"/>
      </rPr>
      <t xml:space="preserve">               Hours per site</t>
    </r>
  </si>
  <si>
    <r>
      <t>Routine Maintenance</t>
    </r>
    <r>
      <rPr>
        <sz val="10"/>
        <rFont val="Arial"/>
        <family val="2"/>
      </rPr>
      <t xml:space="preserve">    Hours per site</t>
    </r>
  </si>
  <si>
    <r>
      <t>Remedial Repairs</t>
    </r>
    <r>
      <rPr>
        <sz val="10"/>
        <rFont val="Arial"/>
        <family val="2"/>
      </rPr>
      <t xml:space="preserve">         Hours per site</t>
    </r>
  </si>
  <si>
    <r>
      <t>Routine visits</t>
    </r>
    <r>
      <rPr>
        <sz val="10"/>
        <rFont val="Arial"/>
        <family val="2"/>
      </rPr>
      <t xml:space="preserve">                Hours per site</t>
    </r>
  </si>
  <si>
    <r>
      <t>Procurement</t>
    </r>
    <r>
      <rPr>
        <sz val="10"/>
        <rFont val="Arial"/>
        <family val="2"/>
      </rPr>
      <t xml:space="preserve">                 Hours per site</t>
    </r>
  </si>
  <si>
    <r>
      <t>Installation</t>
    </r>
    <r>
      <rPr>
        <sz val="10"/>
        <rFont val="Arial"/>
        <family val="2"/>
      </rPr>
      <t xml:space="preserve">                    Hours per site</t>
    </r>
  </si>
  <si>
    <t>Avg Percent Sampled</t>
  </si>
  <si>
    <t>1) Per site operating costs are weighted by the average percent sampling. For example, the operating expenses for a site operated for 6 months per year are assummed to be half that of a site operated for 12 months per year.</t>
  </si>
  <si>
    <t>Element 3 - Supplies and Site Visits (1)</t>
  </si>
  <si>
    <t>Element 4 - Maintenance (1)</t>
  </si>
  <si>
    <t>Element 5 - Data Management (1)</t>
  </si>
  <si>
    <t>Element 6 - Quality Assurance (1)</t>
  </si>
  <si>
    <t>Element 7 - Supervision (1)</t>
  </si>
  <si>
    <t>Pb</t>
  </si>
  <si>
    <t>Other</t>
  </si>
  <si>
    <t>Special Items</t>
  </si>
  <si>
    <t>Filters</t>
  </si>
  <si>
    <t>Element 3 - Sampling and Analysis</t>
  </si>
  <si>
    <r>
      <t xml:space="preserve">3 - Sampling and Analysis    </t>
    </r>
    <r>
      <rPr>
        <sz val="10"/>
        <rFont val="Arial"/>
        <family val="2"/>
      </rPr>
      <t>Hours</t>
    </r>
  </si>
  <si>
    <t>PAMSNOx</t>
  </si>
  <si>
    <t>Element 1 - Network Design (1)</t>
  </si>
  <si>
    <t>1) includes costs for Precursor NOy analyzers only, NO2 analyzers are covered in NO2 network costs (see seperate spreadsheet)</t>
  </si>
  <si>
    <t>Element 2 - Site Installation (1)</t>
  </si>
  <si>
    <t>Precursor NOy</t>
  </si>
  <si>
    <t>Network Design and Site Selection</t>
  </si>
  <si>
    <t>PAMSSurfMet</t>
  </si>
  <si>
    <t>PM10</t>
  </si>
  <si>
    <t>Lab Services</t>
  </si>
  <si>
    <t>Samplers</t>
  </si>
  <si>
    <t xml:space="preserve"> Cont Samplers</t>
  </si>
  <si>
    <t>Continuous Analyzers</t>
  </si>
  <si>
    <t>Continuous Spare Analyzers</t>
  </si>
  <si>
    <t>Item 1</t>
  </si>
  <si>
    <t>Audit Cal Kit</t>
  </si>
  <si>
    <t>Continuous Sampler</t>
  </si>
  <si>
    <t>Item 2</t>
  </si>
  <si>
    <t>Sampling Platform</t>
  </si>
  <si>
    <r>
      <t>b) Cont Sampler</t>
    </r>
    <r>
      <rPr>
        <sz val="10"/>
        <rFont val="Arial"/>
        <family val="2"/>
      </rPr>
      <t xml:space="preserve">       Hours per site</t>
    </r>
  </si>
  <si>
    <r>
      <t>a) Sampler</t>
    </r>
    <r>
      <rPr>
        <sz val="10"/>
        <rFont val="Arial"/>
        <family val="2"/>
      </rPr>
      <t xml:space="preserve">                Hours per site</t>
    </r>
  </si>
  <si>
    <t>Installation</t>
  </si>
  <si>
    <t>Sampling Platforms</t>
  </si>
  <si>
    <t>PAMSUpperAir</t>
  </si>
  <si>
    <t>Network Design and Site Selection (by Reporting Organization)</t>
  </si>
  <si>
    <t>Item 3</t>
  </si>
  <si>
    <t>Item 4</t>
  </si>
  <si>
    <t>Item 5</t>
  </si>
  <si>
    <t>LAP/RASS</t>
  </si>
  <si>
    <t>Radar profiler</t>
  </si>
  <si>
    <t>Rawindsondes</t>
  </si>
  <si>
    <t>SODAR</t>
  </si>
  <si>
    <t>LAP/RASS +NEXRAD</t>
  </si>
  <si>
    <t>Computer hardware &amp; software</t>
  </si>
  <si>
    <r>
      <t>Acceptance Testing</t>
    </r>
    <r>
      <rPr>
        <sz val="10"/>
        <rFont val="Arial"/>
        <family val="2"/>
      </rPr>
      <t xml:space="preserve">  Hours per site</t>
    </r>
  </si>
  <si>
    <t>Contractor</t>
  </si>
  <si>
    <t>Routine field service checks</t>
  </si>
  <si>
    <t>Remedial Field Service</t>
  </si>
  <si>
    <t>Data aquisition/processing, etc.</t>
  </si>
  <si>
    <t>PAMSCarbE</t>
  </si>
  <si>
    <t>Element 1 - Network Design (see O3)</t>
  </si>
  <si>
    <t>Carbonyl sample cartridges</t>
  </si>
  <si>
    <t>HPLC/UV with autosampler</t>
  </si>
  <si>
    <t>Equipment (auxiliary)</t>
  </si>
  <si>
    <t>Supplies/reagents</t>
  </si>
  <si>
    <t>Supplies and Other Costs</t>
  </si>
  <si>
    <t>Sample analysis</t>
  </si>
  <si>
    <t>Amoritized</t>
  </si>
  <si>
    <t>Remedial Calibrations</t>
  </si>
  <si>
    <t>Repairs</t>
  </si>
  <si>
    <r>
      <t>Calibrations</t>
    </r>
    <r>
      <rPr>
        <sz val="10"/>
        <rFont val="Arial"/>
        <family val="2"/>
      </rPr>
      <t xml:space="preserve">               Hours per site</t>
    </r>
  </si>
  <si>
    <r>
      <t xml:space="preserve">Audits                        </t>
    </r>
    <r>
      <rPr>
        <sz val="10"/>
        <rFont val="Arial"/>
        <family val="2"/>
      </rPr>
      <t>Hours per site</t>
    </r>
  </si>
  <si>
    <t>Calibration Stds</t>
  </si>
  <si>
    <t>f</t>
  </si>
  <si>
    <t>PAMSCarbD</t>
  </si>
  <si>
    <t>PAMSHalfD</t>
  </si>
  <si>
    <t>Filter-Based</t>
  </si>
  <si>
    <t>1/1 (daily)</t>
  </si>
  <si>
    <t>1/2</t>
  </si>
  <si>
    <t>1/3</t>
  </si>
  <si>
    <t>1/6</t>
  </si>
  <si>
    <t>Analyzer Spare Factor</t>
  </si>
  <si>
    <t>Continuous Sites</t>
  </si>
  <si>
    <t>collocated</t>
  </si>
  <si>
    <t>Supervision/review</t>
  </si>
  <si>
    <r>
      <t xml:space="preserve">Continuous   </t>
    </r>
    <r>
      <rPr>
        <sz val="10"/>
        <rFont val="Arial"/>
        <family val="2"/>
      </rPr>
      <t>Hours per site</t>
    </r>
  </si>
  <si>
    <r>
      <t xml:space="preserve">Filter Based   </t>
    </r>
    <r>
      <rPr>
        <sz val="10"/>
        <rFont val="Arial"/>
        <family val="2"/>
      </rPr>
      <t>Hours per site</t>
    </r>
  </si>
  <si>
    <t>Filter Based   Hours per site</t>
  </si>
  <si>
    <t>Continuous   Hours per site</t>
  </si>
  <si>
    <t>Filter Tape</t>
  </si>
  <si>
    <t>Continuous sites Hours per site</t>
  </si>
  <si>
    <t>1/3 and 1/6 sites  Hours per site</t>
  </si>
  <si>
    <t>1/1 and 1/2 sites  Hours per site</t>
  </si>
  <si>
    <t>Laboratory Service</t>
  </si>
  <si>
    <r>
      <t>Laboratory</t>
    </r>
    <r>
      <rPr>
        <sz val="10"/>
        <rFont val="Arial"/>
        <family val="2"/>
      </rPr>
      <t xml:space="preserve">                Hours per site</t>
    </r>
  </si>
  <si>
    <t>Item 6</t>
  </si>
  <si>
    <t>Audit/Calibration Kits (Continuous)</t>
  </si>
  <si>
    <t>Audit/Calibration Kits (Filter Based)</t>
  </si>
  <si>
    <r>
      <t>Audits</t>
    </r>
    <r>
      <rPr>
        <sz val="10"/>
        <rFont val="Arial"/>
        <family val="2"/>
      </rPr>
      <t xml:space="preserve"> - Filter based    Hours per site</t>
    </r>
  </si>
  <si>
    <r>
      <t>Audits</t>
    </r>
    <r>
      <rPr>
        <sz val="10"/>
        <rFont val="Arial"/>
        <family val="2"/>
      </rPr>
      <t xml:space="preserve"> - Continuous     Hours per site</t>
    </r>
  </si>
  <si>
    <t>a) Network Design (see individual pollutants)</t>
  </si>
  <si>
    <t>b) Site Selection (see individual pollutants)</t>
  </si>
  <si>
    <t>c) Travel other than monitoring sites</t>
  </si>
  <si>
    <t xml:space="preserve">Hours </t>
  </si>
  <si>
    <t>Costs (not linked to hours)</t>
  </si>
  <si>
    <t>d) Saturation studies</t>
  </si>
  <si>
    <t>Base year</t>
  </si>
  <si>
    <t>Small Shelter Sites</t>
  </si>
  <si>
    <t>Large Shelter Sites</t>
  </si>
  <si>
    <t>Other Sites</t>
  </si>
  <si>
    <t>Total Shelter Sites</t>
  </si>
  <si>
    <t>Shelters</t>
  </si>
  <si>
    <t>Generic Network</t>
  </si>
  <si>
    <t>Multigas calibrator</t>
  </si>
  <si>
    <t>Zero air supply</t>
  </si>
  <si>
    <t>Ambient air intake manifold assembly</t>
  </si>
  <si>
    <t>Shelter (large, temp controlled)</t>
  </si>
  <si>
    <t>Shelter (small, temp controlled)</t>
  </si>
  <si>
    <t>Shelter delivery charges</t>
  </si>
  <si>
    <t>Other shelter equipment/accessories</t>
  </si>
  <si>
    <t>Item 7</t>
  </si>
  <si>
    <t>e) Additional indirect cost adj ($2/hour)</t>
  </si>
  <si>
    <t>Site preparation</t>
  </si>
  <si>
    <t>Power drop</t>
  </si>
  <si>
    <t>Item 8</t>
  </si>
  <si>
    <t>Item 9</t>
  </si>
  <si>
    <t>Item 10</t>
  </si>
  <si>
    <t>Land/Lease</t>
  </si>
  <si>
    <t>Rent</t>
  </si>
  <si>
    <t>Analysis and Trends (Rep. Org.)</t>
  </si>
  <si>
    <t>Element 4 - Maintenance - see individual pollutants</t>
  </si>
  <si>
    <t>Element 7 - Supervision - see individual pollutants</t>
  </si>
  <si>
    <t>Item 11</t>
  </si>
  <si>
    <t>Item 12</t>
  </si>
  <si>
    <t>Item 13</t>
  </si>
  <si>
    <t>Miscellaneous equipment</t>
  </si>
  <si>
    <t>QA Orgs</t>
  </si>
  <si>
    <t>Open Path Monitoring</t>
  </si>
  <si>
    <t>Utilities</t>
  </si>
  <si>
    <t>Vehicle</t>
  </si>
  <si>
    <t xml:space="preserve">Subtotal </t>
  </si>
  <si>
    <t>Cost Element</t>
  </si>
  <si>
    <t>Labor Hours</t>
  </si>
  <si>
    <t>Labor Costs</t>
  </si>
  <si>
    <t>Non-labor O &amp; M</t>
  </si>
  <si>
    <t>Equipment Contract</t>
  </si>
  <si>
    <t>Total Cost</t>
  </si>
  <si>
    <t>1. Network Design</t>
  </si>
  <si>
    <t>2. Site Installation</t>
  </si>
  <si>
    <t>3. Sampling &amp; Analysis</t>
  </si>
  <si>
    <t>4.  Maintenance</t>
  </si>
  <si>
    <t>5.  Data Management</t>
  </si>
  <si>
    <t>6. Quality Assurance</t>
  </si>
  <si>
    <t>7.  Supervision</t>
  </si>
  <si>
    <t>Totals</t>
  </si>
  <si>
    <t xml:space="preserve">          Costs included with other pollutants</t>
  </si>
  <si>
    <t>NATTS</t>
  </si>
  <si>
    <t>Analysis (grant to RO)</t>
  </si>
  <si>
    <r>
      <t xml:space="preserve">Reporting </t>
    </r>
    <r>
      <rPr>
        <sz val="10"/>
        <rFont val="Arial"/>
        <family val="2"/>
      </rPr>
      <t>- Filter         Hours per site</t>
    </r>
  </si>
  <si>
    <r>
      <t>Reporting</t>
    </r>
    <r>
      <rPr>
        <sz val="10"/>
        <rFont val="Arial"/>
        <family val="2"/>
      </rPr>
      <t xml:space="preserve"> - Cont         Hours per site</t>
    </r>
  </si>
  <si>
    <r>
      <t>Training</t>
    </r>
    <r>
      <rPr>
        <sz val="10"/>
        <rFont val="Arial"/>
        <family val="2"/>
      </rPr>
      <t xml:space="preserve"> - Filter          Hours per site</t>
    </r>
  </si>
  <si>
    <r>
      <t>Training</t>
    </r>
    <r>
      <rPr>
        <sz val="10"/>
        <rFont val="Arial"/>
        <family val="2"/>
      </rPr>
      <t xml:space="preserve"> - Continuous Hours per site</t>
    </r>
  </si>
  <si>
    <t>Continuous            Hours per site</t>
  </si>
  <si>
    <t>Filter - based          Hours per site</t>
  </si>
  <si>
    <r>
      <t xml:space="preserve">     </t>
    </r>
    <r>
      <rPr>
        <sz val="10"/>
        <rFont val="Arial"/>
        <family val="2"/>
      </rPr>
      <t xml:space="preserve">Continuous 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      Hours per site</t>
    </r>
  </si>
  <si>
    <r>
      <t>Data reporting</t>
    </r>
    <r>
      <rPr>
        <sz val="10"/>
        <rFont val="Arial"/>
        <family val="2"/>
      </rPr>
      <t xml:space="preserve"> Filter   Hours per site</t>
    </r>
  </si>
  <si>
    <r>
      <t>Data validation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Hours per site</t>
    </r>
  </si>
  <si>
    <r>
      <t>Routine Maint.</t>
    </r>
    <r>
      <rPr>
        <sz val="10"/>
        <rFont val="Arial"/>
        <family val="2"/>
      </rPr>
      <t xml:space="preserve"> Filter</t>
    </r>
    <r>
      <rPr>
        <b/>
        <sz val="10"/>
        <rFont val="Arial"/>
        <family val="2"/>
      </rPr>
      <t xml:space="preserve">    </t>
    </r>
    <r>
      <rPr>
        <sz val="10"/>
        <rFont val="Arial"/>
        <family val="2"/>
      </rPr>
      <t>Hours per site</t>
    </r>
  </si>
  <si>
    <t>Filter                     Hours per site</t>
  </si>
  <si>
    <t xml:space="preserve">     Filter Based</t>
  </si>
  <si>
    <t>Spare Parts - Continuous</t>
  </si>
  <si>
    <t>PM25</t>
  </si>
  <si>
    <t>Sampling Schedule</t>
  </si>
  <si>
    <t>Sampler Type</t>
  </si>
  <si>
    <t>seasonal</t>
  </si>
  <si>
    <t>Filter-Based Total</t>
  </si>
  <si>
    <t>sequential</t>
  </si>
  <si>
    <t>single chanel</t>
  </si>
  <si>
    <t>single channel collocated</t>
  </si>
  <si>
    <t>continuous</t>
  </si>
  <si>
    <t>speciation</t>
  </si>
  <si>
    <t>Sequential Sampler</t>
  </si>
  <si>
    <t>Spare Single-channel analyzers</t>
  </si>
  <si>
    <t>Single-channel analyzers</t>
  </si>
  <si>
    <t>Collocated Single-channel analyzers</t>
  </si>
  <si>
    <t>Seasonal Single-channel analyzers</t>
  </si>
  <si>
    <t>Speciation Sampler</t>
  </si>
  <si>
    <t>Data acquisition (laptop/PDA)</t>
  </si>
  <si>
    <r>
      <t xml:space="preserve">a) Single Channel </t>
    </r>
    <r>
      <rPr>
        <sz val="10"/>
        <rFont val="Arial"/>
        <family val="2"/>
      </rPr>
      <t xml:space="preserve">      Hours per site</t>
    </r>
  </si>
  <si>
    <r>
      <t xml:space="preserve">b) Sequential            </t>
    </r>
    <r>
      <rPr>
        <sz val="10"/>
        <rFont val="Arial"/>
        <family val="2"/>
      </rPr>
      <t xml:space="preserve">  Hours per site</t>
    </r>
  </si>
  <si>
    <r>
      <t>c) Seasonal</t>
    </r>
    <r>
      <rPr>
        <sz val="10"/>
        <rFont val="Arial"/>
        <family val="2"/>
      </rPr>
      <t xml:space="preserve">                Hours per site</t>
    </r>
  </si>
  <si>
    <r>
      <t>d) Continuous</t>
    </r>
    <r>
      <rPr>
        <sz val="10"/>
        <rFont val="Arial"/>
        <family val="2"/>
      </rPr>
      <t xml:space="preserve">             Hours per site</t>
    </r>
  </si>
  <si>
    <r>
      <t xml:space="preserve">e) Speciation       </t>
    </r>
    <r>
      <rPr>
        <sz val="10"/>
        <rFont val="Arial"/>
        <family val="2"/>
      </rPr>
      <t xml:space="preserve">       Hours per site</t>
    </r>
  </si>
  <si>
    <t>Speciation sampling national contract</t>
  </si>
  <si>
    <t>1/1, 1/3, and 1/6 sites  Hours per site</t>
  </si>
  <si>
    <t>Speciation          Hours per site</t>
  </si>
  <si>
    <t>Seasonal sites    Hours per site</t>
  </si>
  <si>
    <t>Microbalance</t>
  </si>
  <si>
    <t>Clean Room for Weighing</t>
  </si>
  <si>
    <r>
      <t>Laboratory</t>
    </r>
    <r>
      <rPr>
        <sz val="10"/>
        <rFont val="Arial"/>
        <family val="2"/>
      </rPr>
      <t xml:space="preserve">                  Hours per site</t>
    </r>
  </si>
  <si>
    <t>Speciation             Hours per site</t>
  </si>
  <si>
    <t>Monitoring</t>
  </si>
  <si>
    <t>Platforms</t>
  </si>
  <si>
    <t>Single Channel   Hours per site</t>
  </si>
  <si>
    <t>Sequential         Hours per site</t>
  </si>
  <si>
    <t>Seasonal           Hours per site</t>
  </si>
  <si>
    <t>Speciation         Hours per site</t>
  </si>
  <si>
    <t>Continuous         Hours per site</t>
  </si>
  <si>
    <t>Sequential        Hours per site</t>
  </si>
  <si>
    <t>Single Channel  Hours per site</t>
  </si>
  <si>
    <t>Seasonal          Hours per site</t>
  </si>
  <si>
    <t>Continuous        Hours per site</t>
  </si>
  <si>
    <t>Filter-based calibration kit</t>
  </si>
  <si>
    <t>Continuous calibration kit</t>
  </si>
  <si>
    <t>Audits</t>
  </si>
  <si>
    <t xml:space="preserve">     Sequential              Hours per site</t>
  </si>
  <si>
    <t xml:space="preserve">     Single-channel         Hours per site</t>
  </si>
  <si>
    <t xml:space="preserve">     Continuous             Hours per site</t>
  </si>
  <si>
    <t xml:space="preserve">     Seasonal                Hours per site</t>
  </si>
  <si>
    <t>Reporting</t>
  </si>
  <si>
    <t>Implementation/coordination</t>
  </si>
  <si>
    <t>Training</t>
  </si>
  <si>
    <t>Data Reporting</t>
  </si>
  <si>
    <t>Data Validation</t>
  </si>
  <si>
    <t>Data Distribution</t>
  </si>
  <si>
    <t>Sequential</t>
  </si>
  <si>
    <t>Single channel</t>
  </si>
  <si>
    <t>Seasonal</t>
  </si>
  <si>
    <t>Continuous</t>
  </si>
  <si>
    <t>Speciation</t>
  </si>
  <si>
    <t>Sequential             Hours per site</t>
  </si>
  <si>
    <t>Single channel       Hours per site</t>
  </si>
  <si>
    <t>Seasonal              Hours per site</t>
  </si>
  <si>
    <t>PAMSNMOC</t>
  </si>
  <si>
    <t>PAMSVOC</t>
  </si>
  <si>
    <t>Gas cleaning system</t>
  </si>
  <si>
    <t xml:space="preserve"> Auto GC Sites</t>
  </si>
  <si>
    <t>Canister Sites</t>
  </si>
  <si>
    <t>Canister sampling system</t>
  </si>
  <si>
    <t>Year 1 = 2013</t>
  </si>
  <si>
    <t>Routine Maintenance</t>
  </si>
  <si>
    <t>Average 2013-2015 PM 2.5</t>
  </si>
  <si>
    <t>Average 2013-2015 SO2</t>
  </si>
  <si>
    <t>Average 2013-2015 CO</t>
  </si>
  <si>
    <t>Average 2013-2015 NO2</t>
  </si>
  <si>
    <t>Average 2013-2015 O3</t>
  </si>
  <si>
    <t>Average 2013-2015 PM 10</t>
  </si>
  <si>
    <t>Average 2013-2015 Pb</t>
  </si>
  <si>
    <t>Average 2013-2015 NATTS</t>
  </si>
  <si>
    <t>Average 2013-2015 PAMS</t>
  </si>
  <si>
    <t>Average 2013-2015 General Network</t>
  </si>
  <si>
    <t>Grand Total Average 2013-2015</t>
  </si>
  <si>
    <t>Table 1.  Grand Total Average 2013-2015 Renewal for Labor Hours &amp; Costs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</si>
</sst>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$-409]#,##0"/>
    <numFmt numFmtId="167" formatCode="[$-409]mmmm\ d\,\ yyyy;@"/>
    <numFmt numFmtId="168" formatCode="0.000"/>
    <numFmt numFmtId="169" formatCode="0.0%"/>
    <numFmt numFmtId="170" formatCode="0.0"/>
    <numFmt numFmtId="171" formatCode="#,##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44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6"/>
      <name val="Arial"/>
      <family val="2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A5A5A5"/>
      </patternFill>
    </fill>
  </fills>
  <borders count="1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3" fillId="11" borderId="149" applyNumberFormat="0" applyAlignment="0" applyProtection="0"/>
  </cellStyleXfs>
  <cellXfs count="1467">
    <xf numFmtId="0" fontId="0" fillId="0" borderId="0" xfId="0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/>
    <xf numFmtId="0" fontId="3" fillId="0" borderId="6" xfId="0" applyFont="1" applyBorder="1"/>
    <xf numFmtId="0" fontId="3" fillId="0" borderId="7" xfId="0" applyFont="1" applyBorder="1" applyAlignment="1">
      <alignment horizontal="center" wrapText="1"/>
    </xf>
    <xf numFmtId="0" fontId="0" fillId="0" borderId="8" xfId="0" applyBorder="1"/>
    <xf numFmtId="2" fontId="0" fillId="2" borderId="1" xfId="0" applyNumberFormat="1" applyFill="1" applyBorder="1" applyProtection="1">
      <protection locked="0"/>
    </xf>
    <xf numFmtId="164" fontId="0" fillId="0" borderId="9" xfId="0" applyNumberFormat="1" applyBorder="1"/>
    <xf numFmtId="0" fontId="3" fillId="0" borderId="10" xfId="0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2" xfId="0" applyBorder="1"/>
    <xf numFmtId="0" fontId="3" fillId="0" borderId="1" xfId="0" applyFont="1" applyBorder="1"/>
    <xf numFmtId="165" fontId="0" fillId="0" borderId="1" xfId="0" applyNumberFormat="1" applyBorder="1"/>
    <xf numFmtId="0" fontId="0" fillId="2" borderId="13" xfId="0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Protection="1"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3" fontId="0" fillId="0" borderId="12" xfId="0" applyNumberFormat="1" applyFill="1" applyBorder="1" applyAlignment="1" applyProtection="1">
      <alignment horizontal="center"/>
    </xf>
    <xf numFmtId="0" fontId="0" fillId="0" borderId="15" xfId="0" applyFill="1" applyBorder="1" applyAlignment="1" applyProtection="1">
      <alignment horizontal="center"/>
    </xf>
    <xf numFmtId="0" fontId="0" fillId="0" borderId="15" xfId="0" applyBorder="1" applyAlignment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0" borderId="16" xfId="0" applyBorder="1"/>
    <xf numFmtId="0" fontId="3" fillId="0" borderId="11" xfId="0" applyFont="1" applyFill="1" applyBorder="1" applyAlignment="1">
      <alignment horizontal="center"/>
    </xf>
    <xf numFmtId="165" fontId="5" fillId="0" borderId="17" xfId="0" applyNumberFormat="1" applyFont="1" applyBorder="1"/>
    <xf numFmtId="3" fontId="0" fillId="0" borderId="18" xfId="0" applyNumberFormat="1" applyFill="1" applyBorder="1" applyAlignment="1" applyProtection="1">
      <alignment horizontal="center"/>
    </xf>
    <xf numFmtId="0" fontId="0" fillId="0" borderId="19" xfId="0" applyBorder="1"/>
    <xf numFmtId="1" fontId="0" fillId="0" borderId="12" xfId="0" applyNumberFormat="1" applyFill="1" applyBorder="1" applyAlignment="1" applyProtection="1">
      <alignment horizontal="center"/>
    </xf>
    <xf numFmtId="0" fontId="0" fillId="0" borderId="20" xfId="0" applyBorder="1"/>
    <xf numFmtId="3" fontId="0" fillId="0" borderId="21" xfId="0" applyNumberFormat="1" applyFill="1" applyBorder="1" applyAlignment="1" applyProtection="1">
      <alignment horizontal="center"/>
    </xf>
    <xf numFmtId="0" fontId="3" fillId="0" borderId="11" xfId="0" applyFont="1" applyBorder="1" applyAlignment="1">
      <alignment horizontal="center"/>
    </xf>
    <xf numFmtId="0" fontId="0" fillId="0" borderId="18" xfId="0" applyFill="1" applyBorder="1" applyAlignment="1" applyProtection="1">
      <alignment horizontal="center"/>
    </xf>
    <xf numFmtId="0" fontId="3" fillId="0" borderId="22" xfId="0" applyFont="1" applyBorder="1" applyAlignment="1">
      <alignment horizontal="center"/>
    </xf>
    <xf numFmtId="0" fontId="5" fillId="0" borderId="22" xfId="0" applyFont="1" applyBorder="1"/>
    <xf numFmtId="3" fontId="0" fillId="0" borderId="23" xfId="0" applyNumberFormat="1" applyFill="1" applyBorder="1" applyAlignment="1" applyProtection="1">
      <alignment horizontal="center"/>
    </xf>
    <xf numFmtId="10" fontId="0" fillId="2" borderId="11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</xf>
    <xf numFmtId="0" fontId="5" fillId="0" borderId="11" xfId="0" applyFont="1" applyBorder="1"/>
    <xf numFmtId="1" fontId="0" fillId="0" borderId="18" xfId="0" applyNumberFormat="1" applyFill="1" applyBorder="1" applyAlignment="1" applyProtection="1">
      <alignment horizontal="center"/>
    </xf>
    <xf numFmtId="0" fontId="0" fillId="0" borderId="24" xfId="0" applyBorder="1"/>
    <xf numFmtId="0" fontId="4" fillId="0" borderId="25" xfId="0" applyFont="1" applyFill="1" applyBorder="1"/>
    <xf numFmtId="0" fontId="0" fillId="0" borderId="26" xfId="0" applyBorder="1"/>
    <xf numFmtId="0" fontId="3" fillId="0" borderId="27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1" fontId="0" fillId="0" borderId="11" xfId="0" applyNumberFormat="1" applyFill="1" applyBorder="1"/>
    <xf numFmtId="0" fontId="0" fillId="0" borderId="1" xfId="0" applyFill="1" applyBorder="1"/>
    <xf numFmtId="0" fontId="5" fillId="0" borderId="21" xfId="0" applyFont="1" applyFill="1" applyBorder="1" applyAlignment="1">
      <alignment horizontal="center"/>
    </xf>
    <xf numFmtId="1" fontId="0" fillId="0" borderId="18" xfId="0" applyNumberFormat="1" applyFill="1" applyBorder="1"/>
    <xf numFmtId="165" fontId="5" fillId="0" borderId="15" xfId="0" applyNumberFormat="1" applyFont="1" applyFill="1" applyBorder="1"/>
    <xf numFmtId="165" fontId="5" fillId="0" borderId="17" xfId="0" applyNumberFormat="1" applyFont="1" applyFill="1" applyBorder="1"/>
    <xf numFmtId="0" fontId="0" fillId="0" borderId="20" xfId="0" applyFill="1" applyBorder="1"/>
    <xf numFmtId="0" fontId="0" fillId="0" borderId="11" xfId="0" applyBorder="1"/>
    <xf numFmtId="0" fontId="0" fillId="0" borderId="16" xfId="0" applyFill="1" applyBorder="1"/>
    <xf numFmtId="3" fontId="0" fillId="0" borderId="11" xfId="0" applyNumberFormat="1" applyFill="1" applyBorder="1"/>
    <xf numFmtId="3" fontId="0" fillId="0" borderId="1" xfId="0" applyNumberFormat="1" applyFill="1" applyBorder="1"/>
    <xf numFmtId="0" fontId="0" fillId="2" borderId="12" xfId="0" applyFill="1" applyBorder="1"/>
    <xf numFmtId="0" fontId="0" fillId="0" borderId="26" xfId="0" applyBorder="1" applyAlignment="1">
      <alignment horizontal="center"/>
    </xf>
    <xf numFmtId="0" fontId="0" fillId="0" borderId="28" xfId="0" applyBorder="1"/>
    <xf numFmtId="0" fontId="0" fillId="0" borderId="23" xfId="0" applyBorder="1"/>
    <xf numFmtId="0" fontId="0" fillId="0" borderId="9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3" fillId="0" borderId="14" xfId="0" applyFont="1" applyFill="1" applyBorder="1" applyAlignment="1">
      <alignment horizontal="center"/>
    </xf>
    <xf numFmtId="165" fontId="0" fillId="0" borderId="14" xfId="0" applyNumberFormat="1" applyBorder="1"/>
    <xf numFmtId="0" fontId="4" fillId="0" borderId="2" xfId="0" applyFont="1" applyBorder="1"/>
    <xf numFmtId="0" fontId="4" fillId="0" borderId="0" xfId="0" applyFont="1" applyBorder="1"/>
    <xf numFmtId="0" fontId="4" fillId="0" borderId="29" xfId="0" applyFont="1" applyFill="1" applyBorder="1"/>
    <xf numFmtId="3" fontId="5" fillId="0" borderId="12" xfId="0" applyNumberFormat="1" applyFont="1" applyFill="1" applyBorder="1"/>
    <xf numFmtId="0" fontId="0" fillId="0" borderId="19" xfId="0" applyFill="1" applyBorder="1"/>
    <xf numFmtId="165" fontId="5" fillId="0" borderId="30" xfId="0" applyNumberFormat="1" applyFont="1" applyFill="1" applyBorder="1"/>
    <xf numFmtId="165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 applyProtection="1">
      <alignment horizontal="right"/>
    </xf>
    <xf numFmtId="0" fontId="0" fillId="0" borderId="2" xfId="0" applyFill="1" applyBorder="1"/>
    <xf numFmtId="0" fontId="4" fillId="0" borderId="6" xfId="0" applyFont="1" applyFill="1" applyBorder="1"/>
    <xf numFmtId="3" fontId="0" fillId="0" borderId="1" xfId="0" applyNumberFormat="1" applyFill="1" applyBorder="1" applyAlignment="1">
      <alignment horizontal="right"/>
    </xf>
    <xf numFmtId="3" fontId="5" fillId="0" borderId="18" xfId="0" applyNumberFormat="1" applyFont="1" applyFill="1" applyBorder="1"/>
    <xf numFmtId="165" fontId="5" fillId="0" borderId="31" xfId="0" applyNumberFormat="1" applyFont="1" applyFill="1" applyBorder="1"/>
    <xf numFmtId="0" fontId="5" fillId="0" borderId="32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2" borderId="14" xfId="0" applyFill="1" applyBorder="1" applyAlignment="1">
      <alignment horizontal="center"/>
    </xf>
    <xf numFmtId="165" fontId="0" fillId="0" borderId="17" xfId="0" applyNumberFormat="1" applyFill="1" applyBorder="1"/>
    <xf numFmtId="3" fontId="5" fillId="0" borderId="33" xfId="0" applyNumberFormat="1" applyFont="1" applyFill="1" applyBorder="1"/>
    <xf numFmtId="3" fontId="0" fillId="0" borderId="18" xfId="0" applyNumberFormat="1" applyFill="1" applyBorder="1" applyAlignment="1" applyProtection="1">
      <alignment horizontal="right"/>
    </xf>
    <xf numFmtId="165" fontId="0" fillId="0" borderId="34" xfId="0" applyNumberFormat="1" applyFill="1" applyBorder="1"/>
    <xf numFmtId="3" fontId="0" fillId="0" borderId="33" xfId="0" applyNumberFormat="1" applyFill="1" applyBorder="1" applyAlignment="1" applyProtection="1">
      <alignment horizontal="center"/>
    </xf>
    <xf numFmtId="0" fontId="0" fillId="0" borderId="33" xfId="0" applyFill="1" applyBorder="1" applyAlignment="1" applyProtection="1">
      <alignment horizontal="center"/>
    </xf>
    <xf numFmtId="3" fontId="0" fillId="0" borderId="1" xfId="0" applyNumberFormat="1" applyBorder="1"/>
    <xf numFmtId="3" fontId="0" fillId="0" borderId="11" xfId="0" applyNumberFormat="1" applyBorder="1"/>
    <xf numFmtId="3" fontId="0" fillId="0" borderId="14" xfId="0" applyNumberFormat="1" applyBorder="1" applyAlignment="1">
      <alignment horizontal="center"/>
    </xf>
    <xf numFmtId="165" fontId="0" fillId="0" borderId="15" xfId="0" applyNumberFormat="1" applyBorder="1"/>
    <xf numFmtId="165" fontId="0" fillId="0" borderId="17" xfId="0" applyNumberFormat="1" applyBorder="1"/>
    <xf numFmtId="0" fontId="0" fillId="0" borderId="11" xfId="0" applyFill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0" xfId="0" applyFont="1" applyBorder="1"/>
    <xf numFmtId="1" fontId="0" fillId="0" borderId="11" xfId="0" applyNumberFormat="1" applyBorder="1"/>
    <xf numFmtId="165" fontId="0" fillId="0" borderId="30" xfId="0" applyNumberFormat="1" applyBorder="1"/>
    <xf numFmtId="0" fontId="3" fillId="0" borderId="35" xfId="0" applyFont="1" applyBorder="1" applyAlignment="1">
      <alignment horizontal="right"/>
    </xf>
    <xf numFmtId="0" fontId="0" fillId="0" borderId="22" xfId="0" applyFill="1" applyBorder="1" applyAlignment="1">
      <alignment horizontal="right"/>
    </xf>
    <xf numFmtId="0" fontId="4" fillId="0" borderId="36" xfId="0" applyFont="1" applyFill="1" applyBorder="1"/>
    <xf numFmtId="3" fontId="0" fillId="0" borderId="11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3" fontId="0" fillId="0" borderId="8" xfId="0" applyNumberFormat="1" applyBorder="1"/>
    <xf numFmtId="0" fontId="0" fillId="0" borderId="35" xfId="0" applyBorder="1"/>
    <xf numFmtId="0" fontId="3" fillId="0" borderId="37" xfId="0" applyFont="1" applyFill="1" applyBorder="1" applyAlignment="1">
      <alignment horizontal="center"/>
    </xf>
    <xf numFmtId="0" fontId="0" fillId="0" borderId="38" xfId="0" applyFill="1" applyBorder="1"/>
    <xf numFmtId="0" fontId="3" fillId="0" borderId="35" xfId="0" applyFont="1" applyFill="1" applyBorder="1" applyAlignment="1">
      <alignment horizontal="center"/>
    </xf>
    <xf numFmtId="0" fontId="3" fillId="0" borderId="8" xfId="0" applyFont="1" applyFill="1" applyBorder="1" applyAlignment="1"/>
    <xf numFmtId="3" fontId="0" fillId="0" borderId="8" xfId="0" applyNumberFormat="1" applyBorder="1" applyAlignment="1">
      <alignment horizontal="center"/>
    </xf>
    <xf numFmtId="165" fontId="0" fillId="0" borderId="39" xfId="0" applyNumberFormat="1" applyBorder="1"/>
    <xf numFmtId="3" fontId="0" fillId="0" borderId="37" xfId="0" applyNumberFormat="1" applyBorder="1"/>
    <xf numFmtId="0" fontId="0" fillId="0" borderId="40" xfId="0" applyBorder="1"/>
    <xf numFmtId="0" fontId="3" fillId="0" borderId="35" xfId="0" applyFont="1" applyFill="1" applyBorder="1" applyAlignment="1"/>
    <xf numFmtId="165" fontId="0" fillId="3" borderId="39" xfId="0" applyNumberFormat="1" applyFill="1" applyBorder="1"/>
    <xf numFmtId="0" fontId="0" fillId="0" borderId="41" xfId="0" applyBorder="1"/>
    <xf numFmtId="3" fontId="0" fillId="0" borderId="3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42" xfId="0" applyBorder="1"/>
    <xf numFmtId="165" fontId="0" fillId="0" borderId="43" xfId="0" applyNumberFormat="1" applyBorder="1"/>
    <xf numFmtId="3" fontId="0" fillId="0" borderId="43" xfId="0" applyNumberFormat="1" applyBorder="1" applyAlignment="1">
      <alignment horizontal="center"/>
    </xf>
    <xf numFmtId="0" fontId="0" fillId="0" borderId="44" xfId="0" applyBorder="1"/>
    <xf numFmtId="3" fontId="0" fillId="0" borderId="45" xfId="0" applyNumberForma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46" xfId="0" applyBorder="1"/>
    <xf numFmtId="0" fontId="3" fillId="0" borderId="16" xfId="0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6" xfId="0" applyNumberFormat="1" applyBorder="1" applyAlignment="1">
      <alignment horizontal="center"/>
    </xf>
    <xf numFmtId="3" fontId="0" fillId="0" borderId="4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32" xfId="0" applyNumberFormat="1" applyBorder="1"/>
    <xf numFmtId="3" fontId="0" fillId="3" borderId="8" xfId="0" applyNumberFormat="1" applyFill="1" applyBorder="1"/>
    <xf numFmtId="0" fontId="0" fillId="0" borderId="48" xfId="0" applyBorder="1"/>
    <xf numFmtId="5" fontId="0" fillId="0" borderId="1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3" fillId="0" borderId="16" xfId="0" applyFont="1" applyBorder="1" applyAlignment="1">
      <alignment vertical="top"/>
    </xf>
    <xf numFmtId="0" fontId="3" fillId="0" borderId="28" xfId="0" applyFont="1" applyBorder="1" applyAlignment="1">
      <alignment horizontal="center"/>
    </xf>
    <xf numFmtId="0" fontId="0" fillId="0" borderId="34" xfId="0" applyFill="1" applyBorder="1" applyAlignment="1">
      <alignment horizontal="right"/>
    </xf>
    <xf numFmtId="0" fontId="0" fillId="0" borderId="33" xfId="0" applyFill="1" applyBorder="1" applyAlignment="1">
      <alignment horizontal="right"/>
    </xf>
    <xf numFmtId="1" fontId="0" fillId="2" borderId="34" xfId="0" applyNumberFormat="1" applyFill="1" applyBorder="1" applyProtection="1">
      <protection locked="0"/>
    </xf>
    <xf numFmtId="165" fontId="0" fillId="0" borderId="1" xfId="0" applyNumberFormat="1" applyFill="1" applyBorder="1" applyProtection="1"/>
    <xf numFmtId="1" fontId="3" fillId="0" borderId="33" xfId="0" applyNumberFormat="1" applyFont="1" applyFill="1" applyBorder="1" applyProtection="1"/>
    <xf numFmtId="0" fontId="0" fillId="0" borderId="23" xfId="0" applyFill="1" applyBorder="1" applyAlignment="1">
      <alignment horizontal="right"/>
    </xf>
    <xf numFmtId="0" fontId="5" fillId="0" borderId="0" xfId="0" applyFont="1"/>
    <xf numFmtId="0" fontId="5" fillId="2" borderId="1" xfId="0" applyFont="1" applyFill="1" applyBorder="1" applyProtection="1">
      <protection locked="0"/>
    </xf>
    <xf numFmtId="165" fontId="5" fillId="2" borderId="1" xfId="0" applyNumberFormat="1" applyFont="1" applyFill="1" applyBorder="1" applyProtection="1">
      <protection locked="0"/>
    </xf>
    <xf numFmtId="1" fontId="3" fillId="0" borderId="11" xfId="0" applyNumberFormat="1" applyFont="1" applyFill="1" applyBorder="1" applyProtection="1"/>
    <xf numFmtId="0" fontId="3" fillId="0" borderId="37" xfId="0" applyFont="1" applyFill="1" applyBorder="1" applyAlignment="1"/>
    <xf numFmtId="165" fontId="0" fillId="0" borderId="39" xfId="0" applyNumberFormat="1" applyFill="1" applyBorder="1"/>
    <xf numFmtId="165" fontId="0" fillId="0" borderId="8" xfId="0" applyNumberFormat="1" applyFill="1" applyBorder="1"/>
    <xf numFmtId="3" fontId="0" fillId="0" borderId="8" xfId="0" applyNumberFormat="1" applyFill="1" applyBorder="1"/>
    <xf numFmtId="3" fontId="0" fillId="3" borderId="11" xfId="0" applyNumberFormat="1" applyFill="1" applyBorder="1"/>
    <xf numFmtId="3" fontId="0" fillId="3" borderId="37" xfId="0" applyNumberFormat="1" applyFill="1" applyBorder="1"/>
    <xf numFmtId="3" fontId="0" fillId="3" borderId="32" xfId="0" applyNumberFormat="1" applyFill="1" applyBorder="1"/>
    <xf numFmtId="0" fontId="0" fillId="0" borderId="49" xfId="0" applyFill="1" applyBorder="1"/>
    <xf numFmtId="0" fontId="3" fillId="0" borderId="23" xfId="0" applyFont="1" applyFill="1" applyBorder="1" applyAlignment="1">
      <alignment horizontal="center"/>
    </xf>
    <xf numFmtId="0" fontId="0" fillId="0" borderId="7" xfId="0" applyFill="1" applyBorder="1" applyAlignment="1" applyProtection="1">
      <alignment horizontal="left"/>
    </xf>
    <xf numFmtId="0" fontId="0" fillId="0" borderId="23" xfId="0" applyFill="1" applyBorder="1"/>
    <xf numFmtId="0" fontId="4" fillId="0" borderId="0" xfId="0" applyFont="1" applyFill="1" applyBorder="1"/>
    <xf numFmtId="165" fontId="0" fillId="0" borderId="34" xfId="0" applyNumberFormat="1" applyBorder="1"/>
    <xf numFmtId="0" fontId="3" fillId="0" borderId="21" xfId="0" applyFont="1" applyBorder="1" applyAlignment="1">
      <alignment horizontal="center"/>
    </xf>
    <xf numFmtId="3" fontId="0" fillId="0" borderId="12" xfId="0" applyNumberFormat="1" applyBorder="1"/>
    <xf numFmtId="3" fontId="0" fillId="0" borderId="18" xfId="0" applyNumberFormat="1" applyBorder="1"/>
    <xf numFmtId="3" fontId="0" fillId="0" borderId="21" xfId="0" applyNumberForma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50" xfId="0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53" xfId="0" applyFont="1" applyFill="1" applyBorder="1" applyAlignment="1">
      <alignment horizontal="center"/>
    </xf>
    <xf numFmtId="0" fontId="0" fillId="0" borderId="54" xfId="0" applyBorder="1"/>
    <xf numFmtId="0" fontId="3" fillId="0" borderId="53" xfId="0" applyFont="1" applyBorder="1" applyAlignment="1">
      <alignment horizontal="center"/>
    </xf>
    <xf numFmtId="3" fontId="0" fillId="0" borderId="14" xfId="0" applyNumberFormat="1" applyBorder="1"/>
    <xf numFmtId="3" fontId="0" fillId="0" borderId="21" xfId="0" applyNumberFormat="1" applyBorder="1"/>
    <xf numFmtId="0" fontId="0" fillId="0" borderId="21" xfId="0" applyBorder="1"/>
    <xf numFmtId="0" fontId="0" fillId="0" borderId="18" xfId="0" applyBorder="1"/>
    <xf numFmtId="0" fontId="0" fillId="0" borderId="21" xfId="0" applyBorder="1" applyAlignment="1">
      <alignment horizontal="center"/>
    </xf>
    <xf numFmtId="5" fontId="0" fillId="0" borderId="18" xfId="0" applyNumberForma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5" fontId="3" fillId="0" borderId="30" xfId="0" applyNumberFormat="1" applyFont="1" applyBorder="1"/>
    <xf numFmtId="5" fontId="3" fillId="0" borderId="15" xfId="0" applyNumberFormat="1" applyFont="1" applyBorder="1"/>
    <xf numFmtId="5" fontId="3" fillId="0" borderId="17" xfId="0" applyNumberFormat="1" applyFont="1" applyBorder="1"/>
    <xf numFmtId="5" fontId="3" fillId="0" borderId="17" xfId="0" applyNumberFormat="1" applyFont="1" applyBorder="1" applyAlignment="1">
      <alignment horizontal="center"/>
    </xf>
    <xf numFmtId="165" fontId="3" fillId="0" borderId="30" xfId="0" applyNumberFormat="1" applyFont="1" applyBorder="1"/>
    <xf numFmtId="165" fontId="3" fillId="0" borderId="15" xfId="0" applyNumberFormat="1" applyFont="1" applyBorder="1"/>
    <xf numFmtId="165" fontId="3" fillId="0" borderId="17" xfId="0" applyNumberFormat="1" applyFont="1" applyBorder="1"/>
    <xf numFmtId="165" fontId="3" fillId="0" borderId="17" xfId="0" applyNumberFormat="1" applyFont="1" applyBorder="1" applyAlignment="1">
      <alignment horizontal="center"/>
    </xf>
    <xf numFmtId="165" fontId="3" fillId="0" borderId="39" xfId="0" applyNumberFormat="1" applyFont="1" applyBorder="1"/>
    <xf numFmtId="165" fontId="0" fillId="0" borderId="18" xfId="0" applyNumberFormat="1" applyBorder="1" applyAlignment="1">
      <alignment horizontal="center"/>
    </xf>
    <xf numFmtId="1" fontId="0" fillId="0" borderId="21" xfId="0" applyNumberFormat="1" applyBorder="1"/>
    <xf numFmtId="1" fontId="0" fillId="0" borderId="12" xfId="0" applyNumberFormat="1" applyBorder="1"/>
    <xf numFmtId="1" fontId="0" fillId="0" borderId="18" xfId="0" applyNumberFormat="1" applyBorder="1"/>
    <xf numFmtId="1" fontId="0" fillId="0" borderId="2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165" fontId="3" fillId="0" borderId="15" xfId="0" applyNumberFormat="1" applyFont="1" applyBorder="1" applyAlignment="1">
      <alignment horizontal="center"/>
    </xf>
    <xf numFmtId="165" fontId="3" fillId="0" borderId="56" xfId="0" applyNumberFormat="1" applyFont="1" applyBorder="1"/>
    <xf numFmtId="165" fontId="3" fillId="0" borderId="57" xfId="0" applyNumberFormat="1" applyFont="1" applyBorder="1"/>
    <xf numFmtId="165" fontId="3" fillId="0" borderId="58" xfId="0" applyNumberFormat="1" applyFont="1" applyBorder="1"/>
    <xf numFmtId="165" fontId="3" fillId="0" borderId="59" xfId="0" applyNumberFormat="1" applyFont="1" applyBorder="1" applyAlignment="1">
      <alignment horizontal="center"/>
    </xf>
    <xf numFmtId="3" fontId="3" fillId="0" borderId="59" xfId="0" applyNumberFormat="1" applyFont="1" applyBorder="1" applyAlignment="1">
      <alignment horizontal="center"/>
    </xf>
    <xf numFmtId="0" fontId="0" fillId="0" borderId="35" xfId="0" applyFill="1" applyBorder="1"/>
    <xf numFmtId="0" fontId="0" fillId="0" borderId="60" xfId="0" applyBorder="1"/>
    <xf numFmtId="0" fontId="0" fillId="0" borderId="61" xfId="0" applyBorder="1"/>
    <xf numFmtId="3" fontId="3" fillId="0" borderId="62" xfId="0" applyNumberFormat="1" applyFont="1" applyBorder="1" applyAlignment="1">
      <alignment horizontal="center"/>
    </xf>
    <xf numFmtId="165" fontId="3" fillId="0" borderId="62" xfId="0" applyNumberFormat="1" applyFont="1" applyBorder="1"/>
    <xf numFmtId="3" fontId="0" fillId="0" borderId="63" xfId="0" applyNumberFormat="1" applyBorder="1" applyAlignment="1">
      <alignment horizontal="center"/>
    </xf>
    <xf numFmtId="3" fontId="3" fillId="0" borderId="64" xfId="0" applyNumberFormat="1" applyFont="1" applyBorder="1" applyAlignment="1">
      <alignment horizontal="center"/>
    </xf>
    <xf numFmtId="3" fontId="0" fillId="0" borderId="65" xfId="0" applyNumberFormat="1" applyBorder="1" applyAlignment="1">
      <alignment horizontal="center"/>
    </xf>
    <xf numFmtId="0" fontId="4" fillId="0" borderId="2" xfId="0" applyFont="1" applyFill="1" applyBorder="1"/>
    <xf numFmtId="0" fontId="6" fillId="0" borderId="66" xfId="0" applyFont="1" applyBorder="1" applyAlignment="1">
      <alignment horizontal="center"/>
    </xf>
    <xf numFmtId="0" fontId="7" fillId="0" borderId="0" xfId="0" applyFont="1"/>
    <xf numFmtId="0" fontId="0" fillId="0" borderId="67" xfId="0" applyBorder="1"/>
    <xf numFmtId="0" fontId="3" fillId="0" borderId="68" xfId="0" applyFont="1" applyBorder="1" applyAlignment="1">
      <alignment horizontal="right"/>
    </xf>
    <xf numFmtId="3" fontId="0" fillId="0" borderId="58" xfId="0" applyNumberFormat="1" applyFill="1" applyBorder="1" applyAlignment="1">
      <alignment horizontal="right"/>
    </xf>
    <xf numFmtId="0" fontId="0" fillId="0" borderId="7" xfId="0" applyBorder="1"/>
    <xf numFmtId="165" fontId="3" fillId="0" borderId="57" xfId="0" applyNumberFormat="1" applyFont="1" applyFill="1" applyBorder="1" applyAlignment="1" applyProtection="1">
      <alignment horizontal="center"/>
    </xf>
    <xf numFmtId="165" fontId="3" fillId="0" borderId="69" xfId="0" applyNumberFormat="1" applyFont="1" applyFill="1" applyBorder="1" applyAlignment="1" applyProtection="1">
      <alignment horizontal="center"/>
    </xf>
    <xf numFmtId="165" fontId="3" fillId="0" borderId="56" xfId="0" applyNumberFormat="1" applyFont="1" applyFill="1" applyBorder="1" applyAlignment="1" applyProtection="1">
      <alignment horizontal="center"/>
    </xf>
    <xf numFmtId="165" fontId="3" fillId="0" borderId="58" xfId="0" applyNumberFormat="1" applyFont="1" applyFill="1" applyBorder="1" applyAlignment="1" applyProtection="1">
      <alignment horizontal="center"/>
    </xf>
    <xf numFmtId="0" fontId="4" fillId="0" borderId="4" xfId="0" applyFont="1" applyFill="1" applyBorder="1"/>
    <xf numFmtId="0" fontId="4" fillId="0" borderId="70" xfId="0" applyFont="1" applyFill="1" applyBorder="1"/>
    <xf numFmtId="0" fontId="0" fillId="0" borderId="71" xfId="0" applyBorder="1"/>
    <xf numFmtId="165" fontId="3" fillId="0" borderId="72" xfId="0" applyNumberFormat="1" applyFont="1" applyFill="1" applyBorder="1" applyAlignment="1" applyProtection="1">
      <alignment horizontal="center"/>
    </xf>
    <xf numFmtId="165" fontId="3" fillId="3" borderId="73" xfId="0" applyNumberFormat="1" applyFont="1" applyFill="1" applyBorder="1"/>
    <xf numFmtId="3" fontId="3" fillId="0" borderId="69" xfId="0" applyNumberFormat="1" applyFont="1" applyBorder="1" applyAlignment="1">
      <alignment horizontal="center"/>
    </xf>
    <xf numFmtId="165" fontId="3" fillId="0" borderId="59" xfId="0" applyNumberFormat="1" applyFont="1" applyFill="1" applyBorder="1"/>
    <xf numFmtId="165" fontId="3" fillId="0" borderId="69" xfId="0" applyNumberFormat="1" applyFont="1" applyBorder="1"/>
    <xf numFmtId="165" fontId="3" fillId="0" borderId="56" xfId="0" applyNumberFormat="1" applyFont="1" applyFill="1" applyBorder="1"/>
    <xf numFmtId="165" fontId="3" fillId="0" borderId="57" xfId="0" applyNumberFormat="1" applyFont="1" applyFill="1" applyBorder="1"/>
    <xf numFmtId="165" fontId="3" fillId="0" borderId="58" xfId="0" applyNumberFormat="1" applyFont="1" applyFill="1" applyBorder="1"/>
    <xf numFmtId="165" fontId="3" fillId="0" borderId="73" xfId="0" applyNumberFormat="1" applyFont="1" applyBorder="1"/>
    <xf numFmtId="1" fontId="3" fillId="0" borderId="57" xfId="0" applyNumberFormat="1" applyFont="1" applyFill="1" applyBorder="1" applyAlignment="1" applyProtection="1">
      <alignment horizontal="center"/>
    </xf>
    <xf numFmtId="165" fontId="3" fillId="0" borderId="73" xfId="0" applyNumberFormat="1" applyFont="1" applyFill="1" applyBorder="1"/>
    <xf numFmtId="3" fontId="3" fillId="0" borderId="58" xfId="0" applyNumberFormat="1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" xfId="0" applyFont="1" applyFill="1" applyBorder="1"/>
    <xf numFmtId="1" fontId="5" fillId="4" borderId="11" xfId="0" applyNumberFormat="1" applyFont="1" applyFill="1" applyBorder="1"/>
    <xf numFmtId="0" fontId="5" fillId="4" borderId="0" xfId="0" applyFont="1" applyFill="1" applyBorder="1"/>
    <xf numFmtId="0" fontId="5" fillId="4" borderId="16" xfId="0" applyFont="1" applyFill="1" applyBorder="1"/>
    <xf numFmtId="165" fontId="5" fillId="4" borderId="30" xfId="0" applyNumberFormat="1" applyFont="1" applyFill="1" applyBorder="1"/>
    <xf numFmtId="165" fontId="5" fillId="4" borderId="15" xfId="0" applyNumberFormat="1" applyFont="1" applyFill="1" applyBorder="1"/>
    <xf numFmtId="165" fontId="5" fillId="4" borderId="17" xfId="0" applyNumberFormat="1" applyFont="1" applyFill="1" applyBorder="1"/>
    <xf numFmtId="3" fontId="5" fillId="4" borderId="21" xfId="0" applyNumberFormat="1" applyFont="1" applyFill="1" applyBorder="1" applyAlignment="1" applyProtection="1">
      <alignment horizontal="center"/>
    </xf>
    <xf numFmtId="3" fontId="5" fillId="4" borderId="12" xfId="0" applyNumberFormat="1" applyFont="1" applyFill="1" applyBorder="1" applyAlignment="1" applyProtection="1">
      <alignment horizontal="center"/>
    </xf>
    <xf numFmtId="3" fontId="5" fillId="4" borderId="18" xfId="0" applyNumberFormat="1" applyFont="1" applyFill="1" applyBorder="1" applyAlignment="1" applyProtection="1">
      <alignment horizontal="center"/>
    </xf>
    <xf numFmtId="165" fontId="3" fillId="4" borderId="56" xfId="0" applyNumberFormat="1" applyFont="1" applyFill="1" applyBorder="1" applyAlignment="1" applyProtection="1">
      <alignment horizontal="center"/>
    </xf>
    <xf numFmtId="165" fontId="3" fillId="4" borderId="57" xfId="0" applyNumberFormat="1" applyFont="1" applyFill="1" applyBorder="1" applyAlignment="1" applyProtection="1">
      <alignment horizontal="center"/>
    </xf>
    <xf numFmtId="165" fontId="3" fillId="4" borderId="58" xfId="0" applyNumberFormat="1" applyFont="1" applyFill="1" applyBorder="1" applyAlignment="1" applyProtection="1">
      <alignment horizontal="center"/>
    </xf>
    <xf numFmtId="0" fontId="3" fillId="4" borderId="2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0" fillId="4" borderId="1" xfId="0" applyNumberFormat="1" applyFill="1" applyBorder="1"/>
    <xf numFmtId="165" fontId="0" fillId="4" borderId="11" xfId="0" applyNumberFormat="1" applyFill="1" applyBorder="1"/>
    <xf numFmtId="3" fontId="0" fillId="4" borderId="1" xfId="0" applyNumberFormat="1" applyFill="1" applyBorder="1"/>
    <xf numFmtId="1" fontId="0" fillId="4" borderId="11" xfId="0" applyNumberFormat="1" applyFill="1" applyBorder="1"/>
    <xf numFmtId="0" fontId="0" fillId="4" borderId="1" xfId="0" applyFill="1" applyBorder="1"/>
    <xf numFmtId="3" fontId="0" fillId="4" borderId="21" xfId="0" applyNumberFormat="1" applyFill="1" applyBorder="1" applyAlignment="1" applyProtection="1">
      <alignment horizontal="center"/>
    </xf>
    <xf numFmtId="3" fontId="0" fillId="4" borderId="12" xfId="0" applyNumberFormat="1" applyFill="1" applyBorder="1" applyAlignment="1" applyProtection="1">
      <alignment horizontal="center"/>
    </xf>
    <xf numFmtId="3" fontId="0" fillId="4" borderId="18" xfId="0" applyNumberFormat="1" applyFill="1" applyBorder="1" applyAlignment="1" applyProtection="1">
      <alignment horizontal="center"/>
    </xf>
    <xf numFmtId="165" fontId="3" fillId="4" borderId="72" xfId="0" applyNumberFormat="1" applyFont="1" applyFill="1" applyBorder="1" applyAlignment="1" applyProtection="1">
      <alignment horizontal="center"/>
    </xf>
    <xf numFmtId="0" fontId="0" fillId="0" borderId="74" xfId="0" applyBorder="1"/>
    <xf numFmtId="3" fontId="0" fillId="4" borderId="11" xfId="0" applyNumberFormat="1" applyFill="1" applyBorder="1"/>
    <xf numFmtId="0" fontId="0" fillId="4" borderId="20" xfId="0" applyFill="1" applyBorder="1"/>
    <xf numFmtId="1" fontId="0" fillId="4" borderId="1" xfId="0" applyNumberFormat="1" applyFill="1" applyBorder="1"/>
    <xf numFmtId="165" fontId="5" fillId="4" borderId="39" xfId="0" applyNumberFormat="1" applyFont="1" applyFill="1" applyBorder="1"/>
    <xf numFmtId="0" fontId="5" fillId="4" borderId="21" xfId="0" applyFont="1" applyFill="1" applyBorder="1" applyAlignment="1">
      <alignment horizontal="center"/>
    </xf>
    <xf numFmtId="1" fontId="0" fillId="4" borderId="18" xfId="0" applyNumberFormat="1" applyFill="1" applyBorder="1"/>
    <xf numFmtId="165" fontId="3" fillId="4" borderId="14" xfId="0" applyNumberFormat="1" applyFont="1" applyFill="1" applyBorder="1" applyAlignment="1" applyProtection="1">
      <alignment horizontal="center"/>
    </xf>
    <xf numFmtId="165" fontId="3" fillId="4" borderId="15" xfId="0" applyNumberFormat="1" applyFont="1" applyFill="1" applyBorder="1"/>
    <xf numFmtId="165" fontId="3" fillId="4" borderId="17" xfId="0" applyNumberFormat="1" applyFont="1" applyFill="1" applyBorder="1"/>
    <xf numFmtId="165" fontId="0" fillId="4" borderId="14" xfId="0" applyNumberFormat="1" applyFill="1" applyBorder="1"/>
    <xf numFmtId="0" fontId="5" fillId="4" borderId="1" xfId="0" applyFont="1" applyFill="1" applyBorder="1" applyAlignment="1">
      <alignment horizontal="center"/>
    </xf>
    <xf numFmtId="165" fontId="0" fillId="4" borderId="34" xfId="0" applyNumberFormat="1" applyFill="1" applyBorder="1"/>
    <xf numFmtId="165" fontId="5" fillId="4" borderId="21" xfId="0" applyNumberFormat="1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33" xfId="0" applyNumberFormat="1" applyFont="1" applyFill="1" applyBorder="1"/>
    <xf numFmtId="165" fontId="3" fillId="4" borderId="73" xfId="0" applyNumberFormat="1" applyFont="1" applyFill="1" applyBorder="1"/>
    <xf numFmtId="165" fontId="3" fillId="4" borderId="57" xfId="0" applyNumberFormat="1" applyFont="1" applyFill="1" applyBorder="1"/>
    <xf numFmtId="165" fontId="3" fillId="4" borderId="58" xfId="0" applyNumberFormat="1" applyFont="1" applyFill="1" applyBorder="1"/>
    <xf numFmtId="165" fontId="5" fillId="4" borderId="12" xfId="0" applyNumberFormat="1" applyFont="1" applyFill="1" applyBorder="1" applyAlignment="1">
      <alignment horizontal="center"/>
    </xf>
    <xf numFmtId="165" fontId="0" fillId="4" borderId="17" xfId="0" applyNumberFormat="1" applyFill="1" applyBorder="1"/>
    <xf numFmtId="3" fontId="0" fillId="4" borderId="12" xfId="0" applyNumberFormat="1" applyFill="1" applyBorder="1" applyAlignment="1" applyProtection="1">
      <alignment horizontal="right"/>
    </xf>
    <xf numFmtId="3" fontId="0" fillId="4" borderId="18" xfId="0" applyNumberFormat="1" applyFill="1" applyBorder="1" applyAlignment="1" applyProtection="1">
      <alignment horizontal="right"/>
    </xf>
    <xf numFmtId="165" fontId="3" fillId="4" borderId="56" xfId="0" applyNumberFormat="1" applyFont="1" applyFill="1" applyBorder="1"/>
    <xf numFmtId="3" fontId="0" fillId="4" borderId="33" xfId="0" applyNumberFormat="1" applyFill="1" applyBorder="1" applyAlignment="1" applyProtection="1">
      <alignment horizontal="center"/>
    </xf>
    <xf numFmtId="165" fontId="3" fillId="4" borderId="73" xfId="0" applyNumberFormat="1" applyFont="1" applyFill="1" applyBorder="1" applyAlignment="1" applyProtection="1">
      <alignment horizontal="center"/>
    </xf>
    <xf numFmtId="3" fontId="0" fillId="4" borderId="1" xfId="0" applyNumberFormat="1" applyFill="1" applyBorder="1" applyAlignment="1">
      <alignment horizontal="right"/>
    </xf>
    <xf numFmtId="1" fontId="0" fillId="4" borderId="12" xfId="0" applyNumberFormat="1" applyFill="1" applyBorder="1" applyAlignment="1" applyProtection="1">
      <alignment horizontal="center"/>
    </xf>
    <xf numFmtId="3" fontId="5" fillId="4" borderId="18" xfId="0" applyNumberFormat="1" applyFont="1" applyFill="1" applyBorder="1"/>
    <xf numFmtId="1" fontId="3" fillId="4" borderId="57" xfId="0" applyNumberFormat="1" applyFont="1" applyFill="1" applyBorder="1" applyAlignment="1" applyProtection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28" xfId="0" applyFill="1" applyBorder="1"/>
    <xf numFmtId="0" fontId="0" fillId="4" borderId="12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3" fontId="0" fillId="4" borderId="33" xfId="0" applyNumberFormat="1" applyFill="1" applyBorder="1" applyAlignment="1" applyProtection="1">
      <alignment horizontal="right"/>
    </xf>
    <xf numFmtId="0" fontId="3" fillId="4" borderId="52" xfId="0" applyFont="1" applyFill="1" applyBorder="1" applyAlignment="1">
      <alignment horizontal="center"/>
    </xf>
    <xf numFmtId="0" fontId="3" fillId="4" borderId="50" xfId="0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3" fontId="0" fillId="4" borderId="12" xfId="0" applyNumberFormat="1" applyFill="1" applyBorder="1"/>
    <xf numFmtId="3" fontId="0" fillId="4" borderId="18" xfId="0" applyNumberFormat="1" applyFill="1" applyBorder="1"/>
    <xf numFmtId="5" fontId="3" fillId="4" borderId="30" xfId="0" applyNumberFormat="1" applyFont="1" applyFill="1" applyBorder="1"/>
    <xf numFmtId="5" fontId="3" fillId="4" borderId="15" xfId="0" applyNumberFormat="1" applyFont="1" applyFill="1" applyBorder="1"/>
    <xf numFmtId="5" fontId="3" fillId="4" borderId="17" xfId="0" applyNumberFormat="1" applyFont="1" applyFill="1" applyBorder="1"/>
    <xf numFmtId="165" fontId="3" fillId="4" borderId="30" xfId="0" applyNumberFormat="1" applyFont="1" applyFill="1" applyBorder="1"/>
    <xf numFmtId="0" fontId="0" fillId="4" borderId="21" xfId="0" applyFill="1" applyBorder="1" applyAlignment="1">
      <alignment horizontal="center"/>
    </xf>
    <xf numFmtId="0" fontId="0" fillId="4" borderId="12" xfId="0" applyFill="1" applyBorder="1"/>
    <xf numFmtId="0" fontId="0" fillId="4" borderId="18" xfId="0" applyFill="1" applyBorder="1"/>
    <xf numFmtId="1" fontId="0" fillId="4" borderId="21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165" fontId="3" fillId="4" borderId="39" xfId="0" applyNumberFormat="1" applyFont="1" applyFill="1" applyBorder="1"/>
    <xf numFmtId="3" fontId="0" fillId="4" borderId="14" xfId="0" applyNumberFormat="1" applyFill="1" applyBorder="1" applyAlignment="1">
      <alignment horizontal="center"/>
    </xf>
    <xf numFmtId="0" fontId="0" fillId="2" borderId="57" xfId="0" applyFill="1" applyBorder="1" applyAlignment="1">
      <alignment horizontal="center"/>
    </xf>
    <xf numFmtId="0" fontId="3" fillId="0" borderId="75" xfId="0" applyFont="1" applyFill="1" applyBorder="1" applyAlignment="1">
      <alignment horizontal="right"/>
    </xf>
    <xf numFmtId="1" fontId="0" fillId="0" borderId="69" xfId="0" applyNumberFormat="1" applyFill="1" applyBorder="1"/>
    <xf numFmtId="0" fontId="3" fillId="0" borderId="75" xfId="0" applyFont="1" applyBorder="1" applyAlignment="1">
      <alignment horizontal="right"/>
    </xf>
    <xf numFmtId="1" fontId="0" fillId="0" borderId="56" xfId="0" applyNumberFormat="1" applyFill="1" applyBorder="1"/>
    <xf numFmtId="0" fontId="5" fillId="2" borderId="12" xfId="0" applyFont="1" applyFill="1" applyBorder="1" applyAlignment="1" applyProtection="1">
      <alignment horizontal="center"/>
      <protection locked="0"/>
    </xf>
    <xf numFmtId="0" fontId="5" fillId="0" borderId="18" xfId="0" applyFont="1" applyBorder="1"/>
    <xf numFmtId="3" fontId="0" fillId="0" borderId="12" xfId="0" applyNumberFormat="1" applyFill="1" applyBorder="1"/>
    <xf numFmtId="3" fontId="0" fillId="0" borderId="18" xfId="0" applyNumberFormat="1" applyFill="1" applyBorder="1"/>
    <xf numFmtId="0" fontId="3" fillId="0" borderId="23" xfId="0" applyFont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0" fillId="0" borderId="15" xfId="0" applyNumberFormat="1" applyFill="1" applyBorder="1" applyProtection="1"/>
    <xf numFmtId="0" fontId="0" fillId="0" borderId="76" xfId="0" applyBorder="1"/>
    <xf numFmtId="165" fontId="0" fillId="4" borderId="15" xfId="0" applyNumberFormat="1" applyFill="1" applyBorder="1"/>
    <xf numFmtId="0" fontId="3" fillId="4" borderId="18" xfId="0" applyFont="1" applyFill="1" applyBorder="1" applyAlignment="1">
      <alignment horizontal="center"/>
    </xf>
    <xf numFmtId="165" fontId="0" fillId="0" borderId="15" xfId="0" applyNumberFormat="1" applyFill="1" applyBorder="1"/>
    <xf numFmtId="165" fontId="0" fillId="4" borderId="39" xfId="0" applyNumberFormat="1" applyFill="1" applyBorder="1"/>
    <xf numFmtId="3" fontId="0" fillId="0" borderId="39" xfId="0" applyNumberFormat="1" applyBorder="1" applyAlignment="1">
      <alignment horizontal="center"/>
    </xf>
    <xf numFmtId="165" fontId="0" fillId="0" borderId="24" xfId="0" applyNumberFormat="1" applyBorder="1"/>
    <xf numFmtId="0" fontId="0" fillId="0" borderId="77" xfId="0" applyBorder="1"/>
    <xf numFmtId="165" fontId="5" fillId="0" borderId="39" xfId="0" applyNumberFormat="1" applyFont="1" applyFill="1" applyBorder="1"/>
    <xf numFmtId="0" fontId="3" fillId="0" borderId="17" xfId="0" applyFont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0" borderId="23" xfId="0" applyFont="1" applyBorder="1"/>
    <xf numFmtId="1" fontId="0" fillId="4" borderId="33" xfId="0" applyNumberFormat="1" applyFill="1" applyBorder="1"/>
    <xf numFmtId="0" fontId="3" fillId="0" borderId="24" xfId="0" applyFont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165" fontId="0" fillId="0" borderId="40" xfId="0" applyNumberFormat="1" applyBorder="1"/>
    <xf numFmtId="0" fontId="0" fillId="4" borderId="2" xfId="0" applyFill="1" applyBorder="1"/>
    <xf numFmtId="165" fontId="0" fillId="0" borderId="45" xfId="0" applyNumberFormat="1" applyBorder="1"/>
    <xf numFmtId="0" fontId="3" fillId="0" borderId="15" xfId="0" applyFont="1" applyFill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165" fontId="3" fillId="0" borderId="24" xfId="0" applyNumberFormat="1" applyFont="1" applyBorder="1"/>
    <xf numFmtId="165" fontId="3" fillId="0" borderId="30" xfId="0" applyNumberFormat="1" applyFont="1" applyFill="1" applyBorder="1"/>
    <xf numFmtId="165" fontId="3" fillId="0" borderId="15" xfId="0" applyNumberFormat="1" applyFont="1" applyFill="1" applyBorder="1"/>
    <xf numFmtId="165" fontId="3" fillId="0" borderId="17" xfId="0" applyNumberFormat="1" applyFont="1" applyFill="1" applyBorder="1"/>
    <xf numFmtId="165" fontId="3" fillId="0" borderId="8" xfId="0" applyNumberFormat="1" applyFont="1" applyBorder="1"/>
    <xf numFmtId="3" fontId="3" fillId="0" borderId="22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</xf>
    <xf numFmtId="165" fontId="3" fillId="0" borderId="22" xfId="0" applyNumberFormat="1" applyFont="1" applyBorder="1"/>
    <xf numFmtId="165" fontId="3" fillId="4" borderId="14" xfId="0" applyNumberFormat="1" applyFont="1" applyFill="1" applyBorder="1"/>
    <xf numFmtId="165" fontId="3" fillId="4" borderId="1" xfId="0" applyNumberFormat="1" applyFont="1" applyFill="1" applyBorder="1"/>
    <xf numFmtId="165" fontId="3" fillId="4" borderId="11" xfId="0" applyNumberFormat="1" applyFont="1" applyFill="1" applyBorder="1"/>
    <xf numFmtId="165" fontId="3" fillId="0" borderId="14" xfId="0" applyNumberFormat="1" applyFont="1" applyFill="1" applyBorder="1"/>
    <xf numFmtId="165" fontId="3" fillId="0" borderId="1" xfId="0" applyNumberFormat="1" applyFont="1" applyFill="1" applyBorder="1"/>
    <xf numFmtId="165" fontId="3" fillId="0" borderId="11" xfId="0" applyNumberFormat="1" applyFont="1" applyFill="1" applyBorder="1"/>
    <xf numFmtId="0" fontId="3" fillId="0" borderId="30" xfId="0" applyFont="1" applyFill="1" applyBorder="1" applyAlignment="1" applyProtection="1">
      <alignment horizontal="center"/>
    </xf>
    <xf numFmtId="165" fontId="3" fillId="4" borderId="34" xfId="0" applyNumberFormat="1" applyFont="1" applyFill="1" applyBorder="1"/>
    <xf numFmtId="165" fontId="3" fillId="3" borderId="39" xfId="0" applyNumberFormat="1" applyFont="1" applyFill="1" applyBorder="1"/>
    <xf numFmtId="3" fontId="3" fillId="0" borderId="45" xfId="0" applyNumberFormat="1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5" fillId="0" borderId="1" xfId="0" applyFont="1" applyBorder="1"/>
    <xf numFmtId="165" fontId="5" fillId="2" borderId="14" xfId="0" applyNumberFormat="1" applyFon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3" fillId="0" borderId="21" xfId="0" applyFont="1" applyFill="1" applyBorder="1" applyAlignment="1">
      <alignment horizontal="right"/>
    </xf>
    <xf numFmtId="0" fontId="3" fillId="0" borderId="12" xfId="0" applyFont="1" applyBorder="1"/>
    <xf numFmtId="0" fontId="4" fillId="0" borderId="28" xfId="0" applyFont="1" applyBorder="1"/>
    <xf numFmtId="0" fontId="3" fillId="0" borderId="14" xfId="0" applyFont="1" applyBorder="1" applyAlignment="1">
      <alignment horizontal="center"/>
    </xf>
    <xf numFmtId="168" fontId="0" fillId="2" borderId="14" xfId="0" applyNumberFormat="1" applyFill="1" applyBorder="1"/>
    <xf numFmtId="168" fontId="0" fillId="2" borderId="1" xfId="0" applyNumberFormat="1" applyFill="1" applyBorder="1"/>
    <xf numFmtId="0" fontId="3" fillId="0" borderId="16" xfId="0" applyFont="1" applyFill="1" applyBorder="1" applyAlignment="1">
      <alignment horizontal="center"/>
    </xf>
    <xf numFmtId="0" fontId="0" fillId="4" borderId="0" xfId="0" applyFill="1" applyBorder="1"/>
    <xf numFmtId="0" fontId="0" fillId="4" borderId="16" xfId="0" applyFill="1" applyBorder="1"/>
    <xf numFmtId="1" fontId="0" fillId="0" borderId="20" xfId="0" applyNumberFormat="1" applyFill="1" applyBorder="1"/>
    <xf numFmtId="165" fontId="3" fillId="0" borderId="11" xfId="0" applyNumberFormat="1" applyFont="1" applyBorder="1"/>
    <xf numFmtId="165" fontId="3" fillId="0" borderId="73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left"/>
    </xf>
    <xf numFmtId="0" fontId="0" fillId="0" borderId="75" xfId="0" applyBorder="1"/>
    <xf numFmtId="0" fontId="0" fillId="0" borderId="75" xfId="0" applyBorder="1" applyAlignment="1">
      <alignment horizontal="center"/>
    </xf>
    <xf numFmtId="0" fontId="0" fillId="0" borderId="78" xfId="0" applyFill="1" applyBorder="1"/>
    <xf numFmtId="0" fontId="0" fillId="0" borderId="75" xfId="0" applyFill="1" applyBorder="1"/>
    <xf numFmtId="0" fontId="0" fillId="0" borderId="67" xfId="0" applyFill="1" applyBorder="1"/>
    <xf numFmtId="0" fontId="4" fillId="0" borderId="16" xfId="0" applyFont="1" applyFill="1" applyBorder="1"/>
    <xf numFmtId="0" fontId="3" fillId="0" borderId="79" xfId="0" applyFont="1" applyFill="1" applyBorder="1" applyAlignment="1">
      <alignment horizontal="center"/>
    </xf>
    <xf numFmtId="0" fontId="3" fillId="0" borderId="80" xfId="0" applyFont="1" applyBorder="1" applyAlignment="1">
      <alignment horizontal="center"/>
    </xf>
    <xf numFmtId="0" fontId="0" fillId="0" borderId="81" xfId="0" applyBorder="1"/>
    <xf numFmtId="5" fontId="3" fillId="0" borderId="11" xfId="0" applyNumberFormat="1" applyFont="1" applyBorder="1"/>
    <xf numFmtId="5" fontId="3" fillId="0" borderId="11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5" fontId="3" fillId="4" borderId="11" xfId="0" applyNumberFormat="1" applyFont="1" applyFill="1" applyBorder="1"/>
    <xf numFmtId="0" fontId="0" fillId="4" borderId="11" xfId="0" applyFill="1" applyBorder="1"/>
    <xf numFmtId="165" fontId="0" fillId="4" borderId="30" xfId="0" applyNumberFormat="1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right"/>
    </xf>
    <xf numFmtId="3" fontId="0" fillId="0" borderId="0" xfId="0" applyNumberFormat="1" applyFill="1" applyBorder="1"/>
    <xf numFmtId="3" fontId="0" fillId="4" borderId="0" xfId="0" applyNumberFormat="1" applyFill="1" applyBorder="1"/>
    <xf numFmtId="0" fontId="3" fillId="4" borderId="53" xfId="0" applyFont="1" applyFill="1" applyBorder="1" applyAlignment="1">
      <alignment horizontal="center"/>
    </xf>
    <xf numFmtId="165" fontId="0" fillId="0" borderId="57" xfId="0" applyNumberFormat="1" applyFill="1" applyBorder="1" applyAlignment="1" applyProtection="1">
      <alignment horizontal="center"/>
    </xf>
    <xf numFmtId="165" fontId="0" fillId="0" borderId="58" xfId="0" applyNumberFormat="1" applyFill="1" applyBorder="1" applyAlignment="1" applyProtection="1">
      <alignment horizontal="center"/>
    </xf>
    <xf numFmtId="165" fontId="0" fillId="4" borderId="56" xfId="0" applyNumberFormat="1" applyFill="1" applyBorder="1" applyAlignment="1" applyProtection="1">
      <alignment horizontal="center"/>
    </xf>
    <xf numFmtId="165" fontId="0" fillId="4" borderId="57" xfId="0" applyNumberFormat="1" applyFill="1" applyBorder="1" applyAlignment="1" applyProtection="1">
      <alignment horizontal="center"/>
    </xf>
    <xf numFmtId="165" fontId="0" fillId="4" borderId="58" xfId="0" applyNumberFormat="1" applyFill="1" applyBorder="1" applyAlignment="1" applyProtection="1">
      <alignment horizontal="center"/>
    </xf>
    <xf numFmtId="165" fontId="0" fillId="0" borderId="56" xfId="0" applyNumberFormat="1" applyFill="1" applyBorder="1" applyAlignment="1" applyProtection="1">
      <alignment horizontal="center"/>
    </xf>
    <xf numFmtId="3" fontId="0" fillId="0" borderId="58" xfId="0" applyNumberFormat="1" applyBorder="1" applyAlignment="1">
      <alignment horizontal="center"/>
    </xf>
    <xf numFmtId="165" fontId="5" fillId="4" borderId="58" xfId="0" applyNumberFormat="1" applyFont="1" applyFill="1" applyBorder="1"/>
    <xf numFmtId="165" fontId="5" fillId="0" borderId="58" xfId="0" applyNumberFormat="1" applyFont="1" applyFill="1" applyBorder="1"/>
    <xf numFmtId="3" fontId="3" fillId="0" borderId="11" xfId="0" applyNumberFormat="1" applyFont="1" applyBorder="1" applyAlignment="1">
      <alignment horizontal="center"/>
    </xf>
    <xf numFmtId="165" fontId="3" fillId="0" borderId="31" xfId="0" applyNumberFormat="1" applyFont="1" applyFill="1" applyBorder="1"/>
    <xf numFmtId="165" fontId="3" fillId="0" borderId="8" xfId="0" applyNumberFormat="1" applyFont="1" applyFill="1" applyBorder="1"/>
    <xf numFmtId="0" fontId="0" fillId="0" borderId="12" xfId="0" applyBorder="1" applyAlignment="1">
      <alignment horizontal="center"/>
    </xf>
    <xf numFmtId="0" fontId="3" fillId="0" borderId="49" xfId="0" applyFont="1" applyBorder="1" applyAlignment="1">
      <alignment horizontal="right"/>
    </xf>
    <xf numFmtId="165" fontId="3" fillId="0" borderId="34" xfId="0" applyNumberFormat="1" applyFont="1" applyFill="1" applyBorder="1"/>
    <xf numFmtId="165" fontId="3" fillId="0" borderId="39" xfId="0" applyNumberFormat="1" applyFont="1" applyFill="1" applyBorder="1"/>
    <xf numFmtId="165" fontId="5" fillId="4" borderId="57" xfId="0" applyNumberFormat="1" applyFont="1" applyFill="1" applyBorder="1"/>
    <xf numFmtId="165" fontId="5" fillId="0" borderId="56" xfId="0" applyNumberFormat="1" applyFont="1" applyFill="1" applyBorder="1"/>
    <xf numFmtId="165" fontId="5" fillId="0" borderId="57" xfId="0" applyNumberFormat="1" applyFont="1" applyFill="1" applyBorder="1"/>
    <xf numFmtId="165" fontId="5" fillId="4" borderId="73" xfId="0" applyNumberFormat="1" applyFont="1" applyFill="1" applyBorder="1"/>
    <xf numFmtId="165" fontId="0" fillId="0" borderId="73" xfId="0" applyNumberFormat="1" applyFill="1" applyBorder="1"/>
    <xf numFmtId="165" fontId="0" fillId="0" borderId="69" xfId="0" applyNumberFormat="1" applyBorder="1"/>
    <xf numFmtId="165" fontId="5" fillId="0" borderId="69" xfId="0" applyNumberFormat="1" applyFont="1" applyBorder="1"/>
    <xf numFmtId="165" fontId="3" fillId="0" borderId="1" xfId="0" applyNumberFormat="1" applyFont="1" applyFill="1" applyBorder="1" applyProtection="1"/>
    <xf numFmtId="0" fontId="3" fillId="0" borderId="9" xfId="0" applyFont="1" applyBorder="1"/>
    <xf numFmtId="0" fontId="3" fillId="0" borderId="27" xfId="0" applyFont="1" applyBorder="1"/>
    <xf numFmtId="0" fontId="3" fillId="0" borderId="22" xfId="0" applyFont="1" applyBorder="1"/>
    <xf numFmtId="3" fontId="3" fillId="0" borderId="8" xfId="0" applyNumberFormat="1" applyFont="1" applyBorder="1" applyAlignment="1">
      <alignment horizontal="center"/>
    </xf>
    <xf numFmtId="165" fontId="3" fillId="0" borderId="23" xfId="0" applyNumberFormat="1" applyFont="1" applyBorder="1"/>
    <xf numFmtId="165" fontId="0" fillId="0" borderId="73" xfId="0" applyNumberFormat="1" applyBorder="1"/>
    <xf numFmtId="0" fontId="3" fillId="0" borderId="4" xfId="0" applyFont="1" applyBorder="1"/>
    <xf numFmtId="0" fontId="3" fillId="0" borderId="16" xfId="0" applyFont="1" applyBorder="1"/>
    <xf numFmtId="165" fontId="3" fillId="0" borderId="14" xfId="0" applyNumberFormat="1" applyFont="1" applyBorder="1"/>
    <xf numFmtId="165" fontId="3" fillId="0" borderId="1" xfId="0" applyNumberFormat="1" applyFont="1" applyBorder="1"/>
    <xf numFmtId="0" fontId="3" fillId="0" borderId="26" xfId="0" applyFont="1" applyBorder="1"/>
    <xf numFmtId="0" fontId="3" fillId="0" borderId="26" xfId="0" applyFont="1" applyBorder="1" applyAlignment="1">
      <alignment horizontal="center"/>
    </xf>
    <xf numFmtId="0" fontId="3" fillId="4" borderId="82" xfId="0" applyFont="1" applyFill="1" applyBorder="1"/>
    <xf numFmtId="3" fontId="3" fillId="0" borderId="39" xfId="0" applyNumberFormat="1" applyFont="1" applyBorder="1" applyAlignment="1">
      <alignment horizontal="center"/>
    </xf>
    <xf numFmtId="0" fontId="6" fillId="0" borderId="83" xfId="0" applyFont="1" applyBorder="1"/>
    <xf numFmtId="0" fontId="6" fillId="2" borderId="1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/>
    </xf>
    <xf numFmtId="167" fontId="5" fillId="2" borderId="1" xfId="0" applyNumberFormat="1" applyFont="1" applyFill="1" applyBorder="1" applyProtection="1">
      <protection locked="0"/>
    </xf>
    <xf numFmtId="0" fontId="6" fillId="0" borderId="31" xfId="0" applyFont="1" applyFill="1" applyBorder="1"/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3" xfId="0" applyFill="1" applyBorder="1"/>
    <xf numFmtId="0" fontId="6" fillId="0" borderId="84" xfId="0" applyFont="1" applyBorder="1"/>
    <xf numFmtId="0" fontId="6" fillId="0" borderId="3" xfId="0" applyFont="1" applyBorder="1"/>
    <xf numFmtId="0" fontId="6" fillId="0" borderId="84" xfId="0" applyFont="1" applyFill="1" applyBorder="1"/>
    <xf numFmtId="0" fontId="6" fillId="0" borderId="3" xfId="0" applyFont="1" applyFill="1" applyBorder="1"/>
    <xf numFmtId="0" fontId="0" fillId="0" borderId="85" xfId="0" applyBorder="1"/>
    <xf numFmtId="0" fontId="3" fillId="0" borderId="85" xfId="0" applyFont="1" applyBorder="1" applyAlignment="1">
      <alignment vertical="top"/>
    </xf>
    <xf numFmtId="0" fontId="6" fillId="0" borderId="80" xfId="0" applyFont="1" applyBorder="1"/>
    <xf numFmtId="0" fontId="4" fillId="0" borderId="85" xfId="0" applyFont="1" applyBorder="1"/>
    <xf numFmtId="0" fontId="3" fillId="0" borderId="83" xfId="0" applyFont="1" applyBorder="1"/>
    <xf numFmtId="0" fontId="0" fillId="0" borderId="85" xfId="0" applyBorder="1" applyAlignment="1">
      <alignment horizontal="right"/>
    </xf>
    <xf numFmtId="0" fontId="0" fillId="0" borderId="86" xfId="0" applyBorder="1" applyAlignment="1">
      <alignment horizontal="right"/>
    </xf>
    <xf numFmtId="0" fontId="3" fillId="0" borderId="87" xfId="0" applyFont="1" applyBorder="1" applyAlignment="1">
      <alignment horizontal="right"/>
    </xf>
    <xf numFmtId="0" fontId="3" fillId="0" borderId="85" xfId="0" applyFont="1" applyBorder="1"/>
    <xf numFmtId="0" fontId="3" fillId="0" borderId="12" xfId="0" applyFont="1" applyFill="1" applyBorder="1"/>
    <xf numFmtId="0" fontId="3" fillId="0" borderId="57" xfId="0" applyFont="1" applyFill="1" applyBorder="1"/>
    <xf numFmtId="0" fontId="4" fillId="0" borderId="88" xfId="0" applyFont="1" applyBorder="1"/>
    <xf numFmtId="0" fontId="3" fillId="0" borderId="1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85" xfId="0" applyFont="1" applyFill="1" applyBorder="1"/>
    <xf numFmtId="0" fontId="3" fillId="3" borderId="86" xfId="0" applyFont="1" applyFill="1" applyBorder="1"/>
    <xf numFmtId="0" fontId="3" fillId="0" borderId="89" xfId="0" applyFont="1" applyBorder="1" applyAlignment="1">
      <alignment horizontal="right"/>
    </xf>
    <xf numFmtId="0" fontId="3" fillId="0" borderId="86" xfId="0" applyFont="1" applyBorder="1"/>
    <xf numFmtId="0" fontId="3" fillId="0" borderId="13" xfId="0" applyFont="1" applyBorder="1"/>
    <xf numFmtId="0" fontId="0" fillId="0" borderId="13" xfId="0" applyBorder="1" applyAlignment="1">
      <alignment horizontal="right"/>
    </xf>
    <xf numFmtId="0" fontId="6" fillId="0" borderId="85" xfId="0" applyFont="1" applyBorder="1"/>
    <xf numFmtId="0" fontId="0" fillId="0" borderId="50" xfId="0" applyBorder="1"/>
    <xf numFmtId="0" fontId="3" fillId="0" borderId="15" xfId="0" applyFont="1" applyFill="1" applyBorder="1" applyAlignment="1">
      <alignment horizontal="right"/>
    </xf>
    <xf numFmtId="0" fontId="4" fillId="0" borderId="90" xfId="0" applyFont="1" applyBorder="1" applyAlignment="1">
      <alignment horizontal="center"/>
    </xf>
    <xf numFmtId="0" fontId="0" fillId="0" borderId="91" xfId="0" applyBorder="1"/>
    <xf numFmtId="165" fontId="3" fillId="0" borderId="65" xfId="0" applyNumberFormat="1" applyFont="1" applyBorder="1"/>
    <xf numFmtId="165" fontId="3" fillId="0" borderId="64" xfId="0" applyNumberFormat="1" applyFont="1" applyFill="1" applyBorder="1"/>
    <xf numFmtId="3" fontId="3" fillId="0" borderId="65" xfId="0" applyNumberFormat="1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90" xfId="0" applyNumberFormat="1" applyBorder="1" applyAlignment="1">
      <alignment horizontal="center"/>
    </xf>
    <xf numFmtId="0" fontId="0" fillId="0" borderId="92" xfId="0" applyBorder="1"/>
    <xf numFmtId="0" fontId="0" fillId="0" borderId="93" xfId="0" applyBorder="1"/>
    <xf numFmtId="3" fontId="3" fillId="0" borderId="63" xfId="0" applyNumberFormat="1" applyFont="1" applyBorder="1" applyAlignment="1">
      <alignment horizontal="center"/>
    </xf>
    <xf numFmtId="0" fontId="0" fillId="0" borderId="63" xfId="0" applyBorder="1"/>
    <xf numFmtId="165" fontId="0" fillId="0" borderId="65" xfId="0" applyNumberFormat="1" applyBorder="1" applyAlignment="1">
      <alignment horizontal="center"/>
    </xf>
    <xf numFmtId="3" fontId="0" fillId="0" borderId="62" xfId="0" applyNumberFormat="1" applyBorder="1" applyAlignment="1">
      <alignment horizontal="center"/>
    </xf>
    <xf numFmtId="165" fontId="4" fillId="0" borderId="57" xfId="0" applyNumberFormat="1" applyFont="1" applyBorder="1"/>
    <xf numFmtId="165" fontId="4" fillId="0" borderId="58" xfId="0" applyNumberFormat="1" applyFont="1" applyBorder="1"/>
    <xf numFmtId="165" fontId="4" fillId="4" borderId="56" xfId="0" applyNumberFormat="1" applyFont="1" applyFill="1" applyBorder="1"/>
    <xf numFmtId="3" fontId="4" fillId="4" borderId="57" xfId="0" applyNumberFormat="1" applyFont="1" applyFill="1" applyBorder="1"/>
    <xf numFmtId="165" fontId="4" fillId="4" borderId="58" xfId="0" applyNumberFormat="1" applyFont="1" applyFill="1" applyBorder="1"/>
    <xf numFmtId="165" fontId="4" fillId="0" borderId="56" xfId="0" applyNumberFormat="1" applyFont="1" applyBorder="1"/>
    <xf numFmtId="3" fontId="4" fillId="0" borderId="57" xfId="0" applyNumberFormat="1" applyFont="1" applyBorder="1"/>
    <xf numFmtId="165" fontId="4" fillId="0" borderId="64" xfId="0" applyNumberFormat="1" applyFont="1" applyBorder="1"/>
    <xf numFmtId="0" fontId="5" fillId="0" borderId="94" xfId="0" applyFont="1" applyFill="1" applyBorder="1" applyAlignment="1">
      <alignment horizontal="right"/>
    </xf>
    <xf numFmtId="0" fontId="4" fillId="0" borderId="95" xfId="0" applyFont="1" applyBorder="1"/>
    <xf numFmtId="0" fontId="5" fillId="0" borderId="96" xfId="0" applyFont="1" applyFill="1" applyBorder="1" applyAlignment="1">
      <alignment horizontal="right"/>
    </xf>
    <xf numFmtId="0" fontId="4" fillId="0" borderId="97" xfId="0" applyFont="1" applyFill="1" applyBorder="1" applyAlignment="1">
      <alignment horizontal="right"/>
    </xf>
    <xf numFmtId="169" fontId="3" fillId="0" borderId="9" xfId="0" applyNumberFormat="1" applyFont="1" applyFill="1" applyBorder="1" applyProtection="1"/>
    <xf numFmtId="0" fontId="3" fillId="0" borderId="49" xfId="0" applyFont="1" applyFill="1" applyBorder="1" applyAlignment="1">
      <alignment horizontal="right"/>
    </xf>
    <xf numFmtId="165" fontId="3" fillId="3" borderId="15" xfId="0" applyNumberFormat="1" applyFont="1" applyFill="1" applyBorder="1"/>
    <xf numFmtId="165" fontId="3" fillId="3" borderId="58" xfId="0" applyNumberFormat="1" applyFont="1" applyFill="1" applyBorder="1"/>
    <xf numFmtId="0" fontId="3" fillId="0" borderId="71" xfId="0" applyFont="1" applyBorder="1"/>
    <xf numFmtId="0" fontId="3" fillId="0" borderId="92" xfId="0" applyFont="1" applyBorder="1"/>
    <xf numFmtId="0" fontId="3" fillId="0" borderId="61" xfId="0" applyFont="1" applyBorder="1" applyAlignment="1">
      <alignment horizontal="center"/>
    </xf>
    <xf numFmtId="0" fontId="4" fillId="0" borderId="98" xfId="0" applyFont="1" applyFill="1" applyBorder="1"/>
    <xf numFmtId="0" fontId="4" fillId="0" borderId="85" xfId="0" applyFont="1" applyFill="1" applyBorder="1"/>
    <xf numFmtId="165" fontId="4" fillId="3" borderId="58" xfId="0" applyNumberFormat="1" applyFont="1" applyFill="1" applyBorder="1"/>
    <xf numFmtId="0" fontId="3" fillId="4" borderId="5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99" xfId="0" applyFill="1" applyBorder="1"/>
    <xf numFmtId="0" fontId="0" fillId="0" borderId="99" xfId="0" applyBorder="1"/>
    <xf numFmtId="0" fontId="3" fillId="0" borderId="99" xfId="0" applyFont="1" applyFill="1" applyBorder="1" applyAlignment="1">
      <alignment horizontal="center"/>
    </xf>
    <xf numFmtId="0" fontId="3" fillId="0" borderId="99" xfId="0" applyFont="1" applyBorder="1" applyAlignment="1">
      <alignment horizontal="center" wrapText="1"/>
    </xf>
    <xf numFmtId="0" fontId="0" fillId="0" borderId="100" xfId="0" applyBorder="1"/>
    <xf numFmtId="0" fontId="0" fillId="0" borderId="25" xfId="0" applyBorder="1"/>
    <xf numFmtId="0" fontId="6" fillId="0" borderId="25" xfId="0" applyFont="1" applyBorder="1"/>
    <xf numFmtId="0" fontId="6" fillId="0" borderId="101" xfId="0" applyFont="1" applyFill="1" applyBorder="1"/>
    <xf numFmtId="0" fontId="6" fillId="0" borderId="25" xfId="0" applyFont="1" applyFill="1" applyBorder="1"/>
    <xf numFmtId="0" fontId="0" fillId="0" borderId="36" xfId="0" applyFill="1" applyBorder="1"/>
    <xf numFmtId="0" fontId="4" fillId="0" borderId="44" xfId="0" applyFont="1" applyBorder="1" applyAlignment="1">
      <alignment horizontal="center"/>
    </xf>
    <xf numFmtId="0" fontId="0" fillId="0" borderId="49" xfId="0" applyBorder="1"/>
    <xf numFmtId="0" fontId="6" fillId="0" borderId="66" xfId="0" applyFont="1" applyBorder="1"/>
    <xf numFmtId="0" fontId="3" fillId="0" borderId="84" xfId="0" applyFont="1" applyBorder="1"/>
    <xf numFmtId="0" fontId="0" fillId="0" borderId="49" xfId="0" applyBorder="1" applyAlignment="1">
      <alignment horizontal="right"/>
    </xf>
    <xf numFmtId="0" fontId="3" fillId="0" borderId="49" xfId="0" applyFont="1" applyBorder="1"/>
    <xf numFmtId="0" fontId="3" fillId="0" borderId="37" xfId="0" applyFont="1" applyFill="1" applyBorder="1"/>
    <xf numFmtId="0" fontId="3" fillId="0" borderId="73" xfId="0" applyFont="1" applyFill="1" applyBorder="1"/>
    <xf numFmtId="0" fontId="4" fillId="0" borderId="49" xfId="0" applyFont="1" applyFill="1" applyBorder="1"/>
    <xf numFmtId="0" fontId="3" fillId="0" borderId="102" xfId="0" applyFont="1" applyBorder="1"/>
    <xf numFmtId="0" fontId="4" fillId="0" borderId="91" xfId="0" applyFont="1" applyBorder="1"/>
    <xf numFmtId="0" fontId="3" fillId="0" borderId="35" xfId="0" applyFont="1" applyBorder="1"/>
    <xf numFmtId="0" fontId="0" fillId="0" borderId="35" xfId="0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103" xfId="0" applyBorder="1" applyAlignment="1">
      <alignment horizontal="right"/>
    </xf>
    <xf numFmtId="0" fontId="5" fillId="0" borderId="102" xfId="0" applyFont="1" applyBorder="1" applyAlignment="1">
      <alignment horizontal="right"/>
    </xf>
    <xf numFmtId="0" fontId="0" fillId="0" borderId="104" xfId="0" applyBorder="1"/>
    <xf numFmtId="0" fontId="0" fillId="0" borderId="105" xfId="0" applyBorder="1"/>
    <xf numFmtId="0" fontId="3" fillId="0" borderId="44" xfId="0" applyFont="1" applyBorder="1"/>
    <xf numFmtId="0" fontId="3" fillId="0" borderId="45" xfId="0" applyFont="1" applyFill="1" applyBorder="1" applyAlignment="1">
      <alignment horizontal="right"/>
    </xf>
    <xf numFmtId="0" fontId="3" fillId="0" borderId="42" xfId="0" applyFont="1" applyBorder="1"/>
    <xf numFmtId="165" fontId="3" fillId="0" borderId="45" xfId="0" applyNumberFormat="1" applyFont="1" applyBorder="1"/>
    <xf numFmtId="3" fontId="3" fillId="0" borderId="104" xfId="0" applyNumberFormat="1" applyFon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0" fontId="3" fillId="0" borderId="59" xfId="0" applyFont="1" applyFill="1" applyBorder="1" applyAlignment="1">
      <alignment horizontal="right"/>
    </xf>
    <xf numFmtId="0" fontId="6" fillId="0" borderId="106" xfId="0" applyFont="1" applyBorder="1"/>
    <xf numFmtId="0" fontId="5" fillId="0" borderId="43" xfId="0" applyFont="1" applyFill="1" applyBorder="1" applyAlignment="1">
      <alignment horizontal="right"/>
    </xf>
    <xf numFmtId="0" fontId="8" fillId="0" borderId="45" xfId="0" applyFont="1" applyFill="1" applyBorder="1" applyAlignment="1">
      <alignment horizontal="right"/>
    </xf>
    <xf numFmtId="165" fontId="8" fillId="0" borderId="30" xfId="0" applyNumberFormat="1" applyFont="1" applyBorder="1"/>
    <xf numFmtId="165" fontId="8" fillId="0" borderId="15" xfId="0" applyNumberFormat="1" applyFont="1" applyBorder="1"/>
    <xf numFmtId="165" fontId="8" fillId="0" borderId="17" xfId="0" applyNumberFormat="1" applyFont="1" applyBorder="1"/>
    <xf numFmtId="165" fontId="8" fillId="4" borderId="39" xfId="0" applyNumberFormat="1" applyFont="1" applyFill="1" applyBorder="1"/>
    <xf numFmtId="3" fontId="8" fillId="4" borderId="15" xfId="0" applyNumberFormat="1" applyFont="1" applyFill="1" applyBorder="1"/>
    <xf numFmtId="165" fontId="8" fillId="4" borderId="17" xfId="0" applyNumberFormat="1" applyFont="1" applyFill="1" applyBorder="1"/>
    <xf numFmtId="3" fontId="8" fillId="0" borderId="15" xfId="0" applyNumberFormat="1" applyFont="1" applyBorder="1"/>
    <xf numFmtId="165" fontId="8" fillId="4" borderId="30" xfId="0" applyNumberFormat="1" applyFont="1" applyFill="1" applyBorder="1"/>
    <xf numFmtId="165" fontId="8" fillId="3" borderId="17" xfId="0" applyNumberFormat="1" applyFont="1" applyFill="1" applyBorder="1"/>
    <xf numFmtId="165" fontId="8" fillId="0" borderId="45" xfId="0" applyNumberFormat="1" applyFont="1" applyBorder="1"/>
    <xf numFmtId="0" fontId="6" fillId="0" borderId="49" xfId="0" applyFont="1" applyBorder="1"/>
    <xf numFmtId="0" fontId="6" fillId="2" borderId="12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/>
    <xf numFmtId="0" fontId="6" fillId="0" borderId="12" xfId="0" applyFont="1" applyFill="1" applyBorder="1" applyAlignment="1" applyProtection="1">
      <alignment horizontal="center"/>
      <protection locked="0"/>
    </xf>
    <xf numFmtId="0" fontId="6" fillId="0" borderId="0" xfId="0" applyFont="1" applyBorder="1"/>
    <xf numFmtId="0" fontId="3" fillId="0" borderId="0" xfId="0" applyFont="1" applyBorder="1" applyAlignment="1">
      <alignment horizontal="right" vertical="top"/>
    </xf>
    <xf numFmtId="0" fontId="6" fillId="0" borderId="99" xfId="0" applyFont="1" applyBorder="1"/>
    <xf numFmtId="0" fontId="4" fillId="0" borderId="25" xfId="0" applyFont="1" applyBorder="1"/>
    <xf numFmtId="0" fontId="3" fillId="0" borderId="3" xfId="0" applyFont="1" applyBorder="1"/>
    <xf numFmtId="0" fontId="0" fillId="0" borderId="0" xfId="0" applyBorder="1" applyAlignment="1">
      <alignment horizontal="right"/>
    </xf>
    <xf numFmtId="0" fontId="0" fillId="0" borderId="31" xfId="0" applyBorder="1" applyAlignment="1">
      <alignment horizontal="right"/>
    </xf>
    <xf numFmtId="0" fontId="3" fillId="0" borderId="21" xfId="0" applyFont="1" applyBorder="1" applyAlignment="1">
      <alignment horizontal="right"/>
    </xf>
    <xf numFmtId="0" fontId="3" fillId="0" borderId="77" xfId="0" applyFont="1" applyBorder="1" applyAlignment="1">
      <alignment horizontal="right"/>
    </xf>
    <xf numFmtId="0" fontId="3" fillId="0" borderId="21" xfId="0" applyFont="1" applyFill="1" applyBorder="1"/>
    <xf numFmtId="0" fontId="3" fillId="0" borderId="56" xfId="0" applyFont="1" applyFill="1" applyBorder="1"/>
    <xf numFmtId="0" fontId="3" fillId="0" borderId="14" xfId="0" applyFont="1" applyBorder="1"/>
    <xf numFmtId="0" fontId="5" fillId="0" borderId="14" xfId="0" applyFont="1" applyBorder="1" applyAlignment="1">
      <alignment horizontal="right"/>
    </xf>
    <xf numFmtId="0" fontId="5" fillId="0" borderId="30" xfId="0" applyFont="1" applyBorder="1" applyAlignment="1">
      <alignment horizontal="right"/>
    </xf>
    <xf numFmtId="0" fontId="3" fillId="0" borderId="0" xfId="0" applyFont="1" applyFill="1" applyBorder="1"/>
    <xf numFmtId="0" fontId="3" fillId="0" borderId="31" xfId="0" applyFont="1" applyBorder="1"/>
    <xf numFmtId="0" fontId="3" fillId="0" borderId="2" xfId="0" applyFont="1" applyBorder="1" applyAlignment="1">
      <alignment horizontal="right"/>
    </xf>
    <xf numFmtId="0" fontId="4" fillId="0" borderId="107" xfId="0" applyFont="1" applyBorder="1"/>
    <xf numFmtId="0" fontId="0" fillId="0" borderId="4" xfId="0" applyBorder="1" applyAlignment="1">
      <alignment horizontal="right"/>
    </xf>
    <xf numFmtId="0" fontId="0" fillId="0" borderId="108" xfId="0" applyBorder="1"/>
    <xf numFmtId="0" fontId="3" fillId="0" borderId="108" xfId="0" applyFont="1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0" fillId="0" borderId="112" xfId="0" applyBorder="1"/>
    <xf numFmtId="165" fontId="3" fillId="0" borderId="113" xfId="0" applyNumberFormat="1" applyFont="1" applyFill="1" applyBorder="1" applyAlignment="1" applyProtection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165" fontId="3" fillId="4" borderId="0" xfId="0" applyNumberFormat="1" applyFont="1" applyFill="1" applyBorder="1" applyAlignment="1" applyProtection="1">
      <alignment horizontal="center"/>
    </xf>
    <xf numFmtId="0" fontId="3" fillId="0" borderId="113" xfId="0" applyFont="1" applyFill="1" applyBorder="1"/>
    <xf numFmtId="165" fontId="3" fillId="0" borderId="0" xfId="0" applyNumberFormat="1" applyFont="1" applyBorder="1"/>
    <xf numFmtId="3" fontId="3" fillId="0" borderId="0" xfId="0" applyNumberFormat="1" applyFont="1" applyBorder="1" applyAlignment="1">
      <alignment horizontal="center"/>
    </xf>
    <xf numFmtId="3" fontId="3" fillId="0" borderId="113" xfId="0" applyNumberFormat="1" applyFont="1" applyBorder="1" applyAlignment="1">
      <alignment horizontal="center"/>
    </xf>
    <xf numFmtId="165" fontId="3" fillId="0" borderId="43" xfId="0" applyNumberFormat="1" applyFont="1" applyBorder="1" applyAlignment="1">
      <alignment horizontal="center"/>
    </xf>
    <xf numFmtId="165" fontId="3" fillId="4" borderId="16" xfId="0" applyNumberFormat="1" applyFont="1" applyFill="1" applyBorder="1" applyAlignment="1" applyProtection="1">
      <alignment horizontal="center"/>
    </xf>
    <xf numFmtId="165" fontId="9" fillId="4" borderId="57" xfId="0" applyNumberFormat="1" applyFont="1" applyFill="1" applyBorder="1"/>
    <xf numFmtId="0" fontId="0" fillId="2" borderId="57" xfId="0" applyFill="1" applyBorder="1" applyAlignment="1" applyProtection="1">
      <alignment horizontal="center"/>
      <protection locked="0"/>
    </xf>
    <xf numFmtId="0" fontId="0" fillId="2" borderId="73" xfId="0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 wrapText="1"/>
    </xf>
    <xf numFmtId="0" fontId="5" fillId="0" borderId="96" xfId="0" applyFont="1" applyBorder="1" applyAlignment="1">
      <alignment horizontal="right"/>
    </xf>
    <xf numFmtId="165" fontId="0" fillId="0" borderId="18" xfId="0" applyNumberFormat="1" applyBorder="1"/>
    <xf numFmtId="3" fontId="0" fillId="0" borderId="48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165" fontId="0" fillId="0" borderId="104" xfId="0" applyNumberFormat="1" applyBorder="1"/>
    <xf numFmtId="0" fontId="0" fillId="4" borderId="114" xfId="0" applyFill="1" applyBorder="1"/>
    <xf numFmtId="0" fontId="3" fillId="0" borderId="19" xfId="0" applyFont="1" applyBorder="1" applyAlignment="1">
      <alignment horizontal="center"/>
    </xf>
    <xf numFmtId="0" fontId="3" fillId="0" borderId="77" xfId="0" applyFont="1" applyFill="1" applyBorder="1"/>
    <xf numFmtId="0" fontId="0" fillId="0" borderId="89" xfId="0" applyBorder="1"/>
    <xf numFmtId="165" fontId="0" fillId="0" borderId="87" xfId="0" applyNumberFormat="1" applyFill="1" applyBorder="1" applyProtection="1"/>
    <xf numFmtId="0" fontId="0" fillId="0" borderId="87" xfId="0" applyFill="1" applyBorder="1" applyAlignment="1" applyProtection="1">
      <alignment horizontal="center"/>
    </xf>
    <xf numFmtId="0" fontId="6" fillId="2" borderId="12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right"/>
    </xf>
    <xf numFmtId="0" fontId="6" fillId="0" borderId="66" xfId="0" applyFont="1" applyBorder="1" applyAlignment="1">
      <alignment horizontal="left"/>
    </xf>
    <xf numFmtId="0" fontId="0" fillId="0" borderId="14" xfId="0" applyBorder="1"/>
    <xf numFmtId="0" fontId="4" fillId="5" borderId="49" xfId="0" applyFont="1" applyFill="1" applyBorder="1"/>
    <xf numFmtId="0" fontId="0" fillId="2" borderId="20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0" borderId="91" xfId="0" applyFont="1" applyFill="1" applyBorder="1"/>
    <xf numFmtId="165" fontId="0" fillId="0" borderId="0" xfId="0" applyNumberFormat="1"/>
    <xf numFmtId="3" fontId="5" fillId="0" borderId="115" xfId="0" applyNumberFormat="1" applyFont="1" applyFill="1" applyBorder="1"/>
    <xf numFmtId="3" fontId="0" fillId="0" borderId="33" xfId="0" applyNumberFormat="1" applyBorder="1" applyAlignment="1">
      <alignment horizontal="center"/>
    </xf>
    <xf numFmtId="165" fontId="5" fillId="0" borderId="14" xfId="0" applyNumberFormat="1" applyFont="1" applyFill="1" applyBorder="1" applyProtection="1"/>
    <xf numFmtId="0" fontId="3" fillId="0" borderId="13" xfId="0" applyFont="1" applyBorder="1" applyAlignment="1">
      <alignment horizontal="center"/>
    </xf>
    <xf numFmtId="165" fontId="3" fillId="0" borderId="16" xfId="0" applyNumberFormat="1" applyFont="1" applyBorder="1"/>
    <xf numFmtId="165" fontId="3" fillId="4" borderId="4" xfId="0" applyNumberFormat="1" applyFont="1" applyFill="1" applyBorder="1"/>
    <xf numFmtId="165" fontId="3" fillId="4" borderId="13" xfId="0" applyNumberFormat="1" applyFont="1" applyFill="1" applyBorder="1"/>
    <xf numFmtId="165" fontId="3" fillId="4" borderId="41" xfId="0" applyNumberFormat="1" applyFont="1" applyFill="1" applyBorder="1"/>
    <xf numFmtId="165" fontId="3" fillId="0" borderId="4" xfId="0" applyNumberFormat="1" applyFont="1" applyFill="1" applyBorder="1"/>
    <xf numFmtId="165" fontId="3" fillId="0" borderId="13" xfId="0" applyNumberFormat="1" applyFont="1" applyFill="1" applyBorder="1"/>
    <xf numFmtId="165" fontId="3" fillId="0" borderId="41" xfId="0" applyNumberFormat="1" applyFont="1" applyFill="1" applyBorder="1"/>
    <xf numFmtId="3" fontId="3" fillId="0" borderId="16" xfId="0" applyNumberFormat="1" applyFont="1" applyBorder="1" applyAlignment="1">
      <alignment horizontal="center"/>
    </xf>
    <xf numFmtId="0" fontId="3" fillId="0" borderId="4" xfId="0" applyFont="1" applyFill="1" applyBorder="1" applyAlignment="1" applyProtection="1">
      <alignment horizontal="center"/>
    </xf>
    <xf numFmtId="0" fontId="0" fillId="0" borderId="12" xfId="0" applyFill="1" applyBorder="1"/>
    <xf numFmtId="165" fontId="3" fillId="0" borderId="35" xfId="0" applyNumberFormat="1" applyFont="1" applyFill="1" applyBorder="1"/>
    <xf numFmtId="3" fontId="0" fillId="0" borderId="37" xfId="0" applyNumberFormat="1" applyFill="1" applyBorder="1"/>
    <xf numFmtId="0" fontId="3" fillId="0" borderId="14" xfId="0" applyFont="1" applyBorder="1" applyAlignment="1">
      <alignment horizontal="right"/>
    </xf>
    <xf numFmtId="165" fontId="3" fillId="0" borderId="34" xfId="0" applyNumberFormat="1" applyFont="1" applyBorder="1"/>
    <xf numFmtId="0" fontId="3" fillId="0" borderId="3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40" xfId="0" applyNumberFormat="1" applyFont="1" applyBorder="1"/>
    <xf numFmtId="0" fontId="3" fillId="4" borderId="2" xfId="0" applyFont="1" applyFill="1" applyBorder="1"/>
    <xf numFmtId="0" fontId="3" fillId="0" borderId="116" xfId="0" applyFont="1" applyBorder="1" applyAlignment="1">
      <alignment horizontal="right"/>
    </xf>
    <xf numFmtId="166" fontId="1" fillId="6" borderId="0" xfId="0" applyNumberFormat="1" applyFont="1" applyFill="1" applyAlignment="1"/>
    <xf numFmtId="0" fontId="3" fillId="0" borderId="5" xfId="0" applyFont="1" applyBorder="1" applyAlignment="1">
      <alignment horizontal="center"/>
    </xf>
    <xf numFmtId="165" fontId="0" fillId="0" borderId="1" xfId="0" applyNumberFormat="1" applyFill="1" applyBorder="1" applyAlignment="1" applyProtection="1">
      <alignment horizontal="right"/>
    </xf>
    <xf numFmtId="0" fontId="0" fillId="0" borderId="48" xfId="0" applyFill="1" applyBorder="1"/>
    <xf numFmtId="2" fontId="0" fillId="2" borderId="87" xfId="0" applyNumberFormat="1" applyFill="1" applyBorder="1" applyProtection="1">
      <protection locked="0"/>
    </xf>
    <xf numFmtId="164" fontId="0" fillId="0" borderId="87" xfId="0" applyNumberFormat="1" applyBorder="1"/>
    <xf numFmtId="0" fontId="0" fillId="2" borderId="40" xfId="0" applyFill="1" applyBorder="1" applyProtection="1">
      <protection locked="0"/>
    </xf>
    <xf numFmtId="164" fontId="0" fillId="0" borderId="1" xfId="0" applyNumberFormat="1" applyBorder="1"/>
    <xf numFmtId="164" fontId="0" fillId="2" borderId="1" xfId="0" applyNumberFormat="1" applyFill="1" applyBorder="1" applyProtection="1">
      <protection locked="0"/>
    </xf>
    <xf numFmtId="0" fontId="5" fillId="2" borderId="27" xfId="0" applyFont="1" applyFill="1" applyBorder="1" applyAlignment="1" applyProtection="1">
      <alignment horizontal="center"/>
      <protection locked="0"/>
    </xf>
    <xf numFmtId="3" fontId="0" fillId="0" borderId="5" xfId="0" applyNumberFormat="1" applyFill="1" applyBorder="1" applyAlignment="1" applyProtection="1">
      <alignment horizontal="center"/>
    </xf>
    <xf numFmtId="0" fontId="5" fillId="2" borderId="28" xfId="0" applyFont="1" applyFill="1" applyBorder="1" applyAlignment="1">
      <alignment horizontal="center"/>
    </xf>
    <xf numFmtId="3" fontId="0" fillId="0" borderId="28" xfId="0" applyNumberFormat="1" applyFill="1" applyBorder="1" applyAlignment="1" applyProtection="1">
      <alignment horizontal="center"/>
    </xf>
    <xf numFmtId="165" fontId="3" fillId="0" borderId="117" xfId="0" applyNumberFormat="1" applyFont="1" applyFill="1" applyBorder="1" applyAlignment="1" applyProtection="1">
      <alignment horizontal="center"/>
    </xf>
    <xf numFmtId="0" fontId="0" fillId="0" borderId="28" xfId="0" applyFill="1" applyBorder="1" applyAlignment="1" applyProtection="1">
      <alignment horizontal="center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0" fillId="0" borderId="5" xfId="0" applyFill="1" applyBorder="1" applyAlignment="1" applyProtection="1">
      <alignment horizontal="center"/>
    </xf>
    <xf numFmtId="1" fontId="0" fillId="0" borderId="5" xfId="0" applyNumberFormat="1" applyFill="1" applyBorder="1" applyAlignment="1" applyProtection="1">
      <alignment horizontal="center"/>
    </xf>
    <xf numFmtId="3" fontId="0" fillId="0" borderId="5" xfId="0" applyNumberFormat="1" applyBorder="1"/>
    <xf numFmtId="5" fontId="3" fillId="0" borderId="76" xfId="0" applyNumberFormat="1" applyFont="1" applyBorder="1"/>
    <xf numFmtId="165" fontId="3" fillId="0" borderId="76" xfId="0" applyNumberFormat="1" applyFont="1" applyBorder="1"/>
    <xf numFmtId="1" fontId="0" fillId="0" borderId="5" xfId="0" applyNumberFormat="1" applyBorder="1"/>
    <xf numFmtId="165" fontId="3" fillId="0" borderId="72" xfId="0" applyNumberFormat="1" applyFont="1" applyBorder="1"/>
    <xf numFmtId="3" fontId="0" fillId="0" borderId="9" xfId="0" applyNumberFormat="1" applyBorder="1"/>
    <xf numFmtId="165" fontId="8" fillId="0" borderId="76" xfId="0" applyNumberFormat="1" applyFont="1" applyBorder="1"/>
    <xf numFmtId="0" fontId="0" fillId="0" borderId="85" xfId="0" applyBorder="1" applyAlignment="1">
      <alignment horizontal="center"/>
    </xf>
    <xf numFmtId="165" fontId="0" fillId="0" borderId="14" xfId="0" applyNumberFormat="1" applyFill="1" applyBorder="1"/>
    <xf numFmtId="165" fontId="0" fillId="0" borderId="1" xfId="0" applyNumberFormat="1" applyFill="1" applyBorder="1"/>
    <xf numFmtId="165" fontId="0" fillId="0" borderId="11" xfId="0" applyNumberFormat="1" applyFill="1" applyBorder="1"/>
    <xf numFmtId="0" fontId="3" fillId="0" borderId="2" xfId="0" applyFont="1" applyFill="1" applyBorder="1"/>
    <xf numFmtId="0" fontId="4" fillId="0" borderId="107" xfId="0" applyFont="1" applyFill="1" applyBorder="1"/>
    <xf numFmtId="165" fontId="3" fillId="0" borderId="12" xfId="0" applyNumberFormat="1" applyFont="1" applyFill="1" applyBorder="1" applyAlignment="1" applyProtection="1">
      <alignment horizontal="center"/>
    </xf>
    <xf numFmtId="165" fontId="3" fillId="4" borderId="34" xfId="0" applyNumberFormat="1" applyFont="1" applyFill="1" applyBorder="1" applyAlignment="1" applyProtection="1">
      <alignment horizontal="center"/>
    </xf>
    <xf numFmtId="165" fontId="3" fillId="0" borderId="15" xfId="0" applyNumberFormat="1" applyFont="1" applyFill="1" applyBorder="1" applyAlignment="1" applyProtection="1">
      <alignment horizontal="center"/>
    </xf>
    <xf numFmtId="165" fontId="3" fillId="0" borderId="76" xfId="0" applyNumberFormat="1" applyFont="1" applyBorder="1" applyAlignment="1">
      <alignment horizontal="center"/>
    </xf>
    <xf numFmtId="0" fontId="3" fillId="0" borderId="103" xfId="0" applyFont="1" applyBorder="1" applyAlignment="1">
      <alignment horizontal="right"/>
    </xf>
    <xf numFmtId="0" fontId="3" fillId="0" borderId="48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5" fontId="3" fillId="0" borderId="30" xfId="0" applyNumberFormat="1" applyFont="1" applyFill="1" applyBorder="1" applyAlignment="1" applyProtection="1">
      <alignment horizontal="center"/>
    </xf>
    <xf numFmtId="165" fontId="0" fillId="2" borderId="0" xfId="0" applyNumberFormat="1" applyFill="1" applyBorder="1" applyProtection="1">
      <protection locked="0"/>
    </xf>
    <xf numFmtId="166" fontId="1" fillId="6" borderId="1" xfId="0" applyNumberFormat="1" applyFont="1" applyFill="1" applyBorder="1" applyAlignment="1"/>
    <xf numFmtId="165" fontId="3" fillId="0" borderId="15" xfId="0" applyNumberFormat="1" applyFont="1" applyFill="1" applyBorder="1" applyProtection="1"/>
    <xf numFmtId="0" fontId="3" fillId="0" borderId="77" xfId="0" applyFont="1" applyBorder="1"/>
    <xf numFmtId="165" fontId="5" fillId="0" borderId="15" xfId="0" applyNumberFormat="1" applyFont="1" applyFill="1" applyBorder="1" applyAlignment="1" applyProtection="1">
      <alignment horizontal="right"/>
    </xf>
    <xf numFmtId="166" fontId="1" fillId="6" borderId="12" xfId="0" applyNumberFormat="1" applyFont="1" applyFill="1" applyBorder="1" applyAlignment="1"/>
    <xf numFmtId="165" fontId="0" fillId="2" borderId="21" xfId="0" applyNumberFormat="1" applyFill="1" applyBorder="1" applyProtection="1">
      <protection locked="0"/>
    </xf>
    <xf numFmtId="0" fontId="5" fillId="2" borderId="12" xfId="0" applyFont="1" applyFill="1" applyBorder="1" applyProtection="1">
      <protection locked="0"/>
    </xf>
    <xf numFmtId="166" fontId="1" fillId="6" borderId="86" xfId="0" applyNumberFormat="1" applyFont="1" applyFill="1" applyBorder="1" applyAlignment="1"/>
    <xf numFmtId="165" fontId="0" fillId="2" borderId="13" xfId="0" applyNumberFormat="1" applyFill="1" applyBorder="1" applyProtection="1">
      <protection locked="0"/>
    </xf>
    <xf numFmtId="0" fontId="5" fillId="0" borderId="31" xfId="0" applyFont="1" applyBorder="1" applyAlignment="1">
      <alignment horizontal="right"/>
    </xf>
    <xf numFmtId="0" fontId="3" fillId="0" borderId="86" xfId="0" applyFont="1" applyBorder="1" applyAlignment="1">
      <alignment horizontal="center"/>
    </xf>
    <xf numFmtId="0" fontId="3" fillId="4" borderId="86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86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65" fontId="3" fillId="4" borderId="86" xfId="0" applyNumberFormat="1" applyFont="1" applyFill="1" applyBorder="1"/>
    <xf numFmtId="0" fontId="3" fillId="0" borderId="89" xfId="0" applyFont="1" applyBorder="1"/>
    <xf numFmtId="165" fontId="3" fillId="0" borderId="87" xfId="0" applyNumberFormat="1" applyFont="1" applyFill="1" applyBorder="1" applyProtection="1"/>
    <xf numFmtId="0" fontId="3" fillId="0" borderId="87" xfId="0" applyFont="1" applyFill="1" applyBorder="1" applyAlignment="1" applyProtection="1">
      <alignment horizontal="center"/>
    </xf>
    <xf numFmtId="165" fontId="5" fillId="0" borderId="86" xfId="0" applyNumberFormat="1" applyFont="1" applyFill="1" applyBorder="1" applyAlignment="1" applyProtection="1">
      <alignment horizontal="right"/>
    </xf>
    <xf numFmtId="165" fontId="5" fillId="0" borderId="94" xfId="0" applyNumberFormat="1" applyFont="1" applyFill="1" applyBorder="1" applyAlignment="1" applyProtection="1">
      <alignment horizontal="right"/>
    </xf>
    <xf numFmtId="165" fontId="5" fillId="0" borderId="118" xfId="0" applyNumberFormat="1" applyFont="1" applyFill="1" applyBorder="1" applyAlignment="1" applyProtection="1">
      <alignment horizontal="right"/>
    </xf>
    <xf numFmtId="165" fontId="3" fillId="4" borderId="87" xfId="0" applyNumberFormat="1" applyFont="1" applyFill="1" applyBorder="1"/>
    <xf numFmtId="165" fontId="3" fillId="4" borderId="40" xfId="0" applyNumberFormat="1" applyFont="1" applyFill="1" applyBorder="1"/>
    <xf numFmtId="165" fontId="3" fillId="0" borderId="48" xfId="0" applyNumberFormat="1" applyFont="1" applyFill="1" applyBorder="1"/>
    <xf numFmtId="165" fontId="3" fillId="0" borderId="87" xfId="0" applyNumberFormat="1" applyFont="1" applyFill="1" applyBorder="1"/>
    <xf numFmtId="165" fontId="3" fillId="0" borderId="40" xfId="0" applyNumberFormat="1" applyFont="1" applyFill="1" applyBorder="1"/>
    <xf numFmtId="165" fontId="3" fillId="4" borderId="8" xfId="0" applyNumberFormat="1" applyFont="1" applyFill="1" applyBorder="1"/>
    <xf numFmtId="165" fontId="3" fillId="4" borderId="12" xfId="0" applyNumberFormat="1" applyFont="1" applyFill="1" applyBorder="1"/>
    <xf numFmtId="165" fontId="3" fillId="4" borderId="18" xfId="0" applyNumberFormat="1" applyFont="1" applyFill="1" applyBorder="1"/>
    <xf numFmtId="165" fontId="3" fillId="0" borderId="37" xfId="0" applyNumberFormat="1" applyFont="1" applyFill="1" applyBorder="1"/>
    <xf numFmtId="165" fontId="3" fillId="0" borderId="12" xfId="0" applyNumberFormat="1" applyFont="1" applyFill="1" applyBorder="1"/>
    <xf numFmtId="165" fontId="3" fillId="0" borderId="18" xfId="0" applyNumberFormat="1" applyFont="1" applyFill="1" applyBorder="1"/>
    <xf numFmtId="3" fontId="3" fillId="0" borderId="48" xfId="0" applyNumberFormat="1" applyFont="1" applyBorder="1" applyAlignment="1">
      <alignment horizontal="center"/>
    </xf>
    <xf numFmtId="165" fontId="3" fillId="0" borderId="19" xfId="0" applyNumberFormat="1" applyFont="1" applyBorder="1"/>
    <xf numFmtId="3" fontId="3" fillId="0" borderId="37" xfId="0" applyNumberFormat="1" applyFont="1" applyBorder="1" applyAlignment="1">
      <alignment horizontal="center"/>
    </xf>
    <xf numFmtId="3" fontId="3" fillId="0" borderId="60" xfId="0" applyNumberFormat="1" applyFont="1" applyBorder="1" applyAlignment="1">
      <alignment horizontal="center"/>
    </xf>
    <xf numFmtId="0" fontId="5" fillId="4" borderId="32" xfId="0" applyFont="1" applyFill="1" applyBorder="1" applyAlignment="1">
      <alignment horizontal="center"/>
    </xf>
    <xf numFmtId="165" fontId="3" fillId="0" borderId="15" xfId="0" applyNumberFormat="1" applyFont="1" applyFill="1" applyBorder="1" applyAlignment="1" applyProtection="1">
      <alignment horizontal="left"/>
    </xf>
    <xf numFmtId="0" fontId="3" fillId="0" borderId="101" xfId="0" applyFont="1" applyFill="1" applyBorder="1" applyAlignment="1"/>
    <xf numFmtId="0" fontId="3" fillId="0" borderId="70" xfId="0" applyFont="1" applyFill="1" applyBorder="1" applyAlignment="1">
      <alignment horizontal="center"/>
    </xf>
    <xf numFmtId="165" fontId="3" fillId="0" borderId="119" xfId="0" applyNumberFormat="1" applyFont="1" applyBorder="1" applyAlignment="1">
      <alignment horizontal="center"/>
    </xf>
    <xf numFmtId="165" fontId="3" fillId="0" borderId="71" xfId="0" applyNumberFormat="1" applyFont="1" applyBorder="1"/>
    <xf numFmtId="0" fontId="3" fillId="0" borderId="67" xfId="0" applyFont="1" applyBorder="1" applyAlignment="1">
      <alignment horizontal="center"/>
    </xf>
    <xf numFmtId="165" fontId="3" fillId="0" borderId="45" xfId="0" applyNumberFormat="1" applyFont="1" applyBorder="1" applyAlignment="1">
      <alignment horizontal="right"/>
    </xf>
    <xf numFmtId="165" fontId="3" fillId="0" borderId="64" xfId="0" applyNumberFormat="1" applyFont="1" applyBorder="1" applyAlignment="1">
      <alignment horizontal="center"/>
    </xf>
    <xf numFmtId="170" fontId="5" fillId="2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6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11" xfId="0" applyFill="1" applyBorder="1" applyProtection="1"/>
    <xf numFmtId="0" fontId="3" fillId="0" borderId="0" xfId="0" applyFont="1" applyAlignment="1">
      <alignment horizontal="right"/>
    </xf>
    <xf numFmtId="3" fontId="0" fillId="0" borderId="34" xfId="0" applyNumberFormat="1" applyFill="1" applyBorder="1" applyAlignment="1">
      <alignment horizontal="right"/>
    </xf>
    <xf numFmtId="9" fontId="0" fillId="0" borderId="20" xfId="0" applyNumberFormat="1" applyFill="1" applyBorder="1"/>
    <xf numFmtId="0" fontId="0" fillId="0" borderId="20" xfId="0" applyFill="1" applyBorder="1" applyProtection="1"/>
    <xf numFmtId="165" fontId="0" fillId="0" borderId="41" xfId="0" applyNumberFormat="1" applyFill="1" applyBorder="1"/>
    <xf numFmtId="165" fontId="0" fillId="0" borderId="102" xfId="0" applyNumberFormat="1" applyFill="1" applyBorder="1"/>
    <xf numFmtId="165" fontId="0" fillId="4" borderId="12" xfId="0" applyNumberFormat="1" applyFill="1" applyBorder="1"/>
    <xf numFmtId="0" fontId="3" fillId="0" borderId="4" xfId="0" applyFont="1" applyBorder="1" applyAlignment="1">
      <alignment horizontal="left"/>
    </xf>
    <xf numFmtId="170" fontId="5" fillId="4" borderId="1" xfId="0" applyNumberFormat="1" applyFont="1" applyFill="1" applyBorder="1" applyAlignment="1">
      <alignment horizontal="center"/>
    </xf>
    <xf numFmtId="170" fontId="5" fillId="0" borderId="1" xfId="0" applyNumberFormat="1" applyFont="1" applyFill="1" applyBorder="1" applyAlignment="1">
      <alignment horizontal="center"/>
    </xf>
    <xf numFmtId="170" fontId="5" fillId="4" borderId="14" xfId="0" applyNumberFormat="1" applyFont="1" applyFill="1" applyBorder="1" applyAlignment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3" fontId="5" fillId="4" borderId="14" xfId="0" applyNumberFormat="1" applyFont="1" applyFill="1" applyBorder="1" applyAlignment="1">
      <alignment horizontal="center"/>
    </xf>
    <xf numFmtId="0" fontId="3" fillId="0" borderId="120" xfId="0" applyFont="1" applyBorder="1"/>
    <xf numFmtId="0" fontId="3" fillId="0" borderId="120" xfId="0" applyFont="1" applyBorder="1" applyAlignment="1">
      <alignment horizontal="right"/>
    </xf>
    <xf numFmtId="0" fontId="3" fillId="0" borderId="74" xfId="0" applyFont="1" applyBorder="1"/>
    <xf numFmtId="0" fontId="0" fillId="0" borderId="28" xfId="0" applyBorder="1" applyAlignment="1">
      <alignment horizontal="center"/>
    </xf>
    <xf numFmtId="0" fontId="3" fillId="0" borderId="121" xfId="0" applyFont="1" applyBorder="1"/>
    <xf numFmtId="0" fontId="3" fillId="0" borderId="28" xfId="0" applyFont="1" applyFill="1" applyBorder="1"/>
    <xf numFmtId="3" fontId="0" fillId="0" borderId="14" xfId="0" applyNumberFormat="1" applyFill="1" applyBorder="1" applyAlignment="1" applyProtection="1">
      <alignment horizontal="center"/>
    </xf>
    <xf numFmtId="3" fontId="0" fillId="0" borderId="27" xfId="0" applyNumberFormat="1" applyFill="1" applyBorder="1" applyAlignment="1" applyProtection="1">
      <alignment horizontal="center"/>
    </xf>
    <xf numFmtId="0" fontId="3" fillId="0" borderId="117" xfId="0" applyFont="1" applyFill="1" applyBorder="1"/>
    <xf numFmtId="0" fontId="3" fillId="4" borderId="5" xfId="0" applyFont="1" applyFill="1" applyBorder="1" applyAlignment="1"/>
    <xf numFmtId="0" fontId="3" fillId="0" borderId="21" xfId="0" applyFont="1" applyBorder="1"/>
    <xf numFmtId="0" fontId="5" fillId="2" borderId="14" xfId="0" applyFont="1" applyFill="1" applyBorder="1" applyProtection="1">
      <protection locked="0"/>
    </xf>
    <xf numFmtId="3" fontId="0" fillId="2" borderId="20" xfId="0" applyNumberFormat="1" applyFill="1" applyBorder="1" applyProtection="1">
      <protection locked="0"/>
    </xf>
    <xf numFmtId="3" fontId="0" fillId="0" borderId="20" xfId="0" applyNumberFormat="1" applyFill="1" applyBorder="1" applyProtection="1"/>
    <xf numFmtId="0" fontId="0" fillId="0" borderId="114" xfId="0" applyBorder="1"/>
    <xf numFmtId="0" fontId="0" fillId="0" borderId="79" xfId="0" applyBorder="1"/>
    <xf numFmtId="0" fontId="0" fillId="0" borderId="10" xfId="0" applyFill="1" applyBorder="1"/>
    <xf numFmtId="0" fontId="0" fillId="0" borderId="7" xfId="0" applyFill="1" applyBorder="1"/>
    <xf numFmtId="0" fontId="3" fillId="4" borderId="11" xfId="0" applyFont="1" applyFill="1" applyBorder="1" applyAlignment="1"/>
    <xf numFmtId="3" fontId="5" fillId="4" borderId="11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3" fillId="0" borderId="18" xfId="0" applyFont="1" applyFill="1" applyBorder="1" applyAlignment="1"/>
    <xf numFmtId="3" fontId="5" fillId="0" borderId="11" xfId="0" applyNumberFormat="1" applyFont="1" applyFill="1" applyBorder="1" applyAlignment="1">
      <alignment horizontal="center"/>
    </xf>
    <xf numFmtId="3" fontId="5" fillId="0" borderId="18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3" fontId="5" fillId="2" borderId="11" xfId="0" applyNumberFormat="1" applyFont="1" applyFill="1" applyBorder="1" applyAlignment="1" applyProtection="1">
      <alignment horizontal="center"/>
      <protection locked="0"/>
    </xf>
    <xf numFmtId="42" fontId="5" fillId="2" borderId="11" xfId="0" applyNumberFormat="1" applyFont="1" applyFill="1" applyBorder="1" applyAlignment="1" applyProtection="1">
      <alignment horizontal="center"/>
      <protection locked="0"/>
    </xf>
    <xf numFmtId="165" fontId="5" fillId="0" borderId="1" xfId="0" applyNumberFormat="1" applyFont="1" applyFill="1" applyBorder="1" applyProtection="1"/>
    <xf numFmtId="0" fontId="5" fillId="0" borderId="1" xfId="0" applyFont="1" applyFill="1" applyBorder="1" applyProtection="1"/>
    <xf numFmtId="1" fontId="0" fillId="0" borderId="1" xfId="0" applyNumberFormat="1" applyFill="1" applyBorder="1" applyProtection="1"/>
    <xf numFmtId="165" fontId="0" fillId="0" borderId="21" xfId="0" applyNumberFormat="1" applyBorder="1"/>
    <xf numFmtId="165" fontId="3" fillId="0" borderId="0" xfId="0" applyNumberFormat="1" applyFont="1" applyFill="1" applyBorder="1" applyAlignment="1" applyProtection="1">
      <alignment horizontal="left"/>
    </xf>
    <xf numFmtId="0" fontId="5" fillId="2" borderId="13" xfId="0" applyFont="1" applyFill="1" applyBorder="1" applyProtection="1">
      <protection locked="0"/>
    </xf>
    <xf numFmtId="165" fontId="3" fillId="0" borderId="73" xfId="0" applyNumberFormat="1" applyFont="1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10" fontId="0" fillId="0" borderId="16" xfId="0" applyNumberFormat="1" applyFill="1" applyBorder="1" applyProtection="1"/>
    <xf numFmtId="10" fontId="0" fillId="0" borderId="23" xfId="0" applyNumberFormat="1" applyFill="1" applyBorder="1" applyProtection="1"/>
    <xf numFmtId="3" fontId="0" fillId="2" borderId="22" xfId="0" applyNumberFormat="1" applyFill="1" applyBorder="1" applyProtection="1">
      <protection locked="0"/>
    </xf>
    <xf numFmtId="0" fontId="3" fillId="0" borderId="4" xfId="0" applyFont="1" applyFill="1" applyBorder="1" applyAlignment="1">
      <alignment horizontal="right"/>
    </xf>
    <xf numFmtId="0" fontId="3" fillId="0" borderId="4" xfId="0" applyFont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right"/>
    </xf>
    <xf numFmtId="3" fontId="0" fillId="0" borderId="11" xfId="0" applyNumberFormat="1" applyFill="1" applyBorder="1" applyAlignment="1">
      <alignment horizontal="right"/>
    </xf>
    <xf numFmtId="165" fontId="0" fillId="0" borderId="17" xfId="0" applyNumberFormat="1" applyFill="1" applyBorder="1" applyAlignment="1">
      <alignment horizontal="right"/>
    </xf>
    <xf numFmtId="3" fontId="0" fillId="0" borderId="15" xfId="0" applyNumberFormat="1" applyFill="1" applyBorder="1" applyAlignment="1">
      <alignment horizontal="right"/>
    </xf>
    <xf numFmtId="3" fontId="0" fillId="4" borderId="15" xfId="0" applyNumberFormat="1" applyFill="1" applyBorder="1"/>
    <xf numFmtId="0" fontId="0" fillId="0" borderId="108" xfId="0" applyFill="1" applyBorder="1"/>
    <xf numFmtId="0" fontId="3" fillId="4" borderId="3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8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3" fontId="3" fillId="0" borderId="30" xfId="0" applyNumberFormat="1" applyFont="1" applyBorder="1"/>
    <xf numFmtId="3" fontId="3" fillId="4" borderId="30" xfId="0" applyNumberFormat="1" applyFont="1" applyFill="1" applyBorder="1"/>
    <xf numFmtId="165" fontId="0" fillId="4" borderId="31" xfId="0" applyNumberFormat="1" applyFill="1" applyBorder="1"/>
    <xf numFmtId="0" fontId="0" fillId="0" borderId="122" xfId="0" applyBorder="1"/>
    <xf numFmtId="165" fontId="3" fillId="0" borderId="104" xfId="0" applyNumberFormat="1" applyFont="1" applyBorder="1"/>
    <xf numFmtId="3" fontId="5" fillId="0" borderId="122" xfId="0" applyNumberFormat="1" applyFont="1" applyBorder="1"/>
    <xf numFmtId="165" fontId="3" fillId="0" borderId="104" xfId="0" applyNumberFormat="1" applyFont="1" applyBorder="1" applyAlignment="1">
      <alignment horizontal="center"/>
    </xf>
    <xf numFmtId="165" fontId="3" fillId="4" borderId="77" xfId="0" applyNumberFormat="1" applyFont="1" applyFill="1" applyBorder="1"/>
    <xf numFmtId="3" fontId="5" fillId="0" borderId="32" xfId="0" applyNumberFormat="1" applyFont="1" applyBorder="1"/>
    <xf numFmtId="3" fontId="5" fillId="0" borderId="123" xfId="0" applyNumberFormat="1" applyFont="1" applyBorder="1"/>
    <xf numFmtId="165" fontId="3" fillId="0" borderId="77" xfId="0" applyNumberFormat="1" applyFont="1" applyBorder="1"/>
    <xf numFmtId="165" fontId="3" fillId="0" borderId="87" xfId="0" applyNumberFormat="1" applyFont="1" applyBorder="1"/>
    <xf numFmtId="3" fontId="5" fillId="0" borderId="10" xfId="0" applyNumberFormat="1" applyFont="1" applyBorder="1"/>
    <xf numFmtId="3" fontId="5" fillId="4" borderId="32" xfId="0" applyNumberFormat="1" applyFont="1" applyFill="1" applyBorder="1"/>
    <xf numFmtId="3" fontId="5" fillId="4" borderId="123" xfId="0" applyNumberFormat="1" applyFont="1" applyFill="1" applyBorder="1"/>
    <xf numFmtId="3" fontId="5" fillId="4" borderId="10" xfId="0" applyNumberFormat="1" applyFont="1" applyFill="1" applyBorder="1"/>
    <xf numFmtId="0" fontId="0" fillId="0" borderId="70" xfId="0" applyBorder="1"/>
    <xf numFmtId="1" fontId="0" fillId="4" borderId="124" xfId="0" applyNumberFormat="1" applyFill="1" applyBorder="1" applyAlignment="1" applyProtection="1">
      <alignment horizontal="center"/>
    </xf>
    <xf numFmtId="165" fontId="0" fillId="0" borderId="94" xfId="0" applyNumberFormat="1" applyFill="1" applyBorder="1" applyAlignment="1" applyProtection="1">
      <alignment horizontal="right"/>
    </xf>
    <xf numFmtId="1" fontId="0" fillId="0" borderId="15" xfId="0" applyNumberFormat="1" applyFill="1" applyBorder="1" applyProtection="1"/>
    <xf numFmtId="0" fontId="0" fillId="0" borderId="115" xfId="0" applyBorder="1"/>
    <xf numFmtId="0" fontId="0" fillId="0" borderId="10" xfId="0" applyBorder="1"/>
    <xf numFmtId="0" fontId="3" fillId="0" borderId="28" xfId="0" applyFont="1" applyBorder="1" applyAlignment="1">
      <alignment horizontal="right"/>
    </xf>
    <xf numFmtId="0" fontId="0" fillId="0" borderId="22" xfId="0" applyBorder="1"/>
    <xf numFmtId="0" fontId="3" fillId="0" borderId="31" xfId="0" applyFont="1" applyBorder="1" applyAlignment="1">
      <alignment horizontal="right"/>
    </xf>
    <xf numFmtId="165" fontId="0" fillId="0" borderId="14" xfId="0" applyNumberFormat="1" applyFill="1" applyBorder="1" applyProtection="1"/>
    <xf numFmtId="0" fontId="3" fillId="0" borderId="16" xfId="0" applyFont="1" applyFill="1" applyBorder="1" applyAlignment="1" applyProtection="1">
      <alignment horizontal="center"/>
    </xf>
    <xf numFmtId="0" fontId="0" fillId="2" borderId="58" xfId="0" applyFill="1" applyBorder="1" applyAlignment="1">
      <alignment horizontal="center"/>
    </xf>
    <xf numFmtId="0" fontId="3" fillId="0" borderId="49" xfId="0" applyFont="1" applyFill="1" applyBorder="1" applyAlignment="1">
      <alignment horizontal="center"/>
    </xf>
    <xf numFmtId="0" fontId="0" fillId="0" borderId="0" xfId="0" applyFill="1"/>
    <xf numFmtId="165" fontId="3" fillId="0" borderId="3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  <protection locked="0"/>
    </xf>
    <xf numFmtId="3" fontId="5" fillId="4" borderId="18" xfId="0" applyNumberFormat="1" applyFont="1" applyFill="1" applyBorder="1" applyAlignment="1">
      <alignment horizontal="center"/>
    </xf>
    <xf numFmtId="165" fontId="3" fillId="0" borderId="125" xfId="0" applyNumberFormat="1" applyFont="1" applyFill="1" applyBorder="1" applyAlignment="1" applyProtection="1">
      <alignment horizontal="right"/>
    </xf>
    <xf numFmtId="3" fontId="0" fillId="4" borderId="21" xfId="0" applyNumberFormat="1" applyFill="1" applyBorder="1"/>
    <xf numFmtId="165" fontId="3" fillId="0" borderId="69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 applyProtection="1">
      <alignment horizontal="right"/>
    </xf>
    <xf numFmtId="165" fontId="3" fillId="0" borderId="14" xfId="0" applyNumberFormat="1" applyFont="1" applyFill="1" applyBorder="1" applyProtection="1"/>
    <xf numFmtId="1" fontId="3" fillId="0" borderId="1" xfId="0" applyNumberFormat="1" applyFont="1" applyFill="1" applyBorder="1" applyProtection="1"/>
    <xf numFmtId="165" fontId="3" fillId="0" borderId="94" xfId="0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Protection="1"/>
    <xf numFmtId="1" fontId="3" fillId="0" borderId="15" xfId="0" applyNumberFormat="1" applyFont="1" applyFill="1" applyBorder="1" applyProtection="1"/>
    <xf numFmtId="165" fontId="3" fillId="0" borderId="126" xfId="0" applyNumberFormat="1" applyFont="1" applyFill="1" applyBorder="1" applyProtection="1"/>
    <xf numFmtId="1" fontId="3" fillId="0" borderId="126" xfId="0" applyNumberFormat="1" applyFont="1" applyFill="1" applyBorder="1" applyProtection="1"/>
    <xf numFmtId="0" fontId="3" fillId="0" borderId="126" xfId="0" applyFont="1" applyBorder="1"/>
    <xf numFmtId="0" fontId="3" fillId="0" borderId="126" xfId="0" applyFont="1" applyBorder="1" applyAlignment="1">
      <alignment horizontal="center"/>
    </xf>
    <xf numFmtId="165" fontId="3" fillId="0" borderId="46" xfId="0" applyNumberFormat="1" applyFont="1" applyBorder="1" applyAlignment="1">
      <alignment horizontal="right"/>
    </xf>
    <xf numFmtId="1" fontId="0" fillId="0" borderId="18" xfId="0" applyNumberFormat="1" applyBorder="1" applyAlignment="1">
      <alignment horizontal="center"/>
    </xf>
    <xf numFmtId="165" fontId="8" fillId="0" borderId="17" xfId="0" applyNumberFormat="1" applyFont="1" applyFill="1" applyBorder="1"/>
    <xf numFmtId="3" fontId="0" fillId="0" borderId="0" xfId="0" applyNumberFormat="1"/>
    <xf numFmtId="165" fontId="0" fillId="0" borderId="2" xfId="0" applyNumberFormat="1" applyBorder="1"/>
    <xf numFmtId="165" fontId="0" fillId="0" borderId="126" xfId="0" applyNumberFormat="1" applyBorder="1"/>
    <xf numFmtId="165" fontId="0" fillId="0" borderId="0" xfId="0" applyNumberFormat="1" applyBorder="1"/>
    <xf numFmtId="165" fontId="0" fillId="0" borderId="4" xfId="0" applyNumberFormat="1" applyBorder="1"/>
    <xf numFmtId="165" fontId="0" fillId="0" borderId="77" xfId="0" applyNumberFormat="1" applyBorder="1"/>
    <xf numFmtId="165" fontId="0" fillId="0" borderId="13" xfId="0" applyNumberFormat="1" applyBorder="1"/>
    <xf numFmtId="165" fontId="0" fillId="0" borderId="87" xfId="0" applyNumberFormat="1" applyBorder="1"/>
    <xf numFmtId="165" fontId="0" fillId="0" borderId="12" xfId="0" applyNumberFormat="1" applyBorder="1"/>
    <xf numFmtId="165" fontId="0" fillId="0" borderId="28" xfId="0" applyNumberFormat="1" applyBorder="1"/>
    <xf numFmtId="165" fontId="0" fillId="0" borderId="41" xfId="0" applyNumberFormat="1" applyBorder="1"/>
    <xf numFmtId="165" fontId="0" fillId="0" borderId="50" xfId="0" applyNumberFormat="1" applyBorder="1"/>
    <xf numFmtId="3" fontId="0" fillId="0" borderId="4" xfId="0" applyNumberFormat="1" applyBorder="1"/>
    <xf numFmtId="3" fontId="0" fillId="0" borderId="77" xfId="0" applyNumberFormat="1" applyBorder="1"/>
    <xf numFmtId="3" fontId="0" fillId="0" borderId="52" xfId="0" applyNumberFormat="1" applyBorder="1"/>
    <xf numFmtId="0" fontId="1" fillId="0" borderId="44" xfId="0" applyNumberFormat="1" applyFont="1" applyBorder="1" applyAlignment="1"/>
    <xf numFmtId="0" fontId="1" fillId="0" borderId="46" xfId="0" applyNumberFormat="1" applyFont="1" applyBorder="1" applyAlignment="1"/>
    <xf numFmtId="0" fontId="1" fillId="0" borderId="42" xfId="0" applyNumberFormat="1" applyFont="1" applyBorder="1" applyAlignment="1"/>
    <xf numFmtId="0" fontId="1" fillId="0" borderId="104" xfId="0" applyNumberFormat="1" applyFont="1" applyBorder="1" applyAlignment="1"/>
    <xf numFmtId="0" fontId="3" fillId="0" borderId="105" xfId="0" applyNumberFormat="1" applyFont="1" applyBorder="1" applyAlignment="1"/>
    <xf numFmtId="0" fontId="0" fillId="0" borderId="3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65" fontId="0" fillId="3" borderId="41" xfId="0" applyNumberFormat="1" applyFill="1" applyBorder="1"/>
    <xf numFmtId="165" fontId="0" fillId="3" borderId="50" xfId="0" applyNumberFormat="1" applyFill="1" applyBorder="1"/>
    <xf numFmtId="165" fontId="0" fillId="3" borderId="51" xfId="0" applyNumberFormat="1" applyFill="1" applyBorder="1"/>
    <xf numFmtId="165" fontId="0" fillId="3" borderId="13" xfId="0" applyNumberFormat="1" applyFill="1" applyBorder="1"/>
    <xf numFmtId="3" fontId="0" fillId="3" borderId="21" xfId="0" applyNumberFormat="1" applyFill="1" applyBorder="1"/>
    <xf numFmtId="165" fontId="0" fillId="3" borderId="12" xfId="0" applyNumberFormat="1" applyFill="1" applyBorder="1"/>
    <xf numFmtId="165" fontId="0" fillId="3" borderId="18" xfId="0" applyNumberFormat="1" applyFill="1" applyBorder="1"/>
    <xf numFmtId="3" fontId="0" fillId="3" borderId="52" xfId="0" applyNumberFormat="1" applyFill="1" applyBorder="1"/>
    <xf numFmtId="165" fontId="0" fillId="3" borderId="0" xfId="0" applyNumberFormat="1" applyFill="1"/>
    <xf numFmtId="3" fontId="0" fillId="0" borderId="70" xfId="0" applyNumberFormat="1" applyBorder="1"/>
    <xf numFmtId="165" fontId="0" fillId="0" borderId="29" xfId="0" applyNumberFormat="1" applyBorder="1"/>
    <xf numFmtId="165" fontId="0" fillId="0" borderId="52" xfId="0" applyNumberFormat="1" applyBorder="1"/>
    <xf numFmtId="3" fontId="0" fillId="0" borderId="38" xfId="0" applyNumberFormat="1" applyBorder="1"/>
    <xf numFmtId="3" fontId="0" fillId="0" borderId="35" xfId="0" applyNumberFormat="1" applyBorder="1"/>
    <xf numFmtId="3" fontId="0" fillId="0" borderId="48" xfId="0" applyNumberFormat="1" applyBorder="1"/>
    <xf numFmtId="165" fontId="0" fillId="3" borderId="55" xfId="0" applyNumberFormat="1" applyFill="1" applyBorder="1"/>
    <xf numFmtId="165" fontId="0" fillId="3" borderId="4" xfId="0" applyNumberFormat="1" applyFill="1" applyBorder="1"/>
    <xf numFmtId="165" fontId="0" fillId="3" borderId="52" xfId="0" applyNumberFormat="1" applyFill="1" applyBorder="1"/>
    <xf numFmtId="0" fontId="3" fillId="0" borderId="0" xfId="0" applyNumberFormat="1" applyFont="1" applyBorder="1" applyAlignment="1"/>
    <xf numFmtId="3" fontId="0" fillId="3" borderId="53" xfId="0" applyNumberFormat="1" applyFill="1" applyBorder="1"/>
    <xf numFmtId="165" fontId="0" fillId="3" borderId="21" xfId="0" applyNumberFormat="1" applyFill="1" applyBorder="1"/>
    <xf numFmtId="165" fontId="0" fillId="0" borderId="15" xfId="0" quotePrefix="1" applyNumberFormat="1" applyFill="1" applyBorder="1" applyProtection="1"/>
    <xf numFmtId="165" fontId="0" fillId="0" borderId="15" xfId="0" quotePrefix="1" applyNumberFormat="1" applyFill="1" applyBorder="1" applyAlignment="1" applyProtection="1">
      <alignment horizontal="right"/>
    </xf>
    <xf numFmtId="1" fontId="0" fillId="0" borderId="15" xfId="0" quotePrefix="1" applyNumberFormat="1" applyFill="1" applyBorder="1" applyAlignment="1" applyProtection="1">
      <alignment horizontal="center"/>
    </xf>
    <xf numFmtId="0" fontId="0" fillId="0" borderId="87" xfId="0" quotePrefix="1" applyFill="1" applyBorder="1" applyAlignment="1" applyProtection="1">
      <alignment horizontal="center"/>
    </xf>
    <xf numFmtId="0" fontId="3" fillId="0" borderId="87" xfId="0" quotePrefix="1" applyFont="1" applyFill="1" applyBorder="1" applyAlignment="1" applyProtection="1">
      <alignment horizontal="left"/>
    </xf>
    <xf numFmtId="165" fontId="0" fillId="0" borderId="24" xfId="0" quotePrefix="1" applyNumberFormat="1" applyBorder="1"/>
    <xf numFmtId="165" fontId="0" fillId="0" borderId="24" xfId="0" applyNumberFormat="1" applyBorder="1" applyAlignment="1">
      <alignment horizontal="center"/>
    </xf>
    <xf numFmtId="165" fontId="3" fillId="4" borderId="12" xfId="0" applyNumberFormat="1" applyFont="1" applyFill="1" applyBorder="1" applyAlignment="1" applyProtection="1">
      <alignment horizontal="center"/>
    </xf>
    <xf numFmtId="3" fontId="0" fillId="3" borderId="35" xfId="0" applyNumberFormat="1" applyFill="1" applyBorder="1"/>
    <xf numFmtId="3" fontId="0" fillId="0" borderId="98" xfId="0" applyNumberFormat="1" applyBorder="1"/>
    <xf numFmtId="3" fontId="0" fillId="3" borderId="13" xfId="0" applyNumberFormat="1" applyFill="1" applyBorder="1"/>
    <xf numFmtId="3" fontId="0" fillId="0" borderId="13" xfId="0" applyNumberFormat="1" applyBorder="1"/>
    <xf numFmtId="3" fontId="0" fillId="0" borderId="87" xfId="0" applyNumberFormat="1" applyBorder="1"/>
    <xf numFmtId="3" fontId="0" fillId="0" borderId="28" xfId="0" applyNumberFormat="1" applyBorder="1"/>
    <xf numFmtId="165" fontId="0" fillId="0" borderId="98" xfId="0" applyNumberFormat="1" applyBorder="1"/>
    <xf numFmtId="0" fontId="0" fillId="0" borderId="87" xfId="0" applyBorder="1"/>
    <xf numFmtId="0" fontId="0" fillId="0" borderId="98" xfId="0" applyBorder="1"/>
    <xf numFmtId="3" fontId="0" fillId="3" borderId="28" xfId="0" applyNumberFormat="1" applyFill="1" applyBorder="1"/>
    <xf numFmtId="0" fontId="6" fillId="0" borderId="66" xfId="0" applyFont="1" applyFill="1" applyBorder="1"/>
    <xf numFmtId="3" fontId="0" fillId="0" borderId="35" xfId="0" applyNumberFormat="1" applyFill="1" applyBorder="1"/>
    <xf numFmtId="3" fontId="0" fillId="0" borderId="53" xfId="0" applyNumberFormat="1" applyFill="1" applyBorder="1"/>
    <xf numFmtId="0" fontId="3" fillId="0" borderId="127" xfId="0" applyFont="1" applyBorder="1"/>
    <xf numFmtId="0" fontId="0" fillId="0" borderId="103" xfId="0" applyBorder="1"/>
    <xf numFmtId="3" fontId="0" fillId="0" borderId="10" xfId="0" applyNumberFormat="1" applyFill="1" applyBorder="1" applyAlignment="1" applyProtection="1">
      <alignment horizontal="center"/>
    </xf>
    <xf numFmtId="0" fontId="0" fillId="0" borderId="29" xfId="0" applyFill="1" applyBorder="1"/>
    <xf numFmtId="3" fontId="3" fillId="0" borderId="21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57" xfId="0" applyNumberFormat="1" applyFont="1" applyFill="1" applyBorder="1" applyAlignment="1" applyProtection="1">
      <alignment horizontal="center"/>
    </xf>
    <xf numFmtId="3" fontId="3" fillId="0" borderId="73" xfId="0" applyNumberFormat="1" applyFont="1" applyFill="1" applyBorder="1" applyAlignment="1" applyProtection="1">
      <alignment horizontal="center"/>
    </xf>
    <xf numFmtId="3" fontId="3" fillId="0" borderId="58" xfId="0" applyNumberFormat="1" applyFont="1" applyFill="1" applyBorder="1" applyAlignment="1" applyProtection="1">
      <alignment horizontal="center"/>
    </xf>
    <xf numFmtId="3" fontId="3" fillId="0" borderId="56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0" fontId="4" fillId="0" borderId="128" xfId="0" applyFont="1" applyFill="1" applyBorder="1"/>
    <xf numFmtId="0" fontId="0" fillId="0" borderId="129" xfId="0" applyFill="1" applyBorder="1"/>
    <xf numFmtId="0" fontId="0" fillId="0" borderId="130" xfId="0" applyFill="1" applyBorder="1"/>
    <xf numFmtId="3" fontId="3" fillId="4" borderId="21" xfId="0" applyNumberFormat="1" applyFont="1" applyFill="1" applyBorder="1" applyAlignment="1" applyProtection="1">
      <alignment horizontal="center"/>
    </xf>
    <xf numFmtId="3" fontId="3" fillId="4" borderId="12" xfId="0" applyNumberFormat="1" applyFont="1" applyFill="1" applyBorder="1" applyAlignment="1" applyProtection="1">
      <alignment horizontal="center"/>
    </xf>
    <xf numFmtId="3" fontId="3" fillId="4" borderId="71" xfId="0" applyNumberFormat="1" applyFont="1" applyFill="1" applyBorder="1" applyAlignment="1" applyProtection="1">
      <alignment horizontal="center"/>
    </xf>
    <xf numFmtId="3" fontId="3" fillId="4" borderId="73" xfId="0" applyNumberFormat="1" applyFont="1" applyFill="1" applyBorder="1" applyAlignment="1" applyProtection="1">
      <alignment horizontal="center"/>
    </xf>
    <xf numFmtId="3" fontId="3" fillId="4" borderId="57" xfId="0" applyNumberFormat="1" applyFont="1" applyFill="1" applyBorder="1" applyAlignment="1" applyProtection="1">
      <alignment horizontal="center"/>
    </xf>
    <xf numFmtId="3" fontId="3" fillId="4" borderId="58" xfId="0" applyNumberFormat="1" applyFont="1" applyFill="1" applyBorder="1" applyAlignment="1" applyProtection="1">
      <alignment horizontal="center"/>
    </xf>
    <xf numFmtId="0" fontId="0" fillId="0" borderId="72" xfId="0" applyBorder="1"/>
    <xf numFmtId="165" fontId="0" fillId="2" borderId="86" xfId="0" applyNumberFormat="1" applyFill="1" applyBorder="1" applyProtection="1">
      <protection locked="0"/>
    </xf>
    <xf numFmtId="0" fontId="5" fillId="2" borderId="86" xfId="0" applyFont="1" applyFill="1" applyBorder="1" applyProtection="1">
      <protection locked="0"/>
    </xf>
    <xf numFmtId="0" fontId="5" fillId="0" borderId="86" xfId="0" applyFont="1" applyBorder="1"/>
    <xf numFmtId="0" fontId="4" fillId="0" borderId="131" xfId="0" applyFont="1" applyFill="1" applyBorder="1"/>
    <xf numFmtId="3" fontId="0" fillId="4" borderId="114" xfId="0" applyNumberFormat="1" applyFill="1" applyBorder="1" applyAlignment="1">
      <alignment horizontal="center"/>
    </xf>
    <xf numFmtId="5" fontId="3" fillId="4" borderId="30" xfId="0" applyNumberFormat="1" applyFont="1" applyFill="1" applyBorder="1" applyAlignment="1">
      <alignment horizontal="center"/>
    </xf>
    <xf numFmtId="5" fontId="3" fillId="4" borderId="15" xfId="0" applyNumberFormat="1" applyFont="1" applyFill="1" applyBorder="1" applyAlignment="1">
      <alignment horizontal="center"/>
    </xf>
    <xf numFmtId="5" fontId="3" fillId="4" borderId="17" xfId="0" applyNumberFormat="1" applyFont="1" applyFill="1" applyBorder="1" applyAlignment="1">
      <alignment horizontal="center"/>
    </xf>
    <xf numFmtId="3" fontId="0" fillId="4" borderId="12" xfId="0" applyNumberFormat="1" applyFill="1" applyBorder="1" applyAlignment="1">
      <alignment horizontal="center"/>
    </xf>
    <xf numFmtId="3" fontId="0" fillId="4" borderId="18" xfId="0" applyNumberFormat="1" applyFill="1" applyBorder="1" applyAlignment="1">
      <alignment horizontal="center"/>
    </xf>
    <xf numFmtId="165" fontId="3" fillId="4" borderId="30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1" fontId="0" fillId="4" borderId="18" xfId="0" applyNumberFormat="1" applyFill="1" applyBorder="1" applyAlignment="1">
      <alignment horizontal="center"/>
    </xf>
    <xf numFmtId="165" fontId="3" fillId="4" borderId="73" xfId="0" applyNumberFormat="1" applyFont="1" applyFill="1" applyBorder="1" applyAlignment="1">
      <alignment horizontal="center"/>
    </xf>
    <xf numFmtId="165" fontId="3" fillId="4" borderId="57" xfId="0" applyNumberFormat="1" applyFont="1" applyFill="1" applyBorder="1" applyAlignment="1">
      <alignment horizontal="center"/>
    </xf>
    <xf numFmtId="165" fontId="3" fillId="4" borderId="58" xfId="0" applyNumberFormat="1" applyFont="1" applyFill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5" fontId="3" fillId="0" borderId="30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165" fontId="3" fillId="0" borderId="30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3" fillId="0" borderId="39" xfId="0" applyNumberFormat="1" applyFont="1" applyBorder="1" applyAlignment="1">
      <alignment horizontal="center"/>
    </xf>
    <xf numFmtId="165" fontId="3" fillId="0" borderId="56" xfId="0" applyNumberFormat="1" applyFont="1" applyBorder="1" applyAlignment="1">
      <alignment horizontal="center"/>
    </xf>
    <xf numFmtId="165" fontId="3" fillId="0" borderId="57" xfId="0" applyNumberFormat="1" applyFont="1" applyBorder="1" applyAlignment="1">
      <alignment horizontal="center"/>
    </xf>
    <xf numFmtId="165" fontId="3" fillId="0" borderId="58" xfId="0" applyNumberFormat="1" applyFont="1" applyBorder="1" applyAlignment="1">
      <alignment horizontal="center"/>
    </xf>
    <xf numFmtId="165" fontId="3" fillId="4" borderId="39" xfId="0" applyNumberFormat="1" applyFont="1" applyFill="1" applyBorder="1" applyAlignment="1">
      <alignment horizontal="center"/>
    </xf>
    <xf numFmtId="165" fontId="3" fillId="4" borderId="56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3" fillId="0" borderId="45" xfId="0" applyNumberFormat="1" applyFont="1" applyBorder="1" applyAlignment="1">
      <alignment horizontal="center"/>
    </xf>
    <xf numFmtId="165" fontId="3" fillId="4" borderId="69" xfId="0" applyNumberFormat="1" applyFont="1" applyFill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165" fontId="0" fillId="0" borderId="45" xfId="0" quotePrefix="1" applyNumberFormat="1" applyBorder="1"/>
    <xf numFmtId="3" fontId="5" fillId="0" borderId="124" xfId="0" applyNumberFormat="1" applyFont="1" applyFill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0" fillId="0" borderId="36" xfId="0" applyNumberFormat="1" applyBorder="1"/>
    <xf numFmtId="165" fontId="0" fillId="0" borderId="16" xfId="0" applyNumberFormat="1" applyBorder="1"/>
    <xf numFmtId="165" fontId="0" fillId="0" borderId="23" xfId="0" applyNumberFormat="1" applyBorder="1"/>
    <xf numFmtId="3" fontId="0" fillId="0" borderId="39" xfId="0" applyNumberFormat="1" applyBorder="1"/>
    <xf numFmtId="3" fontId="0" fillId="3" borderId="38" xfId="0" applyNumberFormat="1" applyFill="1" applyBorder="1"/>
    <xf numFmtId="3" fontId="0" fillId="3" borderId="4" xfId="0" applyNumberFormat="1" applyFill="1" applyBorder="1"/>
    <xf numFmtId="165" fontId="0" fillId="3" borderId="54" xfId="0" applyNumberFormat="1" applyFill="1" applyBorder="1"/>
    <xf numFmtId="0" fontId="12" fillId="0" borderId="0" xfId="0" applyNumberFormat="1" applyFont="1" applyAlignment="1"/>
    <xf numFmtId="3" fontId="7" fillId="0" borderId="1" xfId="0" applyNumberFormat="1" applyFont="1" applyBorder="1"/>
    <xf numFmtId="165" fontId="7" fillId="0" borderId="1" xfId="0" applyNumberFormat="1" applyFont="1" applyBorder="1"/>
    <xf numFmtId="0" fontId="4" fillId="0" borderId="32" xfId="0" applyFont="1" applyBorder="1"/>
    <xf numFmtId="0" fontId="4" fillId="0" borderId="124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7" fillId="0" borderId="8" xfId="0" applyFont="1" applyBorder="1"/>
    <xf numFmtId="165" fontId="7" fillId="0" borderId="11" xfId="0" applyNumberFormat="1" applyFont="1" applyBorder="1"/>
    <xf numFmtId="0" fontId="7" fillId="0" borderId="39" xfId="0" applyFont="1" applyBorder="1"/>
    <xf numFmtId="3" fontId="7" fillId="0" borderId="15" xfId="0" applyNumberFormat="1" applyFont="1" applyBorder="1"/>
    <xf numFmtId="165" fontId="7" fillId="0" borderId="15" xfId="0" applyNumberFormat="1" applyFont="1" applyBorder="1"/>
    <xf numFmtId="165" fontId="7" fillId="0" borderId="17" xfId="0" applyNumberFormat="1" applyFont="1" applyBorder="1"/>
    <xf numFmtId="0" fontId="7" fillId="0" borderId="48" xfId="0" applyFont="1" applyBorder="1"/>
    <xf numFmtId="3" fontId="7" fillId="0" borderId="87" xfId="0" applyNumberFormat="1" applyFont="1" applyBorder="1"/>
    <xf numFmtId="165" fontId="7" fillId="0" borderId="87" xfId="0" applyNumberFormat="1" applyFont="1" applyBorder="1"/>
    <xf numFmtId="165" fontId="7" fillId="0" borderId="40" xfId="0" applyNumberFormat="1" applyFont="1" applyBorder="1"/>
    <xf numFmtId="170" fontId="5" fillId="0" borderId="14" xfId="0" applyNumberFormat="1" applyFont="1" applyFill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1" xfId="0" applyNumberFormat="1" applyFont="1" applyBorder="1"/>
    <xf numFmtId="1" fontId="5" fillId="4" borderId="21" xfId="0" applyNumberFormat="1" applyFont="1" applyFill="1" applyBorder="1" applyAlignment="1">
      <alignment horizontal="center"/>
    </xf>
    <xf numFmtId="1" fontId="5" fillId="0" borderId="21" xfId="0" applyNumberFormat="1" applyFont="1" applyFill="1" applyBorder="1" applyAlignment="1">
      <alignment horizontal="center"/>
    </xf>
    <xf numFmtId="1" fontId="5" fillId="0" borderId="14" xfId="0" applyNumberFormat="1" applyFont="1" applyFill="1" applyBorder="1" applyAlignment="1">
      <alignment horizontal="center"/>
    </xf>
    <xf numFmtId="3" fontId="0" fillId="0" borderId="33" xfId="0" applyNumberFormat="1" applyFill="1" applyBorder="1"/>
    <xf numFmtId="0" fontId="3" fillId="0" borderId="83" xfId="0" applyFont="1" applyBorder="1" applyAlignment="1">
      <alignment horizontal="center"/>
    </xf>
    <xf numFmtId="0" fontId="0" fillId="0" borderId="129" xfId="0" applyBorder="1"/>
    <xf numFmtId="171" fontId="5" fillId="2" borderId="1" xfId="0" applyNumberFormat="1" applyFont="1" applyFill="1" applyBorder="1" applyAlignment="1" applyProtection="1">
      <alignment horizontal="center"/>
      <protection locked="0"/>
    </xf>
    <xf numFmtId="3" fontId="3" fillId="0" borderId="0" xfId="0" applyNumberFormat="1" applyFont="1"/>
    <xf numFmtId="165" fontId="3" fillId="0" borderId="24" xfId="0" applyNumberFormat="1" applyFont="1" applyBorder="1" applyAlignment="1">
      <alignment horizontal="center"/>
    </xf>
    <xf numFmtId="0" fontId="0" fillId="7" borderId="77" xfId="0" applyFill="1" applyBorder="1"/>
    <xf numFmtId="3" fontId="0" fillId="0" borderId="0" xfId="0" applyNumberFormat="1" applyFill="1"/>
    <xf numFmtId="3" fontId="5" fillId="4" borderId="1" xfId="0" applyNumberFormat="1" applyFont="1" applyFill="1" applyBorder="1"/>
    <xf numFmtId="3" fontId="5" fillId="0" borderId="1" xfId="0" applyNumberFormat="1" applyFont="1" applyFill="1" applyBorder="1"/>
    <xf numFmtId="3" fontId="5" fillId="0" borderId="12" xfId="0" applyNumberFormat="1" applyFont="1" applyFill="1" applyBorder="1" applyAlignment="1" applyProtection="1">
      <alignment horizontal="center"/>
    </xf>
    <xf numFmtId="165" fontId="3" fillId="0" borderId="39" xfId="0" quotePrefix="1" applyNumberFormat="1" applyFont="1" applyBorder="1"/>
    <xf numFmtId="165" fontId="0" fillId="0" borderId="30" xfId="0" applyNumberFormat="1" applyFill="1" applyBorder="1"/>
    <xf numFmtId="3" fontId="0" fillId="0" borderId="28" xfId="0" applyNumberFormat="1" applyFill="1" applyBorder="1"/>
    <xf numFmtId="3" fontId="0" fillId="0" borderId="29" xfId="0" applyNumberFormat="1" applyBorder="1"/>
    <xf numFmtId="0" fontId="3" fillId="0" borderId="31" xfId="0" applyFont="1" applyFill="1" applyBorder="1"/>
    <xf numFmtId="0" fontId="3" fillId="0" borderId="4" xfId="0" applyFont="1" applyFill="1" applyBorder="1"/>
    <xf numFmtId="0" fontId="3" fillId="0" borderId="3" xfId="0" applyFont="1" applyFill="1" applyBorder="1"/>
    <xf numFmtId="165" fontId="3" fillId="0" borderId="14" xfId="0" applyNumberFormat="1" applyFont="1" applyBorder="1" applyAlignment="1">
      <alignment horizontal="right"/>
    </xf>
    <xf numFmtId="165" fontId="3" fillId="0" borderId="1" xfId="0" quotePrefix="1" applyNumberFormat="1" applyFont="1" applyFill="1" applyBorder="1" applyProtection="1"/>
    <xf numFmtId="165" fontId="3" fillId="4" borderId="15" xfId="0" quotePrefix="1" applyNumberFormat="1" applyFont="1" applyFill="1" applyBorder="1"/>
    <xf numFmtId="0" fontId="3" fillId="0" borderId="77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3" fontId="0" fillId="4" borderId="1" xfId="0" quotePrefix="1" applyNumberFormat="1" applyFill="1" applyBorder="1"/>
    <xf numFmtId="3" fontId="0" fillId="0" borderId="1" xfId="0" quotePrefix="1" applyNumberFormat="1" applyFill="1" applyBorder="1"/>
    <xf numFmtId="0" fontId="0" fillId="4" borderId="4" xfId="0" applyFill="1" applyBorder="1" applyAlignment="1">
      <alignment horizontal="right"/>
    </xf>
    <xf numFmtId="0" fontId="0" fillId="7" borderId="4" xfId="0" applyFill="1" applyBorder="1" applyAlignment="1">
      <alignment horizontal="right"/>
    </xf>
    <xf numFmtId="0" fontId="3" fillId="7" borderId="77" xfId="0" applyFont="1" applyFill="1" applyBorder="1" applyAlignment="1">
      <alignment horizontal="right"/>
    </xf>
    <xf numFmtId="0" fontId="3" fillId="7" borderId="4" xfId="0" applyFont="1" applyFill="1" applyBorder="1" applyAlignment="1">
      <alignment horizontal="left"/>
    </xf>
    <xf numFmtId="0" fontId="0" fillId="0" borderId="113" xfId="0" applyBorder="1"/>
    <xf numFmtId="0" fontId="4" fillId="0" borderId="93" xfId="0" applyFont="1" applyBorder="1" applyAlignment="1">
      <alignment horizontal="center"/>
    </xf>
    <xf numFmtId="0" fontId="3" fillId="0" borderId="132" xfId="0" applyFont="1" applyBorder="1" applyAlignment="1">
      <alignment horizontal="center"/>
    </xf>
    <xf numFmtId="3" fontId="0" fillId="0" borderId="133" xfId="0" applyNumberFormat="1" applyBorder="1" applyAlignment="1">
      <alignment horizontal="center"/>
    </xf>
    <xf numFmtId="3" fontId="3" fillId="0" borderId="133" xfId="0" applyNumberFormat="1" applyFont="1" applyBorder="1" applyAlignment="1">
      <alignment horizontal="center"/>
    </xf>
    <xf numFmtId="3" fontId="3" fillId="0" borderId="134" xfId="0" applyNumberFormat="1" applyFont="1" applyBorder="1" applyAlignment="1">
      <alignment horizontal="center"/>
    </xf>
    <xf numFmtId="0" fontId="0" fillId="0" borderId="135" xfId="0" applyBorder="1"/>
    <xf numFmtId="3" fontId="3" fillId="0" borderId="61" xfId="0" applyNumberFormat="1" applyFont="1" applyBorder="1" applyAlignment="1">
      <alignment horizontal="center"/>
    </xf>
    <xf numFmtId="3" fontId="0" fillId="0" borderId="136" xfId="0" applyNumberFormat="1" applyBorder="1" applyAlignment="1">
      <alignment horizontal="center"/>
    </xf>
    <xf numFmtId="0" fontId="0" fillId="0" borderId="137" xfId="0" applyBorder="1"/>
    <xf numFmtId="165" fontId="3" fillId="0" borderId="138" xfId="0" applyNumberFormat="1" applyFont="1" applyBorder="1"/>
    <xf numFmtId="165" fontId="3" fillId="0" borderId="62" xfId="0" applyNumberFormat="1" applyFont="1" applyBorder="1" applyAlignment="1">
      <alignment horizontal="center"/>
    </xf>
    <xf numFmtId="3" fontId="3" fillId="0" borderId="107" xfId="0" applyNumberFormat="1" applyFont="1" applyBorder="1" applyAlignment="1">
      <alignment horizontal="center"/>
    </xf>
    <xf numFmtId="165" fontId="3" fillId="0" borderId="65" xfId="0" applyNumberFormat="1" applyFont="1" applyBorder="1" applyAlignment="1">
      <alignment horizontal="center"/>
    </xf>
    <xf numFmtId="3" fontId="0" fillId="0" borderId="139" xfId="0" applyNumberFormat="1" applyBorder="1" applyAlignment="1">
      <alignment horizontal="center"/>
    </xf>
    <xf numFmtId="3" fontId="0" fillId="0" borderId="134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3" fontId="3" fillId="0" borderId="138" xfId="0" applyNumberFormat="1" applyFont="1" applyBorder="1" applyAlignment="1">
      <alignment horizontal="center"/>
    </xf>
    <xf numFmtId="165" fontId="0" fillId="0" borderId="63" xfId="0" applyNumberFormat="1" applyBorder="1" applyAlignment="1">
      <alignment horizontal="center"/>
    </xf>
    <xf numFmtId="165" fontId="8" fillId="4" borderId="73" xfId="0" applyNumberFormat="1" applyFont="1" applyFill="1" applyBorder="1" applyAlignment="1">
      <alignment horizontal="center"/>
    </xf>
    <xf numFmtId="3" fontId="8" fillId="4" borderId="57" xfId="0" applyNumberFormat="1" applyFont="1" applyFill="1" applyBorder="1"/>
    <xf numFmtId="165" fontId="8" fillId="4" borderId="58" xfId="0" applyNumberFormat="1" applyFont="1" applyFill="1" applyBorder="1"/>
    <xf numFmtId="165" fontId="8" fillId="0" borderId="58" xfId="0" applyNumberFormat="1" applyFont="1" applyFill="1" applyBorder="1"/>
    <xf numFmtId="165" fontId="8" fillId="0" borderId="58" xfId="0" applyNumberFormat="1" applyFont="1" applyBorder="1"/>
    <xf numFmtId="165" fontId="8" fillId="0" borderId="64" xfId="0" applyNumberFormat="1" applyFont="1" applyBorder="1"/>
    <xf numFmtId="165" fontId="8" fillId="0" borderId="56" xfId="0" applyNumberFormat="1" applyFont="1" applyBorder="1"/>
    <xf numFmtId="165" fontId="8" fillId="0" borderId="57" xfId="0" applyNumberFormat="1" applyFont="1" applyBorder="1"/>
    <xf numFmtId="165" fontId="8" fillId="0" borderId="56" xfId="0" applyNumberFormat="1" applyFont="1" applyBorder="1" applyAlignment="1">
      <alignment horizontal="center"/>
    </xf>
    <xf numFmtId="3" fontId="8" fillId="0" borderId="57" xfId="0" applyNumberFormat="1" applyFont="1" applyBorder="1"/>
    <xf numFmtId="0" fontId="3" fillId="0" borderId="36" xfId="0" applyFont="1" applyBorder="1"/>
    <xf numFmtId="0" fontId="3" fillId="0" borderId="24" xfId="0" applyFont="1" applyFill="1" applyBorder="1" applyAlignment="1">
      <alignment horizontal="right"/>
    </xf>
    <xf numFmtId="0" fontId="3" fillId="0" borderId="69" xfId="0" applyFont="1" applyFill="1" applyBorder="1" applyAlignment="1">
      <alignment horizontal="right"/>
    </xf>
    <xf numFmtId="0" fontId="6" fillId="0" borderId="130" xfId="0" applyFont="1" applyBorder="1"/>
    <xf numFmtId="0" fontId="5" fillId="0" borderId="22" xfId="0" applyFont="1" applyFill="1" applyBorder="1" applyAlignment="1">
      <alignment horizontal="right"/>
    </xf>
    <xf numFmtId="0" fontId="8" fillId="0" borderId="69" xfId="0" applyFont="1" applyFill="1" applyBorder="1" applyAlignment="1">
      <alignment horizontal="right"/>
    </xf>
    <xf numFmtId="0" fontId="7" fillId="0" borderId="108" xfId="0" applyFont="1" applyBorder="1"/>
    <xf numFmtId="0" fontId="0" fillId="0" borderId="77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2" xfId="0" applyFill="1" applyBorder="1" applyAlignment="1">
      <alignment horizontal="right"/>
    </xf>
    <xf numFmtId="0" fontId="3" fillId="7" borderId="0" xfId="0" applyFont="1" applyFill="1" applyBorder="1"/>
    <xf numFmtId="0" fontId="5" fillId="0" borderId="31" xfId="0" applyFont="1" applyFill="1" applyBorder="1" applyAlignment="1">
      <alignment horizontal="right"/>
    </xf>
    <xf numFmtId="0" fontId="0" fillId="0" borderId="77" xfId="0" applyFill="1" applyBorder="1" applyAlignment="1">
      <alignment horizontal="right"/>
    </xf>
    <xf numFmtId="0" fontId="3" fillId="7" borderId="3" xfId="0" applyFont="1" applyFill="1" applyBorder="1"/>
    <xf numFmtId="0" fontId="0" fillId="0" borderId="4" xfId="0" applyFill="1" applyBorder="1" applyAlignment="1">
      <alignment horizontal="right"/>
    </xf>
    <xf numFmtId="0" fontId="3" fillId="7" borderId="4" xfId="0" applyFont="1" applyFill="1" applyBorder="1"/>
    <xf numFmtId="3" fontId="3" fillId="0" borderId="2" xfId="0" applyNumberFormat="1" applyFont="1" applyBorder="1" applyAlignment="1">
      <alignment horizontal="right"/>
    </xf>
    <xf numFmtId="3" fontId="3" fillId="0" borderId="108" xfId="0" applyNumberFormat="1" applyFont="1" applyBorder="1"/>
    <xf numFmtId="0" fontId="3" fillId="0" borderId="16" xfId="0" applyFont="1" applyBorder="1" applyAlignment="1">
      <alignment horizontal="right"/>
    </xf>
    <xf numFmtId="0" fontId="3" fillId="0" borderId="100" xfId="0" applyFont="1" applyBorder="1" applyAlignment="1">
      <alignment horizontal="center" wrapText="1"/>
    </xf>
    <xf numFmtId="3" fontId="0" fillId="0" borderId="71" xfId="0" applyNumberFormat="1" applyFill="1" applyBorder="1" applyAlignment="1">
      <alignment horizontal="right"/>
    </xf>
    <xf numFmtId="1" fontId="0" fillId="0" borderId="22" xfId="0" applyNumberFormat="1" applyFill="1" applyBorder="1"/>
    <xf numFmtId="1" fontId="0" fillId="0" borderId="34" xfId="0" applyNumberFormat="1" applyFill="1" applyBorder="1"/>
    <xf numFmtId="0" fontId="0" fillId="2" borderId="8" xfId="0" applyFill="1" applyBorder="1" applyAlignment="1">
      <alignment horizontal="center"/>
    </xf>
    <xf numFmtId="0" fontId="0" fillId="2" borderId="86" xfId="0" applyFill="1" applyBorder="1" applyAlignment="1">
      <alignment horizontal="center"/>
    </xf>
    <xf numFmtId="0" fontId="0" fillId="0" borderId="84" xfId="0" applyBorder="1"/>
    <xf numFmtId="165" fontId="3" fillId="4" borderId="53" xfId="0" applyNumberFormat="1" applyFont="1" applyFill="1" applyBorder="1"/>
    <xf numFmtId="165" fontId="3" fillId="4" borderId="50" xfId="0" applyNumberFormat="1" applyFont="1" applyFill="1" applyBorder="1"/>
    <xf numFmtId="165" fontId="3" fillId="4" borderId="51" xfId="0" applyNumberFormat="1" applyFont="1" applyFill="1" applyBorder="1"/>
    <xf numFmtId="165" fontId="3" fillId="0" borderId="50" xfId="0" applyNumberFormat="1" applyFont="1" applyFill="1" applyBorder="1"/>
    <xf numFmtId="165" fontId="3" fillId="0" borderId="51" xfId="0" applyNumberFormat="1" applyFont="1" applyFill="1" applyBorder="1"/>
    <xf numFmtId="165" fontId="3" fillId="0" borderId="12" xfId="0" applyNumberFormat="1" applyFont="1" applyFill="1" applyBorder="1" applyProtection="1"/>
    <xf numFmtId="0" fontId="3" fillId="0" borderId="12" xfId="0" applyFont="1" applyFill="1" applyBorder="1" applyAlignment="1" applyProtection="1">
      <alignment horizontal="center"/>
    </xf>
    <xf numFmtId="0" fontId="3" fillId="0" borderId="5" xfId="0" applyFont="1" applyBorder="1"/>
    <xf numFmtId="0" fontId="3" fillId="0" borderId="28" xfId="0" applyFont="1" applyBorder="1"/>
    <xf numFmtId="165" fontId="3" fillId="0" borderId="21" xfId="0" applyNumberFormat="1" applyFont="1" applyBorder="1"/>
    <xf numFmtId="165" fontId="3" fillId="0" borderId="41" xfId="0" applyNumberFormat="1" applyFont="1" applyBorder="1"/>
    <xf numFmtId="165" fontId="3" fillId="0" borderId="18" xfId="0" applyNumberFormat="1" applyFont="1" applyBorder="1"/>
    <xf numFmtId="165" fontId="3" fillId="4" borderId="21" xfId="0" applyNumberFormat="1" applyFont="1" applyFill="1" applyBorder="1"/>
    <xf numFmtId="3" fontId="3" fillId="0" borderId="23" xfId="0" applyNumberFormat="1" applyFont="1" applyBorder="1" applyAlignment="1">
      <alignment horizontal="center"/>
    </xf>
    <xf numFmtId="165" fontId="3" fillId="0" borderId="63" xfId="0" applyNumberFormat="1" applyFont="1" applyBorder="1"/>
    <xf numFmtId="0" fontId="3" fillId="4" borderId="114" xfId="0" applyFont="1" applyFill="1" applyBorder="1"/>
    <xf numFmtId="0" fontId="0" fillId="2" borderId="58" xfId="0" applyFill="1" applyBorder="1" applyProtection="1">
      <protection locked="0"/>
    </xf>
    <xf numFmtId="0" fontId="0" fillId="0" borderId="78" xfId="0" applyBorder="1"/>
    <xf numFmtId="0" fontId="0" fillId="2" borderId="71" xfId="0" applyFill="1" applyBorder="1" applyProtection="1">
      <protection locked="0"/>
    </xf>
    <xf numFmtId="0" fontId="3" fillId="0" borderId="2" xfId="0" applyFont="1" applyFill="1" applyBorder="1" applyAlignment="1">
      <alignment horizontal="center"/>
    </xf>
    <xf numFmtId="0" fontId="3" fillId="0" borderId="79" xfId="0" applyFont="1" applyFill="1" applyBorder="1" applyAlignment="1">
      <alignment horizontal="right"/>
    </xf>
    <xf numFmtId="165" fontId="0" fillId="0" borderId="87" xfId="0" applyNumberFormat="1" applyFill="1" applyBorder="1" applyAlignment="1" applyProtection="1">
      <alignment horizontal="right"/>
    </xf>
    <xf numFmtId="165" fontId="0" fillId="4" borderId="87" xfId="0" applyNumberFormat="1" applyFill="1" applyBorder="1"/>
    <xf numFmtId="165" fontId="0" fillId="4" borderId="40" xfId="0" applyNumberFormat="1" applyFill="1" applyBorder="1"/>
    <xf numFmtId="165" fontId="0" fillId="0" borderId="87" xfId="0" applyNumberFormat="1" applyFill="1" applyBorder="1"/>
    <xf numFmtId="165" fontId="0" fillId="0" borderId="40" xfId="0" applyNumberFormat="1" applyFill="1" applyBorder="1"/>
    <xf numFmtId="165" fontId="0" fillId="0" borderId="96" xfId="0" applyNumberFormat="1" applyFill="1" applyBorder="1" applyAlignment="1" applyProtection="1">
      <alignment horizontal="right"/>
    </xf>
    <xf numFmtId="165" fontId="0" fillId="0" borderId="22" xfId="0" applyNumberFormat="1" applyBorder="1"/>
    <xf numFmtId="165" fontId="0" fillId="0" borderId="19" xfId="0" applyNumberFormat="1" applyBorder="1" applyAlignment="1">
      <alignment horizontal="center"/>
    </xf>
    <xf numFmtId="165" fontId="0" fillId="0" borderId="140" xfId="0" quotePrefix="1" applyNumberFormat="1" applyBorder="1"/>
    <xf numFmtId="165" fontId="0" fillId="4" borderId="8" xfId="0" applyNumberFormat="1" applyFill="1" applyBorder="1"/>
    <xf numFmtId="3" fontId="0" fillId="4" borderId="86" xfId="0" applyNumberFormat="1" applyFill="1" applyBorder="1"/>
    <xf numFmtId="3" fontId="0" fillId="0" borderId="86" xfId="0" applyNumberFormat="1" applyFill="1" applyBorder="1"/>
    <xf numFmtId="0" fontId="0" fillId="0" borderId="124" xfId="0" applyFill="1" applyBorder="1" applyAlignment="1" applyProtection="1">
      <alignment horizontal="center"/>
    </xf>
    <xf numFmtId="165" fontId="5" fillId="4" borderId="32" xfId="0" applyNumberFormat="1" applyFont="1" applyFill="1" applyBorder="1"/>
    <xf numFmtId="3" fontId="0" fillId="4" borderId="124" xfId="0" applyNumberFormat="1" applyFill="1" applyBorder="1"/>
    <xf numFmtId="165" fontId="0" fillId="4" borderId="33" xfId="0" applyNumberFormat="1" applyFill="1" applyBorder="1"/>
    <xf numFmtId="165" fontId="5" fillId="0" borderId="123" xfId="0" applyNumberFormat="1" applyFont="1" applyFill="1" applyBorder="1"/>
    <xf numFmtId="3" fontId="0" fillId="0" borderId="124" xfId="0" applyNumberFormat="1" applyFill="1" applyBorder="1"/>
    <xf numFmtId="165" fontId="0" fillId="0" borderId="33" xfId="0" applyNumberFormat="1" applyFill="1" applyBorder="1"/>
    <xf numFmtId="165" fontId="5" fillId="4" borderId="123" xfId="0" applyNumberFormat="1" applyFont="1" applyFill="1" applyBorder="1"/>
    <xf numFmtId="3" fontId="0" fillId="0" borderId="141" xfId="0" applyNumberFormat="1" applyBorder="1" applyAlignment="1">
      <alignment horizontal="center"/>
    </xf>
    <xf numFmtId="0" fontId="0" fillId="0" borderId="139" xfId="0" applyBorder="1"/>
    <xf numFmtId="0" fontId="0" fillId="0" borderId="124" xfId="0" applyBorder="1" applyAlignment="1">
      <alignment horizontal="center"/>
    </xf>
    <xf numFmtId="165" fontId="5" fillId="0" borderId="33" xfId="0" applyNumberFormat="1" applyFont="1" applyBorder="1"/>
    <xf numFmtId="0" fontId="3" fillId="0" borderId="124" xfId="0" applyFont="1" applyFill="1" applyBorder="1" applyAlignment="1">
      <alignment horizontal="center"/>
    </xf>
    <xf numFmtId="0" fontId="3" fillId="4" borderId="124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0" fillId="0" borderId="100" xfId="0" applyFill="1" applyBorder="1"/>
    <xf numFmtId="0" fontId="0" fillId="0" borderId="66" xfId="0" applyBorder="1"/>
    <xf numFmtId="0" fontId="0" fillId="0" borderId="66" xfId="0" applyFill="1" applyBorder="1"/>
    <xf numFmtId="0" fontId="3" fillId="0" borderId="23" xfId="0" applyFont="1" applyBorder="1"/>
    <xf numFmtId="0" fontId="3" fillId="2" borderId="12" xfId="0" applyFont="1" applyFill="1" applyBorder="1"/>
    <xf numFmtId="0" fontId="3" fillId="0" borderId="20" xfId="0" applyFont="1" applyBorder="1"/>
    <xf numFmtId="1" fontId="3" fillId="0" borderId="12" xfId="0" applyNumberFormat="1" applyFont="1" applyFill="1" applyBorder="1" applyProtection="1"/>
    <xf numFmtId="3" fontId="3" fillId="0" borderId="35" xfId="0" applyNumberFormat="1" applyFont="1" applyBorder="1" applyAlignment="1">
      <alignment horizontal="center"/>
    </xf>
    <xf numFmtId="0" fontId="0" fillId="0" borderId="30" xfId="0" applyFill="1" applyBorder="1"/>
    <xf numFmtId="165" fontId="3" fillId="0" borderId="24" xfId="0" applyNumberFormat="1" applyFont="1" applyFill="1" applyBorder="1"/>
    <xf numFmtId="0" fontId="3" fillId="0" borderId="19" xfId="0" applyFont="1" applyBorder="1"/>
    <xf numFmtId="165" fontId="3" fillId="4" borderId="2" xfId="0" applyNumberFormat="1" applyFont="1" applyFill="1" applyBorder="1" applyProtection="1"/>
    <xf numFmtId="165" fontId="3" fillId="4" borderId="19" xfId="0" applyNumberFormat="1" applyFont="1" applyFill="1" applyBorder="1" applyProtection="1"/>
    <xf numFmtId="165" fontId="3" fillId="0" borderId="2" xfId="0" applyNumberFormat="1" applyFont="1" applyFill="1" applyBorder="1" applyProtection="1"/>
    <xf numFmtId="165" fontId="3" fillId="0" borderId="19" xfId="0" applyNumberFormat="1" applyFont="1" applyFill="1" applyBorder="1" applyProtection="1"/>
    <xf numFmtId="3" fontId="5" fillId="0" borderId="102" xfId="0" applyNumberFormat="1" applyFont="1" applyBorder="1"/>
    <xf numFmtId="3" fontId="5" fillId="0" borderId="23" xfId="0" applyNumberFormat="1" applyFont="1" applyFill="1" applyBorder="1" applyAlignment="1">
      <alignment horizontal="center"/>
    </xf>
    <xf numFmtId="3" fontId="0" fillId="0" borderId="123" xfId="0" applyNumberFormat="1" applyFill="1" applyBorder="1"/>
    <xf numFmtId="0" fontId="0" fillId="0" borderId="32" xfId="0" applyFill="1" applyBorder="1"/>
    <xf numFmtId="165" fontId="3" fillId="4" borderId="24" xfId="0" applyNumberFormat="1" applyFont="1" applyFill="1" applyBorder="1"/>
    <xf numFmtId="0" fontId="0" fillId="4" borderId="32" xfId="0" applyFill="1" applyBorder="1"/>
    <xf numFmtId="0" fontId="3" fillId="4" borderId="39" xfId="0" applyFont="1" applyFill="1" applyBorder="1"/>
    <xf numFmtId="0" fontId="0" fillId="4" borderId="39" xfId="0" applyFill="1" applyBorder="1"/>
    <xf numFmtId="165" fontId="3" fillId="4" borderId="82" xfId="0" applyNumberFormat="1" applyFont="1" applyFill="1" applyBorder="1"/>
    <xf numFmtId="3" fontId="5" fillId="4" borderId="21" xfId="0" applyNumberFormat="1" applyFont="1" applyFill="1" applyBorder="1"/>
    <xf numFmtId="0" fontId="0" fillId="4" borderId="32" xfId="0" applyFill="1" applyBorder="1" applyAlignment="1" applyProtection="1">
      <alignment horizontal="center"/>
    </xf>
    <xf numFmtId="165" fontId="3" fillId="4" borderId="26" xfId="0" applyNumberFormat="1" applyFont="1" applyFill="1" applyBorder="1"/>
    <xf numFmtId="3" fontId="5" fillId="0" borderId="21" xfId="0" applyNumberFormat="1" applyFont="1" applyFill="1" applyBorder="1"/>
    <xf numFmtId="3" fontId="5" fillId="0" borderId="32" xfId="0" applyNumberFormat="1" applyFont="1" applyFill="1" applyBorder="1"/>
    <xf numFmtId="3" fontId="0" fillId="0" borderId="92" xfId="0" applyNumberFormat="1" applyBorder="1" applyAlignment="1">
      <alignment horizontal="center"/>
    </xf>
    <xf numFmtId="0" fontId="3" fillId="0" borderId="61" xfId="0" applyFont="1" applyBorder="1"/>
    <xf numFmtId="165" fontId="3" fillId="0" borderId="61" xfId="0" applyNumberFormat="1" applyFont="1" applyBorder="1"/>
    <xf numFmtId="0" fontId="0" fillId="0" borderId="61" xfId="0" applyBorder="1" applyAlignment="1">
      <alignment horizontal="center"/>
    </xf>
    <xf numFmtId="165" fontId="3" fillId="4" borderId="64" xfId="0" applyNumberFormat="1" applyFont="1" applyFill="1" applyBorder="1" applyAlignment="1" applyProtection="1">
      <alignment horizontal="center"/>
    </xf>
    <xf numFmtId="0" fontId="0" fillId="0" borderId="142" xfId="0" applyBorder="1"/>
    <xf numFmtId="0" fontId="6" fillId="0" borderId="49" xfId="0" applyFont="1" applyFill="1" applyBorder="1"/>
    <xf numFmtId="0" fontId="6" fillId="0" borderId="0" xfId="0" applyFont="1" applyFill="1" applyBorder="1"/>
    <xf numFmtId="0" fontId="4" fillId="0" borderId="61" xfId="0" applyFont="1" applyBorder="1" applyAlignment="1">
      <alignment horizontal="center"/>
    </xf>
    <xf numFmtId="3" fontId="3" fillId="0" borderId="117" xfId="0" applyNumberFormat="1" applyFont="1" applyBorder="1" applyAlignment="1">
      <alignment horizontal="center"/>
    </xf>
    <xf numFmtId="165" fontId="5" fillId="0" borderId="1" xfId="0" applyNumberFormat="1" applyFont="1" applyFill="1" applyBorder="1" applyAlignment="1" applyProtection="1">
      <alignment horizontal="right"/>
    </xf>
    <xf numFmtId="0" fontId="5" fillId="0" borderId="14" xfId="0" applyFont="1" applyBorder="1"/>
    <xf numFmtId="0" fontId="0" fillId="0" borderId="27" xfId="0" applyFill="1" applyBorder="1" applyAlignment="1" applyProtection="1">
      <alignment horizontal="center"/>
    </xf>
    <xf numFmtId="0" fontId="3" fillId="0" borderId="121" xfId="0" applyFont="1" applyFill="1" applyBorder="1"/>
    <xf numFmtId="3" fontId="0" fillId="0" borderId="123" xfId="0" applyNumberFormat="1" applyBorder="1"/>
    <xf numFmtId="0" fontId="3" fillId="0" borderId="21" xfId="0" applyFont="1" applyFill="1" applyBorder="1" applyAlignment="1"/>
    <xf numFmtId="0" fontId="0" fillId="0" borderId="56" xfId="0" applyBorder="1"/>
    <xf numFmtId="165" fontId="3" fillId="4" borderId="69" xfId="0" applyNumberFormat="1" applyFont="1" applyFill="1" applyBorder="1" applyAlignment="1" applyProtection="1">
      <alignment horizontal="center"/>
    </xf>
    <xf numFmtId="0" fontId="0" fillId="0" borderId="58" xfId="0" applyBorder="1"/>
    <xf numFmtId="3" fontId="0" fillId="3" borderId="41" xfId="0" applyNumberFormat="1" applyFill="1" applyBorder="1"/>
    <xf numFmtId="3" fontId="0" fillId="3" borderId="51" xfId="0" applyNumberFormat="1" applyFill="1" applyBorder="1"/>
    <xf numFmtId="3" fontId="0" fillId="4" borderId="12" xfId="0" applyNumberFormat="1" applyFill="1" applyBorder="1" applyAlignment="1">
      <alignment horizontal="right"/>
    </xf>
    <xf numFmtId="3" fontId="5" fillId="4" borderId="21" xfId="0" applyNumberFormat="1" applyFont="1" applyFill="1" applyBorder="1" applyAlignment="1">
      <alignment horizontal="center"/>
    </xf>
    <xf numFmtId="3" fontId="5" fillId="0" borderId="21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right"/>
    </xf>
    <xf numFmtId="165" fontId="3" fillId="0" borderId="16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0" xfId="0" applyFill="1" applyBorder="1"/>
    <xf numFmtId="3" fontId="0" fillId="0" borderId="21" xfId="0" applyNumberFormat="1" applyFill="1" applyBorder="1" applyAlignment="1">
      <alignment horizontal="center"/>
    </xf>
    <xf numFmtId="5" fontId="3" fillId="0" borderId="30" xfId="0" applyNumberFormat="1" applyFont="1" applyFill="1" applyBorder="1"/>
    <xf numFmtId="5" fontId="3" fillId="0" borderId="15" xfId="0" applyNumberFormat="1" applyFont="1" applyFill="1" applyBorder="1"/>
    <xf numFmtId="5" fontId="3" fillId="0" borderId="17" xfId="0" applyNumberFormat="1" applyFont="1" applyFill="1" applyBorder="1"/>
    <xf numFmtId="1" fontId="0" fillId="0" borderId="2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65" fontId="3" fillId="0" borderId="15" xfId="0" applyNumberFormat="1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8" xfId="0" applyFill="1" applyBorder="1"/>
    <xf numFmtId="3" fontId="0" fillId="0" borderId="14" xfId="0" applyNumberFormat="1" applyFill="1" applyBorder="1" applyAlignment="1">
      <alignment horizontal="center"/>
    </xf>
    <xf numFmtId="0" fontId="0" fillId="4" borderId="77" xfId="0" applyFill="1" applyBorder="1"/>
    <xf numFmtId="165" fontId="0" fillId="0" borderId="29" xfId="0" applyNumberFormat="1" applyFill="1" applyBorder="1"/>
    <xf numFmtId="3" fontId="0" fillId="3" borderId="0" xfId="0" applyNumberFormat="1" applyFill="1"/>
    <xf numFmtId="3" fontId="0" fillId="3" borderId="126" xfId="0" applyNumberFormat="1" applyFill="1" applyBorder="1"/>
    <xf numFmtId="3" fontId="0" fillId="3" borderId="50" xfId="0" applyNumberFormat="1" applyFill="1" applyBorder="1"/>
    <xf numFmtId="165" fontId="0" fillId="3" borderId="40" xfId="0" applyNumberFormat="1" applyFill="1" applyBorder="1"/>
    <xf numFmtId="3" fontId="0" fillId="3" borderId="29" xfId="0" applyNumberFormat="1" applyFill="1" applyBorder="1"/>
    <xf numFmtId="3" fontId="0" fillId="3" borderId="77" xfId="0" applyNumberFormat="1" applyFill="1" applyBorder="1"/>
    <xf numFmtId="3" fontId="0" fillId="3" borderId="18" xfId="0" applyNumberFormat="1" applyFill="1" applyBorder="1"/>
    <xf numFmtId="165" fontId="0" fillId="3" borderId="143" xfId="0" applyNumberFormat="1" applyFill="1" applyBorder="1"/>
    <xf numFmtId="3" fontId="0" fillId="3" borderId="102" xfId="0" applyNumberFormat="1" applyFill="1" applyBorder="1"/>
    <xf numFmtId="165" fontId="0" fillId="3" borderId="34" xfId="0" applyNumberFormat="1" applyFill="1" applyBorder="1"/>
    <xf numFmtId="165" fontId="0" fillId="3" borderId="29" xfId="0" applyNumberFormat="1" applyFill="1" applyBorder="1"/>
    <xf numFmtId="165" fontId="0" fillId="3" borderId="31" xfId="0" applyNumberFormat="1" applyFill="1" applyBorder="1"/>
    <xf numFmtId="165" fontId="0" fillId="3" borderId="98" xfId="0" applyNumberFormat="1" applyFill="1" applyBorder="1"/>
    <xf numFmtId="165" fontId="0" fillId="3" borderId="86" xfId="0" applyNumberFormat="1" applyFill="1" applyBorder="1"/>
    <xf numFmtId="9" fontId="0" fillId="0" borderId="69" xfId="0" applyNumberFormat="1" applyFill="1" applyBorder="1"/>
    <xf numFmtId="0" fontId="0" fillId="0" borderId="107" xfId="0" applyBorder="1"/>
    <xf numFmtId="165" fontId="0" fillId="0" borderId="62" xfId="0" quotePrefix="1" applyNumberFormat="1" applyBorder="1"/>
    <xf numFmtId="165" fontId="3" fillId="0" borderId="64" xfId="0" applyNumberFormat="1" applyFont="1" applyBorder="1"/>
    <xf numFmtId="165" fontId="3" fillId="0" borderId="144" xfId="0" applyNumberFormat="1" applyFont="1" applyBorder="1" applyAlignment="1">
      <alignment horizontal="center"/>
    </xf>
    <xf numFmtId="165" fontId="3" fillId="0" borderId="92" xfId="0" quotePrefix="1" applyNumberFormat="1" applyFont="1" applyBorder="1" applyAlignment="1">
      <alignment horizontal="center"/>
    </xf>
    <xf numFmtId="3" fontId="0" fillId="0" borderId="61" xfId="0" applyNumberFormat="1" applyBorder="1" applyAlignment="1">
      <alignment horizontal="center"/>
    </xf>
    <xf numFmtId="0" fontId="0" fillId="0" borderId="145" xfId="0" applyBorder="1"/>
    <xf numFmtId="165" fontId="3" fillId="0" borderId="62" xfId="0" applyNumberFormat="1" applyFont="1" applyBorder="1" applyAlignment="1">
      <alignment horizontal="right"/>
    </xf>
    <xf numFmtId="165" fontId="8" fillId="0" borderId="56" xfId="0" applyNumberFormat="1" applyFont="1" applyFill="1" applyBorder="1" applyAlignment="1">
      <alignment horizontal="center"/>
    </xf>
    <xf numFmtId="3" fontId="8" fillId="0" borderId="57" xfId="0" applyNumberFormat="1" applyFont="1" applyFill="1" applyBorder="1"/>
    <xf numFmtId="165" fontId="8" fillId="4" borderId="56" xfId="0" applyNumberFormat="1" applyFont="1" applyFill="1" applyBorder="1" applyAlignment="1">
      <alignment horizontal="center"/>
    </xf>
    <xf numFmtId="165" fontId="8" fillId="0" borderId="59" xfId="0" applyNumberFormat="1" applyFont="1" applyBorder="1"/>
    <xf numFmtId="0" fontId="0" fillId="0" borderId="36" xfId="0" applyBorder="1"/>
    <xf numFmtId="0" fontId="6" fillId="0" borderId="2" xfId="0" applyFont="1" applyBorder="1"/>
    <xf numFmtId="0" fontId="6" fillId="0" borderId="2" xfId="0" applyFont="1" applyFill="1" applyBorder="1"/>
    <xf numFmtId="0" fontId="0" fillId="0" borderId="101" xfId="0" applyBorder="1"/>
    <xf numFmtId="0" fontId="0" fillId="0" borderId="25" xfId="0" applyFill="1" applyBorder="1"/>
    <xf numFmtId="0" fontId="4" fillId="0" borderId="49" xfId="0" applyFont="1" applyBorder="1" applyAlignment="1"/>
    <xf numFmtId="0" fontId="4" fillId="0" borderId="108" xfId="0" applyFont="1" applyBorder="1" applyAlignment="1"/>
    <xf numFmtId="0" fontId="5" fillId="7" borderId="0" xfId="0" applyFont="1" applyFill="1" applyBorder="1" applyAlignment="1">
      <alignment horizontal="right"/>
    </xf>
    <xf numFmtId="0" fontId="0" fillId="7" borderId="2" xfId="0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5" fillId="7" borderId="3" xfId="0" applyFont="1" applyFill="1" applyBorder="1"/>
    <xf numFmtId="0" fontId="3" fillId="7" borderId="2" xfId="0" applyFont="1" applyFill="1" applyBorder="1" applyAlignment="1">
      <alignment horizontal="right"/>
    </xf>
    <xf numFmtId="0" fontId="5" fillId="0" borderId="3" xfId="0" applyFont="1" applyFill="1" applyBorder="1"/>
    <xf numFmtId="0" fontId="0" fillId="7" borderId="77" xfId="0" applyFill="1" applyBorder="1" applyAlignment="1">
      <alignment horizontal="right"/>
    </xf>
    <xf numFmtId="0" fontId="5" fillId="7" borderId="31" xfId="0" applyFont="1" applyFill="1" applyBorder="1" applyAlignment="1">
      <alignment horizontal="right"/>
    </xf>
    <xf numFmtId="165" fontId="3" fillId="7" borderId="14" xfId="0" applyNumberFormat="1" applyFont="1" applyFill="1" applyBorder="1" applyProtection="1"/>
    <xf numFmtId="165" fontId="3" fillId="7" borderId="30" xfId="0" applyNumberFormat="1" applyFont="1" applyFill="1" applyBorder="1" applyProtection="1"/>
    <xf numFmtId="0" fontId="3" fillId="4" borderId="77" xfId="0" applyFont="1" applyFill="1" applyBorder="1" applyAlignment="1">
      <alignment horizontal="right"/>
    </xf>
    <xf numFmtId="0" fontId="0" fillId="8" borderId="4" xfId="0" applyFill="1" applyBorder="1" applyAlignment="1">
      <alignment horizontal="right"/>
    </xf>
    <xf numFmtId="0" fontId="3" fillId="8" borderId="77" xfId="0" applyFont="1" applyFill="1" applyBorder="1" applyAlignment="1">
      <alignment horizontal="right"/>
    </xf>
    <xf numFmtId="165" fontId="0" fillId="7" borderId="30" xfId="0" applyNumberFormat="1" applyFill="1" applyBorder="1" applyProtection="1"/>
    <xf numFmtId="0" fontId="6" fillId="0" borderId="2" xfId="0" applyFont="1" applyFill="1" applyBorder="1" applyAlignment="1" applyProtection="1">
      <alignment horizontal="center"/>
      <protection locked="0"/>
    </xf>
    <xf numFmtId="165" fontId="3" fillId="0" borderId="27" xfId="0" applyNumberFormat="1" applyFont="1" applyBorder="1"/>
    <xf numFmtId="0" fontId="5" fillId="0" borderId="4" xfId="0" applyFont="1" applyFill="1" applyBorder="1" applyAlignment="1">
      <alignment horizontal="right"/>
    </xf>
    <xf numFmtId="165" fontId="5" fillId="0" borderId="12" xfId="0" quotePrefix="1" applyNumberFormat="1" applyFont="1" applyFill="1" applyBorder="1" applyAlignment="1" applyProtection="1">
      <alignment horizontal="right"/>
    </xf>
    <xf numFmtId="165" fontId="3" fillId="0" borderId="12" xfId="0" quotePrefix="1" applyNumberFormat="1" applyFont="1" applyFill="1" applyBorder="1" applyProtection="1"/>
    <xf numFmtId="165" fontId="5" fillId="0" borderId="96" xfId="0" applyNumberFormat="1" applyFont="1" applyFill="1" applyBorder="1" applyAlignment="1">
      <alignment horizontal="right"/>
    </xf>
    <xf numFmtId="165" fontId="3" fillId="0" borderId="27" xfId="0" applyNumberFormat="1" applyFont="1" applyFill="1" applyBorder="1" applyAlignment="1"/>
    <xf numFmtId="165" fontId="3" fillId="4" borderId="27" xfId="0" applyNumberFormat="1" applyFont="1" applyFill="1" applyBorder="1" applyAlignment="1">
      <alignment horizontal="right"/>
    </xf>
    <xf numFmtId="165" fontId="3" fillId="0" borderId="21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4" borderId="3" xfId="0" applyNumberFormat="1" applyFont="1" applyFill="1" applyBorder="1" applyAlignment="1">
      <alignment horizontal="right"/>
    </xf>
    <xf numFmtId="3" fontId="3" fillId="0" borderId="102" xfId="0" applyNumberFormat="1" applyFont="1" applyBorder="1" applyAlignment="1">
      <alignment horizontal="center"/>
    </xf>
    <xf numFmtId="3" fontId="3" fillId="0" borderId="20" xfId="0" applyNumberFormat="1" applyFont="1" applyBorder="1" applyAlignment="1">
      <alignment horizontal="center"/>
    </xf>
    <xf numFmtId="165" fontId="3" fillId="0" borderId="90" xfId="0" applyNumberFormat="1" applyFont="1" applyBorder="1"/>
    <xf numFmtId="0" fontId="3" fillId="0" borderId="24" xfId="0" applyFont="1" applyBorder="1"/>
    <xf numFmtId="165" fontId="3" fillId="0" borderId="30" xfId="0" applyNumberFormat="1" applyFont="1" applyBorder="1" applyAlignment="1">
      <alignment horizontal="right"/>
    </xf>
    <xf numFmtId="165" fontId="3" fillId="4" borderId="14" xfId="0" applyNumberFormat="1" applyFont="1" applyFill="1" applyBorder="1" applyAlignment="1">
      <alignment horizontal="right"/>
    </xf>
    <xf numFmtId="165" fontId="5" fillId="0" borderId="94" xfId="0" quotePrefix="1" applyNumberFormat="1" applyFont="1" applyFill="1" applyBorder="1" applyAlignment="1" applyProtection="1">
      <alignment horizontal="right"/>
    </xf>
    <xf numFmtId="165" fontId="3" fillId="0" borderId="15" xfId="0" quotePrefix="1" applyNumberFormat="1" applyFont="1" applyFill="1" applyBorder="1" applyProtection="1"/>
    <xf numFmtId="0" fontId="3" fillId="0" borderId="76" xfId="0" applyFont="1" applyBorder="1"/>
    <xf numFmtId="165" fontId="5" fillId="0" borderId="118" xfId="0" quotePrefix="1" applyNumberFormat="1" applyFont="1" applyFill="1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0" borderId="16" xfId="0" applyBorder="1" applyAlignment="1">
      <alignment horizontal="right"/>
    </xf>
    <xf numFmtId="16" fontId="0" fillId="0" borderId="16" xfId="0" applyNumberFormat="1" applyBorder="1" applyAlignment="1">
      <alignment horizontal="right"/>
    </xf>
    <xf numFmtId="0" fontId="0" fillId="0" borderId="16" xfId="0" applyFill="1" applyBorder="1" applyAlignment="1">
      <alignment horizontal="right"/>
    </xf>
    <xf numFmtId="0" fontId="3" fillId="0" borderId="67" xfId="0" applyFont="1" applyBorder="1" applyAlignment="1">
      <alignment horizontal="right"/>
    </xf>
    <xf numFmtId="1" fontId="3" fillId="0" borderId="10" xfId="0" applyNumberFormat="1" applyFont="1" applyBorder="1"/>
    <xf numFmtId="1" fontId="3" fillId="0" borderId="22" xfId="0" applyNumberFormat="1" applyFont="1" applyBorder="1"/>
    <xf numFmtId="1" fontId="3" fillId="0" borderId="24" xfId="0" applyNumberFormat="1" applyFont="1" applyBorder="1"/>
    <xf numFmtId="0" fontId="0" fillId="2" borderId="3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43" xfId="0" applyFill="1" applyBorder="1" applyProtection="1">
      <protection locked="0"/>
    </xf>
    <xf numFmtId="10" fontId="0" fillId="2" borderId="5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22" xfId="0" applyFill="1" applyBorder="1" applyProtection="1"/>
    <xf numFmtId="16" fontId="0" fillId="0" borderId="16" xfId="0" quotePrefix="1" applyNumberFormat="1" applyBorder="1" applyAlignment="1">
      <alignment horizontal="right"/>
    </xf>
    <xf numFmtId="0" fontId="0" fillId="0" borderId="16" xfId="0" quotePrefix="1" applyBorder="1" applyAlignment="1">
      <alignment horizontal="right"/>
    </xf>
    <xf numFmtId="0" fontId="3" fillId="0" borderId="16" xfId="0" applyFont="1" applyFill="1" applyBorder="1" applyAlignment="1">
      <alignment horizontal="right"/>
    </xf>
    <xf numFmtId="0" fontId="3" fillId="0" borderId="67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3" fillId="0" borderId="103" xfId="0" applyFont="1" applyFill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4" fillId="0" borderId="36" xfId="0" applyFont="1" applyBorder="1" applyAlignment="1"/>
    <xf numFmtId="0" fontId="3" fillId="0" borderId="19" xfId="0" applyFont="1" applyBorder="1" applyAlignment="1">
      <alignment horizontal="center" wrapText="1"/>
    </xf>
    <xf numFmtId="165" fontId="3" fillId="4" borderId="31" xfId="0" applyNumberFormat="1" applyFont="1" applyFill="1" applyBorder="1" applyAlignment="1" applyProtection="1">
      <alignment horizontal="center"/>
    </xf>
    <xf numFmtId="165" fontId="3" fillId="4" borderId="32" xfId="0" applyNumberFormat="1" applyFont="1" applyFill="1" applyBorder="1"/>
    <xf numFmtId="165" fontId="3" fillId="4" borderId="124" xfId="0" applyNumberFormat="1" applyFont="1" applyFill="1" applyBorder="1"/>
    <xf numFmtId="165" fontId="3" fillId="4" borderId="33" xfId="0" applyNumberFormat="1" applyFont="1" applyFill="1" applyBorder="1"/>
    <xf numFmtId="165" fontId="3" fillId="0" borderId="123" xfId="0" applyNumberFormat="1" applyFont="1" applyFill="1" applyBorder="1"/>
    <xf numFmtId="165" fontId="3" fillId="0" borderId="124" xfId="0" applyNumberFormat="1" applyFont="1" applyFill="1" applyBorder="1"/>
    <xf numFmtId="165" fontId="3" fillId="0" borderId="33" xfId="0" applyNumberFormat="1" applyFont="1" applyFill="1" applyBorder="1"/>
    <xf numFmtId="165" fontId="3" fillId="4" borderId="123" xfId="0" applyNumberFormat="1" applyFont="1" applyFill="1" applyBorder="1"/>
    <xf numFmtId="165" fontId="3" fillId="0" borderId="32" xfId="0" applyNumberFormat="1" applyFont="1" applyFill="1" applyBorder="1"/>
    <xf numFmtId="3" fontId="3" fillId="0" borderId="10" xfId="0" applyNumberFormat="1" applyFont="1" applyBorder="1" applyAlignment="1">
      <alignment horizontal="center"/>
    </xf>
    <xf numFmtId="3" fontId="3" fillId="0" borderId="136" xfId="0" applyNumberFormat="1" applyFont="1" applyBorder="1" applyAlignment="1">
      <alignment horizontal="center"/>
    </xf>
    <xf numFmtId="3" fontId="5" fillId="4" borderId="86" xfId="0" quotePrefix="1" applyNumberFormat="1" applyFont="1" applyFill="1" applyBorder="1"/>
    <xf numFmtId="165" fontId="3" fillId="4" borderId="87" xfId="0" quotePrefix="1" applyNumberFormat="1" applyFont="1" applyFill="1" applyBorder="1"/>
    <xf numFmtId="3" fontId="5" fillId="4" borderId="1" xfId="0" quotePrefix="1" applyNumberFormat="1" applyFont="1" applyFill="1" applyBorder="1"/>
    <xf numFmtId="3" fontId="5" fillId="0" borderId="1" xfId="0" quotePrefix="1" applyNumberFormat="1" applyFont="1" applyFill="1" applyBorder="1"/>
    <xf numFmtId="165" fontId="0" fillId="7" borderId="96" xfId="0" applyNumberFormat="1" applyFill="1" applyBorder="1" applyAlignment="1" applyProtection="1">
      <alignment horizontal="right"/>
    </xf>
    <xf numFmtId="165" fontId="3" fillId="0" borderId="21" xfId="0" applyNumberFormat="1" applyFont="1" applyFill="1" applyBorder="1" applyAlignment="1">
      <alignment horizontal="right"/>
    </xf>
    <xf numFmtId="165" fontId="5" fillId="7" borderId="94" xfId="0" quotePrefix="1" applyNumberFormat="1" applyFont="1" applyFill="1" applyBorder="1" applyAlignment="1" applyProtection="1">
      <alignment horizontal="right"/>
    </xf>
    <xf numFmtId="165" fontId="3" fillId="0" borderId="30" xfId="0" applyNumberFormat="1" applyFont="1" applyFill="1" applyBorder="1" applyAlignment="1">
      <alignment horizontal="right"/>
    </xf>
    <xf numFmtId="165" fontId="3" fillId="0" borderId="15" xfId="0" quotePrefix="1" applyNumberFormat="1" applyFont="1" applyFill="1" applyBorder="1"/>
    <xf numFmtId="3" fontId="0" fillId="4" borderId="12" xfId="0" quotePrefix="1" applyNumberFormat="1" applyFill="1" applyBorder="1"/>
    <xf numFmtId="170" fontId="5" fillId="0" borderId="12" xfId="0" applyNumberFormat="1" applyFont="1" applyFill="1" applyBorder="1" applyAlignment="1">
      <alignment horizontal="center"/>
    </xf>
    <xf numFmtId="3" fontId="0" fillId="0" borderId="12" xfId="0" quotePrefix="1" applyNumberFormat="1" applyFill="1" applyBorder="1"/>
    <xf numFmtId="0" fontId="0" fillId="0" borderId="21" xfId="0" applyFill="1" applyBorder="1" applyAlignment="1" applyProtection="1">
      <alignment horizontal="center"/>
    </xf>
    <xf numFmtId="0" fontId="0" fillId="4" borderId="21" xfId="0" applyFill="1" applyBorder="1" applyAlignment="1" applyProtection="1">
      <alignment horizontal="center"/>
    </xf>
    <xf numFmtId="165" fontId="3" fillId="0" borderId="22" xfId="0" applyNumberFormat="1" applyFont="1" applyBorder="1" applyAlignment="1">
      <alignment horizontal="center"/>
    </xf>
    <xf numFmtId="165" fontId="3" fillId="0" borderId="65" xfId="0" quotePrefix="1" applyNumberFormat="1" applyFont="1" applyBorder="1"/>
    <xf numFmtId="3" fontId="0" fillId="4" borderId="33" xfId="0" applyNumberFormat="1" applyFill="1" applyBorder="1"/>
    <xf numFmtId="3" fontId="5" fillId="0" borderId="124" xfId="0" applyNumberFormat="1" applyFont="1" applyFill="1" applyBorder="1"/>
    <xf numFmtId="165" fontId="3" fillId="4" borderId="5" xfId="0" applyNumberFormat="1" applyFont="1" applyFill="1" applyBorder="1" applyAlignment="1" applyProtection="1">
      <alignment horizontal="center"/>
    </xf>
    <xf numFmtId="165" fontId="3" fillId="0" borderId="21" xfId="0" applyNumberFormat="1" applyFont="1" applyFill="1" applyBorder="1" applyAlignment="1" applyProtection="1">
      <alignment horizontal="center"/>
    </xf>
    <xf numFmtId="165" fontId="3" fillId="4" borderId="71" xfId="0" applyNumberFormat="1" applyFont="1" applyFill="1" applyBorder="1" applyAlignment="1" applyProtection="1">
      <alignment horizontal="center"/>
    </xf>
    <xf numFmtId="165" fontId="3" fillId="4" borderId="21" xfId="0" applyNumberFormat="1" applyFont="1" applyFill="1" applyBorder="1" applyAlignment="1" applyProtection="1">
      <alignment horizontal="center"/>
    </xf>
    <xf numFmtId="165" fontId="3" fillId="0" borderId="71" xfId="0" applyNumberFormat="1" applyFont="1" applyFill="1" applyBorder="1" applyAlignment="1" applyProtection="1">
      <alignment horizontal="center"/>
    </xf>
    <xf numFmtId="165" fontId="3" fillId="2" borderId="12" xfId="0" applyNumberFormat="1" applyFont="1" applyFill="1" applyBorder="1"/>
    <xf numFmtId="0" fontId="3" fillId="2" borderId="1" xfId="0" applyFont="1" applyFill="1" applyBorder="1" applyProtection="1">
      <protection locked="0"/>
    </xf>
    <xf numFmtId="165" fontId="3" fillId="0" borderId="9" xfId="0" applyNumberFormat="1" applyFont="1" applyFill="1" applyBorder="1"/>
    <xf numFmtId="165" fontId="0" fillId="4" borderId="94" xfId="0" applyNumberFormat="1" applyFill="1" applyBorder="1" applyProtection="1"/>
    <xf numFmtId="165" fontId="3" fillId="2" borderId="87" xfId="0" applyNumberFormat="1" applyFont="1" applyFill="1" applyBorder="1"/>
    <xf numFmtId="0" fontId="3" fillId="2" borderId="15" xfId="0" applyFont="1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center"/>
    </xf>
    <xf numFmtId="1" fontId="0" fillId="0" borderId="33" xfId="0" applyNumberFormat="1" applyFill="1" applyBorder="1" applyAlignment="1" applyProtection="1">
      <alignment horizontal="center"/>
    </xf>
    <xf numFmtId="1" fontId="0" fillId="0" borderId="21" xfId="0" applyNumberFormat="1" applyFill="1" applyBorder="1" applyAlignment="1" applyProtection="1">
      <alignment horizontal="center"/>
    </xf>
    <xf numFmtId="165" fontId="3" fillId="0" borderId="73" xfId="0" quotePrefix="1" applyNumberFormat="1" applyFont="1" applyBorder="1" applyAlignment="1">
      <alignment horizontal="center"/>
    </xf>
    <xf numFmtId="0" fontId="0" fillId="0" borderId="33" xfId="0" applyBorder="1"/>
    <xf numFmtId="0" fontId="0" fillId="0" borderId="136" xfId="0" applyBorder="1" applyAlignment="1">
      <alignment horizontal="center"/>
    </xf>
    <xf numFmtId="165" fontId="0" fillId="0" borderId="32" xfId="0" applyNumberFormat="1" applyFill="1" applyBorder="1"/>
    <xf numFmtId="165" fontId="3" fillId="0" borderId="5" xfId="0" applyNumberFormat="1" applyFont="1" applyFill="1" applyBorder="1" applyAlignment="1" applyProtection="1">
      <alignment horizontal="center"/>
    </xf>
    <xf numFmtId="0" fontId="6" fillId="0" borderId="146" xfId="0" applyFont="1" applyBorder="1"/>
    <xf numFmtId="165" fontId="3" fillId="0" borderId="113" xfId="0" applyNumberFormat="1" applyFont="1" applyBorder="1"/>
    <xf numFmtId="165" fontId="3" fillId="0" borderId="113" xfId="0" applyNumberFormat="1" applyFont="1" applyFill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38" xfId="0" applyNumberFormat="1" applyFill="1" applyBorder="1"/>
    <xf numFmtId="3" fontId="0" fillId="0" borderId="102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9" borderId="0" xfId="0" applyNumberFormat="1" applyFill="1"/>
    <xf numFmtId="3" fontId="0" fillId="0" borderId="89" xfId="0" applyNumberFormat="1" applyFill="1" applyBorder="1"/>
    <xf numFmtId="165" fontId="3" fillId="10" borderId="57" xfId="0" applyNumberFormat="1" applyFont="1" applyFill="1" applyBorder="1" applyAlignment="1" applyProtection="1">
      <alignment horizontal="right"/>
    </xf>
    <xf numFmtId="0" fontId="13" fillId="11" borderId="149" xfId="1" applyAlignment="1" applyProtection="1">
      <alignment horizontal="center"/>
      <protection locked="0"/>
    </xf>
    <xf numFmtId="0" fontId="1" fillId="0" borderId="0" xfId="0" applyFont="1"/>
    <xf numFmtId="3" fontId="0" fillId="10" borderId="12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28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4" fillId="0" borderId="10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0" fillId="2" borderId="115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167" fontId="5" fillId="2" borderId="85" xfId="0" applyNumberFormat="1" applyFont="1" applyFill="1" applyBorder="1" applyAlignment="1" applyProtection="1">
      <alignment horizontal="center"/>
      <protection locked="0"/>
    </xf>
    <xf numFmtId="167" fontId="5" fillId="2" borderId="0" xfId="0" applyNumberFormat="1" applyFont="1" applyFill="1" applyBorder="1" applyAlignment="1" applyProtection="1">
      <alignment horizontal="center"/>
      <protection locked="0"/>
    </xf>
    <xf numFmtId="0" fontId="0" fillId="2" borderId="72" xfId="0" applyFill="1" applyBorder="1" applyAlignment="1" applyProtection="1">
      <alignment horizontal="left" vertical="top" wrapText="1"/>
      <protection locked="0"/>
    </xf>
    <xf numFmtId="0" fontId="0" fillId="2" borderId="117" xfId="0" applyFill="1" applyBorder="1" applyAlignment="1" applyProtection="1">
      <alignment horizontal="left" vertical="top" wrapText="1"/>
      <protection locked="0"/>
    </xf>
    <xf numFmtId="0" fontId="3" fillId="4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4" fillId="0" borderId="1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top" wrapText="1"/>
      <protection locked="0"/>
    </xf>
    <xf numFmtId="0" fontId="0" fillId="2" borderId="22" xfId="0" applyFill="1" applyBorder="1" applyAlignment="1" applyProtection="1">
      <alignment horizontal="left" vertical="top" wrapText="1"/>
      <protection locked="0"/>
    </xf>
    <xf numFmtId="0" fontId="3" fillId="4" borderId="27" xfId="0" applyFont="1" applyFill="1" applyBorder="1" applyAlignment="1">
      <alignment horizontal="center"/>
    </xf>
    <xf numFmtId="0" fontId="0" fillId="2" borderId="69" xfId="0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7" fontId="5" fillId="2" borderId="81" xfId="0" applyNumberFormat="1" applyFont="1" applyFill="1" applyBorder="1" applyAlignment="1" applyProtection="1">
      <alignment horizontal="center"/>
      <protection locked="0"/>
    </xf>
    <xf numFmtId="167" fontId="5" fillId="2" borderId="147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113" xfId="0" applyFont="1" applyBorder="1" applyAlignment="1">
      <alignment horizontal="center"/>
    </xf>
    <xf numFmtId="0" fontId="0" fillId="2" borderId="14" xfId="0" applyFill="1" applyBorder="1" applyAlignment="1" applyProtection="1">
      <alignment horizontal="left" vertical="top" wrapText="1"/>
      <protection locked="0"/>
    </xf>
    <xf numFmtId="167" fontId="1" fillId="2" borderId="85" xfId="0" applyNumberFormat="1" applyFont="1" applyFill="1" applyBorder="1" applyAlignment="1" applyProtection="1">
      <alignment horizontal="center"/>
      <protection locked="0"/>
    </xf>
    <xf numFmtId="0" fontId="5" fillId="2" borderId="72" xfId="0" applyFont="1" applyFill="1" applyBorder="1" applyAlignment="1" applyProtection="1">
      <alignment horizontal="left" vertical="top" wrapText="1"/>
      <protection locked="0"/>
    </xf>
    <xf numFmtId="167" fontId="5" fillId="2" borderId="88" xfId="0" applyNumberFormat="1" applyFont="1" applyFill="1" applyBorder="1" applyAlignment="1" applyProtection="1">
      <alignment horizontal="left"/>
      <protection locked="0"/>
    </xf>
    <xf numFmtId="167" fontId="5" fillId="2" borderId="113" xfId="0" applyNumberFormat="1" applyFont="1" applyFill="1" applyBorder="1" applyAlignment="1" applyProtection="1">
      <alignment horizontal="left"/>
      <protection locked="0"/>
    </xf>
    <xf numFmtId="167" fontId="5" fillId="2" borderId="148" xfId="0" applyNumberFormat="1" applyFont="1" applyFill="1" applyBorder="1" applyAlignment="1" applyProtection="1">
      <alignment horizontal="left"/>
      <protection locked="0"/>
    </xf>
    <xf numFmtId="0" fontId="4" fillId="0" borderId="4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4" xfId="0" applyBorder="1" applyAlignment="1"/>
    <xf numFmtId="0" fontId="0" fillId="0" borderId="104" xfId="0" applyBorder="1" applyAlignment="1"/>
    <xf numFmtId="0" fontId="1" fillId="0" borderId="70" xfId="0" applyFont="1" applyBorder="1" applyAlignment="1">
      <alignment horizontal="center"/>
    </xf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>
      <selection activeCell="B11" sqref="B11"/>
    </sheetView>
  </sheetViews>
  <sheetFormatPr defaultRowHeight="12.75"/>
  <cols>
    <col min="1" max="1" width="27.7109375" bestFit="1" customWidth="1"/>
    <col min="2" max="2" width="9.28515625" customWidth="1"/>
    <col min="3" max="3" width="10.85546875" customWidth="1"/>
    <col min="4" max="4" width="9.42578125" customWidth="1"/>
    <col min="5" max="5" width="26" customWidth="1"/>
  </cols>
  <sheetData>
    <row r="1" spans="1:5" ht="16.5" thickBot="1">
      <c r="A1" s="3" t="s">
        <v>43</v>
      </c>
      <c r="E1" s="4"/>
    </row>
    <row r="2" spans="1:5" ht="51">
      <c r="A2" s="14" t="s">
        <v>32</v>
      </c>
      <c r="B2" s="15" t="s">
        <v>34</v>
      </c>
      <c r="C2" s="15" t="s">
        <v>33</v>
      </c>
      <c r="D2" s="15" t="s">
        <v>35</v>
      </c>
      <c r="E2" s="19" t="s">
        <v>6</v>
      </c>
    </row>
    <row r="3" spans="1:5">
      <c r="A3" s="16" t="s">
        <v>37</v>
      </c>
      <c r="B3" s="687">
        <v>14.94</v>
      </c>
      <c r="C3" s="17">
        <v>1.8998999999999999</v>
      </c>
      <c r="D3" s="18">
        <f t="shared" ref="D3:D8" si="0">B3*C3</f>
        <v>28.384505999999998</v>
      </c>
      <c r="E3" s="20"/>
    </row>
    <row r="4" spans="1:5">
      <c r="A4" s="16" t="s">
        <v>38</v>
      </c>
      <c r="B4" s="687">
        <v>22.29</v>
      </c>
      <c r="C4" s="17">
        <v>1.833</v>
      </c>
      <c r="D4" s="18">
        <f t="shared" si="0"/>
        <v>40.857569999999996</v>
      </c>
      <c r="E4" s="20"/>
    </row>
    <row r="5" spans="1:5">
      <c r="A5" s="16" t="s">
        <v>39</v>
      </c>
      <c r="B5" s="687">
        <v>25.19</v>
      </c>
      <c r="C5" s="17">
        <v>1.7515000000000001</v>
      </c>
      <c r="D5" s="18">
        <f t="shared" si="0"/>
        <v>44.120285000000003</v>
      </c>
      <c r="E5" s="20"/>
    </row>
    <row r="6" spans="1:5">
      <c r="A6" s="16" t="s">
        <v>40</v>
      </c>
      <c r="B6" s="687">
        <v>30.02</v>
      </c>
      <c r="C6" s="17">
        <v>1.641</v>
      </c>
      <c r="D6" s="18">
        <f t="shared" si="0"/>
        <v>49.262819999999998</v>
      </c>
      <c r="E6" s="20"/>
    </row>
    <row r="7" spans="1:5">
      <c r="A7" s="16" t="s">
        <v>41</v>
      </c>
      <c r="B7" s="687">
        <v>35.43</v>
      </c>
      <c r="C7" s="17">
        <v>1.5654999999999999</v>
      </c>
      <c r="D7" s="18">
        <f t="shared" si="0"/>
        <v>55.465664999999994</v>
      </c>
      <c r="E7" s="20"/>
    </row>
    <row r="8" spans="1:5">
      <c r="A8" s="16" t="s">
        <v>42</v>
      </c>
      <c r="B8" s="687">
        <v>40.89</v>
      </c>
      <c r="C8" s="17">
        <v>1.43279</v>
      </c>
      <c r="D8" s="686">
        <f t="shared" si="0"/>
        <v>58.586783099999998</v>
      </c>
      <c r="E8" s="20"/>
    </row>
    <row r="9" spans="1:5" ht="13.5" thickBot="1">
      <c r="A9" s="682" t="s">
        <v>191</v>
      </c>
      <c r="B9" s="687">
        <v>25</v>
      </c>
      <c r="C9" s="683">
        <v>1</v>
      </c>
      <c r="D9" s="684">
        <f>B9*C9</f>
        <v>25</v>
      </c>
      <c r="E9" s="685"/>
    </row>
    <row r="10" spans="1:5" ht="13.5" thickBot="1"/>
    <row r="11" spans="1:5" ht="16.5" thickTop="1" thickBot="1">
      <c r="A11" s="1" t="s">
        <v>36</v>
      </c>
      <c r="B11" s="1405">
        <v>2013</v>
      </c>
    </row>
    <row r="12" spans="1:5" ht="13.5" thickTop="1"/>
  </sheetData>
  <phoneticPr fontId="2" type="noConversion"/>
  <dataValidations count="1">
    <dataValidation type="list" allowBlank="1" showInputMessage="1" showErrorMessage="1" sqref="B11">
      <formula1>YearList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8"/>
  <sheetViews>
    <sheetView topLeftCell="A60" zoomScaleNormal="100" workbookViewId="0">
      <selection activeCell="S61" sqref="S61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75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236</v>
      </c>
      <c r="M4" s="396" t="s">
        <v>71</v>
      </c>
      <c r="N4" s="431" t="s">
        <v>69</v>
      </c>
      <c r="O4" s="20">
        <v>236</v>
      </c>
      <c r="P4" s="425" t="s">
        <v>71</v>
      </c>
      <c r="Q4" s="429" t="s">
        <v>69</v>
      </c>
      <c r="R4" s="20">
        <v>236</v>
      </c>
      <c r="S4" s="115" t="s">
        <v>69</v>
      </c>
      <c r="T4" s="106">
        <f>AVERAGE(L4,O4,R4)</f>
        <v>236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75</v>
      </c>
      <c r="K5" s="342" t="s">
        <v>70</v>
      </c>
      <c r="L5" s="343">
        <f>L4*$I$4</f>
        <v>0</v>
      </c>
      <c r="M5" s="632">
        <v>75</v>
      </c>
      <c r="N5" s="344" t="s">
        <v>70</v>
      </c>
      <c r="O5" s="345">
        <f>O4*$I$4</f>
        <v>0</v>
      </c>
      <c r="P5" s="631">
        <v>75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5</v>
      </c>
      <c r="H10" s="21">
        <v>5</v>
      </c>
      <c r="I10" s="48">
        <f>SUM(C10:H10)</f>
        <v>15</v>
      </c>
      <c r="J10" s="263" t="s">
        <v>12</v>
      </c>
      <c r="K10" s="264">
        <f>I10*$J$5</f>
        <v>1125</v>
      </c>
      <c r="L10" s="265">
        <f>K10/$E$7</f>
        <v>160.71428571428572</v>
      </c>
      <c r="M10" s="58" t="s">
        <v>12</v>
      </c>
      <c r="N10" s="432">
        <f>I10*$M$5</f>
        <v>1125</v>
      </c>
      <c r="O10" s="68">
        <f>N10/$E$7</f>
        <v>160.71428571428572</v>
      </c>
      <c r="P10" s="263" t="s">
        <v>12</v>
      </c>
      <c r="Q10" s="433">
        <f>$I10*$M$5</f>
        <v>1125</v>
      </c>
      <c r="R10" s="289">
        <f>Q10/$E$7</f>
        <v>160.71428571428572</v>
      </c>
      <c r="S10" s="121">
        <f>AVERAGE(L10,O10,R10)</f>
        <v>160.71428571428572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277</v>
      </c>
      <c r="H11" s="23">
        <f>ROUND(H10*Labor!$D$8,0)</f>
        <v>293</v>
      </c>
      <c r="I11" s="382">
        <f>SUM(C11:H11)</f>
        <v>816</v>
      </c>
      <c r="J11" s="383">
        <f>HLOOKUP(Labor!$B$11,InflationTable,2)*$I11</f>
        <v>977.56799999999998</v>
      </c>
      <c r="K11" s="384">
        <f>J11*$J$5</f>
        <v>73317.600000000006</v>
      </c>
      <c r="L11" s="385">
        <f>K11/$E$7</f>
        <v>10473.942857142858</v>
      </c>
      <c r="M11" s="386">
        <f>HLOOKUP(Labor!$B$11,InflationTable,3)*$I11</f>
        <v>997.96800000000007</v>
      </c>
      <c r="N11" s="387">
        <f>M11*$J$5</f>
        <v>74847.600000000006</v>
      </c>
      <c r="O11" s="388">
        <f>N11/$E$7</f>
        <v>10692.514285714287</v>
      </c>
      <c r="P11" s="383">
        <f>HLOOKUP(Labor!$B$11,InflationTable,4)*$I11</f>
        <v>1017.5520000000001</v>
      </c>
      <c r="Q11" s="384">
        <f>P11*$J$5</f>
        <v>76316.400000000009</v>
      </c>
      <c r="R11" s="385">
        <f>Q11/$E$7</f>
        <v>10902.342857142858</v>
      </c>
      <c r="S11" s="379">
        <f>AVERAGE(L11,O11,R11)</f>
        <v>10689.6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6</v>
      </c>
      <c r="E13" s="21">
        <v>2</v>
      </c>
      <c r="F13" s="21">
        <v>2</v>
      </c>
      <c r="G13" s="21">
        <v>0</v>
      </c>
      <c r="H13" s="21">
        <v>0</v>
      </c>
      <c r="I13" s="48">
        <f>SUM(C13:H13)</f>
        <v>10</v>
      </c>
      <c r="J13" s="263" t="s">
        <v>12</v>
      </c>
      <c r="K13" s="264">
        <f>I13*$J$5</f>
        <v>750</v>
      </c>
      <c r="L13" s="265">
        <f>K13/$E$7</f>
        <v>107.14285714285714</v>
      </c>
      <c r="M13" s="58" t="s">
        <v>12</v>
      </c>
      <c r="N13" s="60">
        <f>I13*$M$5</f>
        <v>750</v>
      </c>
      <c r="O13" s="59">
        <f>N13/$E$7</f>
        <v>107.14285714285714</v>
      </c>
      <c r="P13" s="263" t="s">
        <v>12</v>
      </c>
      <c r="Q13" s="291">
        <f>$I13*$P$5</f>
        <v>750</v>
      </c>
      <c r="R13" s="282">
        <f>Q13/$E$7</f>
        <v>107.14285714285714</v>
      </c>
      <c r="S13" s="121">
        <f>AVERAGE(L13,O13,R13)</f>
        <v>107.14285714285715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245</v>
      </c>
      <c r="E14" s="374">
        <f>ROUND(E13*Labor!$D$5,0)</f>
        <v>88</v>
      </c>
      <c r="F14" s="374">
        <f>ROUND(F13*Labor!$D$6,0)</f>
        <v>99</v>
      </c>
      <c r="G14" s="374">
        <f>ROUND(G13*Labor!$D$7,0)</f>
        <v>0</v>
      </c>
      <c r="H14" s="374">
        <f>ROUND(H13*Labor!$D$8,0)</f>
        <v>0</v>
      </c>
      <c r="I14" s="375">
        <f>SUM(C14:H14)</f>
        <v>432</v>
      </c>
      <c r="J14" s="332">
        <f>HLOOKUP(Labor!$B$11,InflationTable,2)*I14</f>
        <v>517.53599999999994</v>
      </c>
      <c r="K14" s="296">
        <f>J14*$J$5</f>
        <v>38815.199999999997</v>
      </c>
      <c r="L14" s="297">
        <f>K14/$E$7</f>
        <v>5545.028571428571</v>
      </c>
      <c r="M14" s="376">
        <f>HLOOKUP(Labor!$B$11,InflationTable,3)*I14</f>
        <v>528.33600000000001</v>
      </c>
      <c r="N14" s="377">
        <f>M14*$J$5</f>
        <v>39625.200000000004</v>
      </c>
      <c r="O14" s="378">
        <f>N14/$E$7</f>
        <v>5660.7428571428582</v>
      </c>
      <c r="P14" s="339">
        <f>HLOOKUP(Labor!$B$11,InflationTable,4)*I14</f>
        <v>538.70400000000006</v>
      </c>
      <c r="Q14" s="296">
        <f>P14*$J$5</f>
        <v>40402.800000000003</v>
      </c>
      <c r="R14" s="297">
        <f>Q14/$E$7</f>
        <v>5771.8285714285721</v>
      </c>
      <c r="S14" s="211">
        <f>AVERAGE(L14,O14,R14)</f>
        <v>5659.2</v>
      </c>
      <c r="T14" s="218" t="s">
        <v>12</v>
      </c>
      <c r="U14" s="218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6</v>
      </c>
      <c r="E15" s="33">
        <f t="shared" si="0"/>
        <v>2</v>
      </c>
      <c r="F15" s="33">
        <f t="shared" si="0"/>
        <v>7</v>
      </c>
      <c r="G15" s="33">
        <f t="shared" si="0"/>
        <v>5</v>
      </c>
      <c r="H15" s="33">
        <f t="shared" si="0"/>
        <v>5</v>
      </c>
      <c r="I15" s="49">
        <f t="shared" si="0"/>
        <v>25</v>
      </c>
      <c r="J15" s="271" t="s">
        <v>12</v>
      </c>
      <c r="K15" s="272">
        <f>K10+K13</f>
        <v>1875</v>
      </c>
      <c r="L15" s="273">
        <f>L10+L13</f>
        <v>267.85714285714289</v>
      </c>
      <c r="M15" s="61" t="s">
        <v>12</v>
      </c>
      <c r="N15" s="426">
        <f>I15*$M$5</f>
        <v>1875</v>
      </c>
      <c r="O15" s="62">
        <f>N15/$E$7</f>
        <v>267.85714285714283</v>
      </c>
      <c r="P15" s="293" t="s">
        <v>12</v>
      </c>
      <c r="Q15" s="433">
        <f>$I15*$P$5</f>
        <v>1875</v>
      </c>
      <c r="R15" s="294">
        <f>Q15/$E$7</f>
        <v>267.85714285714283</v>
      </c>
      <c r="S15" s="129">
        <f>AVERAGE(L15,O15,R15)</f>
        <v>267.85714285714289</v>
      </c>
      <c r="T15" s="136" t="s">
        <v>12</v>
      </c>
      <c r="U15" s="136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245</v>
      </c>
      <c r="E16" s="240">
        <f t="shared" si="0"/>
        <v>88</v>
      </c>
      <c r="F16" s="240">
        <f t="shared" si="0"/>
        <v>345</v>
      </c>
      <c r="G16" s="240">
        <f t="shared" si="0"/>
        <v>277</v>
      </c>
      <c r="H16" s="240">
        <f t="shared" si="0"/>
        <v>293</v>
      </c>
      <c r="I16" s="241">
        <f t="shared" si="0"/>
        <v>1248</v>
      </c>
      <c r="J16" s="274">
        <f>J11+J14</f>
        <v>1495.1039999999998</v>
      </c>
      <c r="K16" s="275">
        <f>K11+K14</f>
        <v>112132.8</v>
      </c>
      <c r="L16" s="276">
        <f>L11+L14</f>
        <v>16018.971428571429</v>
      </c>
      <c r="M16" s="242">
        <f>M11+M14</f>
        <v>1526.3040000000001</v>
      </c>
      <c r="N16" s="240">
        <f>N11+N14</f>
        <v>114472.80000000002</v>
      </c>
      <c r="O16" s="243">
        <f>O11+O14</f>
        <v>16353.257142857146</v>
      </c>
      <c r="P16" s="295">
        <f>P11+P14</f>
        <v>1556.2560000000003</v>
      </c>
      <c r="Q16" s="296">
        <f>P16*$P$5</f>
        <v>116719.20000000003</v>
      </c>
      <c r="R16" s="297">
        <f>Q16/$E$7</f>
        <v>16674.171428571433</v>
      </c>
      <c r="S16" s="211">
        <f>AVERAGE(L16,O16,R16)</f>
        <v>16348.800000000003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484"/>
      <c r="F20" s="5"/>
      <c r="G20" s="5"/>
      <c r="H20" s="5"/>
      <c r="I20" s="37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2000</v>
      </c>
      <c r="D21" s="22">
        <f>VLOOKUP(C$2,Monitor_Costs,3,FALSE)</f>
        <v>2013</v>
      </c>
      <c r="E21" s="484"/>
      <c r="F21" s="7"/>
      <c r="G21" s="5"/>
      <c r="H21" s="5"/>
      <c r="I21" s="37"/>
      <c r="J21" s="279">
        <f>HLOOKUP(D21,InflationTable,2)*$C21</f>
        <v>2396</v>
      </c>
      <c r="K21" s="279">
        <f>J21*$L$4</f>
        <v>565456</v>
      </c>
      <c r="L21" s="280">
        <f>K21/$E$18</f>
        <v>80779.428571428565</v>
      </c>
      <c r="M21" s="78">
        <f>HLOOKUP($D$21,InflationTable,3)*$C21</f>
        <v>2446</v>
      </c>
      <c r="N21" s="27">
        <f>M21*$L$4</f>
        <v>577256</v>
      </c>
      <c r="O21" s="182">
        <f>N21/$E$18</f>
        <v>82465.142857142855</v>
      </c>
      <c r="P21" s="298">
        <f>HLOOKUP($D$21,InflationTable,4)*$C21</f>
        <v>2494</v>
      </c>
      <c r="Q21" s="279">
        <f>P21*$L$4</f>
        <v>588584</v>
      </c>
      <c r="R21" s="280">
        <f>Q21/$E$18</f>
        <v>84083.428571428565</v>
      </c>
      <c r="S21" s="127" t="s">
        <v>12</v>
      </c>
      <c r="T21" s="119" t="s">
        <v>12</v>
      </c>
      <c r="U21" s="139">
        <f>AVERAGE(L21,O21,R21)</f>
        <v>82442.666666666672</v>
      </c>
    </row>
    <row r="22" spans="1:21">
      <c r="A22" s="615"/>
      <c r="B22" s="634" t="s">
        <v>15</v>
      </c>
      <c r="C22" s="163">
        <f>C21</f>
        <v>2000</v>
      </c>
      <c r="D22" s="10">
        <f>D21</f>
        <v>2013</v>
      </c>
      <c r="E22" s="5"/>
      <c r="F22" s="7"/>
      <c r="G22" s="5"/>
      <c r="H22" s="5"/>
      <c r="I22" s="145"/>
      <c r="J22" s="279">
        <f>HLOOKUP(D22,InflationTable,2)*$C22</f>
        <v>2396</v>
      </c>
      <c r="K22" s="279">
        <f>J21*$L$5</f>
        <v>0</v>
      </c>
      <c r="L22" s="280">
        <f>K22/$E$18</f>
        <v>0</v>
      </c>
      <c r="M22" s="78">
        <f>HLOOKUP($D$21,InflationTable,3)*$C22</f>
        <v>2446</v>
      </c>
      <c r="N22" s="27">
        <f>M21*$L$5</f>
        <v>0</v>
      </c>
      <c r="O22" s="635">
        <f>N22/$E$18</f>
        <v>0</v>
      </c>
      <c r="P22" s="639"/>
      <c r="Q22" s="279">
        <f>P21*$L$5</f>
        <v>0</v>
      </c>
      <c r="R22" s="280">
        <f>Q22/$E$18</f>
        <v>0</v>
      </c>
      <c r="S22" s="127" t="s">
        <v>12</v>
      </c>
      <c r="T22" s="119" t="s">
        <v>12</v>
      </c>
      <c r="U22" s="139">
        <f>AVERAGE(L22,O22,R22)</f>
        <v>0</v>
      </c>
    </row>
    <row r="23" spans="1:21" ht="13.5" thickBot="1">
      <c r="A23" s="615"/>
      <c r="B23" s="936" t="str">
        <f>VLOOKUP(C$2,Monitor_Costs,10,FALSE)</f>
        <v>Audit Cal Kit</v>
      </c>
      <c r="C23" s="935">
        <f>VLOOKUP(C$2,Monitor_Costs,11,FALSE)</f>
        <v>125</v>
      </c>
      <c r="D23" s="937">
        <f>VLOOKUP(C$2,Monitor_Costs,12,FALSE)</f>
        <v>2013</v>
      </c>
      <c r="E23" s="4"/>
      <c r="F23" s="12"/>
      <c r="G23" s="4"/>
      <c r="H23" s="4"/>
      <c r="I23" s="640"/>
      <c r="J23" s="279">
        <f>HLOOKUP($D23,InflationTable,2)*$C23</f>
        <v>149.75</v>
      </c>
      <c r="K23" s="355">
        <f>J23*$L$4</f>
        <v>35341</v>
      </c>
      <c r="L23" s="308">
        <f>K23/$E$18</f>
        <v>5048.7142857142853</v>
      </c>
      <c r="M23" s="707">
        <f>HLOOKUP($D23,InflationTable,3)*$C23</f>
        <v>152.875</v>
      </c>
      <c r="N23" s="104">
        <f>M23*$L$4</f>
        <v>36078.5</v>
      </c>
      <c r="O23" s="105">
        <f>N23/$E$18</f>
        <v>5154.0714285714284</v>
      </c>
      <c r="P23" s="279">
        <f>HLOOKUP($D23,InflationTable,4)*$C23</f>
        <v>155.875</v>
      </c>
      <c r="Q23" s="355">
        <f>P23*$L$4</f>
        <v>36786.5</v>
      </c>
      <c r="R23" s="308">
        <f>Q23/$E$18</f>
        <v>5255.2142857142853</v>
      </c>
      <c r="S23" s="636" t="s">
        <v>12</v>
      </c>
      <c r="T23" s="637" t="s">
        <v>12</v>
      </c>
      <c r="U23" s="638">
        <f>AVERAGE(L23,O23,R23)</f>
        <v>5152.666666666667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3</v>
      </c>
      <c r="D25" s="21">
        <v>5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1888</v>
      </c>
      <c r="L25" s="282">
        <f>K25/$E$18</f>
        <v>269.71428571428572</v>
      </c>
      <c r="M25" s="58" t="s">
        <v>12</v>
      </c>
      <c r="N25" s="69">
        <f>$I$25*($O$4+$O$5)</f>
        <v>1888</v>
      </c>
      <c r="O25" s="59">
        <f>N25/$E$18</f>
        <v>269.71428571428572</v>
      </c>
      <c r="P25" s="263" t="s">
        <v>12</v>
      </c>
      <c r="Q25" s="281">
        <f>$I$25*($R$4+$R$5)</f>
        <v>1888</v>
      </c>
      <c r="R25" s="282">
        <f>Q25/$E$18</f>
        <v>269.71428571428572</v>
      </c>
      <c r="S25" s="173">
        <f>AVERAGE(L25,O25,R25)</f>
        <v>269.71428571428572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85</v>
      </c>
      <c r="D26" s="374">
        <f>ROUND(D25*Labor!$D$4,0)</f>
        <v>204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289</v>
      </c>
      <c r="J26" s="332">
        <f>HLOOKUP(Labor!$B$11,InflationTable,2)*I26</f>
        <v>346.22199999999998</v>
      </c>
      <c r="K26" s="296">
        <f>J26*($L$4+$L$5)</f>
        <v>81708.391999999993</v>
      </c>
      <c r="L26" s="297">
        <f>K26/$E$18</f>
        <v>11672.627428571428</v>
      </c>
      <c r="M26" s="376">
        <f>HLOOKUP(Labor!$B$11,InflationTable,3)*$I26</f>
        <v>353.447</v>
      </c>
      <c r="N26" s="377">
        <f>M26*$L$4</f>
        <v>83413.491999999998</v>
      </c>
      <c r="O26" s="378">
        <f>N26/$E$18</f>
        <v>11916.213142857143</v>
      </c>
      <c r="P26" s="332">
        <f>HLOOKUP(Labor!$B$11,InflationTable,4)*$I26</f>
        <v>360.38300000000004</v>
      </c>
      <c r="Q26" s="296">
        <f>P26*$L$4</f>
        <v>85050.388000000006</v>
      </c>
      <c r="R26" s="390">
        <f>Q26/$E$18</f>
        <v>12150.05542857143</v>
      </c>
      <c r="S26" s="450">
        <f>AVERAGE(L26,O26,R26)</f>
        <v>11912.965333333334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5</v>
      </c>
      <c r="D27" s="365">
        <v>3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8</v>
      </c>
      <c r="J27" s="293" t="s">
        <v>12</v>
      </c>
      <c r="K27" s="334">
        <f>I27*$L$4</f>
        <v>1888</v>
      </c>
      <c r="L27" s="294">
        <f>K27/$E$18</f>
        <v>269.71428571428572</v>
      </c>
      <c r="M27" s="61" t="s">
        <v>12</v>
      </c>
      <c r="N27" s="348">
        <f>I27*$O$4</f>
        <v>1888</v>
      </c>
      <c r="O27" s="62">
        <f>N27/$E$18</f>
        <v>269.71428571428572</v>
      </c>
      <c r="P27" s="293" t="s">
        <v>12</v>
      </c>
      <c r="Q27" s="327">
        <f>$I27*$O$4</f>
        <v>1888</v>
      </c>
      <c r="R27" s="367">
        <f>Q27/$E$18</f>
        <v>269.71428571428572</v>
      </c>
      <c r="S27" s="129">
        <f>AVERAGE(L27,O27,R27)</f>
        <v>269.71428571428572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142</v>
      </c>
      <c r="D28" s="374">
        <f>ROUND(D27*Labor!$D$4,0)</f>
        <v>123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265</v>
      </c>
      <c r="J28" s="332">
        <f>HLOOKUP(Labor!$B$11,InflationTable,2)*I28</f>
        <v>317.46999999999997</v>
      </c>
      <c r="K28" s="296">
        <f>J28*$L$4</f>
        <v>74922.92</v>
      </c>
      <c r="L28" s="297">
        <f>K28/$E$18</f>
        <v>10703.274285714286</v>
      </c>
      <c r="M28" s="376">
        <f>HLOOKUP(Labor!$B$11,InflationTable,3)*$I28</f>
        <v>324.09500000000003</v>
      </c>
      <c r="N28" s="377">
        <f>M28*$O$4</f>
        <v>76486.420000000013</v>
      </c>
      <c r="O28" s="378">
        <f>N28/$E$18</f>
        <v>10926.631428571431</v>
      </c>
      <c r="P28" s="339">
        <f>HLOOKUP(Labor!$B$11,InflationTable,4)*$I28</f>
        <v>330.45500000000004</v>
      </c>
      <c r="Q28" s="296">
        <f>P28*$R$4</f>
        <v>77987.38</v>
      </c>
      <c r="R28" s="297">
        <f>Q28/$E$18</f>
        <v>11141.054285714286</v>
      </c>
      <c r="S28" s="211">
        <f>AVERAGE(L28,O28,R28)</f>
        <v>10923.653333333335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8</v>
      </c>
      <c r="D29" s="33">
        <f t="shared" si="1"/>
        <v>8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16</v>
      </c>
      <c r="J29" s="284" t="s">
        <v>12</v>
      </c>
      <c r="K29" s="285">
        <f>K25+K27</f>
        <v>3776</v>
      </c>
      <c r="L29" s="286">
        <f>L25+L27</f>
        <v>539.42857142857144</v>
      </c>
      <c r="M29" s="44" t="s">
        <v>12</v>
      </c>
      <c r="N29" s="33">
        <f>N25+N27</f>
        <v>3776</v>
      </c>
      <c r="O29" s="40">
        <f>O25+O27</f>
        <v>539.42857142857144</v>
      </c>
      <c r="P29" s="284" t="s">
        <v>12</v>
      </c>
      <c r="Q29" s="285">
        <f>Q25+Q27</f>
        <v>3776</v>
      </c>
      <c r="R29" s="286">
        <f>R25+R27</f>
        <v>539.42857142857144</v>
      </c>
      <c r="S29" s="670">
        <f>AVERAGE(L29,O29,R29)</f>
        <v>539.42857142857144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227</v>
      </c>
      <c r="D30" s="240">
        <f t="shared" si="2"/>
        <v>327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554</v>
      </c>
      <c r="J30" s="274">
        <f t="shared" si="2"/>
        <v>663.69200000000001</v>
      </c>
      <c r="K30" s="287"/>
      <c r="L30" s="276">
        <f>L28+L26+L22+L21+L23</f>
        <v>108204.04457142856</v>
      </c>
      <c r="M30" s="242">
        <f>M28+M26</f>
        <v>677.54200000000003</v>
      </c>
      <c r="N30" s="247"/>
      <c r="O30" s="243">
        <f>O28+O26+O22+O21+O23</f>
        <v>110462.05885714287</v>
      </c>
      <c r="P30" s="274">
        <f>P28+P26</f>
        <v>690.83800000000008</v>
      </c>
      <c r="Q30" s="287"/>
      <c r="R30" s="276">
        <f>R28+R26+R22+R21+R23</f>
        <v>112629.75257142857</v>
      </c>
      <c r="S30" s="257">
        <f>SUM(S28,S26)</f>
        <v>22836.618666666669</v>
      </c>
      <c r="T30" s="249" t="s">
        <v>12</v>
      </c>
      <c r="U30" s="250">
        <f>SUM(U21:U23)</f>
        <v>87595.333333333343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155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277" t="s">
        <v>61</v>
      </c>
      <c r="K33" s="1434" t="s">
        <v>57</v>
      </c>
      <c r="L33" s="1435"/>
      <c r="M33" s="57" t="s">
        <v>61</v>
      </c>
      <c r="N33" s="1429" t="s">
        <v>57</v>
      </c>
      <c r="O33" s="1430"/>
      <c r="P33" s="277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C34" s="23" t="s">
        <v>60</v>
      </c>
      <c r="D34" s="23" t="s">
        <v>62</v>
      </c>
      <c r="E34" s="484"/>
      <c r="F34" s="5"/>
      <c r="G34" s="5"/>
      <c r="H34" s="5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611" t="s">
        <v>18</v>
      </c>
      <c r="C35" s="163">
        <f>VLOOKUP(C$2,Monitor_Costs,4,FALSE)</f>
        <v>150</v>
      </c>
      <c r="D35" s="22">
        <f>VLOOKUP(C$2,Monitor_Costs,5,FALSE)</f>
        <v>2013</v>
      </c>
      <c r="E35" s="484"/>
      <c r="F35" s="7"/>
      <c r="G35" s="5"/>
      <c r="H35" s="5"/>
      <c r="I35" s="396"/>
      <c r="J35" s="358">
        <f>HLOOKUP($D$35,InflationTable,2)*$C35</f>
        <v>179.7</v>
      </c>
      <c r="K35" s="355">
        <f>J35*$L$4</f>
        <v>42409.2</v>
      </c>
      <c r="L35" s="308">
        <f>K35</f>
        <v>42409.2</v>
      </c>
      <c r="M35" s="171">
        <f>HLOOKUP($D$35,InflationTable,3)*$C35</f>
        <v>183.45000000000002</v>
      </c>
      <c r="N35" s="357">
        <f>M35*$O$4</f>
        <v>43294.200000000004</v>
      </c>
      <c r="O35" s="95">
        <f>N35</f>
        <v>43294.200000000004</v>
      </c>
      <c r="P35" s="355">
        <f>HLOOKUP($D$35,InflationTable,4)*$C35</f>
        <v>187.05</v>
      </c>
      <c r="Q35" s="355">
        <f>P35*$R$4</f>
        <v>44143.8</v>
      </c>
      <c r="R35" s="308">
        <f>Q35</f>
        <v>44143.8</v>
      </c>
      <c r="S35" s="359" t="s">
        <v>12</v>
      </c>
      <c r="T35" s="360">
        <f>AVERAGE(L35,O35,R35)</f>
        <v>43282.400000000001</v>
      </c>
      <c r="U35" s="142" t="s">
        <v>12</v>
      </c>
    </row>
    <row r="36" spans="1:21" ht="13.5" thickBot="1">
      <c r="A36" s="615"/>
      <c r="B36" s="641" t="s">
        <v>154</v>
      </c>
      <c r="C36" s="643">
        <f>VLOOKUP(C$2,Monitor_Costs,8,FALSE)</f>
        <v>150</v>
      </c>
      <c r="D36" s="644">
        <f>VLOOKUP(C$2,Monitor_Costs,9,FALSE)</f>
        <v>2013</v>
      </c>
      <c r="E36" s="642"/>
      <c r="F36" s="12"/>
      <c r="G36" s="4"/>
      <c r="H36" s="4"/>
      <c r="I36" s="640"/>
      <c r="J36" s="355">
        <f>HLOOKUP($D$35,InflationTable,2)*$C36</f>
        <v>179.7</v>
      </c>
      <c r="K36" s="355">
        <f>J36*$L$4</f>
        <v>42409.2</v>
      </c>
      <c r="L36" s="308">
        <f>K36</f>
        <v>42409.2</v>
      </c>
      <c r="M36" s="171">
        <f>HLOOKUP($D$35,InflationTable,3)*$C36</f>
        <v>183.45000000000002</v>
      </c>
      <c r="N36" s="357">
        <f>M36*$O$4</f>
        <v>43294.200000000004</v>
      </c>
      <c r="O36" s="95">
        <f>N36</f>
        <v>43294.200000000004</v>
      </c>
      <c r="P36" s="355">
        <f>HLOOKUP($D$35,InflationTable,4)*$C36</f>
        <v>187.05</v>
      </c>
      <c r="Q36" s="355">
        <f>P36*$R$4</f>
        <v>44143.8</v>
      </c>
      <c r="R36" s="308">
        <f>Q36</f>
        <v>44143.8</v>
      </c>
      <c r="S36" s="359" t="s">
        <v>12</v>
      </c>
      <c r="T36" s="360">
        <f>AVERAGE(L36,O36,R36)</f>
        <v>43282.400000000001</v>
      </c>
      <c r="U36" s="142" t="s">
        <v>12</v>
      </c>
    </row>
    <row r="37" spans="1:21" ht="13.5" thickBot="1">
      <c r="A37" s="615"/>
      <c r="B37" s="939" t="str">
        <f>VLOOKUP(C$2,Monitor_Costs,13,FALSE)</f>
        <v>Lab Services</v>
      </c>
      <c r="C37" s="643">
        <f>VLOOKUP(C$2,Monitor_Costs,14,FALSE)</f>
        <v>1610</v>
      </c>
      <c r="D37" s="938">
        <f>VLOOKUP(C$2,Monitor_Costs,15,FALSE)</f>
        <v>2013</v>
      </c>
      <c r="E37" s="484"/>
      <c r="F37" s="7"/>
      <c r="G37" s="5"/>
      <c r="H37" s="8"/>
      <c r="I37" s="145"/>
      <c r="J37" s="355">
        <f>HLOOKUP($D$35,InflationTable,2)*$C37</f>
        <v>1928.78</v>
      </c>
      <c r="K37" s="355">
        <f>J37*$L$4</f>
        <v>455192.08</v>
      </c>
      <c r="L37" s="308">
        <f>K37</f>
        <v>455192.08</v>
      </c>
      <c r="M37" s="171">
        <f>HLOOKUP($D$35,InflationTable,3)*$C37</f>
        <v>1969.0300000000002</v>
      </c>
      <c r="N37" s="357">
        <f>M37*$O$4</f>
        <v>464691.08000000007</v>
      </c>
      <c r="O37" s="95">
        <f>N37</f>
        <v>464691.08000000007</v>
      </c>
      <c r="P37" s="355">
        <f>HLOOKUP($D$35,InflationTable,4)*$C37</f>
        <v>2007.67</v>
      </c>
      <c r="Q37" s="355">
        <f>P37*$R$4</f>
        <v>473810.12</v>
      </c>
      <c r="R37" s="308">
        <f>Q37</f>
        <v>473810.12</v>
      </c>
      <c r="S37" s="359" t="s">
        <v>12</v>
      </c>
      <c r="T37" s="941" t="s">
        <v>12</v>
      </c>
      <c r="U37" s="940">
        <f>AVERAGE(L37,O37,R37)</f>
        <v>464564.42666666675</v>
      </c>
    </row>
    <row r="38" spans="1:21">
      <c r="A38" s="615"/>
      <c r="B38" s="465" t="s">
        <v>23</v>
      </c>
      <c r="C38" s="107" t="s">
        <v>45</v>
      </c>
      <c r="D38" s="108" t="s">
        <v>46</v>
      </c>
      <c r="E38" s="107" t="s">
        <v>47</v>
      </c>
      <c r="F38" s="107" t="s">
        <v>48</v>
      </c>
      <c r="G38" s="107" t="s">
        <v>49</v>
      </c>
      <c r="H38" s="107" t="s">
        <v>50</v>
      </c>
      <c r="I38" s="350" t="s">
        <v>74</v>
      </c>
      <c r="J38" s="352"/>
      <c r="K38" s="352"/>
      <c r="L38" s="356"/>
      <c r="M38" s="110"/>
      <c r="N38" s="108"/>
      <c r="O38" s="111"/>
      <c r="P38" s="352"/>
      <c r="Q38" s="352"/>
      <c r="R38" s="356"/>
      <c r="S38" s="123"/>
      <c r="T38" s="37"/>
      <c r="U38" s="138"/>
    </row>
    <row r="39" spans="1:21">
      <c r="A39" s="615"/>
      <c r="B39" s="614" t="s">
        <v>4</v>
      </c>
      <c r="C39" s="21">
        <v>0</v>
      </c>
      <c r="D39" s="21">
        <v>30</v>
      </c>
      <c r="E39" s="21">
        <v>60</v>
      </c>
      <c r="F39" s="21">
        <v>0</v>
      </c>
      <c r="G39" s="21">
        <v>0</v>
      </c>
      <c r="H39" s="21">
        <v>0</v>
      </c>
      <c r="I39" s="48">
        <f>SUM(C39:H39)</f>
        <v>90</v>
      </c>
      <c r="J39" s="299" t="s">
        <v>12</v>
      </c>
      <c r="K39" s="281">
        <f>I39*$L$4</f>
        <v>21240</v>
      </c>
      <c r="L39" s="289">
        <f>K39</f>
        <v>21240</v>
      </c>
      <c r="M39" s="58" t="s">
        <v>12</v>
      </c>
      <c r="N39" s="69">
        <f>$I$39*$O$4</f>
        <v>21240</v>
      </c>
      <c r="O39" s="68">
        <f>N39</f>
        <v>21240</v>
      </c>
      <c r="P39" s="299" t="s">
        <v>12</v>
      </c>
      <c r="Q39" s="281">
        <f>$I$39*$R$4</f>
        <v>21240</v>
      </c>
      <c r="R39" s="289">
        <f>Q39</f>
        <v>21240</v>
      </c>
      <c r="S39" s="121">
        <f>AVERAGE(L39,O39,R39)</f>
        <v>21240</v>
      </c>
      <c r="T39" s="119" t="s">
        <v>12</v>
      </c>
      <c r="U39" s="140" t="s">
        <v>12</v>
      </c>
    </row>
    <row r="40" spans="1:21" s="1" customFormat="1" ht="13.5" thickBot="1">
      <c r="A40" s="616"/>
      <c r="B40" s="604" t="s">
        <v>8</v>
      </c>
      <c r="C40" s="373">
        <f>ROUND(C39*Labor!$D$3,0)</f>
        <v>0</v>
      </c>
      <c r="D40" s="374">
        <f>ROUND(D39*Labor!$D$4,0)</f>
        <v>1226</v>
      </c>
      <c r="E40" s="374">
        <f>ROUND(E39*Labor!$D$5,0)</f>
        <v>2647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3873</v>
      </c>
      <c r="J40" s="296">
        <f>HLOOKUP(Labor!$B$11,InflationTable,2)*I40</f>
        <v>4639.8540000000003</v>
      </c>
      <c r="K40" s="296">
        <f>J40*$L$4</f>
        <v>1095005.544</v>
      </c>
      <c r="L40" s="390">
        <f>K40</f>
        <v>1095005.544</v>
      </c>
      <c r="M40" s="376">
        <f>HLOOKUP(Labor!$B$11,InflationTable,3)*I40</f>
        <v>4736.6790000000001</v>
      </c>
      <c r="N40" s="377">
        <f>M40*$O$4</f>
        <v>1117856.2439999999</v>
      </c>
      <c r="O40" s="378">
        <f>N40</f>
        <v>1117856.2439999999</v>
      </c>
      <c r="P40" s="296">
        <f>HLOOKUP(Labor!$B$11,InflationTable,4)*$I$40</f>
        <v>4829.6310000000003</v>
      </c>
      <c r="Q40" s="296">
        <f>P40*$R$4</f>
        <v>1139792.916</v>
      </c>
      <c r="R40" s="390">
        <f>Q40</f>
        <v>1139792.916</v>
      </c>
      <c r="S40" s="211">
        <f>AVERAGE(L40,O40,R40)</f>
        <v>1117551.568</v>
      </c>
      <c r="T40" s="393" t="s">
        <v>12</v>
      </c>
      <c r="U40" s="392" t="s">
        <v>12</v>
      </c>
    </row>
    <row r="41" spans="1:21">
      <c r="A41" s="615"/>
      <c r="B41" s="605" t="s">
        <v>66</v>
      </c>
      <c r="C41" s="36">
        <f t="shared" ref="C41:I41" si="3">C39</f>
        <v>0</v>
      </c>
      <c r="D41" s="36">
        <f t="shared" si="3"/>
        <v>30</v>
      </c>
      <c r="E41" s="36">
        <f t="shared" si="3"/>
        <v>60</v>
      </c>
      <c r="F41" s="36">
        <f t="shared" si="3"/>
        <v>0</v>
      </c>
      <c r="G41" s="36">
        <f t="shared" si="3"/>
        <v>0</v>
      </c>
      <c r="H41" s="36">
        <f t="shared" si="3"/>
        <v>0</v>
      </c>
      <c r="I41" s="51">
        <f t="shared" si="3"/>
        <v>90</v>
      </c>
      <c r="J41" s="307" t="s">
        <v>12</v>
      </c>
      <c r="K41" s="302">
        <f>K39</f>
        <v>21240</v>
      </c>
      <c r="L41" s="303">
        <f>L39</f>
        <v>21240</v>
      </c>
      <c r="M41" s="85" t="s">
        <v>12</v>
      </c>
      <c r="N41" s="82">
        <f>N39</f>
        <v>21240</v>
      </c>
      <c r="O41" s="96">
        <f>O39</f>
        <v>21240</v>
      </c>
      <c r="P41" s="301" t="s">
        <v>12</v>
      </c>
      <c r="Q41" s="302">
        <f>Q39</f>
        <v>21240</v>
      </c>
      <c r="R41" s="303">
        <f>R39</f>
        <v>21240</v>
      </c>
      <c r="S41" s="655">
        <f>S39</f>
        <v>21240</v>
      </c>
      <c r="T41" s="656" t="s">
        <v>12</v>
      </c>
      <c r="U41" s="147" t="s">
        <v>12</v>
      </c>
    </row>
    <row r="42" spans="1:21" ht="13.5" thickBot="1">
      <c r="A42" s="615"/>
      <c r="B42" s="606" t="s">
        <v>67</v>
      </c>
      <c r="C42" s="240">
        <f t="shared" ref="C42:H42" si="4">C41</f>
        <v>0</v>
      </c>
      <c r="D42" s="240">
        <f t="shared" si="4"/>
        <v>30</v>
      </c>
      <c r="E42" s="240">
        <f t="shared" si="4"/>
        <v>60</v>
      </c>
      <c r="F42" s="240">
        <f t="shared" si="4"/>
        <v>0</v>
      </c>
      <c r="G42" s="240">
        <f t="shared" si="4"/>
        <v>0</v>
      </c>
      <c r="H42" s="240">
        <f t="shared" si="4"/>
        <v>0</v>
      </c>
      <c r="I42" s="251">
        <f>I40+C35</f>
        <v>4023</v>
      </c>
      <c r="J42" s="306">
        <f>J40+J35+J36+J37</f>
        <v>6928.0339999999997</v>
      </c>
      <c r="K42" s="306">
        <f>K40+K35+K36+K37</f>
        <v>1635016.024</v>
      </c>
      <c r="L42" s="306">
        <f>L40+L35+L36+L37</f>
        <v>1635016.024</v>
      </c>
      <c r="M42" s="252">
        <f>M40+M35</f>
        <v>4920.1289999999999</v>
      </c>
      <c r="N42" s="254">
        <f>N40+N35+N36</f>
        <v>1204444.6439999999</v>
      </c>
      <c r="O42" s="254">
        <f>O40+O35+O36</f>
        <v>1204444.6439999999</v>
      </c>
      <c r="P42" s="306">
        <f>P40+P35+P36+P37</f>
        <v>7211.4010000000007</v>
      </c>
      <c r="Q42" s="306">
        <f>Q40+Q35+Q36+Q37</f>
        <v>1701890.6359999999</v>
      </c>
      <c r="R42" s="306">
        <f>R40+R35+R36+R37</f>
        <v>1701890.6359999999</v>
      </c>
      <c r="S42" s="255">
        <f>S40</f>
        <v>1117551.568</v>
      </c>
      <c r="T42" s="251">
        <f>T35+T36</f>
        <v>86564.800000000003</v>
      </c>
      <c r="U42" s="224">
        <f>U37</f>
        <v>464564.42666666675</v>
      </c>
    </row>
    <row r="43" spans="1:21" ht="14.25" thickTop="1" thickBot="1">
      <c r="A43" s="615"/>
      <c r="B43" s="617"/>
      <c r="C43" s="618"/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20"/>
    </row>
    <row r="44" spans="1:21" ht="16.5" thickTop="1">
      <c r="A44" s="615"/>
      <c r="B44" s="80" t="s">
        <v>24</v>
      </c>
      <c r="C44" s="5"/>
      <c r="D44" s="5"/>
      <c r="E44" s="5"/>
      <c r="F44" s="112" t="s">
        <v>6</v>
      </c>
      <c r="G44" s="1412"/>
      <c r="H44" s="1413"/>
      <c r="I44" s="1414"/>
      <c r="J44" s="181" t="s">
        <v>24</v>
      </c>
      <c r="K44" s="426"/>
      <c r="L44" s="180"/>
      <c r="M44" s="181" t="s">
        <v>24</v>
      </c>
      <c r="N44" s="319"/>
      <c r="O44" s="67"/>
      <c r="P44" s="181" t="s">
        <v>24</v>
      </c>
      <c r="Q44" s="426"/>
      <c r="R44" s="67"/>
      <c r="S44" s="225"/>
      <c r="T44" s="37"/>
      <c r="U44" s="138"/>
    </row>
    <row r="45" spans="1:21">
      <c r="A45" s="615"/>
      <c r="B45" s="5"/>
      <c r="C45" s="5"/>
      <c r="D45" s="5"/>
      <c r="E45" s="5"/>
      <c r="F45" s="112"/>
      <c r="G45" s="1415"/>
      <c r="H45" s="1415"/>
      <c r="I45" s="1416"/>
      <c r="J45" s="277" t="s">
        <v>61</v>
      </c>
      <c r="K45" s="1419" t="s">
        <v>57</v>
      </c>
      <c r="L45" s="1420"/>
      <c r="M45" s="57" t="s">
        <v>61</v>
      </c>
      <c r="N45" s="1429" t="s">
        <v>57</v>
      </c>
      <c r="O45" s="1430"/>
      <c r="P45" s="277" t="s">
        <v>61</v>
      </c>
      <c r="Q45" s="1419" t="s">
        <v>57</v>
      </c>
      <c r="R45" s="1420"/>
      <c r="S45" s="131"/>
      <c r="T45" s="37"/>
      <c r="U45" s="138"/>
    </row>
    <row r="46" spans="1:21">
      <c r="A46" s="615"/>
      <c r="B46" s="611" t="s">
        <v>19</v>
      </c>
      <c r="C46" s="23" t="s">
        <v>60</v>
      </c>
      <c r="D46" s="23" t="s">
        <v>62</v>
      </c>
      <c r="E46" s="9"/>
      <c r="F46" s="72"/>
      <c r="G46" s="72"/>
      <c r="H46" s="72"/>
      <c r="I46" s="73"/>
      <c r="J46" s="260" t="s">
        <v>56</v>
      </c>
      <c r="K46" s="261" t="s">
        <v>13</v>
      </c>
      <c r="L46" s="262" t="s">
        <v>68</v>
      </c>
      <c r="M46" s="77" t="s">
        <v>56</v>
      </c>
      <c r="N46" s="24" t="s">
        <v>13</v>
      </c>
      <c r="O46" s="38" t="s">
        <v>68</v>
      </c>
      <c r="P46" s="260" t="s">
        <v>56</v>
      </c>
      <c r="Q46" s="261" t="s">
        <v>13</v>
      </c>
      <c r="R46" s="262" t="s">
        <v>68</v>
      </c>
      <c r="S46" s="123"/>
      <c r="T46" s="73"/>
      <c r="U46" s="138"/>
    </row>
    <row r="47" spans="1:21" ht="13.5" thickBot="1">
      <c r="A47" s="615"/>
      <c r="B47" s="361"/>
      <c r="C47" s="353">
        <f>VLOOKUP(C$2,Monitor_Costs,6,FALSE)</f>
        <v>300</v>
      </c>
      <c r="D47" s="34">
        <f>VLOOKUP(C$2,Monitor_Costs,7,FALSE)</f>
        <v>2013</v>
      </c>
      <c r="E47" s="354"/>
      <c r="F47" s="71"/>
      <c r="G47" s="56"/>
      <c r="H47" s="56"/>
      <c r="I47" s="54"/>
      <c r="J47" s="355">
        <f>HLOOKUP(D47,InflationTable,2)*C47</f>
        <v>359.4</v>
      </c>
      <c r="K47" s="355">
        <f>J47*$L$4</f>
        <v>84818.4</v>
      </c>
      <c r="L47" s="308">
        <f>K47</f>
        <v>84818.4</v>
      </c>
      <c r="M47" s="357">
        <f>HLOOKUP($D$47,InflationTable,3)*$C$47</f>
        <v>366.90000000000003</v>
      </c>
      <c r="N47" s="357">
        <f>M47*$O$4</f>
        <v>86588.400000000009</v>
      </c>
      <c r="O47" s="95">
        <f>N47</f>
        <v>86588.400000000009</v>
      </c>
      <c r="P47" s="358">
        <f>HLOOKUP($D$47,InflationTable,4)*$C$47</f>
        <v>374.1</v>
      </c>
      <c r="Q47" s="355">
        <f>P47*$R$4</f>
        <v>88287.6</v>
      </c>
      <c r="R47" s="308">
        <f>Q47</f>
        <v>88287.6</v>
      </c>
      <c r="S47" s="359" t="s">
        <v>12</v>
      </c>
      <c r="T47" s="360">
        <f>AVERAGE(L47,O47,R47)</f>
        <v>86564.800000000003</v>
      </c>
      <c r="U47" s="142" t="s">
        <v>12</v>
      </c>
    </row>
    <row r="48" spans="1:21">
      <c r="A48" s="615"/>
      <c r="B48" s="465" t="s">
        <v>25</v>
      </c>
      <c r="C48" s="107" t="s">
        <v>45</v>
      </c>
      <c r="D48" s="108" t="s">
        <v>46</v>
      </c>
      <c r="E48" s="107" t="s">
        <v>47</v>
      </c>
      <c r="F48" s="107" t="s">
        <v>48</v>
      </c>
      <c r="G48" s="107" t="s">
        <v>49</v>
      </c>
      <c r="H48" s="107" t="s">
        <v>50</v>
      </c>
      <c r="I48" s="350" t="s">
        <v>74</v>
      </c>
      <c r="J48" s="351"/>
      <c r="K48" s="352"/>
      <c r="L48" s="356"/>
      <c r="M48" s="110"/>
      <c r="N48" s="108"/>
      <c r="O48" s="111"/>
      <c r="P48" s="351"/>
      <c r="Q48" s="352"/>
      <c r="R48" s="356"/>
      <c r="S48" s="134"/>
      <c r="T48" s="136"/>
      <c r="U48" s="138"/>
    </row>
    <row r="49" spans="2:21">
      <c r="B49" s="566" t="s">
        <v>4</v>
      </c>
      <c r="C49" s="21">
        <v>0</v>
      </c>
      <c r="D49" s="21">
        <v>8</v>
      </c>
      <c r="E49" s="21">
        <v>0</v>
      </c>
      <c r="F49" s="21">
        <v>0</v>
      </c>
      <c r="G49" s="21">
        <v>0</v>
      </c>
      <c r="H49" s="21">
        <v>0</v>
      </c>
      <c r="I49" s="52">
        <f>SUM(C49:H49)</f>
        <v>8</v>
      </c>
      <c r="J49" s="263" t="s">
        <v>12</v>
      </c>
      <c r="K49" s="281">
        <f>I49*$L$4</f>
        <v>1888</v>
      </c>
      <c r="L49" s="289">
        <f>K49</f>
        <v>1888</v>
      </c>
      <c r="M49" s="58" t="s">
        <v>12</v>
      </c>
      <c r="N49" s="69">
        <f>$I$49*$O$4</f>
        <v>1888</v>
      </c>
      <c r="O49" s="68">
        <f>N49</f>
        <v>1888</v>
      </c>
      <c r="P49" s="263" t="s">
        <v>12</v>
      </c>
      <c r="Q49" s="281">
        <f>$I$49*$R$4</f>
        <v>1888</v>
      </c>
      <c r="R49" s="289">
        <f>Q49</f>
        <v>1888</v>
      </c>
      <c r="S49" s="121">
        <f>AVERAGE(L49,O49,R49)</f>
        <v>1888</v>
      </c>
      <c r="T49" s="119" t="s">
        <v>12</v>
      </c>
      <c r="U49" s="140" t="s">
        <v>12</v>
      </c>
    </row>
    <row r="50" spans="2:21" ht="13.5" thickBot="1">
      <c r="B50" s="567" t="s">
        <v>8</v>
      </c>
      <c r="C50" s="34">
        <f>ROUND(C49*Labor!$D$3,0)</f>
        <v>0</v>
      </c>
      <c r="D50" s="35">
        <f>ROUND(D49*Labor!$D$4,0)</f>
        <v>327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327</v>
      </c>
      <c r="J50" s="292">
        <f>HLOOKUP(Labor!$B$11,InflationTable,2)*I50</f>
        <v>391.74599999999998</v>
      </c>
      <c r="K50" s="269">
        <f>J50*$L$4</f>
        <v>92452.055999999997</v>
      </c>
      <c r="L50" s="308">
        <f>K50</f>
        <v>92452.055999999997</v>
      </c>
      <c r="M50" s="84">
        <f>HLOOKUP(Labor!$B$11,InflationTable,3)*$I$50</f>
        <v>399.92100000000005</v>
      </c>
      <c r="N50" s="63">
        <f>M50*$O$4</f>
        <v>94381.356000000014</v>
      </c>
      <c r="O50" s="95">
        <f>N50</f>
        <v>94381.356000000014</v>
      </c>
      <c r="P50" s="268">
        <f>HLOOKUP(Labor!$B$11,InflationTable,4)*$I$50</f>
        <v>407.76900000000006</v>
      </c>
      <c r="Q50" s="269">
        <f>P50*$O$4</f>
        <v>96233.484000000011</v>
      </c>
      <c r="R50" s="308">
        <f>Q50</f>
        <v>96233.484000000011</v>
      </c>
      <c r="S50" s="128">
        <f>AVERAGE(L50,O50,R50)</f>
        <v>94355.631999999998</v>
      </c>
      <c r="T50" s="149" t="s">
        <v>12</v>
      </c>
      <c r="U50" s="142" t="s">
        <v>12</v>
      </c>
    </row>
    <row r="51" spans="2:21">
      <c r="B51" s="565" t="s">
        <v>117</v>
      </c>
      <c r="C51" s="346">
        <v>0</v>
      </c>
      <c r="D51" s="346">
        <v>8</v>
      </c>
      <c r="E51" s="346">
        <v>0</v>
      </c>
      <c r="F51" s="346">
        <v>0</v>
      </c>
      <c r="G51" s="346">
        <v>0</v>
      </c>
      <c r="H51" s="346">
        <v>0</v>
      </c>
      <c r="I51" s="347">
        <f>SUM(C51:H51)</f>
        <v>8</v>
      </c>
      <c r="J51" s="293" t="s">
        <v>12</v>
      </c>
      <c r="K51" s="327">
        <f>I51*$L$4</f>
        <v>1888</v>
      </c>
      <c r="L51" s="328">
        <f>K51</f>
        <v>1888</v>
      </c>
      <c r="M51" s="61" t="s">
        <v>12</v>
      </c>
      <c r="N51" s="348">
        <f>$I$51*$O$4</f>
        <v>1888</v>
      </c>
      <c r="O51" s="349">
        <f>N51</f>
        <v>1888</v>
      </c>
      <c r="P51" s="293" t="s">
        <v>12</v>
      </c>
      <c r="Q51" s="327">
        <f>$I$51*$R$4</f>
        <v>1888</v>
      </c>
      <c r="R51" s="328">
        <f>Q51</f>
        <v>1888</v>
      </c>
      <c r="S51" s="129">
        <f>AVERAGE(L51,O51,R51)</f>
        <v>1888</v>
      </c>
      <c r="T51" s="119" t="s">
        <v>12</v>
      </c>
      <c r="U51" s="140" t="s">
        <v>12</v>
      </c>
    </row>
    <row r="52" spans="2:21" ht="13.5" thickBot="1">
      <c r="B52" s="568" t="s">
        <v>8</v>
      </c>
      <c r="C52" s="34">
        <f>ROUND(C51*Labor!$D$3,0)</f>
        <v>0</v>
      </c>
      <c r="D52" s="35">
        <f>ROUND(D51*Labor!$D$4,0)</f>
        <v>327</v>
      </c>
      <c r="E52" s="35">
        <f>ROUND(E51*Labor!$D$5,0)</f>
        <v>0</v>
      </c>
      <c r="F52" s="35">
        <f>ROUND(F51*Labor!$D$6,0)</f>
        <v>0</v>
      </c>
      <c r="G52" s="35">
        <f>ROUND(G51*Labor!$D$7,0)</f>
        <v>0</v>
      </c>
      <c r="H52" s="35">
        <f>ROUND(H51*Labor!$D$8,0)</f>
        <v>0</v>
      </c>
      <c r="I52" s="39">
        <f>SUM(C52:H52)</f>
        <v>327</v>
      </c>
      <c r="J52" s="268">
        <f>HLOOKUP(Labor!$B$11,InflationTable,2)*$I$52</f>
        <v>391.74599999999998</v>
      </c>
      <c r="K52" s="269">
        <f>J52*$L$4</f>
        <v>92452.055999999997</v>
      </c>
      <c r="L52" s="308">
        <f>K52</f>
        <v>92452.055999999997</v>
      </c>
      <c r="M52" s="84">
        <f>HLOOKUP(Labor!$B$11,InflationTable,3)*$I$52</f>
        <v>399.92100000000005</v>
      </c>
      <c r="N52" s="63">
        <f>M52*$O$4</f>
        <v>94381.356000000014</v>
      </c>
      <c r="O52" s="95">
        <f>N52</f>
        <v>94381.356000000014</v>
      </c>
      <c r="P52" s="268">
        <f>HLOOKUP(Labor!$B$11,InflationTable,4)*$I$52</f>
        <v>407.76900000000006</v>
      </c>
      <c r="Q52" s="269">
        <f>P52*$R$4</f>
        <v>96233.484000000011</v>
      </c>
      <c r="R52" s="308">
        <f>Q52</f>
        <v>96233.484000000011</v>
      </c>
      <c r="S52" s="171">
        <f>AVERAGE(L52,O52,R52)</f>
        <v>94355.631999999998</v>
      </c>
      <c r="T52" s="149" t="s">
        <v>12</v>
      </c>
      <c r="U52" s="142" t="s">
        <v>12</v>
      </c>
    </row>
    <row r="53" spans="2:21">
      <c r="B53" s="560" t="s">
        <v>66</v>
      </c>
      <c r="C53" s="36">
        <f t="shared" ref="C53:I53" si="5">C49+C51</f>
        <v>0</v>
      </c>
      <c r="D53" s="36">
        <f t="shared" si="5"/>
        <v>16</v>
      </c>
      <c r="E53" s="36">
        <f t="shared" si="5"/>
        <v>0</v>
      </c>
      <c r="F53" s="36">
        <f t="shared" si="5"/>
        <v>0</v>
      </c>
      <c r="G53" s="36">
        <f t="shared" si="5"/>
        <v>0</v>
      </c>
      <c r="H53" s="36">
        <f t="shared" si="5"/>
        <v>0</v>
      </c>
      <c r="I53" s="46">
        <f t="shared" si="5"/>
        <v>16</v>
      </c>
      <c r="J53" s="301" t="s">
        <v>12</v>
      </c>
      <c r="K53" s="309">
        <f>K49+K51</f>
        <v>3776</v>
      </c>
      <c r="L53" s="310">
        <f>L49+L51</f>
        <v>3776</v>
      </c>
      <c r="M53" s="85" t="s">
        <v>12</v>
      </c>
      <c r="N53" s="86">
        <f>N49+N51</f>
        <v>3776</v>
      </c>
      <c r="O53" s="97">
        <f>O49+O51</f>
        <v>3776</v>
      </c>
      <c r="P53" s="301" t="s">
        <v>12</v>
      </c>
      <c r="Q53" s="309">
        <f>Q49+Q51</f>
        <v>3776</v>
      </c>
      <c r="R53" s="310">
        <f>R49+R51</f>
        <v>3776</v>
      </c>
      <c r="S53" s="121">
        <f>AVERAGE(L53,O53,R53)</f>
        <v>3776</v>
      </c>
      <c r="T53" s="136" t="s">
        <v>12</v>
      </c>
      <c r="U53" s="148" t="s">
        <v>12</v>
      </c>
    </row>
    <row r="54" spans="2:21" ht="13.5" thickBot="1">
      <c r="B54" s="561" t="s">
        <v>67</v>
      </c>
      <c r="C54" s="240">
        <f t="shared" ref="C54:H54" si="6">C50+C52</f>
        <v>0</v>
      </c>
      <c r="D54" s="240">
        <f t="shared" si="6"/>
        <v>654</v>
      </c>
      <c r="E54" s="240">
        <f t="shared" si="6"/>
        <v>0</v>
      </c>
      <c r="F54" s="240">
        <f t="shared" si="6"/>
        <v>0</v>
      </c>
      <c r="G54" s="240">
        <f t="shared" si="6"/>
        <v>0</v>
      </c>
      <c r="H54" s="240">
        <f t="shared" si="6"/>
        <v>0</v>
      </c>
      <c r="I54" s="222">
        <f>I52+I50+C47</f>
        <v>954</v>
      </c>
      <c r="J54" s="311">
        <f t="shared" ref="J54:R54" si="7">J52+J50+J47</f>
        <v>1142.8919999999998</v>
      </c>
      <c r="K54" s="305">
        <f t="shared" si="7"/>
        <v>269722.51199999999</v>
      </c>
      <c r="L54" s="306">
        <f t="shared" si="7"/>
        <v>269722.51199999999</v>
      </c>
      <c r="M54" s="252">
        <f t="shared" si="7"/>
        <v>1166.7420000000002</v>
      </c>
      <c r="N54" s="253">
        <f t="shared" si="7"/>
        <v>275351.11200000002</v>
      </c>
      <c r="O54" s="254">
        <f t="shared" si="7"/>
        <v>275351.11200000002</v>
      </c>
      <c r="P54" s="311">
        <f t="shared" si="7"/>
        <v>1189.6380000000001</v>
      </c>
      <c r="Q54" s="305">
        <f t="shared" si="7"/>
        <v>280754.56800000003</v>
      </c>
      <c r="R54" s="306">
        <f t="shared" si="7"/>
        <v>280754.56800000003</v>
      </c>
      <c r="S54" s="257">
        <f>S52+S50</f>
        <v>188711.264</v>
      </c>
      <c r="T54" s="251">
        <f>T47</f>
        <v>86564.800000000003</v>
      </c>
      <c r="U54" s="224" t="s">
        <v>12</v>
      </c>
    </row>
    <row r="55" spans="2:21" ht="14.25" thickTop="1" thickBot="1">
      <c r="B55" s="555"/>
      <c r="C55" s="618"/>
      <c r="D55" s="618"/>
      <c r="E55" s="618"/>
      <c r="F55" s="618"/>
      <c r="G55" s="618"/>
      <c r="H55" s="618"/>
      <c r="I55" s="618"/>
      <c r="J55" s="618"/>
      <c r="K55" s="618"/>
      <c r="L55" s="618"/>
      <c r="M55" s="618"/>
      <c r="N55" s="618"/>
      <c r="O55" s="618"/>
      <c r="P55" s="618"/>
      <c r="Q55" s="618"/>
      <c r="R55" s="618"/>
      <c r="S55" s="618"/>
      <c r="T55" s="618"/>
      <c r="U55" s="620"/>
    </row>
    <row r="56" spans="2:21" ht="16.5" thickTop="1">
      <c r="B56" s="564" t="s">
        <v>26</v>
      </c>
      <c r="C56" s="5"/>
      <c r="D56" s="5"/>
      <c r="E56" s="5"/>
      <c r="F56" s="112" t="s">
        <v>6</v>
      </c>
      <c r="G56" s="1412"/>
      <c r="H56" s="1413"/>
      <c r="I56" s="1414"/>
      <c r="J56" s="181" t="s">
        <v>26</v>
      </c>
      <c r="K56" s="426"/>
      <c r="L56" s="67"/>
      <c r="M56" s="245" t="s">
        <v>26</v>
      </c>
      <c r="N56" s="426"/>
      <c r="O56" s="426"/>
      <c r="P56" s="245" t="s">
        <v>26</v>
      </c>
      <c r="Q56" s="426"/>
      <c r="R56" s="67"/>
      <c r="S56" s="225"/>
      <c r="T56" s="37"/>
      <c r="U56" s="138"/>
    </row>
    <row r="57" spans="2:21">
      <c r="B57" s="555"/>
      <c r="C57" s="5"/>
      <c r="D57" s="5"/>
      <c r="E57" s="5"/>
      <c r="F57" s="7"/>
      <c r="G57" s="5"/>
      <c r="H57" s="5"/>
      <c r="I57" s="45" t="s">
        <v>61</v>
      </c>
      <c r="J57" s="277" t="s">
        <v>61</v>
      </c>
      <c r="K57" s="1419" t="s">
        <v>57</v>
      </c>
      <c r="L57" s="1420"/>
      <c r="M57" s="57" t="s">
        <v>61</v>
      </c>
      <c r="N57" s="1429" t="s">
        <v>57</v>
      </c>
      <c r="O57" s="1430"/>
      <c r="P57" s="277" t="s">
        <v>61</v>
      </c>
      <c r="Q57" s="1419" t="s">
        <v>57</v>
      </c>
      <c r="R57" s="1420"/>
      <c r="S57" s="131"/>
      <c r="T57" s="37"/>
      <c r="U57" s="138"/>
    </row>
    <row r="58" spans="2:21">
      <c r="B58" s="563" t="s">
        <v>27</v>
      </c>
      <c r="C58" s="23" t="s">
        <v>45</v>
      </c>
      <c r="D58" s="24" t="s">
        <v>46</v>
      </c>
      <c r="E58" s="23" t="s">
        <v>47</v>
      </c>
      <c r="F58" s="23" t="s">
        <v>48</v>
      </c>
      <c r="G58" s="23" t="s">
        <v>49</v>
      </c>
      <c r="H58" s="23" t="s">
        <v>50</v>
      </c>
      <c r="I58" s="45" t="s">
        <v>13</v>
      </c>
      <c r="J58" s="260" t="s">
        <v>56</v>
      </c>
      <c r="K58" s="261" t="s">
        <v>13</v>
      </c>
      <c r="L58" s="262" t="s">
        <v>68</v>
      </c>
      <c r="M58" s="77" t="s">
        <v>56</v>
      </c>
      <c r="N58" s="24" t="s">
        <v>13</v>
      </c>
      <c r="O58" s="38" t="s">
        <v>68</v>
      </c>
      <c r="P58" s="260" t="s">
        <v>56</v>
      </c>
      <c r="Q58" s="261" t="s">
        <v>13</v>
      </c>
      <c r="R58" s="262" t="s">
        <v>68</v>
      </c>
      <c r="S58" s="123"/>
      <c r="T58" s="37"/>
      <c r="U58" s="138"/>
    </row>
    <row r="59" spans="2:21">
      <c r="B59" s="566" t="s">
        <v>4</v>
      </c>
      <c r="C59" s="21">
        <v>0</v>
      </c>
      <c r="D59" s="21">
        <v>0</v>
      </c>
      <c r="E59" s="21">
        <v>4</v>
      </c>
      <c r="F59" s="21">
        <v>0</v>
      </c>
      <c r="G59" s="21">
        <v>0</v>
      </c>
      <c r="H59" s="21">
        <v>0</v>
      </c>
      <c r="I59" s="52">
        <f t="shared" ref="I59:I66" si="8">SUM(C59:H59)</f>
        <v>4</v>
      </c>
      <c r="J59" s="263" t="s">
        <v>12</v>
      </c>
      <c r="K59" s="281">
        <f>I59*$L$4</f>
        <v>944</v>
      </c>
      <c r="L59" s="289">
        <f t="shared" ref="L59:L66" si="9">K59</f>
        <v>944</v>
      </c>
      <c r="M59" s="58" t="s">
        <v>12</v>
      </c>
      <c r="N59" s="69">
        <f>$I$59*$O$4</f>
        <v>944</v>
      </c>
      <c r="O59" s="68">
        <f t="shared" ref="O59:O66" si="10">N59</f>
        <v>944</v>
      </c>
      <c r="P59" s="263" t="s">
        <v>12</v>
      </c>
      <c r="Q59" s="281">
        <f>$I$59*$R$4</f>
        <v>944</v>
      </c>
      <c r="R59" s="289">
        <f t="shared" ref="R59:R66" si="11">Q59</f>
        <v>944</v>
      </c>
      <c r="S59" s="121">
        <f t="shared" ref="S59:S68" si="12">AVERAGE(L59,O59,R59)</f>
        <v>944</v>
      </c>
      <c r="T59" s="119" t="s">
        <v>12</v>
      </c>
      <c r="U59" s="140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176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8"/>
        <v>176</v>
      </c>
      <c r="J60" s="268">
        <f>HLOOKUP(Labor!$B$11,InflationTable,2)*I60</f>
        <v>210.84799999999998</v>
      </c>
      <c r="K60" s="269">
        <f>J60*$L$4</f>
        <v>49760.127999999997</v>
      </c>
      <c r="L60" s="308">
        <f t="shared" si="9"/>
        <v>49760.127999999997</v>
      </c>
      <c r="M60" s="84">
        <f>HLOOKUP(Labor!$B$11,InflationTable,3)*$I$60</f>
        <v>215.24800000000002</v>
      </c>
      <c r="N60" s="63">
        <f>M60*$L$4</f>
        <v>50798.528000000006</v>
      </c>
      <c r="O60" s="95">
        <f t="shared" si="10"/>
        <v>50798.528000000006</v>
      </c>
      <c r="P60" s="268">
        <f>HLOOKUP(Labor!$B$11,InflationTable,4)*$I$60</f>
        <v>219.47200000000001</v>
      </c>
      <c r="Q60" s="269">
        <f>P60*$R$4</f>
        <v>51795.392</v>
      </c>
      <c r="R60" s="308">
        <f t="shared" si="11"/>
        <v>51795.392</v>
      </c>
      <c r="S60" s="128">
        <f t="shared" si="12"/>
        <v>50784.682666666668</v>
      </c>
      <c r="T60" s="149" t="s">
        <v>12</v>
      </c>
      <c r="U60" s="142" t="s">
        <v>12</v>
      </c>
    </row>
    <row r="61" spans="2:21">
      <c r="B61" s="559" t="s">
        <v>114</v>
      </c>
      <c r="C61" s="346">
        <v>0</v>
      </c>
      <c r="D61" s="346">
        <v>0</v>
      </c>
      <c r="E61" s="346">
        <v>0</v>
      </c>
      <c r="F61" s="346">
        <v>4</v>
      </c>
      <c r="G61" s="346">
        <v>0</v>
      </c>
      <c r="H61" s="346">
        <v>0</v>
      </c>
      <c r="I61" s="347">
        <f t="shared" si="8"/>
        <v>4</v>
      </c>
      <c r="J61" s="293" t="s">
        <v>12</v>
      </c>
      <c r="K61" s="327">
        <f>I61*$L$4</f>
        <v>944</v>
      </c>
      <c r="L61" s="328">
        <f t="shared" si="9"/>
        <v>944</v>
      </c>
      <c r="M61" s="61" t="s">
        <v>12</v>
      </c>
      <c r="N61" s="348">
        <f>$I$61*$O$4</f>
        <v>944</v>
      </c>
      <c r="O61" s="349">
        <f t="shared" si="10"/>
        <v>944</v>
      </c>
      <c r="P61" s="293" t="s">
        <v>12</v>
      </c>
      <c r="Q61" s="327">
        <f>$I$61*$R$4</f>
        <v>944</v>
      </c>
      <c r="R61" s="328">
        <f t="shared" si="11"/>
        <v>944</v>
      </c>
      <c r="S61" s="129">
        <f t="shared" si="12"/>
        <v>944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197</v>
      </c>
      <c r="G62" s="35">
        <f>ROUND(G61*Labor!$D$7,0)</f>
        <v>0</v>
      </c>
      <c r="H62" s="35">
        <f>ROUND(H61*Labor!$D$8,0)</f>
        <v>0</v>
      </c>
      <c r="I62" s="39">
        <f t="shared" si="8"/>
        <v>197</v>
      </c>
      <c r="J62" s="292">
        <f>HLOOKUP(Labor!$B$11,InflationTable,2)*I62</f>
        <v>236.006</v>
      </c>
      <c r="K62" s="269">
        <f>J62*$L$4</f>
        <v>55697.415999999997</v>
      </c>
      <c r="L62" s="308">
        <f t="shared" si="9"/>
        <v>55697.415999999997</v>
      </c>
      <c r="M62" s="362">
        <f>HLOOKUP(Labor!$B$11,InflationTable,3)*I62</f>
        <v>240.93100000000001</v>
      </c>
      <c r="N62" s="63">
        <f>M62*$O$4</f>
        <v>56859.716</v>
      </c>
      <c r="O62" s="95">
        <f t="shared" si="10"/>
        <v>56859.716</v>
      </c>
      <c r="P62" s="268">
        <f>HLOOKUP(Labor!$B$11,InflationTable,4)*$I$62</f>
        <v>245.65900000000002</v>
      </c>
      <c r="Q62" s="269">
        <f>P62*$R$4</f>
        <v>57975.524000000005</v>
      </c>
      <c r="R62" s="308">
        <f t="shared" si="11"/>
        <v>57975.524000000005</v>
      </c>
      <c r="S62" s="128">
        <f t="shared" si="12"/>
        <v>56844.218666666675</v>
      </c>
      <c r="T62" s="149" t="s">
        <v>12</v>
      </c>
      <c r="U62" s="142" t="s">
        <v>12</v>
      </c>
    </row>
    <row r="63" spans="2:21">
      <c r="B63" s="559" t="s">
        <v>115</v>
      </c>
      <c r="C63" s="346">
        <v>0</v>
      </c>
      <c r="D63" s="346">
        <v>0</v>
      </c>
      <c r="E63" s="346">
        <v>0</v>
      </c>
      <c r="F63" s="346">
        <v>12</v>
      </c>
      <c r="G63" s="346">
        <v>0</v>
      </c>
      <c r="H63" s="346">
        <v>0</v>
      </c>
      <c r="I63" s="347">
        <f t="shared" si="8"/>
        <v>12</v>
      </c>
      <c r="J63" s="293" t="s">
        <v>12</v>
      </c>
      <c r="K63" s="327">
        <f>I63*$L$4</f>
        <v>2832</v>
      </c>
      <c r="L63" s="328">
        <f t="shared" si="9"/>
        <v>2832</v>
      </c>
      <c r="M63" s="61" t="s">
        <v>12</v>
      </c>
      <c r="N63" s="348">
        <f>$I$63*$O$4</f>
        <v>2832</v>
      </c>
      <c r="O63" s="349">
        <f t="shared" si="10"/>
        <v>2832</v>
      </c>
      <c r="P63" s="293" t="s">
        <v>12</v>
      </c>
      <c r="Q63" s="327">
        <f>$I$63*$R$4</f>
        <v>2832</v>
      </c>
      <c r="R63" s="328">
        <f t="shared" si="11"/>
        <v>2832</v>
      </c>
      <c r="S63" s="129">
        <f t="shared" si="12"/>
        <v>2832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591</v>
      </c>
      <c r="G64" s="35">
        <f>ROUND(G63*Labor!$D$7,0)</f>
        <v>0</v>
      </c>
      <c r="H64" s="35">
        <f>ROUND(H63*Labor!$D$8,0)</f>
        <v>0</v>
      </c>
      <c r="I64" s="39">
        <f t="shared" si="8"/>
        <v>591</v>
      </c>
      <c r="J64" s="292">
        <f>HLOOKUP(Labor!$B$11,InflationTable,2)*I64</f>
        <v>708.01800000000003</v>
      </c>
      <c r="K64" s="269">
        <f>J64*$L$4</f>
        <v>167092.24800000002</v>
      </c>
      <c r="L64" s="308">
        <f t="shared" si="9"/>
        <v>167092.24800000002</v>
      </c>
      <c r="M64" s="84">
        <f>HLOOKUP(Labor!$B$11,InflationTable,3)*$I$64</f>
        <v>722.79300000000001</v>
      </c>
      <c r="N64" s="63">
        <f>M64*$O$4</f>
        <v>170579.14800000002</v>
      </c>
      <c r="O64" s="95">
        <f t="shared" si="10"/>
        <v>170579.14800000002</v>
      </c>
      <c r="P64" s="268">
        <f>HLOOKUP(Labor!$B$11,InflationTable,4)*$I$64</f>
        <v>736.97700000000009</v>
      </c>
      <c r="Q64" s="269">
        <f>P64*$R$4</f>
        <v>173926.57200000001</v>
      </c>
      <c r="R64" s="308">
        <f t="shared" si="11"/>
        <v>173926.57200000001</v>
      </c>
      <c r="S64" s="128">
        <f t="shared" si="12"/>
        <v>170532.65600000005</v>
      </c>
      <c r="T64" s="149" t="s">
        <v>12</v>
      </c>
      <c r="U64" s="142" t="s">
        <v>12</v>
      </c>
    </row>
    <row r="65" spans="2:22">
      <c r="B65" s="559" t="s">
        <v>116</v>
      </c>
      <c r="C65" s="346">
        <v>0</v>
      </c>
      <c r="D65" s="346">
        <v>0</v>
      </c>
      <c r="E65" s="346">
        <v>0</v>
      </c>
      <c r="F65" s="346">
        <v>1</v>
      </c>
      <c r="G65" s="346">
        <v>0</v>
      </c>
      <c r="H65" s="346">
        <v>0</v>
      </c>
      <c r="I65" s="347">
        <f t="shared" si="8"/>
        <v>1</v>
      </c>
      <c r="J65" s="293" t="s">
        <v>12</v>
      </c>
      <c r="K65" s="327">
        <f>I65*$L$4</f>
        <v>236</v>
      </c>
      <c r="L65" s="328">
        <f t="shared" si="9"/>
        <v>236</v>
      </c>
      <c r="M65" s="61" t="s">
        <v>12</v>
      </c>
      <c r="N65" s="348">
        <f>$I$65*$O$4</f>
        <v>236</v>
      </c>
      <c r="O65" s="349">
        <f t="shared" si="10"/>
        <v>236</v>
      </c>
      <c r="P65" s="293" t="s">
        <v>12</v>
      </c>
      <c r="Q65" s="327">
        <f>$I$65*$R$4</f>
        <v>236</v>
      </c>
      <c r="R65" s="328">
        <f t="shared" si="11"/>
        <v>236</v>
      </c>
      <c r="S65" s="129">
        <f t="shared" si="12"/>
        <v>236</v>
      </c>
      <c r="T65" s="136" t="s">
        <v>12</v>
      </c>
      <c r="U65" s="147" t="s">
        <v>12</v>
      </c>
    </row>
    <row r="66" spans="2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0</v>
      </c>
      <c r="F66" s="35">
        <f>ROUND(F65*Labor!$D$6,0)</f>
        <v>49</v>
      </c>
      <c r="G66" s="35">
        <f>ROUND(G65*Labor!$D$7,0)</f>
        <v>0</v>
      </c>
      <c r="H66" s="35">
        <f>ROUND(H65*Labor!$D$8,0)</f>
        <v>0</v>
      </c>
      <c r="I66" s="39">
        <f t="shared" si="8"/>
        <v>49</v>
      </c>
      <c r="J66" s="268">
        <f>HLOOKUP(Labor!$B$11,InflationTable,2)*I66</f>
        <v>58.701999999999998</v>
      </c>
      <c r="K66" s="269">
        <f>J66*$L$4</f>
        <v>13853.671999999999</v>
      </c>
      <c r="L66" s="300">
        <f t="shared" si="9"/>
        <v>13853.671999999999</v>
      </c>
      <c r="M66" s="84">
        <f>HLOOKUP(Labor!$B$11,InflationTable,3)*$I$66</f>
        <v>59.927000000000007</v>
      </c>
      <c r="N66" s="63">
        <f>M66*$O$4</f>
        <v>14142.772000000001</v>
      </c>
      <c r="O66" s="98">
        <f t="shared" si="10"/>
        <v>14142.772000000001</v>
      </c>
      <c r="P66" s="268">
        <f>HLOOKUP(Labor!$B$11,InflationTable,4)*$I$66</f>
        <v>61.103000000000009</v>
      </c>
      <c r="Q66" s="269">
        <f>P66*$R$4</f>
        <v>14420.308000000003</v>
      </c>
      <c r="R66" s="300">
        <f t="shared" si="11"/>
        <v>14420.308000000003</v>
      </c>
      <c r="S66" s="128">
        <f t="shared" si="12"/>
        <v>14138.917333333333</v>
      </c>
      <c r="T66" s="137" t="s">
        <v>12</v>
      </c>
      <c r="U66" s="142" t="s">
        <v>12</v>
      </c>
    </row>
    <row r="67" spans="2:22">
      <c r="B67" s="560" t="s">
        <v>66</v>
      </c>
      <c r="C67" s="36">
        <f t="shared" ref="C67:I68" si="13">C59+C61+C63+C65</f>
        <v>0</v>
      </c>
      <c r="D67" s="36">
        <f t="shared" si="13"/>
        <v>0</v>
      </c>
      <c r="E67" s="36">
        <f t="shared" si="13"/>
        <v>4</v>
      </c>
      <c r="F67" s="36">
        <f t="shared" si="13"/>
        <v>17</v>
      </c>
      <c r="G67" s="36">
        <f t="shared" si="13"/>
        <v>0</v>
      </c>
      <c r="H67" s="36">
        <f t="shared" si="13"/>
        <v>0</v>
      </c>
      <c r="I67" s="46">
        <f t="shared" si="13"/>
        <v>21</v>
      </c>
      <c r="J67" s="301" t="s">
        <v>12</v>
      </c>
      <c r="K67" s="285">
        <f>K59+K61+K63+K65</f>
        <v>4956</v>
      </c>
      <c r="L67" s="312">
        <f>L59+L61+L63+L65</f>
        <v>4956</v>
      </c>
      <c r="M67" s="85" t="s">
        <v>12</v>
      </c>
      <c r="N67" s="33">
        <f>N59+N61+N63+N65</f>
        <v>4956</v>
      </c>
      <c r="O67" s="99">
        <f>O59+O61+O63+O65</f>
        <v>4956</v>
      </c>
      <c r="P67" s="301" t="s">
        <v>12</v>
      </c>
      <c r="Q67" s="285">
        <f>Q59+Q61+Q63+Q65</f>
        <v>4956</v>
      </c>
      <c r="R67" s="312">
        <f>R59+R61+R63+R65</f>
        <v>4956</v>
      </c>
      <c r="S67" s="129">
        <f t="shared" si="12"/>
        <v>4956</v>
      </c>
      <c r="T67" s="136" t="s">
        <v>12</v>
      </c>
      <c r="U67" s="147" t="s">
        <v>12</v>
      </c>
    </row>
    <row r="68" spans="2:22" ht="13.5" thickBot="1">
      <c r="B68" s="561" t="s">
        <v>67</v>
      </c>
      <c r="C68" s="240">
        <f t="shared" si="13"/>
        <v>0</v>
      </c>
      <c r="D68" s="240">
        <f t="shared" si="13"/>
        <v>0</v>
      </c>
      <c r="E68" s="240">
        <f t="shared" si="13"/>
        <v>176</v>
      </c>
      <c r="F68" s="240">
        <f t="shared" si="13"/>
        <v>837</v>
      </c>
      <c r="G68" s="240">
        <f t="shared" si="13"/>
        <v>0</v>
      </c>
      <c r="H68" s="240">
        <f t="shared" si="13"/>
        <v>0</v>
      </c>
      <c r="I68" s="243">
        <f t="shared" si="13"/>
        <v>1013</v>
      </c>
      <c r="J68" s="313">
        <f>J60+J62+J64+J66</f>
        <v>1213.5740000000001</v>
      </c>
      <c r="K68" s="275">
        <f>K60+K62+K64+K66</f>
        <v>286403.46400000004</v>
      </c>
      <c r="L68" s="276">
        <f>L60+L62+L64+L66</f>
        <v>286403.46400000004</v>
      </c>
      <c r="M68" s="242">
        <f>M60+M62+M64+M66</f>
        <v>1238.8989999999999</v>
      </c>
      <c r="N68" s="240">
        <f>N60+N62+N64+N66</f>
        <v>292380.16399999999</v>
      </c>
      <c r="O68" s="243">
        <f>O60+O62+O64+O66</f>
        <v>292380.16399999999</v>
      </c>
      <c r="P68" s="313">
        <f>P60+P62+P64+P66</f>
        <v>1263.2110000000002</v>
      </c>
      <c r="Q68" s="275">
        <f>Q60+Q62+Q64+Q66</f>
        <v>298117.79600000003</v>
      </c>
      <c r="R68" s="276">
        <f>R60+R62+R64+R66</f>
        <v>298117.79600000003</v>
      </c>
      <c r="S68" s="255">
        <f t="shared" si="12"/>
        <v>292300.47466666671</v>
      </c>
      <c r="T68" s="249" t="s">
        <v>12</v>
      </c>
      <c r="U68" s="224" t="s">
        <v>12</v>
      </c>
    </row>
    <row r="69" spans="2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2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2:22" ht="27.75" thickTop="1" thickBot="1">
      <c r="B71" s="564" t="s">
        <v>28</v>
      </c>
      <c r="C71" s="5"/>
      <c r="D71" s="5"/>
      <c r="E71" s="5"/>
      <c r="F71" s="112" t="s">
        <v>6</v>
      </c>
      <c r="G71" s="1412"/>
      <c r="H71" s="1413"/>
      <c r="I71" s="1414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67"/>
      <c r="S71" s="546" t="s">
        <v>17</v>
      </c>
      <c r="T71" s="547" t="s">
        <v>103</v>
      </c>
      <c r="U71" s="628" t="s">
        <v>79</v>
      </c>
    </row>
    <row r="72" spans="2:22">
      <c r="B72" s="555"/>
      <c r="C72" s="5"/>
      <c r="D72" s="5"/>
      <c r="E72" s="5"/>
      <c r="F72" s="7"/>
      <c r="G72" s="5"/>
      <c r="H72" s="5"/>
      <c r="I72" s="45" t="s">
        <v>61</v>
      </c>
      <c r="J72" s="277" t="s">
        <v>61</v>
      </c>
      <c r="K72" s="1419" t="s">
        <v>57</v>
      </c>
      <c r="L72" s="1420"/>
      <c r="M72" s="57" t="s">
        <v>61</v>
      </c>
      <c r="N72" s="1429" t="s">
        <v>57</v>
      </c>
      <c r="O72" s="1433"/>
      <c r="P72" s="318" t="s">
        <v>61</v>
      </c>
      <c r="Q72" s="1419" t="s">
        <v>57</v>
      </c>
      <c r="R72" s="1420"/>
      <c r="S72" s="170"/>
      <c r="T72" s="133"/>
      <c r="U72" s="37"/>
    </row>
    <row r="73" spans="2:22">
      <c r="B73" s="557"/>
      <c r="C73" s="23" t="s">
        <v>45</v>
      </c>
      <c r="D73" s="24" t="s">
        <v>46</v>
      </c>
      <c r="E73" s="23" t="s">
        <v>47</v>
      </c>
      <c r="F73" s="23" t="s">
        <v>48</v>
      </c>
      <c r="G73" s="23" t="s">
        <v>49</v>
      </c>
      <c r="H73" s="23" t="s">
        <v>50</v>
      </c>
      <c r="I73" s="45" t="s">
        <v>13</v>
      </c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120"/>
      <c r="T73" s="133"/>
      <c r="U73" s="37"/>
    </row>
    <row r="74" spans="2:22">
      <c r="B74" s="557" t="s">
        <v>111</v>
      </c>
      <c r="C74" s="21">
        <v>6</v>
      </c>
      <c r="D74" s="21">
        <v>4</v>
      </c>
      <c r="E74" s="21">
        <v>2</v>
      </c>
      <c r="F74" s="21">
        <v>0</v>
      </c>
      <c r="G74" s="21">
        <v>0</v>
      </c>
      <c r="H74" s="21">
        <v>0</v>
      </c>
      <c r="I74" s="52">
        <f>SUM(C74:H74)</f>
        <v>12</v>
      </c>
      <c r="J74" s="263" t="s">
        <v>12</v>
      </c>
      <c r="K74" s="281">
        <f>I74*$L$4</f>
        <v>2832</v>
      </c>
      <c r="L74" s="289">
        <f>K74</f>
        <v>2832</v>
      </c>
      <c r="M74" s="58" t="s">
        <v>12</v>
      </c>
      <c r="N74" s="69">
        <f>$I$74*$O$4</f>
        <v>2832</v>
      </c>
      <c r="O74" s="68">
        <f>N74</f>
        <v>2832</v>
      </c>
      <c r="P74" s="263" t="s">
        <v>12</v>
      </c>
      <c r="Q74" s="281">
        <f>$I$74*$O$4</f>
        <v>2832</v>
      </c>
      <c r="R74" s="289">
        <f>Q74</f>
        <v>2832</v>
      </c>
      <c r="S74" s="121">
        <f>AVERAGE(L74,O74,R74)</f>
        <v>2832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170</v>
      </c>
      <c r="D75" s="35">
        <f>ROUND(D74*Labor!$D$4,0)</f>
        <v>163</v>
      </c>
      <c r="E75" s="35">
        <f>ROUND(E74*Labor!$D$5,0)</f>
        <v>88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421</v>
      </c>
      <c r="J75" s="268">
        <f>HLOOKUP(Labor!$B$11,InflationTable,2)*I75</f>
        <v>504.358</v>
      </c>
      <c r="K75" s="269">
        <f>J75*$L$4</f>
        <v>119028.488</v>
      </c>
      <c r="L75" s="308">
        <f>K75</f>
        <v>119028.488</v>
      </c>
      <c r="M75" s="362">
        <f>HLOOKUP(Labor!$B$11,InflationTable,3)*$I$75</f>
        <v>514.88300000000004</v>
      </c>
      <c r="N75" s="63">
        <f>M75*$O$4</f>
        <v>121512.38800000001</v>
      </c>
      <c r="O75" s="95">
        <f>N75</f>
        <v>121512.38800000001</v>
      </c>
      <c r="P75" s="268">
        <f>HLOOKUP(Labor!$B$11,InflationTable,4)*$I75</f>
        <v>524.98700000000008</v>
      </c>
      <c r="Q75" s="269">
        <f>P75*$R$4</f>
        <v>123896.93200000002</v>
      </c>
      <c r="R75" s="308">
        <f>Q75</f>
        <v>123896.93200000002</v>
      </c>
      <c r="S75" s="128">
        <f>AVERAGE(L75,O75,R75)</f>
        <v>121479.26933333334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1</v>
      </c>
      <c r="E77" s="21">
        <v>1</v>
      </c>
      <c r="F77" s="21">
        <v>1</v>
      </c>
      <c r="G77" s="21">
        <v>1</v>
      </c>
      <c r="H77" s="21">
        <v>0</v>
      </c>
      <c r="I77" s="52">
        <f>SUM(C77:H77)</f>
        <v>4</v>
      </c>
      <c r="J77" s="263" t="s">
        <v>12</v>
      </c>
      <c r="K77" s="281">
        <f>I77*$L$4</f>
        <v>944</v>
      </c>
      <c r="L77" s="289">
        <f>K77</f>
        <v>944</v>
      </c>
      <c r="M77" s="58" t="s">
        <v>12</v>
      </c>
      <c r="N77" s="69">
        <f>$I77*$O$4</f>
        <v>944</v>
      </c>
      <c r="O77" s="68">
        <f>N77</f>
        <v>944</v>
      </c>
      <c r="P77" s="263" t="s">
        <v>12</v>
      </c>
      <c r="Q77" s="281">
        <f>$I77*$O$4</f>
        <v>944</v>
      </c>
      <c r="R77" s="289">
        <f>Q77</f>
        <v>944</v>
      </c>
      <c r="S77" s="121">
        <f>AVERAGE(L77,O77,R77)</f>
        <v>944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41</v>
      </c>
      <c r="E78" s="35">
        <f>ROUND(E77*Labor!$D$5,0)</f>
        <v>44</v>
      </c>
      <c r="F78" s="35">
        <f>ROUND(F77*Labor!$D$6,0)</f>
        <v>49</v>
      </c>
      <c r="G78" s="35">
        <f>ROUND(G77*Labor!$D$7,0)</f>
        <v>55</v>
      </c>
      <c r="H78" s="35">
        <f>ROUND(H77*Labor!$D$8,0)</f>
        <v>0</v>
      </c>
      <c r="I78" s="39">
        <f>SUM(C78:H78)</f>
        <v>189</v>
      </c>
      <c r="J78" s="268">
        <f>HLOOKUP(Labor!$B$11,InflationTable,2)*I78</f>
        <v>226.422</v>
      </c>
      <c r="K78" s="269">
        <f>J78*$L$4</f>
        <v>53435.591999999997</v>
      </c>
      <c r="L78" s="308">
        <f>K78</f>
        <v>53435.591999999997</v>
      </c>
      <c r="M78" s="362">
        <f>HLOOKUP(Labor!$B$11,InflationTable,3)*$I78</f>
        <v>231.14700000000002</v>
      </c>
      <c r="N78" s="63">
        <f>M78*$O$4</f>
        <v>54550.692000000003</v>
      </c>
      <c r="O78" s="95">
        <f>N78</f>
        <v>54550.692000000003</v>
      </c>
      <c r="P78" s="268">
        <f>HLOOKUP(Labor!$B$11,InflationTable,4)*$I78</f>
        <v>235.68300000000002</v>
      </c>
      <c r="Q78" s="269">
        <f>P78*$R$4</f>
        <v>55621.188000000002</v>
      </c>
      <c r="R78" s="308">
        <f>Q78</f>
        <v>55621.188000000002</v>
      </c>
      <c r="S78" s="128">
        <f>AVERAGE(L78,O78,R78)</f>
        <v>54535.824000000001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4</v>
      </c>
      <c r="E79" s="346">
        <v>0</v>
      </c>
      <c r="F79" s="346">
        <v>0</v>
      </c>
      <c r="G79" s="346">
        <v>0</v>
      </c>
      <c r="H79" s="346">
        <v>0</v>
      </c>
      <c r="I79" s="347">
        <f>SUM(C79:H79)</f>
        <v>4</v>
      </c>
      <c r="J79" s="293" t="s">
        <v>12</v>
      </c>
      <c r="K79" s="327">
        <f>I79*$L$4</f>
        <v>944</v>
      </c>
      <c r="L79" s="328">
        <f>K79</f>
        <v>944</v>
      </c>
      <c r="M79" s="61" t="s">
        <v>12</v>
      </c>
      <c r="N79" s="348">
        <f>$I79*$O$4</f>
        <v>944</v>
      </c>
      <c r="O79" s="349">
        <f>N79</f>
        <v>944</v>
      </c>
      <c r="P79" s="293" t="s">
        <v>12</v>
      </c>
      <c r="Q79" s="327">
        <f>$I79*$O$4</f>
        <v>944</v>
      </c>
      <c r="R79" s="328">
        <f>Q79</f>
        <v>944</v>
      </c>
      <c r="S79" s="129">
        <f>AVERAGE(L79,O79,R79)</f>
        <v>944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163</v>
      </c>
      <c r="E80" s="35">
        <f>ROUND(E79*Labor!$D$5,0)</f>
        <v>0</v>
      </c>
      <c r="F80" s="35">
        <f>ROUND(F79*Labor!$D$6,0)</f>
        <v>0</v>
      </c>
      <c r="G80" s="35">
        <f>ROUND(G79*Labor!$D$7,0)</f>
        <v>0</v>
      </c>
      <c r="H80" s="35">
        <f>ROUND(H79*Labor!$D$8,0)</f>
        <v>0</v>
      </c>
      <c r="I80" s="39">
        <f>SUM(C80:H80)</f>
        <v>163</v>
      </c>
      <c r="J80" s="268">
        <f>HLOOKUP(Labor!$B$11,InflationTable,2)*I80</f>
        <v>195.274</v>
      </c>
      <c r="K80" s="269">
        <f>J80*$L$4</f>
        <v>46084.663999999997</v>
      </c>
      <c r="L80" s="308">
        <f>K80</f>
        <v>46084.663999999997</v>
      </c>
      <c r="M80" s="362">
        <f>HLOOKUP(Labor!$B$11,InflationTable,3)*$I80</f>
        <v>199.34900000000002</v>
      </c>
      <c r="N80" s="63">
        <f>M80*$O$4</f>
        <v>47046.364000000001</v>
      </c>
      <c r="O80" s="95">
        <f>N80</f>
        <v>47046.364000000001</v>
      </c>
      <c r="P80" s="268">
        <f>HLOOKUP(Labor!$B$11,InflationTable,4)*$I80</f>
        <v>203.26100000000002</v>
      </c>
      <c r="Q80" s="269">
        <f>P80*$R$4</f>
        <v>47969.596000000005</v>
      </c>
      <c r="R80" s="308">
        <f>Q80</f>
        <v>47969.596000000005</v>
      </c>
      <c r="S80" s="172">
        <f>AVERAGE(L80,O80,R80)</f>
        <v>47033.541333333334</v>
      </c>
      <c r="T80" s="118" t="s">
        <v>12</v>
      </c>
      <c r="U80" s="119" t="s">
        <v>12</v>
      </c>
    </row>
    <row r="81" spans="2:21">
      <c r="B81" s="565" t="s">
        <v>29</v>
      </c>
      <c r="C81" s="107" t="s">
        <v>45</v>
      </c>
      <c r="D81" s="108" t="s">
        <v>46</v>
      </c>
      <c r="E81" s="107" t="s">
        <v>47</v>
      </c>
      <c r="F81" s="107" t="s">
        <v>48</v>
      </c>
      <c r="G81" s="107" t="s">
        <v>49</v>
      </c>
      <c r="H81" s="107" t="s">
        <v>50</v>
      </c>
      <c r="I81" s="109" t="s">
        <v>112</v>
      </c>
      <c r="J81" s="351"/>
      <c r="K81" s="352"/>
      <c r="L81" s="356"/>
      <c r="M81" s="110" t="s">
        <v>113</v>
      </c>
      <c r="N81" s="108" t="s">
        <v>13</v>
      </c>
      <c r="O81" s="111" t="s">
        <v>68</v>
      </c>
      <c r="P81" s="351" t="s">
        <v>113</v>
      </c>
      <c r="Q81" s="352" t="s">
        <v>13</v>
      </c>
      <c r="R81" s="356" t="s">
        <v>68</v>
      </c>
      <c r="S81" s="123"/>
      <c r="T81" s="133"/>
      <c r="U81" s="37"/>
    </row>
    <row r="82" spans="2:21">
      <c r="B82" s="569" t="s">
        <v>51</v>
      </c>
      <c r="C82" s="21">
        <v>0</v>
      </c>
      <c r="D82" s="21">
        <v>0</v>
      </c>
      <c r="E82" s="21">
        <v>0.2</v>
      </c>
      <c r="F82" s="21">
        <v>0.3</v>
      </c>
      <c r="G82" s="21">
        <v>0</v>
      </c>
      <c r="H82" s="21">
        <v>0</v>
      </c>
      <c r="I82" s="52">
        <f>SUM(C82:H82)</f>
        <v>0.5</v>
      </c>
      <c r="J82" s="263" t="s">
        <v>12</v>
      </c>
      <c r="K82" s="314">
        <f>I82*$J$5</f>
        <v>37.5</v>
      </c>
      <c r="L82" s="289">
        <f>K82</f>
        <v>37.5</v>
      </c>
      <c r="M82" s="58" t="s">
        <v>12</v>
      </c>
      <c r="N82" s="89">
        <f>$I82*M$5</f>
        <v>37.5</v>
      </c>
      <c r="O82" s="68">
        <f>N82</f>
        <v>37.5</v>
      </c>
      <c r="P82" s="263" t="s">
        <v>12</v>
      </c>
      <c r="Q82" s="314">
        <f>$I82*P$5</f>
        <v>37.5</v>
      </c>
      <c r="R82" s="289">
        <f>Q82</f>
        <v>37.5</v>
      </c>
      <c r="S82" s="121">
        <f>AVERAGE(L82,O82,R82)</f>
        <v>37.5</v>
      </c>
      <c r="T82" s="135" t="s">
        <v>12</v>
      </c>
      <c r="U82" s="136" t="s">
        <v>12</v>
      </c>
    </row>
    <row r="83" spans="2:21" ht="13.5" thickBot="1">
      <c r="B83" s="567" t="s">
        <v>107</v>
      </c>
      <c r="C83" s="34">
        <f>ROUND(C82*Labor!$D$3,0)</f>
        <v>0</v>
      </c>
      <c r="D83" s="35">
        <f>ROUND(D82*Labor!$D$4,0)</f>
        <v>0</v>
      </c>
      <c r="E83" s="35">
        <f>ROUND(E82*Labor!$D$5,0)</f>
        <v>9</v>
      </c>
      <c r="F83" s="35">
        <f>ROUND(F82*Labor!$D$6,0)</f>
        <v>15</v>
      </c>
      <c r="G83" s="35">
        <f>ROUND(G82*Labor!$D$7,0)</f>
        <v>0</v>
      </c>
      <c r="H83" s="35">
        <f>ROUND(H82*Labor!$D$8,0)</f>
        <v>0</v>
      </c>
      <c r="I83" s="39">
        <f>SUM(C83:H83)</f>
        <v>24</v>
      </c>
      <c r="J83" s="268">
        <f>HLOOKUP(Labor!$B$11,InflationTable,2)*I83</f>
        <v>28.751999999999999</v>
      </c>
      <c r="K83" s="269">
        <f>J83*$J$5</f>
        <v>2156.4</v>
      </c>
      <c r="L83" s="308">
        <f>K83</f>
        <v>2156.4</v>
      </c>
      <c r="M83" s="362">
        <f>HLOOKUP(Labor!$B$11,InflationTable,3)*$I83</f>
        <v>29.352000000000004</v>
      </c>
      <c r="N83" s="63">
        <f>M83*$M$5</f>
        <v>2201.4</v>
      </c>
      <c r="O83" s="95">
        <f>N83</f>
        <v>2201.4</v>
      </c>
      <c r="P83" s="268">
        <f>HLOOKUP(Labor!$B$11,InflationTable,4)*$I83</f>
        <v>29.928000000000004</v>
      </c>
      <c r="Q83" s="269">
        <f>P83*$P$5</f>
        <v>2244.6000000000004</v>
      </c>
      <c r="R83" s="308">
        <f>Q83</f>
        <v>2244.6000000000004</v>
      </c>
      <c r="S83" s="132">
        <f>AVERAGE(L83,O83,R83)</f>
        <v>2200.8000000000002</v>
      </c>
      <c r="T83" s="137" t="s">
        <v>12</v>
      </c>
      <c r="U83" s="149" t="s">
        <v>12</v>
      </c>
    </row>
    <row r="84" spans="2:21">
      <c r="B84" s="565" t="s">
        <v>106</v>
      </c>
      <c r="C84" s="32"/>
      <c r="D84" s="431" t="s">
        <v>54</v>
      </c>
      <c r="E84" s="28">
        <v>5</v>
      </c>
      <c r="F84" s="7"/>
      <c r="G84" s="5"/>
      <c r="H84" s="5"/>
      <c r="I84" s="109" t="s">
        <v>55</v>
      </c>
      <c r="J84" s="259"/>
      <c r="K84" s="542"/>
      <c r="L84" s="543"/>
      <c r="M84" s="364" t="s">
        <v>55</v>
      </c>
      <c r="N84" s="1431" t="s">
        <v>57</v>
      </c>
      <c r="O84" s="1432"/>
      <c r="P84" s="259" t="s">
        <v>55</v>
      </c>
      <c r="Q84" s="1428" t="s">
        <v>57</v>
      </c>
      <c r="R84" s="1436"/>
      <c r="S84" s="170"/>
      <c r="T84" s="133"/>
      <c r="U84" s="37"/>
    </row>
    <row r="85" spans="2:21">
      <c r="B85" s="569" t="s">
        <v>51</v>
      </c>
      <c r="C85" s="21">
        <v>0</v>
      </c>
      <c r="D85" s="21">
        <v>12</v>
      </c>
      <c r="E85" s="21">
        <v>0</v>
      </c>
      <c r="F85" s="21">
        <v>0</v>
      </c>
      <c r="G85" s="21">
        <v>0</v>
      </c>
      <c r="H85" s="21">
        <v>0</v>
      </c>
      <c r="I85" s="52">
        <f>SUM(C85:H85)</f>
        <v>12</v>
      </c>
      <c r="J85" s="263" t="s">
        <v>12</v>
      </c>
      <c r="K85" s="283">
        <f>I85*$J$5</f>
        <v>900</v>
      </c>
      <c r="L85" s="282">
        <f>K85/$E$84</f>
        <v>180</v>
      </c>
      <c r="M85" s="58" t="s">
        <v>12</v>
      </c>
      <c r="N85" s="60">
        <f>$I$85*$M$5</f>
        <v>900</v>
      </c>
      <c r="O85" s="59">
        <f>N85/$E$84</f>
        <v>180</v>
      </c>
      <c r="P85" s="263" t="s">
        <v>12</v>
      </c>
      <c r="Q85" s="283">
        <f>$I$85*$P$5</f>
        <v>900</v>
      </c>
      <c r="R85" s="282">
        <f>Q85/$E$84</f>
        <v>180</v>
      </c>
      <c r="S85" s="121">
        <f>AVERAGE(L85,O85,R85)</f>
        <v>180</v>
      </c>
      <c r="T85" s="135" t="s">
        <v>12</v>
      </c>
      <c r="U85" s="136" t="s">
        <v>12</v>
      </c>
    </row>
    <row r="86" spans="2:21" ht="13.5" thickBot="1">
      <c r="B86" s="567" t="s">
        <v>105</v>
      </c>
      <c r="C86" s="34">
        <f>ROUND(C85*Labor!$D$3,0)</f>
        <v>0</v>
      </c>
      <c r="D86" s="35">
        <f>ROUND(D85*Labor!$D$4,0)</f>
        <v>490</v>
      </c>
      <c r="E86" s="35">
        <f>ROUND(E85*Labor!$D$5,0)</f>
        <v>0</v>
      </c>
      <c r="F86" s="35">
        <f>ROUND(F85*Labor!$D$6,0)</f>
        <v>0</v>
      </c>
      <c r="G86" s="35">
        <f>ROUND(G85*Labor!$D$7,0)</f>
        <v>0</v>
      </c>
      <c r="H86" s="35">
        <f>ROUND(H85*Labor!$D$8,0)</f>
        <v>0</v>
      </c>
      <c r="I86" s="39">
        <f>SUM(C86:H86)</f>
        <v>490</v>
      </c>
      <c r="J86" s="268">
        <f>HLOOKUP(Labor!$B$11,InflationTable,2)*I86</f>
        <v>587.02</v>
      </c>
      <c r="K86" s="269">
        <f>J86*$J$5</f>
        <v>44026.5</v>
      </c>
      <c r="L86" s="270">
        <f>K86/$E$84</f>
        <v>8805.2999999999993</v>
      </c>
      <c r="M86" s="362">
        <f>HLOOKUP(Labor!$B$11,InflationTable,3)*$I86</f>
        <v>599.2700000000001</v>
      </c>
      <c r="N86" s="63">
        <f>M86*$M$5</f>
        <v>44945.250000000007</v>
      </c>
      <c r="O86" s="64">
        <f>N86/$E$84</f>
        <v>8989.0500000000011</v>
      </c>
      <c r="P86" s="292">
        <f>HLOOKUP(Labor!$B$11,InflationTable,4)*$I86</f>
        <v>611.03000000000009</v>
      </c>
      <c r="Q86" s="269">
        <f>P86*$P$5</f>
        <v>45827.250000000007</v>
      </c>
      <c r="R86" s="270">
        <f>Q86/$E$84</f>
        <v>9165.4500000000007</v>
      </c>
      <c r="S86" s="128">
        <f>AVERAGE(L86,O86,R86)</f>
        <v>8986.6</v>
      </c>
      <c r="T86" s="137" t="s">
        <v>12</v>
      </c>
      <c r="U86" s="149" t="s">
        <v>12</v>
      </c>
    </row>
    <row r="87" spans="2:21">
      <c r="B87" s="560" t="s">
        <v>66</v>
      </c>
      <c r="C87" s="42">
        <f>C74+C77+C79+C82+C85</f>
        <v>6</v>
      </c>
      <c r="D87" s="42">
        <f t="shared" ref="D87:L87" si="14">D74+D77+D79+D82+D85</f>
        <v>21</v>
      </c>
      <c r="E87" s="42">
        <f t="shared" si="14"/>
        <v>3.2</v>
      </c>
      <c r="F87" s="42">
        <f t="shared" si="14"/>
        <v>1.3</v>
      </c>
      <c r="G87" s="42">
        <f t="shared" si="14"/>
        <v>1</v>
      </c>
      <c r="H87" s="42">
        <f t="shared" si="14"/>
        <v>0</v>
      </c>
      <c r="I87" s="42">
        <f t="shared" si="14"/>
        <v>32.5</v>
      </c>
      <c r="J87" s="293" t="s">
        <v>12</v>
      </c>
      <c r="K87" s="285">
        <f t="shared" si="14"/>
        <v>5657.5</v>
      </c>
      <c r="L87" s="285">
        <f t="shared" si="14"/>
        <v>4937.5</v>
      </c>
      <c r="M87" s="61" t="s">
        <v>12</v>
      </c>
      <c r="N87" s="33">
        <f>N74+N77+N79+N82+N85</f>
        <v>5657.5</v>
      </c>
      <c r="O87" s="33">
        <f>O74+O77+O79+O82+O85</f>
        <v>4937.5</v>
      </c>
      <c r="P87" s="293" t="s">
        <v>12</v>
      </c>
      <c r="Q87" s="285">
        <f>Q74+Q77+Q79+Q82+Q85</f>
        <v>5657.5</v>
      </c>
      <c r="R87" s="285">
        <f>R74+R77+R79+R82+R85</f>
        <v>4937.5</v>
      </c>
      <c r="S87" s="150">
        <f>AVERAGE(L87,O87,R87)</f>
        <v>4937.5</v>
      </c>
      <c r="T87" s="133"/>
      <c r="U87" s="37"/>
    </row>
    <row r="88" spans="2:21" ht="13.5" thickBot="1">
      <c r="B88" s="561" t="s">
        <v>67</v>
      </c>
      <c r="C88" s="711">
        <f>C75+C78+C80+C83+C86</f>
        <v>170</v>
      </c>
      <c r="D88" s="711">
        <f t="shared" ref="D88:L88" si="15">D75+D78+D80+D83+D86</f>
        <v>857</v>
      </c>
      <c r="E88" s="711">
        <f t="shared" si="15"/>
        <v>141</v>
      </c>
      <c r="F88" s="711">
        <f t="shared" si="15"/>
        <v>64</v>
      </c>
      <c r="G88" s="711">
        <f t="shared" si="15"/>
        <v>55</v>
      </c>
      <c r="H88" s="711">
        <f t="shared" si="15"/>
        <v>0</v>
      </c>
      <c r="I88" s="711">
        <f t="shared" si="15"/>
        <v>1287</v>
      </c>
      <c r="J88" s="942">
        <f t="shared" si="15"/>
        <v>1541.826</v>
      </c>
      <c r="K88" s="942">
        <f t="shared" si="15"/>
        <v>264731.64399999997</v>
      </c>
      <c r="L88" s="942">
        <f t="shared" si="15"/>
        <v>229510.44399999996</v>
      </c>
      <c r="M88" s="711">
        <f>M75+M78+M80+M83+M86</f>
        <v>1574.0010000000002</v>
      </c>
      <c r="N88" s="711">
        <f>N75+N78+N80+N83+N86</f>
        <v>270256.09400000004</v>
      </c>
      <c r="O88" s="711">
        <f>O75+O78+O80+O83+O86</f>
        <v>234299.894</v>
      </c>
      <c r="P88" s="942">
        <f>P75+P78+P80+P83+P86</f>
        <v>1604.8890000000001</v>
      </c>
      <c r="Q88" s="942">
        <f>Q75+Q78+Q80+Q83+Q86</f>
        <v>275559.56600000005</v>
      </c>
      <c r="R88" s="942">
        <f>R75+R78+R80+R83+R86</f>
        <v>238897.76600000003</v>
      </c>
      <c r="S88" s="248">
        <f>AVERAGE(L88,O88,R88)</f>
        <v>234236.03466666667</v>
      </c>
      <c r="T88" s="246"/>
      <c r="U88" s="236"/>
    </row>
    <row r="89" spans="2:21" ht="14.25" thickTop="1" thickBot="1">
      <c r="B89" s="619"/>
      <c r="C89" s="618"/>
      <c r="D89" s="618"/>
      <c r="E89" s="618"/>
      <c r="F89" s="618"/>
      <c r="G89" s="618"/>
      <c r="H89" s="618"/>
      <c r="I89" s="618"/>
      <c r="J89" s="618"/>
      <c r="K89" s="618"/>
      <c r="L89" s="618"/>
      <c r="M89" s="618"/>
      <c r="N89" s="618"/>
      <c r="O89" s="618"/>
      <c r="P89" s="618"/>
      <c r="Q89" s="618"/>
      <c r="R89" s="618"/>
      <c r="S89" s="618"/>
      <c r="T89" s="618"/>
      <c r="U89" s="620"/>
    </row>
    <row r="90" spans="2:21" ht="16.5" thickTop="1">
      <c r="B90" s="562" t="s">
        <v>30</v>
      </c>
      <c r="C90" s="5"/>
      <c r="D90" s="5"/>
      <c r="E90" s="5"/>
      <c r="F90" s="112" t="s">
        <v>6</v>
      </c>
      <c r="G90" s="1412"/>
      <c r="H90" s="1413"/>
      <c r="I90" s="1414"/>
      <c r="J90" s="181" t="s">
        <v>30</v>
      </c>
      <c r="K90" s="426"/>
      <c r="L90" s="67"/>
      <c r="M90" s="181" t="s">
        <v>30</v>
      </c>
      <c r="N90" s="426"/>
      <c r="O90" s="67"/>
      <c r="P90" s="181" t="s">
        <v>30</v>
      </c>
      <c r="Q90" s="319"/>
      <c r="R90" s="180"/>
      <c r="S90" s="225"/>
      <c r="T90" s="133"/>
      <c r="U90" s="37"/>
    </row>
    <row r="91" spans="2:21">
      <c r="B91" s="555"/>
      <c r="C91" s="5"/>
      <c r="D91" s="5"/>
      <c r="E91" s="5"/>
      <c r="F91" s="7"/>
      <c r="G91" s="5"/>
      <c r="H91" s="5"/>
      <c r="I91" s="45" t="s">
        <v>61</v>
      </c>
      <c r="J91" s="277" t="s">
        <v>61</v>
      </c>
      <c r="K91" s="1419" t="s">
        <v>57</v>
      </c>
      <c r="L91" s="1420"/>
      <c r="M91" s="57" t="s">
        <v>61</v>
      </c>
      <c r="N91" s="1429" t="s">
        <v>57</v>
      </c>
      <c r="O91" s="1433"/>
      <c r="P91" s="318" t="s">
        <v>61</v>
      </c>
      <c r="Q91" s="1428" t="s">
        <v>57</v>
      </c>
      <c r="R91" s="1436"/>
      <c r="S91" s="131"/>
      <c r="T91" s="133"/>
      <c r="U91" s="37"/>
    </row>
    <row r="92" spans="2:21">
      <c r="B92" s="563" t="s">
        <v>21</v>
      </c>
      <c r="C92" s="23" t="s">
        <v>45</v>
      </c>
      <c r="D92" s="24" t="s">
        <v>46</v>
      </c>
      <c r="E92" s="23" t="s">
        <v>47</v>
      </c>
      <c r="F92" s="23" t="s">
        <v>48</v>
      </c>
      <c r="G92" s="23" t="s">
        <v>49</v>
      </c>
      <c r="H92" s="23" t="s">
        <v>50</v>
      </c>
      <c r="I92" s="45" t="s">
        <v>13</v>
      </c>
      <c r="J92" s="260" t="s">
        <v>56</v>
      </c>
      <c r="K92" s="261" t="s">
        <v>13</v>
      </c>
      <c r="L92" s="262" t="s">
        <v>68</v>
      </c>
      <c r="M92" s="77" t="s">
        <v>56</v>
      </c>
      <c r="N92" s="24" t="s">
        <v>13</v>
      </c>
      <c r="O92" s="38" t="s">
        <v>68</v>
      </c>
      <c r="P92" s="260" t="s">
        <v>56</v>
      </c>
      <c r="Q92" s="261" t="s">
        <v>13</v>
      </c>
      <c r="R92" s="262" t="s">
        <v>68</v>
      </c>
      <c r="S92" s="123"/>
      <c r="T92" s="133"/>
      <c r="U92" s="37"/>
    </row>
    <row r="93" spans="2:21">
      <c r="B93" s="566" t="s">
        <v>4</v>
      </c>
      <c r="C93" s="21">
        <v>0</v>
      </c>
      <c r="D93" s="21">
        <v>0</v>
      </c>
      <c r="E93" s="21">
        <v>0</v>
      </c>
      <c r="F93" s="21">
        <v>2</v>
      </c>
      <c r="G93" s="21">
        <v>2</v>
      </c>
      <c r="H93" s="21">
        <v>0</v>
      </c>
      <c r="I93" s="52">
        <f>SUM(C93:H93)</f>
        <v>4</v>
      </c>
      <c r="J93" s="263" t="s">
        <v>12</v>
      </c>
      <c r="K93" s="281">
        <f>I93*$L$4</f>
        <v>944</v>
      </c>
      <c r="L93" s="289">
        <f>K93</f>
        <v>944</v>
      </c>
      <c r="M93" s="58" t="s">
        <v>12</v>
      </c>
      <c r="N93" s="69">
        <f>$I93*O$4</f>
        <v>944</v>
      </c>
      <c r="O93" s="59">
        <f>N93</f>
        <v>944</v>
      </c>
      <c r="P93" s="263" t="s">
        <v>12</v>
      </c>
      <c r="Q93" s="281">
        <f>$I93*R$4</f>
        <v>944</v>
      </c>
      <c r="R93" s="289">
        <f>Q93</f>
        <v>944</v>
      </c>
      <c r="S93" s="173">
        <f t="shared" ref="S93:S98" si="16">AVERAGE(L93,O93,R93)</f>
        <v>944</v>
      </c>
      <c r="T93" s="135" t="s">
        <v>12</v>
      </c>
      <c r="U93" s="136" t="s">
        <v>12</v>
      </c>
    </row>
    <row r="94" spans="2:21" ht="13.5" thickBot="1">
      <c r="B94" s="567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0</v>
      </c>
      <c r="F94" s="35">
        <f>ROUND(F93*Labor!$D$6,0)</f>
        <v>99</v>
      </c>
      <c r="G94" s="35">
        <f>ROUND(G93*Labor!$D$7,0)</f>
        <v>111</v>
      </c>
      <c r="H94" s="35">
        <f>ROUND(H93*Labor!$D$8,0)</f>
        <v>0</v>
      </c>
      <c r="I94" s="39">
        <f>SUM(C94:H94)</f>
        <v>210</v>
      </c>
      <c r="J94" s="268">
        <f>HLOOKUP(Labor!$B$11,InflationTable,2)*I94</f>
        <v>251.57999999999998</v>
      </c>
      <c r="K94" s="269">
        <f>J94*$L$4</f>
        <v>59372.88</v>
      </c>
      <c r="L94" s="308">
        <f>K94</f>
        <v>59372.88</v>
      </c>
      <c r="M94" s="84">
        <f>HLOOKUP(Labor!$B$11,InflationTable,3)*$I94</f>
        <v>256.83000000000004</v>
      </c>
      <c r="N94" s="63">
        <f>M94*O$4</f>
        <v>60611.880000000012</v>
      </c>
      <c r="O94" s="64">
        <f>N94</f>
        <v>60611.880000000012</v>
      </c>
      <c r="P94" s="268">
        <f>HLOOKUP(Labor!$B$11,InflationTable,4)*$I94</f>
        <v>261.87</v>
      </c>
      <c r="Q94" s="269">
        <f>P94*R$4</f>
        <v>61801.32</v>
      </c>
      <c r="R94" s="308">
        <f>Q94</f>
        <v>61801.32</v>
      </c>
      <c r="S94" s="171">
        <f t="shared" si="16"/>
        <v>60595.360000000008</v>
      </c>
      <c r="T94" s="137" t="s">
        <v>12</v>
      </c>
      <c r="U94" s="149" t="s">
        <v>12</v>
      </c>
    </row>
    <row r="95" spans="2:21">
      <c r="B95" s="559" t="s">
        <v>104</v>
      </c>
      <c r="C95" s="346">
        <v>0</v>
      </c>
      <c r="D95" s="346">
        <v>0</v>
      </c>
      <c r="E95" s="346">
        <v>0</v>
      </c>
      <c r="F95" s="346">
        <v>3</v>
      </c>
      <c r="G95" s="346">
        <v>3</v>
      </c>
      <c r="H95" s="346">
        <v>0</v>
      </c>
      <c r="I95" s="347">
        <f>SUM(C95:H95)</f>
        <v>6</v>
      </c>
      <c r="J95" s="293" t="s">
        <v>12</v>
      </c>
      <c r="K95" s="327">
        <f>I95*$L$4</f>
        <v>1416</v>
      </c>
      <c r="L95" s="328">
        <f>K95</f>
        <v>1416</v>
      </c>
      <c r="M95" s="61" t="s">
        <v>12</v>
      </c>
      <c r="N95" s="348">
        <f>$I95*O$4</f>
        <v>1416</v>
      </c>
      <c r="O95" s="349">
        <f>N95</f>
        <v>1416</v>
      </c>
      <c r="P95" s="293" t="s">
        <v>12</v>
      </c>
      <c r="Q95" s="327">
        <f>$I95*R$4</f>
        <v>1416</v>
      </c>
      <c r="R95" s="328">
        <f>Q95</f>
        <v>1416</v>
      </c>
      <c r="S95" s="173">
        <f t="shared" si="16"/>
        <v>1416</v>
      </c>
      <c r="T95" s="135" t="s">
        <v>12</v>
      </c>
      <c r="U95" s="136" t="s">
        <v>12</v>
      </c>
    </row>
    <row r="96" spans="2:21" ht="13.5" thickBot="1">
      <c r="B96" s="568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148</v>
      </c>
      <c r="G96" s="35">
        <f>ROUND(G95*Labor!$D$7,0)</f>
        <v>166</v>
      </c>
      <c r="H96" s="35">
        <f>ROUND(H95*Labor!$D$8,0)</f>
        <v>0</v>
      </c>
      <c r="I96" s="39">
        <f>SUM(C96:H96)</f>
        <v>314</v>
      </c>
      <c r="J96" s="268">
        <f>HLOOKUP(Labor!$B$11,InflationTable,2)*I96</f>
        <v>376.17199999999997</v>
      </c>
      <c r="K96" s="269">
        <f>J96*$L$4</f>
        <v>88776.59199999999</v>
      </c>
      <c r="L96" s="300">
        <f>K96</f>
        <v>88776.59199999999</v>
      </c>
      <c r="M96" s="84">
        <f>HLOOKUP(Labor!$B$11,InflationTable,3)*$I96</f>
        <v>384.02200000000005</v>
      </c>
      <c r="N96" s="63">
        <f>M96*O$4</f>
        <v>90629.19200000001</v>
      </c>
      <c r="O96" s="64">
        <f>N96</f>
        <v>90629.19200000001</v>
      </c>
      <c r="P96" s="292">
        <f>HLOOKUP(Labor!$B$11,InflationTable,4)*$I96</f>
        <v>391.55800000000005</v>
      </c>
      <c r="Q96" s="269">
        <f>P96*R$4</f>
        <v>92407.688000000009</v>
      </c>
      <c r="R96" s="300">
        <f>Q96</f>
        <v>92407.688000000009</v>
      </c>
      <c r="S96" s="128">
        <f t="shared" si="16"/>
        <v>90604.490666666665</v>
      </c>
      <c r="T96" s="137" t="s">
        <v>12</v>
      </c>
      <c r="U96" s="149" t="s">
        <v>12</v>
      </c>
    </row>
    <row r="97" spans="2:22">
      <c r="B97" s="560" t="s">
        <v>66</v>
      </c>
      <c r="C97" s="36">
        <f t="shared" ref="C97:I98" si="17">C93+C95</f>
        <v>0</v>
      </c>
      <c r="D97" s="36">
        <f t="shared" si="17"/>
        <v>0</v>
      </c>
      <c r="E97" s="36">
        <f t="shared" si="17"/>
        <v>0</v>
      </c>
      <c r="F97" s="36">
        <f t="shared" si="17"/>
        <v>5</v>
      </c>
      <c r="G97" s="36">
        <f t="shared" si="17"/>
        <v>5</v>
      </c>
      <c r="H97" s="36">
        <f t="shared" si="17"/>
        <v>0</v>
      </c>
      <c r="I97" s="46">
        <f t="shared" si="17"/>
        <v>10</v>
      </c>
      <c r="J97" s="301" t="s">
        <v>12</v>
      </c>
      <c r="K97" s="320">
        <f>K93+K95</f>
        <v>2360</v>
      </c>
      <c r="L97" s="321">
        <f>L93+L95</f>
        <v>2360</v>
      </c>
      <c r="M97" s="85" t="s">
        <v>12</v>
      </c>
      <c r="N97" s="36">
        <f>N93+N95</f>
        <v>2360</v>
      </c>
      <c r="O97" s="100">
        <f>O93+O95</f>
        <v>2360</v>
      </c>
      <c r="P97" s="301" t="s">
        <v>12</v>
      </c>
      <c r="Q97" s="320">
        <f>Q93+Q95</f>
        <v>2360</v>
      </c>
      <c r="R97" s="322">
        <f>R93+R95</f>
        <v>2360</v>
      </c>
      <c r="S97" s="121">
        <f t="shared" si="16"/>
        <v>2360</v>
      </c>
      <c r="T97" s="135" t="s">
        <v>12</v>
      </c>
      <c r="U97" s="136" t="s">
        <v>12</v>
      </c>
    </row>
    <row r="98" spans="2:22" ht="13.5" thickBot="1">
      <c r="B98" s="561" t="s">
        <v>67</v>
      </c>
      <c r="C98" s="240">
        <f t="shared" si="17"/>
        <v>0</v>
      </c>
      <c r="D98" s="240">
        <f t="shared" si="17"/>
        <v>0</v>
      </c>
      <c r="E98" s="240">
        <f t="shared" si="17"/>
        <v>0</v>
      </c>
      <c r="F98" s="240">
        <f t="shared" si="17"/>
        <v>247</v>
      </c>
      <c r="G98" s="240">
        <f t="shared" si="17"/>
        <v>277</v>
      </c>
      <c r="H98" s="240">
        <f t="shared" si="17"/>
        <v>0</v>
      </c>
      <c r="I98" s="243">
        <f t="shared" si="17"/>
        <v>524</v>
      </c>
      <c r="J98" s="274">
        <f>J94+J96</f>
        <v>627.75199999999995</v>
      </c>
      <c r="K98" s="275">
        <f>K94+K96</f>
        <v>148149.47199999998</v>
      </c>
      <c r="L98" s="276">
        <f>L94+L96</f>
        <v>148149.47199999998</v>
      </c>
      <c r="M98" s="242">
        <f>M94+M96</f>
        <v>640.85200000000009</v>
      </c>
      <c r="N98" s="240">
        <f>N94+N96</f>
        <v>151241.07200000001</v>
      </c>
      <c r="O98" s="243">
        <f>O94+O96</f>
        <v>151241.07200000001</v>
      </c>
      <c r="P98" s="313">
        <f>P94+P96</f>
        <v>653.42800000000011</v>
      </c>
      <c r="Q98" s="275">
        <f>Q94+Q96</f>
        <v>154209.008</v>
      </c>
      <c r="R98" s="276">
        <f>R94+R96</f>
        <v>154209.008</v>
      </c>
      <c r="S98" s="257">
        <f t="shared" si="16"/>
        <v>151199.85066666667</v>
      </c>
      <c r="T98" s="258" t="s">
        <v>12</v>
      </c>
      <c r="U98" s="249" t="s">
        <v>12</v>
      </c>
    </row>
    <row r="99" spans="2:22" ht="14.25" thickTop="1" thickBot="1">
      <c r="B99" s="555"/>
      <c r="C99" s="5"/>
      <c r="D99" s="618"/>
      <c r="E99" s="618"/>
      <c r="F99" s="618"/>
      <c r="G99" s="618"/>
      <c r="H99" s="618"/>
      <c r="I99" s="618"/>
      <c r="J99" s="618"/>
      <c r="K99" s="618"/>
      <c r="L99" s="618"/>
      <c r="M99" s="618"/>
      <c r="N99" s="618"/>
      <c r="O99" s="618"/>
      <c r="P99" s="618"/>
      <c r="Q99" s="618"/>
      <c r="R99" s="618"/>
      <c r="S99" s="618"/>
      <c r="T99" s="618"/>
      <c r="U99" s="620"/>
    </row>
    <row r="100" spans="2:22" ht="19.5" thickTop="1" thickBot="1">
      <c r="B100" s="556" t="s">
        <v>121</v>
      </c>
      <c r="C100" s="234" t="str">
        <f>C2</f>
        <v>Pb</v>
      </c>
      <c r="D100" s="5"/>
      <c r="E100" s="4"/>
      <c r="F100" s="12"/>
      <c r="G100" s="4"/>
      <c r="H100" s="4"/>
      <c r="I100" s="41"/>
      <c r="J100" s="233" t="str">
        <f>J2</f>
        <v>Year 1</v>
      </c>
      <c r="K100" s="233">
        <f>K2</f>
        <v>2013</v>
      </c>
      <c r="L100" s="83"/>
      <c r="M100" s="79" t="str">
        <f>M2</f>
        <v>Year 2</v>
      </c>
      <c r="N100" s="79">
        <f>N2</f>
        <v>2014</v>
      </c>
      <c r="O100" s="41"/>
      <c r="P100" s="233" t="str">
        <f>P2</f>
        <v>Year 3</v>
      </c>
      <c r="Q100" s="233">
        <f>Q2</f>
        <v>2015</v>
      </c>
      <c r="R100" s="83"/>
      <c r="S100" s="152"/>
      <c r="T100" s="130"/>
      <c r="U100" s="570"/>
    </row>
    <row r="101" spans="2:22" ht="13.5" thickBot="1">
      <c r="B101" s="555"/>
      <c r="C101" s="194" t="s">
        <v>45</v>
      </c>
      <c r="D101" s="190" t="s">
        <v>46</v>
      </c>
      <c r="E101" s="187" t="s">
        <v>47</v>
      </c>
      <c r="F101" s="202" t="s">
        <v>48</v>
      </c>
      <c r="G101" s="201" t="s">
        <v>49</v>
      </c>
      <c r="H101" s="187" t="s">
        <v>50</v>
      </c>
      <c r="I101" s="188" t="s">
        <v>13</v>
      </c>
      <c r="J101" s="323" t="s">
        <v>56</v>
      </c>
      <c r="K101" s="324" t="s">
        <v>13</v>
      </c>
      <c r="L101" s="325" t="s">
        <v>68</v>
      </c>
      <c r="M101" s="189" t="s">
        <v>56</v>
      </c>
      <c r="N101" s="190" t="s">
        <v>13</v>
      </c>
      <c r="O101" s="191" t="s">
        <v>68</v>
      </c>
      <c r="P101" s="323" t="s">
        <v>56</v>
      </c>
      <c r="Q101" s="324" t="s">
        <v>13</v>
      </c>
      <c r="R101" s="325" t="s">
        <v>68</v>
      </c>
      <c r="S101" s="192"/>
      <c r="T101" s="193"/>
      <c r="U101" s="571"/>
      <c r="V101" s="5"/>
    </row>
    <row r="102" spans="2:22">
      <c r="B102" s="572" t="s">
        <v>97</v>
      </c>
      <c r="C102" s="196">
        <f t="shared" ref="C102:S102" si="18">C15</f>
        <v>0</v>
      </c>
      <c r="D102" s="184">
        <f t="shared" si="18"/>
        <v>6</v>
      </c>
      <c r="E102" s="184">
        <f t="shared" si="18"/>
        <v>2</v>
      </c>
      <c r="F102" s="184">
        <f t="shared" si="18"/>
        <v>7</v>
      </c>
      <c r="G102" s="184">
        <f t="shared" si="18"/>
        <v>5</v>
      </c>
      <c r="H102" s="184">
        <f t="shared" si="18"/>
        <v>5</v>
      </c>
      <c r="I102" s="185">
        <f t="shared" si="18"/>
        <v>25</v>
      </c>
      <c r="J102" s="326" t="str">
        <f t="shared" si="18"/>
        <v>NA</v>
      </c>
      <c r="K102" s="327">
        <f t="shared" si="18"/>
        <v>1875</v>
      </c>
      <c r="L102" s="328">
        <f t="shared" si="18"/>
        <v>267.85714285714289</v>
      </c>
      <c r="M102" s="186" t="str">
        <f t="shared" si="18"/>
        <v>NA</v>
      </c>
      <c r="N102" s="184">
        <f t="shared" si="18"/>
        <v>1875</v>
      </c>
      <c r="O102" s="185">
        <f t="shared" si="18"/>
        <v>267.85714285714283</v>
      </c>
      <c r="P102" s="326" t="str">
        <f t="shared" si="18"/>
        <v>NA</v>
      </c>
      <c r="Q102" s="327">
        <f t="shared" si="18"/>
        <v>1875</v>
      </c>
      <c r="R102" s="328">
        <f t="shared" si="18"/>
        <v>267.85714285714283</v>
      </c>
      <c r="S102" s="185">
        <f t="shared" si="18"/>
        <v>267.85714285714289</v>
      </c>
      <c r="T102" s="37"/>
      <c r="U102" s="138"/>
    </row>
    <row r="103" spans="2:22" ht="13.5" thickBot="1">
      <c r="B103" s="573" t="s">
        <v>76</v>
      </c>
      <c r="C103" s="203">
        <f t="shared" ref="C103:S103" si="19">C16</f>
        <v>0</v>
      </c>
      <c r="D103" s="204">
        <f t="shared" si="19"/>
        <v>245</v>
      </c>
      <c r="E103" s="204">
        <f t="shared" si="19"/>
        <v>88</v>
      </c>
      <c r="F103" s="204">
        <f t="shared" si="19"/>
        <v>345</v>
      </c>
      <c r="G103" s="204">
        <f t="shared" si="19"/>
        <v>277</v>
      </c>
      <c r="H103" s="204">
        <f t="shared" si="19"/>
        <v>293</v>
      </c>
      <c r="I103" s="205">
        <f t="shared" si="19"/>
        <v>1248</v>
      </c>
      <c r="J103" s="329">
        <f t="shared" si="19"/>
        <v>1495.1039999999998</v>
      </c>
      <c r="K103" s="330">
        <f t="shared" si="19"/>
        <v>112132.8</v>
      </c>
      <c r="L103" s="331">
        <f t="shared" si="19"/>
        <v>16018.971428571429</v>
      </c>
      <c r="M103" s="203">
        <f t="shared" si="19"/>
        <v>1526.3040000000001</v>
      </c>
      <c r="N103" s="204">
        <f t="shared" si="19"/>
        <v>114472.80000000002</v>
      </c>
      <c r="O103" s="205">
        <f t="shared" si="19"/>
        <v>16353.257142857146</v>
      </c>
      <c r="P103" s="329">
        <f t="shared" si="19"/>
        <v>1556.2560000000003</v>
      </c>
      <c r="Q103" s="330">
        <f t="shared" si="19"/>
        <v>116719.20000000003</v>
      </c>
      <c r="R103" s="331">
        <f t="shared" si="19"/>
        <v>16674.171428571433</v>
      </c>
      <c r="S103" s="205">
        <f t="shared" si="19"/>
        <v>16348.800000000003</v>
      </c>
      <c r="T103" s="206" t="str">
        <f>T16</f>
        <v>NA</v>
      </c>
      <c r="U103" s="392" t="s">
        <v>12</v>
      </c>
    </row>
    <row r="104" spans="2:22">
      <c r="B104" s="574" t="s">
        <v>98</v>
      </c>
      <c r="C104" s="196">
        <f t="shared" ref="C104:S104" si="20">C29</f>
        <v>8</v>
      </c>
      <c r="D104" s="184">
        <f t="shared" si="20"/>
        <v>8</v>
      </c>
      <c r="E104" s="184">
        <f t="shared" si="20"/>
        <v>0</v>
      </c>
      <c r="F104" s="184">
        <f t="shared" si="20"/>
        <v>0</v>
      </c>
      <c r="G104" s="184">
        <f t="shared" si="20"/>
        <v>0</v>
      </c>
      <c r="H104" s="184">
        <f t="shared" si="20"/>
        <v>0</v>
      </c>
      <c r="I104" s="185">
        <f t="shared" si="20"/>
        <v>16</v>
      </c>
      <c r="J104" s="326" t="str">
        <f t="shared" si="20"/>
        <v>NA</v>
      </c>
      <c r="K104" s="327">
        <f t="shared" si="20"/>
        <v>3776</v>
      </c>
      <c r="L104" s="328">
        <f t="shared" si="20"/>
        <v>539.42857142857144</v>
      </c>
      <c r="M104" s="186" t="str">
        <f t="shared" si="20"/>
        <v>NA</v>
      </c>
      <c r="N104" s="184">
        <f t="shared" si="20"/>
        <v>3776</v>
      </c>
      <c r="O104" s="185">
        <f t="shared" si="20"/>
        <v>539.42857142857144</v>
      </c>
      <c r="P104" s="326" t="str">
        <f t="shared" si="20"/>
        <v>NA</v>
      </c>
      <c r="Q104" s="327">
        <f t="shared" si="20"/>
        <v>3776</v>
      </c>
      <c r="R104" s="328">
        <f t="shared" si="20"/>
        <v>539.42857142857144</v>
      </c>
      <c r="S104" s="185">
        <f t="shared" si="20"/>
        <v>539.42857142857144</v>
      </c>
      <c r="T104" s="37"/>
      <c r="U104" s="138"/>
    </row>
    <row r="105" spans="2:22" ht="13.5" thickBot="1">
      <c r="B105" s="573" t="s">
        <v>76</v>
      </c>
      <c r="C105" s="207">
        <f t="shared" ref="C105:S105" si="21">C30</f>
        <v>227</v>
      </c>
      <c r="D105" s="208">
        <f t="shared" si="21"/>
        <v>327</v>
      </c>
      <c r="E105" s="208">
        <f t="shared" si="21"/>
        <v>0</v>
      </c>
      <c r="F105" s="208">
        <f t="shared" si="21"/>
        <v>0</v>
      </c>
      <c r="G105" s="208">
        <f t="shared" si="21"/>
        <v>0</v>
      </c>
      <c r="H105" s="208">
        <f t="shared" si="21"/>
        <v>0</v>
      </c>
      <c r="I105" s="209">
        <f t="shared" si="21"/>
        <v>554</v>
      </c>
      <c r="J105" s="332">
        <f t="shared" si="21"/>
        <v>663.69200000000001</v>
      </c>
      <c r="K105" s="296">
        <f t="shared" si="21"/>
        <v>0</v>
      </c>
      <c r="L105" s="297">
        <f t="shared" si="21"/>
        <v>108204.04457142856</v>
      </c>
      <c r="M105" s="207">
        <f t="shared" si="21"/>
        <v>677.54200000000003</v>
      </c>
      <c r="N105" s="208">
        <f t="shared" si="21"/>
        <v>0</v>
      </c>
      <c r="O105" s="209">
        <f t="shared" si="21"/>
        <v>110462.05885714287</v>
      </c>
      <c r="P105" s="332">
        <f t="shared" si="21"/>
        <v>690.83800000000008</v>
      </c>
      <c r="Q105" s="296">
        <f t="shared" si="21"/>
        <v>0</v>
      </c>
      <c r="R105" s="297">
        <f t="shared" si="21"/>
        <v>112629.75257142857</v>
      </c>
      <c r="S105" s="209">
        <f t="shared" si="21"/>
        <v>22836.618666666669</v>
      </c>
      <c r="T105" s="210" t="str">
        <f>T30</f>
        <v>NA</v>
      </c>
      <c r="U105" s="575">
        <f>U30</f>
        <v>87595.333333333343</v>
      </c>
    </row>
    <row r="106" spans="2:22">
      <c r="B106" s="574" t="s">
        <v>156</v>
      </c>
      <c r="C106" s="197">
        <f t="shared" ref="C106:S106" si="22">C41</f>
        <v>0</v>
      </c>
      <c r="D106" s="25">
        <f t="shared" si="22"/>
        <v>30</v>
      </c>
      <c r="E106" s="25">
        <f t="shared" si="22"/>
        <v>60</v>
      </c>
      <c r="F106" s="25">
        <f t="shared" si="22"/>
        <v>0</v>
      </c>
      <c r="G106" s="25">
        <f t="shared" si="22"/>
        <v>0</v>
      </c>
      <c r="H106" s="25">
        <f t="shared" si="22"/>
        <v>0</v>
      </c>
      <c r="I106" s="198">
        <f t="shared" si="22"/>
        <v>90</v>
      </c>
      <c r="J106" s="333" t="str">
        <f t="shared" si="22"/>
        <v>NA</v>
      </c>
      <c r="K106" s="334">
        <f t="shared" si="22"/>
        <v>21240</v>
      </c>
      <c r="L106" s="335">
        <f t="shared" si="22"/>
        <v>21240</v>
      </c>
      <c r="M106" s="199" t="str">
        <f t="shared" si="22"/>
        <v>NA</v>
      </c>
      <c r="N106" s="25">
        <f t="shared" si="22"/>
        <v>21240</v>
      </c>
      <c r="O106" s="198">
        <f t="shared" si="22"/>
        <v>21240</v>
      </c>
      <c r="P106" s="333" t="str">
        <f t="shared" si="22"/>
        <v>NA</v>
      </c>
      <c r="Q106" s="334">
        <f t="shared" si="22"/>
        <v>21240</v>
      </c>
      <c r="R106" s="335">
        <f t="shared" si="22"/>
        <v>21240</v>
      </c>
      <c r="S106" s="198">
        <f t="shared" si="22"/>
        <v>21240</v>
      </c>
      <c r="T106" s="200" t="str">
        <f>T21</f>
        <v>NA</v>
      </c>
      <c r="U106" s="147" t="s">
        <v>12</v>
      </c>
    </row>
    <row r="107" spans="2:22" ht="13.5" thickBot="1">
      <c r="B107" s="573" t="s">
        <v>76</v>
      </c>
      <c r="C107" s="211">
        <f t="shared" ref="C107:S107" si="23">C42</f>
        <v>0</v>
      </c>
      <c r="D107" s="208">
        <f t="shared" si="23"/>
        <v>30</v>
      </c>
      <c r="E107" s="208">
        <f t="shared" si="23"/>
        <v>60</v>
      </c>
      <c r="F107" s="208">
        <f t="shared" si="23"/>
        <v>0</v>
      </c>
      <c r="G107" s="208">
        <f t="shared" si="23"/>
        <v>0</v>
      </c>
      <c r="H107" s="208">
        <f t="shared" si="23"/>
        <v>0</v>
      </c>
      <c r="I107" s="209">
        <f t="shared" si="23"/>
        <v>4023</v>
      </c>
      <c r="J107" s="332">
        <f t="shared" si="23"/>
        <v>6928.0339999999997</v>
      </c>
      <c r="K107" s="296">
        <f t="shared" si="23"/>
        <v>1635016.024</v>
      </c>
      <c r="L107" s="297">
        <f t="shared" si="23"/>
        <v>1635016.024</v>
      </c>
      <c r="M107" s="207">
        <f t="shared" si="23"/>
        <v>4920.1289999999999</v>
      </c>
      <c r="N107" s="208">
        <f t="shared" si="23"/>
        <v>1204444.6439999999</v>
      </c>
      <c r="O107" s="209">
        <f t="shared" si="23"/>
        <v>1204444.6439999999</v>
      </c>
      <c r="P107" s="332">
        <f t="shared" si="23"/>
        <v>7211.4010000000007</v>
      </c>
      <c r="Q107" s="296">
        <f t="shared" si="23"/>
        <v>1701890.6359999999</v>
      </c>
      <c r="R107" s="297">
        <f t="shared" si="23"/>
        <v>1701890.6359999999</v>
      </c>
      <c r="S107" s="209">
        <f t="shared" si="23"/>
        <v>1117551.568</v>
      </c>
      <c r="T107" s="209">
        <f>T42</f>
        <v>86564.800000000003</v>
      </c>
      <c r="U107" s="766">
        <f>U42</f>
        <v>464564.42666666675</v>
      </c>
    </row>
    <row r="108" spans="2:22">
      <c r="B108" s="574" t="s">
        <v>99</v>
      </c>
      <c r="C108" s="197">
        <f t="shared" ref="C108:S108" si="24">C53</f>
        <v>0</v>
      </c>
      <c r="D108" s="25">
        <f t="shared" si="24"/>
        <v>16</v>
      </c>
      <c r="E108" s="25">
        <f t="shared" si="24"/>
        <v>0</v>
      </c>
      <c r="F108" s="25">
        <f t="shared" si="24"/>
        <v>0</v>
      </c>
      <c r="G108" s="25">
        <f t="shared" si="24"/>
        <v>0</v>
      </c>
      <c r="H108" s="25">
        <f t="shared" si="24"/>
        <v>0</v>
      </c>
      <c r="I108" s="198">
        <f t="shared" si="24"/>
        <v>16</v>
      </c>
      <c r="J108" s="333" t="str">
        <f t="shared" si="24"/>
        <v>NA</v>
      </c>
      <c r="K108" s="334">
        <f t="shared" si="24"/>
        <v>3776</v>
      </c>
      <c r="L108" s="335">
        <f t="shared" si="24"/>
        <v>3776</v>
      </c>
      <c r="M108" s="199" t="str">
        <f t="shared" si="24"/>
        <v>NA</v>
      </c>
      <c r="N108" s="25">
        <f t="shared" si="24"/>
        <v>3776</v>
      </c>
      <c r="O108" s="198">
        <f t="shared" si="24"/>
        <v>3776</v>
      </c>
      <c r="P108" s="333" t="str">
        <f t="shared" si="24"/>
        <v>NA</v>
      </c>
      <c r="Q108" s="334">
        <f t="shared" si="24"/>
        <v>3776</v>
      </c>
      <c r="R108" s="335">
        <f t="shared" si="24"/>
        <v>3776</v>
      </c>
      <c r="S108" s="198">
        <f t="shared" si="24"/>
        <v>3776</v>
      </c>
      <c r="T108" s="37"/>
      <c r="U108" s="138"/>
    </row>
    <row r="109" spans="2:22" ht="13.5" thickBot="1">
      <c r="B109" s="573" t="s">
        <v>76</v>
      </c>
      <c r="C109" s="207">
        <f t="shared" ref="C109:S109" si="25">C54</f>
        <v>0</v>
      </c>
      <c r="D109" s="208">
        <f t="shared" si="25"/>
        <v>654</v>
      </c>
      <c r="E109" s="208">
        <f t="shared" si="25"/>
        <v>0</v>
      </c>
      <c r="F109" s="208">
        <f t="shared" si="25"/>
        <v>0</v>
      </c>
      <c r="G109" s="208">
        <f t="shared" si="25"/>
        <v>0</v>
      </c>
      <c r="H109" s="208">
        <f t="shared" si="25"/>
        <v>0</v>
      </c>
      <c r="I109" s="209">
        <f t="shared" si="25"/>
        <v>954</v>
      </c>
      <c r="J109" s="332">
        <f t="shared" si="25"/>
        <v>1142.8919999999998</v>
      </c>
      <c r="K109" s="296">
        <f t="shared" si="25"/>
        <v>269722.51199999999</v>
      </c>
      <c r="L109" s="297">
        <f t="shared" si="25"/>
        <v>269722.51199999999</v>
      </c>
      <c r="M109" s="211">
        <f t="shared" si="25"/>
        <v>1166.7420000000002</v>
      </c>
      <c r="N109" s="208">
        <f t="shared" si="25"/>
        <v>275351.11200000002</v>
      </c>
      <c r="O109" s="209">
        <f t="shared" si="25"/>
        <v>275351.11200000002</v>
      </c>
      <c r="P109" s="332">
        <f t="shared" si="25"/>
        <v>1189.6380000000001</v>
      </c>
      <c r="Q109" s="296">
        <f t="shared" si="25"/>
        <v>280754.56800000003</v>
      </c>
      <c r="R109" s="297">
        <f t="shared" si="25"/>
        <v>280754.56800000003</v>
      </c>
      <c r="S109" s="209">
        <f t="shared" si="25"/>
        <v>188711.264</v>
      </c>
      <c r="T109" s="209">
        <f>T54</f>
        <v>86564.800000000003</v>
      </c>
      <c r="U109" s="576" t="s">
        <v>12</v>
      </c>
    </row>
    <row r="110" spans="2:22">
      <c r="B110" s="574" t="s">
        <v>100</v>
      </c>
      <c r="C110" s="197">
        <f t="shared" ref="C110:U110" si="26">C67</f>
        <v>0</v>
      </c>
      <c r="D110" s="25">
        <f t="shared" si="26"/>
        <v>0</v>
      </c>
      <c r="E110" s="25">
        <f t="shared" si="26"/>
        <v>4</v>
      </c>
      <c r="F110" s="25">
        <f t="shared" si="26"/>
        <v>17</v>
      </c>
      <c r="G110" s="25">
        <f t="shared" si="26"/>
        <v>0</v>
      </c>
      <c r="H110" s="25">
        <f t="shared" si="26"/>
        <v>0</v>
      </c>
      <c r="I110" s="198">
        <f t="shared" si="26"/>
        <v>21</v>
      </c>
      <c r="J110" s="333" t="str">
        <f t="shared" si="26"/>
        <v>NA</v>
      </c>
      <c r="K110" s="334">
        <f t="shared" si="26"/>
        <v>4956</v>
      </c>
      <c r="L110" s="335">
        <f t="shared" si="26"/>
        <v>4956</v>
      </c>
      <c r="M110" s="199" t="str">
        <f t="shared" si="26"/>
        <v>NA</v>
      </c>
      <c r="N110" s="25">
        <f t="shared" si="26"/>
        <v>4956</v>
      </c>
      <c r="O110" s="198">
        <f t="shared" si="26"/>
        <v>4956</v>
      </c>
      <c r="P110" s="333" t="str">
        <f t="shared" si="26"/>
        <v>NA</v>
      </c>
      <c r="Q110" s="334">
        <f t="shared" si="26"/>
        <v>4956</v>
      </c>
      <c r="R110" s="335">
        <f t="shared" si="26"/>
        <v>4956</v>
      </c>
      <c r="S110" s="198">
        <f t="shared" si="26"/>
        <v>4956</v>
      </c>
      <c r="T110" s="212" t="str">
        <f t="shared" si="26"/>
        <v>NA</v>
      </c>
      <c r="U110" s="577" t="str">
        <f t="shared" si="26"/>
        <v>NA</v>
      </c>
    </row>
    <row r="111" spans="2:22" ht="13.5" thickBot="1">
      <c r="B111" s="573" t="s">
        <v>76</v>
      </c>
      <c r="C111" s="207">
        <f t="shared" ref="C111:T111" si="27">C68</f>
        <v>0</v>
      </c>
      <c r="D111" s="208">
        <f t="shared" si="27"/>
        <v>0</v>
      </c>
      <c r="E111" s="208">
        <f t="shared" si="27"/>
        <v>176</v>
      </c>
      <c r="F111" s="208">
        <f t="shared" si="27"/>
        <v>837</v>
      </c>
      <c r="G111" s="208">
        <f t="shared" si="27"/>
        <v>0</v>
      </c>
      <c r="H111" s="208">
        <f t="shared" si="27"/>
        <v>0</v>
      </c>
      <c r="I111" s="209">
        <f t="shared" si="27"/>
        <v>1013</v>
      </c>
      <c r="J111" s="332">
        <f t="shared" si="27"/>
        <v>1213.5740000000001</v>
      </c>
      <c r="K111" s="296">
        <f t="shared" si="27"/>
        <v>286403.46400000004</v>
      </c>
      <c r="L111" s="297">
        <f t="shared" si="27"/>
        <v>286403.46400000004</v>
      </c>
      <c r="M111" s="207">
        <f t="shared" si="27"/>
        <v>1238.8989999999999</v>
      </c>
      <c r="N111" s="208">
        <f t="shared" si="27"/>
        <v>292380.16399999999</v>
      </c>
      <c r="O111" s="209">
        <f t="shared" si="27"/>
        <v>292380.16399999999</v>
      </c>
      <c r="P111" s="339">
        <f t="shared" si="27"/>
        <v>1263.2110000000002</v>
      </c>
      <c r="Q111" s="296">
        <f t="shared" si="27"/>
        <v>298117.79600000003</v>
      </c>
      <c r="R111" s="297">
        <f t="shared" si="27"/>
        <v>298117.79600000003</v>
      </c>
      <c r="S111" s="209">
        <f t="shared" si="27"/>
        <v>292300.47466666671</v>
      </c>
      <c r="T111" s="210" t="str">
        <f t="shared" si="27"/>
        <v>NA</v>
      </c>
      <c r="U111" s="392" t="s">
        <v>12</v>
      </c>
    </row>
    <row r="112" spans="2:22">
      <c r="B112" s="574" t="s">
        <v>101</v>
      </c>
      <c r="C112" s="213">
        <f t="shared" ref="C112:S112" si="28">C87</f>
        <v>6</v>
      </c>
      <c r="D112" s="214">
        <f t="shared" si="28"/>
        <v>21</v>
      </c>
      <c r="E112" s="214">
        <f t="shared" si="28"/>
        <v>3.2</v>
      </c>
      <c r="F112" s="214">
        <f t="shared" si="28"/>
        <v>1.3</v>
      </c>
      <c r="G112" s="214">
        <f t="shared" si="28"/>
        <v>1</v>
      </c>
      <c r="H112" s="214">
        <f t="shared" si="28"/>
        <v>0</v>
      </c>
      <c r="I112" s="215">
        <f t="shared" si="28"/>
        <v>32.5</v>
      </c>
      <c r="J112" s="336" t="str">
        <f t="shared" si="28"/>
        <v>NA</v>
      </c>
      <c r="K112" s="337">
        <f t="shared" si="28"/>
        <v>5657.5</v>
      </c>
      <c r="L112" s="294">
        <f t="shared" si="28"/>
        <v>4937.5</v>
      </c>
      <c r="M112" s="216" t="str">
        <f t="shared" si="28"/>
        <v>NA</v>
      </c>
      <c r="N112" s="217">
        <f t="shared" si="28"/>
        <v>5657.5</v>
      </c>
      <c r="O112" s="215">
        <f t="shared" si="28"/>
        <v>4937.5</v>
      </c>
      <c r="P112" s="336" t="str">
        <f t="shared" si="28"/>
        <v>NA</v>
      </c>
      <c r="Q112" s="337">
        <f t="shared" si="28"/>
        <v>5657.5</v>
      </c>
      <c r="R112" s="294">
        <f t="shared" si="28"/>
        <v>4937.5</v>
      </c>
      <c r="S112" s="215">
        <f t="shared" si="28"/>
        <v>4937.5</v>
      </c>
      <c r="T112" s="136" t="s">
        <v>12</v>
      </c>
      <c r="U112" s="147" t="s">
        <v>12</v>
      </c>
    </row>
    <row r="113" spans="2:21" ht="13.5" thickBot="1">
      <c r="B113" s="573" t="s">
        <v>76</v>
      </c>
      <c r="C113" s="207">
        <f t="shared" ref="C113:S113" si="29">C88</f>
        <v>170</v>
      </c>
      <c r="D113" s="208">
        <f t="shared" si="29"/>
        <v>857</v>
      </c>
      <c r="E113" s="208">
        <f t="shared" si="29"/>
        <v>141</v>
      </c>
      <c r="F113" s="208">
        <f t="shared" si="29"/>
        <v>64</v>
      </c>
      <c r="G113" s="208">
        <f t="shared" si="29"/>
        <v>55</v>
      </c>
      <c r="H113" s="208">
        <f t="shared" si="29"/>
        <v>0</v>
      </c>
      <c r="I113" s="209">
        <f t="shared" si="29"/>
        <v>1287</v>
      </c>
      <c r="J113" s="332">
        <f t="shared" si="29"/>
        <v>1541.826</v>
      </c>
      <c r="K113" s="338">
        <f t="shared" si="29"/>
        <v>264731.64399999997</v>
      </c>
      <c r="L113" s="297">
        <f t="shared" si="29"/>
        <v>229510.44399999996</v>
      </c>
      <c r="M113" s="211">
        <f t="shared" si="29"/>
        <v>1574.0010000000002</v>
      </c>
      <c r="N113" s="219">
        <f t="shared" si="29"/>
        <v>270256.09400000004</v>
      </c>
      <c r="O113" s="209">
        <f t="shared" si="29"/>
        <v>234299.894</v>
      </c>
      <c r="P113" s="332">
        <f t="shared" si="29"/>
        <v>1604.8890000000001</v>
      </c>
      <c r="Q113" s="338">
        <f t="shared" si="29"/>
        <v>275559.56600000005</v>
      </c>
      <c r="R113" s="297">
        <f t="shared" si="29"/>
        <v>238897.76600000003</v>
      </c>
      <c r="S113" s="209">
        <f t="shared" si="29"/>
        <v>234236.03466666667</v>
      </c>
      <c r="T113" s="209">
        <f>T88</f>
        <v>0</v>
      </c>
      <c r="U113" s="392" t="s">
        <v>12</v>
      </c>
    </row>
    <row r="114" spans="2:21">
      <c r="B114" s="574" t="s">
        <v>102</v>
      </c>
      <c r="C114" s="197">
        <f t="shared" ref="C114:S114" si="30">C97</f>
        <v>0</v>
      </c>
      <c r="D114" s="25">
        <f t="shared" si="30"/>
        <v>0</v>
      </c>
      <c r="E114" s="25">
        <f t="shared" si="30"/>
        <v>0</v>
      </c>
      <c r="F114" s="25">
        <f t="shared" si="30"/>
        <v>5</v>
      </c>
      <c r="G114" s="25">
        <f t="shared" si="30"/>
        <v>5</v>
      </c>
      <c r="H114" s="25">
        <f t="shared" si="30"/>
        <v>0</v>
      </c>
      <c r="I114" s="198">
        <f t="shared" si="30"/>
        <v>10</v>
      </c>
      <c r="J114" s="333" t="str">
        <f t="shared" si="30"/>
        <v>NA</v>
      </c>
      <c r="K114" s="334">
        <f t="shared" si="30"/>
        <v>2360</v>
      </c>
      <c r="L114" s="335">
        <f t="shared" si="30"/>
        <v>2360</v>
      </c>
      <c r="M114" s="199" t="str">
        <f t="shared" si="30"/>
        <v>NA</v>
      </c>
      <c r="N114" s="25">
        <f t="shared" si="30"/>
        <v>2360</v>
      </c>
      <c r="O114" s="198">
        <f t="shared" si="30"/>
        <v>2360</v>
      </c>
      <c r="P114" s="333" t="str">
        <f t="shared" si="30"/>
        <v>NA</v>
      </c>
      <c r="Q114" s="334">
        <f t="shared" si="30"/>
        <v>2360</v>
      </c>
      <c r="R114" s="335">
        <f t="shared" si="30"/>
        <v>2360</v>
      </c>
      <c r="S114" s="198">
        <f t="shared" si="30"/>
        <v>2360</v>
      </c>
      <c r="T114" s="136" t="s">
        <v>12</v>
      </c>
      <c r="U114" s="147" t="s">
        <v>12</v>
      </c>
    </row>
    <row r="115" spans="2:21" ht="13.5" thickBot="1">
      <c r="B115" s="578" t="s">
        <v>76</v>
      </c>
      <c r="C115" s="220">
        <f t="shared" ref="C115:S115" si="31">C98</f>
        <v>0</v>
      </c>
      <c r="D115" s="221">
        <f t="shared" si="31"/>
        <v>0</v>
      </c>
      <c r="E115" s="221">
        <f t="shared" si="31"/>
        <v>0</v>
      </c>
      <c r="F115" s="221">
        <f t="shared" si="31"/>
        <v>247</v>
      </c>
      <c r="G115" s="221">
        <f t="shared" si="31"/>
        <v>277</v>
      </c>
      <c r="H115" s="221">
        <f t="shared" si="31"/>
        <v>0</v>
      </c>
      <c r="I115" s="222">
        <f t="shared" si="31"/>
        <v>524</v>
      </c>
      <c r="J115" s="304">
        <f t="shared" si="31"/>
        <v>627.75199999999995</v>
      </c>
      <c r="K115" s="305">
        <f t="shared" si="31"/>
        <v>148149.47199999998</v>
      </c>
      <c r="L115" s="306">
        <f t="shared" si="31"/>
        <v>148149.47199999998</v>
      </c>
      <c r="M115" s="220">
        <f t="shared" si="31"/>
        <v>640.85200000000009</v>
      </c>
      <c r="N115" s="221">
        <f t="shared" si="31"/>
        <v>151241.07200000001</v>
      </c>
      <c r="O115" s="222">
        <f t="shared" si="31"/>
        <v>151241.07200000001</v>
      </c>
      <c r="P115" s="311">
        <f t="shared" si="31"/>
        <v>653.42800000000011</v>
      </c>
      <c r="Q115" s="305">
        <f t="shared" si="31"/>
        <v>154209.008</v>
      </c>
      <c r="R115" s="306">
        <f t="shared" si="31"/>
        <v>154209.008</v>
      </c>
      <c r="S115" s="222">
        <f t="shared" si="31"/>
        <v>151199.85066666667</v>
      </c>
      <c r="T115" s="223" t="str">
        <f>T98</f>
        <v>NA</v>
      </c>
      <c r="U115" s="224" t="s">
        <v>12</v>
      </c>
    </row>
    <row r="116" spans="2:21" ht="18.75" thickTop="1">
      <c r="B116" s="579" t="s">
        <v>13</v>
      </c>
      <c r="C116" s="183" t="s">
        <v>45</v>
      </c>
      <c r="D116" s="108" t="s">
        <v>46</v>
      </c>
      <c r="E116" s="107" t="s">
        <v>47</v>
      </c>
      <c r="F116" s="107" t="s">
        <v>48</v>
      </c>
      <c r="G116" s="107" t="s">
        <v>49</v>
      </c>
      <c r="H116" s="107" t="s">
        <v>50</v>
      </c>
      <c r="I116" s="109" t="s">
        <v>13</v>
      </c>
      <c r="J116" s="110" t="s">
        <v>56</v>
      </c>
      <c r="K116" s="108" t="s">
        <v>13</v>
      </c>
      <c r="L116" s="111" t="s">
        <v>68</v>
      </c>
      <c r="M116" s="110" t="s">
        <v>56</v>
      </c>
      <c r="N116" s="108" t="s">
        <v>13</v>
      </c>
      <c r="O116" s="111" t="s">
        <v>68</v>
      </c>
      <c r="P116" s="110" t="s">
        <v>56</v>
      </c>
      <c r="Q116" s="108" t="s">
        <v>13</v>
      </c>
      <c r="R116" s="111" t="s">
        <v>68</v>
      </c>
      <c r="S116" s="111"/>
      <c r="T116" s="37"/>
      <c r="U116" s="138"/>
    </row>
    <row r="117" spans="2:21">
      <c r="B117" s="580" t="s">
        <v>75</v>
      </c>
      <c r="C117" s="195">
        <f t="shared" ref="C117:I118" si="32">C102+C104+C106+C108+C110+C112+C114</f>
        <v>14</v>
      </c>
      <c r="D117" s="101">
        <f t="shared" si="32"/>
        <v>81</v>
      </c>
      <c r="E117" s="101">
        <f t="shared" si="32"/>
        <v>69.2</v>
      </c>
      <c r="F117" s="101">
        <f t="shared" si="32"/>
        <v>30.3</v>
      </c>
      <c r="G117" s="101">
        <f t="shared" si="32"/>
        <v>11</v>
      </c>
      <c r="H117" s="101">
        <f t="shared" si="32"/>
        <v>5</v>
      </c>
      <c r="I117" s="102">
        <f t="shared" si="32"/>
        <v>210.5</v>
      </c>
      <c r="J117" s="340" t="s">
        <v>12</v>
      </c>
      <c r="K117" s="281">
        <f>K102+K104+K106+K108+K110+K114</f>
        <v>37983</v>
      </c>
      <c r="L117" s="289">
        <f>L102+L104+L106+L108+L110+L112+L114</f>
        <v>38076.78571428571</v>
      </c>
      <c r="M117" s="103" t="s">
        <v>12</v>
      </c>
      <c r="N117" s="101">
        <f>N102+N104+N106+N108+N110+N114</f>
        <v>37983</v>
      </c>
      <c r="O117" s="102">
        <f>O102+O104+O106+O108+O110+O112+O114</f>
        <v>38076.78571428571</v>
      </c>
      <c r="P117" s="340" t="s">
        <v>12</v>
      </c>
      <c r="Q117" s="281">
        <f>Q102+Q104+Q106+Q108+Q110+Q114</f>
        <v>37983</v>
      </c>
      <c r="R117" s="289">
        <f>R102+R104+R106+R108+R110+R112+R114</f>
        <v>38076.78571428571</v>
      </c>
      <c r="S117" s="174">
        <f>S102+S104+S106+S108+S110+S112+S114</f>
        <v>38076.78571428571</v>
      </c>
      <c r="T117" s="102"/>
      <c r="U117" s="140" t="s">
        <v>12</v>
      </c>
    </row>
    <row r="118" spans="2:21" s="235" customFormat="1" ht="16.5" thickBot="1">
      <c r="B118" s="581" t="s">
        <v>76</v>
      </c>
      <c r="C118" s="582">
        <f t="shared" si="32"/>
        <v>397</v>
      </c>
      <c r="D118" s="583">
        <f t="shared" si="32"/>
        <v>2113</v>
      </c>
      <c r="E118" s="583">
        <f t="shared" si="32"/>
        <v>465</v>
      </c>
      <c r="F118" s="583">
        <f t="shared" si="32"/>
        <v>1493</v>
      </c>
      <c r="G118" s="583">
        <f t="shared" si="32"/>
        <v>609</v>
      </c>
      <c r="H118" s="583">
        <f t="shared" si="32"/>
        <v>293</v>
      </c>
      <c r="I118" s="584">
        <f t="shared" si="32"/>
        <v>9603</v>
      </c>
      <c r="J118" s="585">
        <f>J103+J105+J107+J109+J111+J113+J115</f>
        <v>13612.874</v>
      </c>
      <c r="K118" s="586">
        <f>K103+K105+K107+K109+K111+K115</f>
        <v>2451424.2720000003</v>
      </c>
      <c r="L118" s="587">
        <f>L103+L105+L107+L109+L111+L113+L115</f>
        <v>2693024.9320000005</v>
      </c>
      <c r="M118" s="582">
        <f>M103+M105+M107+M109+M111+M113+M115</f>
        <v>11744.469000000001</v>
      </c>
      <c r="N118" s="588">
        <f>N103+N105+N107+N109+N111+N115</f>
        <v>2037889.7919999997</v>
      </c>
      <c r="O118" s="584">
        <f>O103+O105+O107+O109+O111+O113+O115</f>
        <v>2284532.202</v>
      </c>
      <c r="P118" s="589">
        <f>P103+P105+P107+P109+P111+P113+P115</f>
        <v>14169.661</v>
      </c>
      <c r="Q118" s="586">
        <f>Q103+Q105+Q107+Q109+Q111+Q115</f>
        <v>2551691.2080000001</v>
      </c>
      <c r="R118" s="587">
        <f>R103+R105+R107+R109+R111+R113+R115</f>
        <v>2803173.6979999999</v>
      </c>
      <c r="S118" s="590">
        <f>S103+S105+S107+S109+S111+S113+S115</f>
        <v>2023184.6106666666</v>
      </c>
      <c r="T118" s="584">
        <f>SUM(T103,T105,T107,T109,T111,T113,T115)</f>
        <v>173129.60000000001</v>
      </c>
      <c r="U118" s="591">
        <f>SUM(U103,U105,U107,U109,U111,U113,U115)</f>
        <v>552159.76000000013</v>
      </c>
    </row>
  </sheetData>
  <mergeCells count="35">
    <mergeCell ref="Q91:R91"/>
    <mergeCell ref="Q33:R33"/>
    <mergeCell ref="Q45:R45"/>
    <mergeCell ref="Q57:R57"/>
    <mergeCell ref="Q84:R84"/>
    <mergeCell ref="Q72:R72"/>
    <mergeCell ref="G71:I71"/>
    <mergeCell ref="N84:O84"/>
    <mergeCell ref="K91:L91"/>
    <mergeCell ref="N33:O33"/>
    <mergeCell ref="N45:O45"/>
    <mergeCell ref="N72:O72"/>
    <mergeCell ref="N91:O91"/>
    <mergeCell ref="N57:O57"/>
    <mergeCell ref="K33:L33"/>
    <mergeCell ref="G90:I90"/>
    <mergeCell ref="K72:L72"/>
    <mergeCell ref="K57:L57"/>
    <mergeCell ref="G56:I56"/>
    <mergeCell ref="G33:I33"/>
    <mergeCell ref="K45:L45"/>
    <mergeCell ref="G18:I18"/>
    <mergeCell ref="G32:I32"/>
    <mergeCell ref="G45:I45"/>
    <mergeCell ref="G44:I44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35:D37 D21 B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9" max="16383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20"/>
  <sheetViews>
    <sheetView topLeftCell="A21" workbookViewId="0">
      <selection activeCell="I59" sqref="I59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13.5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370</v>
      </c>
      <c r="D2" s="5"/>
      <c r="E2" s="1388" t="s">
        <v>31</v>
      </c>
      <c r="F2" s="1451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1388" t="s">
        <v>59</v>
      </c>
      <c r="J3" s="177"/>
      <c r="K3" s="426"/>
      <c r="L3" s="1391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14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372</v>
      </c>
      <c r="L4" s="20">
        <v>32</v>
      </c>
      <c r="M4" s="1388" t="s">
        <v>71</v>
      </c>
      <c r="N4" s="431" t="s">
        <v>69</v>
      </c>
      <c r="O4" s="20">
        <v>32</v>
      </c>
      <c r="P4" s="425" t="s">
        <v>71</v>
      </c>
      <c r="Q4" s="429" t="s">
        <v>69</v>
      </c>
      <c r="R4" s="20">
        <v>32</v>
      </c>
      <c r="S4" s="115" t="s">
        <v>69</v>
      </c>
      <c r="T4" s="106">
        <f>AVERAGE(L4,O4,R4)</f>
        <v>32</v>
      </c>
      <c r="U4" s="37"/>
    </row>
    <row r="5" spans="1:21" ht="13.5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14</v>
      </c>
      <c r="K5" s="342" t="s">
        <v>373</v>
      </c>
      <c r="L5" s="343">
        <v>38</v>
      </c>
      <c r="M5" s="632">
        <v>14</v>
      </c>
      <c r="N5" s="344" t="s">
        <v>373</v>
      </c>
      <c r="O5" s="345">
        <v>38</v>
      </c>
      <c r="P5" s="631">
        <v>14</v>
      </c>
      <c r="Q5" s="342" t="s">
        <v>373</v>
      </c>
      <c r="R5" s="343">
        <v>38</v>
      </c>
      <c r="S5" s="237" t="s">
        <v>373</v>
      </c>
      <c r="T5" s="238">
        <f>AVERAGE(L5,O5,R5)</f>
        <v>38</v>
      </c>
      <c r="U5" s="37"/>
    </row>
    <row r="6" spans="1:21" ht="27.75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1392" t="s">
        <v>55</v>
      </c>
      <c r="N8" s="1429" t="s">
        <v>57</v>
      </c>
      <c r="O8" s="1430"/>
      <c r="P8" s="1395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1389" t="s">
        <v>45</v>
      </c>
      <c r="D9" s="1396" t="s">
        <v>46</v>
      </c>
      <c r="E9" s="1389" t="s">
        <v>47</v>
      </c>
      <c r="F9" s="1389" t="s">
        <v>48</v>
      </c>
      <c r="G9" s="1389" t="s">
        <v>49</v>
      </c>
      <c r="H9" s="1389" t="s">
        <v>50</v>
      </c>
      <c r="I9" s="47" t="s">
        <v>13</v>
      </c>
      <c r="J9" s="260" t="s">
        <v>56</v>
      </c>
      <c r="K9" s="1393" t="s">
        <v>13</v>
      </c>
      <c r="L9" s="1394" t="s">
        <v>68</v>
      </c>
      <c r="M9" s="77" t="s">
        <v>56</v>
      </c>
      <c r="N9" s="1396" t="s">
        <v>13</v>
      </c>
      <c r="O9" s="1397" t="s">
        <v>68</v>
      </c>
      <c r="P9" s="1393" t="s">
        <v>56</v>
      </c>
      <c r="Q9" s="1393" t="s">
        <v>13</v>
      </c>
      <c r="R9" s="1394" t="s">
        <v>68</v>
      </c>
      <c r="S9" s="123"/>
      <c r="T9" s="1398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420</v>
      </c>
      <c r="L10" s="265">
        <f>K10/$E$7</f>
        <v>84</v>
      </c>
      <c r="M10" s="58" t="s">
        <v>12</v>
      </c>
      <c r="N10" s="432">
        <f>I10*$M$5</f>
        <v>420</v>
      </c>
      <c r="O10" s="68">
        <f>N10/$E$7</f>
        <v>84</v>
      </c>
      <c r="P10" s="263" t="s">
        <v>12</v>
      </c>
      <c r="Q10" s="433">
        <f>$I10*$M$5</f>
        <v>420</v>
      </c>
      <c r="R10" s="289">
        <f>Q10/$E$7</f>
        <v>84</v>
      </c>
      <c r="S10" s="121">
        <f>AVERAGE(L10,O10,R10)</f>
        <v>84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1389">
        <f>ROUND(D10*Labor!$D$4,0)</f>
        <v>0</v>
      </c>
      <c r="E11" s="1389">
        <f>ROUND(E10*Labor!$D$5,0)</f>
        <v>0</v>
      </c>
      <c r="F11" s="1389">
        <f>ROUND(F10*Labor!$D$6,0)</f>
        <v>493</v>
      </c>
      <c r="G11" s="1389">
        <f>ROUND(G10*Labor!$D$7,0)</f>
        <v>555</v>
      </c>
      <c r="H11" s="1389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27405.448</v>
      </c>
      <c r="L11" s="385">
        <f>K11/$E$7</f>
        <v>5481.0896000000002</v>
      </c>
      <c r="M11" s="386">
        <f>HLOOKUP(Labor!$B$11,InflationTable,3)*$I11</f>
        <v>1998.3820000000001</v>
      </c>
      <c r="N11" s="387">
        <f>M11*$J$5</f>
        <v>27977.348000000002</v>
      </c>
      <c r="O11" s="388">
        <f>N11/$E$7</f>
        <v>5595.4696000000004</v>
      </c>
      <c r="P11" s="383">
        <f>HLOOKUP(Labor!$B$11,InflationTable,4)*$I11</f>
        <v>2037.5980000000002</v>
      </c>
      <c r="Q11" s="384">
        <f>P11*$J$5</f>
        <v>28526.372000000003</v>
      </c>
      <c r="R11" s="385">
        <f>Q11/$E$7</f>
        <v>5705.2744000000002</v>
      </c>
      <c r="S11" s="379">
        <f>AVERAGE(L11,O11,R11)</f>
        <v>5593.9445333333324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112</v>
      </c>
      <c r="L13" s="265">
        <f>K13/$E$7</f>
        <v>22.4</v>
      </c>
      <c r="M13" s="58" t="s">
        <v>12</v>
      </c>
      <c r="N13" s="60">
        <f>I13*$M$5</f>
        <v>112</v>
      </c>
      <c r="O13" s="59">
        <f>N13/$E$7</f>
        <v>22.4</v>
      </c>
      <c r="P13" s="263" t="s">
        <v>12</v>
      </c>
      <c r="Q13" s="291">
        <f>$I13*$P$5</f>
        <v>112</v>
      </c>
      <c r="R13" s="282">
        <f>Q13/$E$7</f>
        <v>22.4</v>
      </c>
      <c r="S13" s="121">
        <f>AVERAGE(L13,O13,R13)</f>
        <v>22.399999999999995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7027.4679999999998</v>
      </c>
      <c r="L14" s="297">
        <f>K14/$E$7</f>
        <v>1405.4936</v>
      </c>
      <c r="M14" s="376">
        <f>HLOOKUP(Labor!$B$11,InflationTable,3)*I14</f>
        <v>512.43700000000001</v>
      </c>
      <c r="N14" s="377">
        <f>M14*$J$5</f>
        <v>7174.1180000000004</v>
      </c>
      <c r="O14" s="378">
        <f>N14/$E$7</f>
        <v>1434.8236000000002</v>
      </c>
      <c r="P14" s="339">
        <f>HLOOKUP(Labor!$B$11,InflationTable,4)*I14</f>
        <v>522.49300000000005</v>
      </c>
      <c r="Q14" s="296">
        <f>P14*$J$5</f>
        <v>7314.902000000001</v>
      </c>
      <c r="R14" s="297">
        <f>Q14/$E$7</f>
        <v>1462.9804000000001</v>
      </c>
      <c r="S14" s="379">
        <f>AVERAGE(L14,O14,R14)</f>
        <v>1434.4325333333336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532</v>
      </c>
      <c r="L15" s="273">
        <f>L10+L13</f>
        <v>106.4</v>
      </c>
      <c r="M15" s="61" t="s">
        <v>12</v>
      </c>
      <c r="N15" s="426">
        <f>I15*$M$5</f>
        <v>532</v>
      </c>
      <c r="O15" s="62">
        <f>N15/$E$7</f>
        <v>106.4</v>
      </c>
      <c r="P15" s="293" t="s">
        <v>12</v>
      </c>
      <c r="Q15" s="433">
        <f>$I15*$P$5</f>
        <v>532</v>
      </c>
      <c r="R15" s="294">
        <f>Q15/$E$7</f>
        <v>106.4</v>
      </c>
      <c r="S15" s="121">
        <f>AVERAGE(L15,O15,R15)</f>
        <v>106.40000000000002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34432.915999999997</v>
      </c>
      <c r="L16" s="276">
        <f>L11+L14</f>
        <v>6886.5832</v>
      </c>
      <c r="M16" s="242">
        <f>M11+M14</f>
        <v>2510.819</v>
      </c>
      <c r="N16" s="240">
        <f>N11+N14</f>
        <v>35151.466</v>
      </c>
      <c r="O16" s="243">
        <f>O11+O14</f>
        <v>7030.2932000000001</v>
      </c>
      <c r="P16" s="295">
        <f>P11+P14</f>
        <v>2560.0910000000003</v>
      </c>
      <c r="Q16" s="296">
        <f>P16*$P$5</f>
        <v>35841.274000000005</v>
      </c>
      <c r="R16" s="297">
        <f>Q16/$E$7</f>
        <v>7168.2548000000006</v>
      </c>
      <c r="S16" s="211">
        <f>AVERAGE(L16,O16,R16)</f>
        <v>7028.3770666666678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1389" t="s">
        <v>62</v>
      </c>
      <c r="E19" s="5"/>
      <c r="F19" s="5"/>
      <c r="G19" s="5"/>
      <c r="H19" s="6"/>
      <c r="I19" s="43"/>
      <c r="J19" s="1395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1394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1389"/>
      <c r="D20" s="1389"/>
      <c r="E20" s="9"/>
      <c r="F20" s="72"/>
      <c r="G20" s="72"/>
      <c r="H20" s="72"/>
      <c r="I20" s="73"/>
      <c r="J20" s="260" t="s">
        <v>56</v>
      </c>
      <c r="K20" s="1393" t="s">
        <v>13</v>
      </c>
      <c r="L20" s="1394" t="s">
        <v>68</v>
      </c>
      <c r="M20" s="77" t="s">
        <v>56</v>
      </c>
      <c r="N20" s="1396" t="s">
        <v>13</v>
      </c>
      <c r="O20" s="1397" t="s">
        <v>68</v>
      </c>
      <c r="P20" s="260" t="s">
        <v>56</v>
      </c>
      <c r="Q20" s="1393" t="s">
        <v>13</v>
      </c>
      <c r="R20" s="1394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30000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35940</v>
      </c>
      <c r="K21" s="279">
        <f>J21*$L$4</f>
        <v>1150080</v>
      </c>
      <c r="L21" s="280">
        <f>K21/$E$18</f>
        <v>230016</v>
      </c>
      <c r="M21" s="78">
        <f>HLOOKUP($D$21,InflationTable,3)*$C$21</f>
        <v>36690</v>
      </c>
      <c r="N21" s="27">
        <f>M21*$L$4</f>
        <v>1174080</v>
      </c>
      <c r="O21" s="182">
        <f>N21/$E$18</f>
        <v>234816</v>
      </c>
      <c r="P21" s="298">
        <f>HLOOKUP($D$21,InflationTable,4)*$C$21</f>
        <v>37410</v>
      </c>
      <c r="Q21" s="279">
        <f>P21*$R$4</f>
        <v>1197120</v>
      </c>
      <c r="R21" s="280">
        <f>Q21/$E$18</f>
        <v>239424</v>
      </c>
      <c r="S21" s="127" t="s">
        <v>12</v>
      </c>
      <c r="T21" s="119" t="s">
        <v>12</v>
      </c>
      <c r="U21" s="139">
        <f>AVERAGE(L21,O21,R21)</f>
        <v>234752</v>
      </c>
    </row>
    <row r="22" spans="1:21">
      <c r="A22" s="615"/>
      <c r="B22" s="729" t="s">
        <v>374</v>
      </c>
      <c r="C22" s="163">
        <f>VLOOKUP(C$2,Monitor_Costs,4,FALSE)</f>
        <v>16000</v>
      </c>
      <c r="D22" s="22">
        <f>VLOOKUP(C$2,Monitor_Costs,3,FALSE)</f>
        <v>2013</v>
      </c>
      <c r="E22" s="5"/>
      <c r="F22" s="7"/>
      <c r="G22" s="5"/>
      <c r="H22" s="5"/>
      <c r="I22" s="37"/>
      <c r="J22" s="279">
        <f>HLOOKUP(D22,InflationTable,2)*$C$22</f>
        <v>19168</v>
      </c>
      <c r="K22" s="279">
        <f>J22*$L$5</f>
        <v>728384</v>
      </c>
      <c r="L22" s="280">
        <f>K22/$E$18</f>
        <v>145676.79999999999</v>
      </c>
      <c r="M22" s="78">
        <f>HLOOKUP($D$21,InflationTable,3)*$C$22</f>
        <v>19568</v>
      </c>
      <c r="N22" s="27">
        <f>M22*$L$4</f>
        <v>626176</v>
      </c>
      <c r="O22" s="182">
        <f>N22/$E$18</f>
        <v>125235.2</v>
      </c>
      <c r="P22" s="298">
        <f>HLOOKUP($D$21,InflationTable,4)*$C$22</f>
        <v>19952</v>
      </c>
      <c r="Q22" s="279">
        <f>P22*$R$4</f>
        <v>638464</v>
      </c>
      <c r="R22" s="280">
        <f>Q22/$E$18</f>
        <v>127692.8</v>
      </c>
      <c r="S22" s="1400"/>
      <c r="T22" s="1401"/>
      <c r="U22" s="139">
        <f>AVERAGE(L22,O22,R22)</f>
        <v>132868.26666666666</v>
      </c>
    </row>
    <row r="23" spans="1:21" ht="13.5" thickBot="1">
      <c r="A23" s="615"/>
      <c r="B23" s="609" t="s">
        <v>371</v>
      </c>
      <c r="C23" s="163">
        <f>VLOOKUP(C$2,Monitor_Costs,11,FALSE)</f>
        <v>5667</v>
      </c>
      <c r="D23" s="22">
        <f>VLOOKUP(C$2,Monitor_Costs,3,FALSE)</f>
        <v>2013</v>
      </c>
      <c r="E23" s="4"/>
      <c r="F23" s="12"/>
      <c r="G23" s="4"/>
      <c r="H23" s="4"/>
      <c r="I23" s="368"/>
      <c r="J23" s="279">
        <f>HLOOKUP(D23,InflationTable,2)*$C$23</f>
        <v>6789.0659999999998</v>
      </c>
      <c r="K23" s="355">
        <f>+J23*L4</f>
        <v>217250.11199999999</v>
      </c>
      <c r="L23" s="308">
        <f>K23/$E$18</f>
        <v>43450.022400000002</v>
      </c>
      <c r="M23" s="78">
        <f>HLOOKUP($D$21,InflationTable,3)*$C$23</f>
        <v>6930.7410000000009</v>
      </c>
      <c r="N23" s="104">
        <f>M23*$L$4</f>
        <v>221783.71200000003</v>
      </c>
      <c r="O23" s="370">
        <f>N23/$E$18</f>
        <v>44356.742400000003</v>
      </c>
      <c r="P23" s="298">
        <f>HLOOKUP($D$21,InflationTable,4)*$C$23</f>
        <v>7066.7490000000007</v>
      </c>
      <c r="Q23" s="355">
        <f>P23*$R$4</f>
        <v>226135.96800000002</v>
      </c>
      <c r="R23" s="308">
        <f>Q23/$E$18</f>
        <v>45227.193600000006</v>
      </c>
      <c r="S23" s="359" t="s">
        <v>12</v>
      </c>
      <c r="T23" s="149" t="s">
        <v>12</v>
      </c>
      <c r="U23" s="372">
        <f>AVERAGE(L23,O23,R23)</f>
        <v>44344.652800000003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8</v>
      </c>
      <c r="G25" s="21">
        <v>0</v>
      </c>
      <c r="H25" s="21">
        <v>0</v>
      </c>
      <c r="I25" s="48">
        <f>SUM(C25:H25)</f>
        <v>8</v>
      </c>
      <c r="J25" s="263" t="s">
        <v>12</v>
      </c>
      <c r="K25" s="281">
        <f>I25*($L$4+$L$5)</f>
        <v>560</v>
      </c>
      <c r="L25" s="282">
        <f>K25/$E$18</f>
        <v>112</v>
      </c>
      <c r="M25" s="58" t="s">
        <v>12</v>
      </c>
      <c r="N25" s="69">
        <f>$I$25*($O$4+$O$5)</f>
        <v>560</v>
      </c>
      <c r="O25" s="59">
        <f>N25/$E$18</f>
        <v>112</v>
      </c>
      <c r="P25" s="263" t="s">
        <v>12</v>
      </c>
      <c r="Q25" s="281">
        <f>$I$25*($R$4+$R$5)</f>
        <v>560</v>
      </c>
      <c r="R25" s="282">
        <f>Q25/$E$18</f>
        <v>112</v>
      </c>
      <c r="S25" s="151">
        <f>AVERAGE(L25,O25,R25)</f>
        <v>112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394</v>
      </c>
      <c r="G26" s="374">
        <f>ROUND(G25*Labor!$D$7,0)</f>
        <v>0</v>
      </c>
      <c r="H26" s="374">
        <f>ROUND(H25*Labor!$D$8,0)</f>
        <v>0</v>
      </c>
      <c r="I26" s="375">
        <f>SUM(C26:H26)</f>
        <v>394</v>
      </c>
      <c r="J26" s="332">
        <f>HLOOKUP(Labor!$B$11,InflationTable,2)*I26</f>
        <v>472.012</v>
      </c>
      <c r="K26" s="296">
        <f>J26*($L$4+$L$5)</f>
        <v>33040.839999999997</v>
      </c>
      <c r="L26" s="297">
        <f>K26/$E$18</f>
        <v>6608.1679999999997</v>
      </c>
      <c r="M26" s="376">
        <f>HLOOKUP(Labor!$B$11,InflationTable,3)*$I26</f>
        <v>481.86200000000002</v>
      </c>
      <c r="N26" s="377">
        <f>M26*$L$4</f>
        <v>15419.584000000001</v>
      </c>
      <c r="O26" s="378">
        <f>N26/$E$18</f>
        <v>3083.9168</v>
      </c>
      <c r="P26" s="332">
        <f>HLOOKUP(Labor!$B$11,InflationTable,4)*$I26</f>
        <v>491.31800000000004</v>
      </c>
      <c r="Q26" s="296">
        <f>P26*$L$4</f>
        <v>15722.176000000001</v>
      </c>
      <c r="R26" s="390">
        <f>Q26/$E$18</f>
        <v>3144.4352000000003</v>
      </c>
      <c r="S26" s="391">
        <f>AVERAGE(L26,O26,R26)</f>
        <v>4278.84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10</v>
      </c>
      <c r="G27" s="365">
        <v>5</v>
      </c>
      <c r="H27" s="365">
        <v>0</v>
      </c>
      <c r="I27" s="366">
        <f>SUM(C27:H27)</f>
        <v>15</v>
      </c>
      <c r="J27" s="293" t="s">
        <v>12</v>
      </c>
      <c r="K27" s="334">
        <f>I27*$L$4</f>
        <v>480</v>
      </c>
      <c r="L27" s="294">
        <f>K27/$E$18</f>
        <v>96</v>
      </c>
      <c r="M27" s="61" t="s">
        <v>12</v>
      </c>
      <c r="N27" s="348">
        <f>I27*$O$4</f>
        <v>480</v>
      </c>
      <c r="O27" s="62">
        <f>N27/$E$18</f>
        <v>96</v>
      </c>
      <c r="P27" s="293" t="s">
        <v>12</v>
      </c>
      <c r="Q27" s="327">
        <f>$I27*$O$4</f>
        <v>480</v>
      </c>
      <c r="R27" s="367">
        <f>Q27/$E$18</f>
        <v>96</v>
      </c>
      <c r="S27" s="129">
        <f>AVERAGE(L27,O27,R27)</f>
        <v>96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493</v>
      </c>
      <c r="G28" s="374">
        <f>ROUND(G27*Labor!$D$7,0)</f>
        <v>277</v>
      </c>
      <c r="H28" s="374">
        <f>ROUND(H27*Labor!$D$8,0)</f>
        <v>0</v>
      </c>
      <c r="I28" s="375">
        <f>SUM(C28:H28)</f>
        <v>770</v>
      </c>
      <c r="J28" s="332">
        <f>HLOOKUP(Labor!$B$11,InflationTable,2)*I28</f>
        <v>922.45999999999992</v>
      </c>
      <c r="K28" s="296">
        <f>J28*$L$4</f>
        <v>29518.719999999998</v>
      </c>
      <c r="L28" s="297">
        <f>K28/$E$18</f>
        <v>5903.7439999999997</v>
      </c>
      <c r="M28" s="376">
        <f>HLOOKUP(Labor!$B$11,InflationTable,3)*$I28</f>
        <v>941.71</v>
      </c>
      <c r="N28" s="377">
        <f>M28*$O$4</f>
        <v>30134.720000000001</v>
      </c>
      <c r="O28" s="378">
        <f>N28/$E$18</f>
        <v>6026.9440000000004</v>
      </c>
      <c r="P28" s="339">
        <f>HLOOKUP(Labor!$B$11,InflationTable,4)*$I28</f>
        <v>960.19</v>
      </c>
      <c r="Q28" s="296">
        <f>P28*$R$4</f>
        <v>30726.080000000002</v>
      </c>
      <c r="R28" s="297">
        <f>Q28/$E$18</f>
        <v>6145.2160000000003</v>
      </c>
      <c r="S28" s="211">
        <f>AVERAGE(L28,O28,R28)</f>
        <v>6025.3013333333338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18</v>
      </c>
      <c r="G29" s="33">
        <f t="shared" si="1"/>
        <v>5</v>
      </c>
      <c r="H29" s="33">
        <f t="shared" si="1"/>
        <v>0</v>
      </c>
      <c r="I29" s="49">
        <f t="shared" si="1"/>
        <v>23</v>
      </c>
      <c r="J29" s="284" t="s">
        <v>12</v>
      </c>
      <c r="K29" s="285">
        <f>K25+K27</f>
        <v>1040</v>
      </c>
      <c r="L29" s="286">
        <f>L25+L27</f>
        <v>208</v>
      </c>
      <c r="M29" s="44" t="s">
        <v>12</v>
      </c>
      <c r="N29" s="33">
        <f>N25+N27</f>
        <v>1040</v>
      </c>
      <c r="O29" s="40">
        <f>O25+O27</f>
        <v>208</v>
      </c>
      <c r="P29" s="284" t="s">
        <v>12</v>
      </c>
      <c r="Q29" s="285">
        <f>Q25+Q27</f>
        <v>1040</v>
      </c>
      <c r="R29" s="286">
        <f>R25+R27</f>
        <v>208</v>
      </c>
      <c r="S29" s="175">
        <f>AVERAGE(L29,O29,R29)</f>
        <v>208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887</v>
      </c>
      <c r="G30" s="240">
        <f t="shared" si="2"/>
        <v>277</v>
      </c>
      <c r="H30" s="240">
        <f t="shared" si="2"/>
        <v>0</v>
      </c>
      <c r="I30" s="241">
        <f t="shared" si="2"/>
        <v>1164</v>
      </c>
      <c r="J30" s="274">
        <f t="shared" si="2"/>
        <v>1394.472</v>
      </c>
      <c r="K30" s="285">
        <f>K26+K28</f>
        <v>62559.56</v>
      </c>
      <c r="L30" s="276">
        <f>L28+L26+L23+L21+L22</f>
        <v>431654.73440000002</v>
      </c>
      <c r="M30" s="242">
        <f>M28+M26</f>
        <v>1423.5720000000001</v>
      </c>
      <c r="N30" s="33">
        <f>N26+N28</f>
        <v>45554.304000000004</v>
      </c>
      <c r="O30" s="243">
        <f>O28+O26+O23+O21+O22</f>
        <v>413518.80320000002</v>
      </c>
      <c r="P30" s="274">
        <f>P28+P26</f>
        <v>1451.508</v>
      </c>
      <c r="Q30" s="285">
        <f>Q26+Q28</f>
        <v>46448.256000000001</v>
      </c>
      <c r="R30" s="276">
        <f>R28+R26+R23+R21+R22</f>
        <v>421633.64480000001</v>
      </c>
      <c r="S30" s="248">
        <f>SUM(S28,S26)</f>
        <v>10304.141333333333</v>
      </c>
      <c r="T30" s="249" t="s">
        <v>12</v>
      </c>
      <c r="U30" s="250">
        <f>SUM(U21:U23)</f>
        <v>411964.91946666664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22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1395" t="s">
        <v>61</v>
      </c>
      <c r="K33" s="1434" t="s">
        <v>57</v>
      </c>
      <c r="L33" s="1435"/>
      <c r="M33" s="1392" t="s">
        <v>61</v>
      </c>
      <c r="N33" s="1429" t="s">
        <v>57</v>
      </c>
      <c r="O33" s="1430"/>
      <c r="P33" s="1395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B34" s="611" t="s">
        <v>18</v>
      </c>
      <c r="C34" s="1389" t="s">
        <v>60</v>
      </c>
      <c r="D34" s="1389" t="s">
        <v>62</v>
      </c>
      <c r="E34" s="9"/>
      <c r="F34" s="72"/>
      <c r="G34" s="72"/>
      <c r="H34" s="72"/>
      <c r="I34" s="37"/>
      <c r="J34" s="1393" t="s">
        <v>56</v>
      </c>
      <c r="K34" s="1393" t="s">
        <v>13</v>
      </c>
      <c r="L34" s="1394" t="s">
        <v>68</v>
      </c>
      <c r="M34" s="77" t="s">
        <v>56</v>
      </c>
      <c r="N34" s="1396" t="s">
        <v>13</v>
      </c>
      <c r="O34" s="1397" t="s">
        <v>68</v>
      </c>
      <c r="P34" s="260" t="s">
        <v>56</v>
      </c>
      <c r="Q34" s="1393" t="s">
        <v>13</v>
      </c>
      <c r="R34" s="1394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16000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19168</v>
      </c>
      <c r="K35" s="355">
        <f>J35*$L$4</f>
        <v>613376</v>
      </c>
      <c r="L35" s="308">
        <f>K35</f>
        <v>613376</v>
      </c>
      <c r="M35" s="171">
        <f>HLOOKUP($D$35,InflationTable,3)*$C$35</f>
        <v>19568</v>
      </c>
      <c r="N35" s="357">
        <f>M35*$O$4</f>
        <v>626176</v>
      </c>
      <c r="O35" s="95">
        <f>N35</f>
        <v>626176</v>
      </c>
      <c r="P35" s="355">
        <f>HLOOKUP($D$35,InflationTable,4)*$C$35</f>
        <v>19952</v>
      </c>
      <c r="Q35" s="355">
        <f>P35*$R$4</f>
        <v>638464</v>
      </c>
      <c r="R35" s="308">
        <f>Q35</f>
        <v>638464</v>
      </c>
      <c r="S35" s="359" t="s">
        <v>12</v>
      </c>
      <c r="T35" s="360">
        <f>AVERAGE(L35,O35,R35)</f>
        <v>626005.33333333337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88</v>
      </c>
      <c r="G37" s="21">
        <v>0</v>
      </c>
      <c r="H37" s="21">
        <v>0</v>
      </c>
      <c r="I37" s="48">
        <f>SUM(C37:H37)</f>
        <v>88</v>
      </c>
      <c r="J37" s="299" t="s">
        <v>12</v>
      </c>
      <c r="K37" s="281">
        <f>I37*$L$4</f>
        <v>2816</v>
      </c>
      <c r="L37" s="289">
        <f>K37</f>
        <v>2816</v>
      </c>
      <c r="M37" s="58" t="s">
        <v>12</v>
      </c>
      <c r="N37" s="69">
        <f>$I$37*$O$4</f>
        <v>2816</v>
      </c>
      <c r="O37" s="68">
        <f>N37</f>
        <v>2816</v>
      </c>
      <c r="P37" s="299" t="s">
        <v>12</v>
      </c>
      <c r="Q37" s="281">
        <f>$I$37*$R$4</f>
        <v>2816</v>
      </c>
      <c r="R37" s="289">
        <f>Q37</f>
        <v>2816</v>
      </c>
      <c r="S37" s="121">
        <f>AVERAGE(L37,O37,R37)</f>
        <v>2816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4335</v>
      </c>
      <c r="G38" s="374">
        <f>ROUND(G37*Labor!$D$7,0)</f>
        <v>0</v>
      </c>
      <c r="H38" s="374">
        <f>ROUND(H37*Labor!$D$8,0)</f>
        <v>0</v>
      </c>
      <c r="I38" s="375">
        <f>SUM(C38:H38)</f>
        <v>4335</v>
      </c>
      <c r="J38" s="296">
        <f>HLOOKUP(Labor!$B$11,InflationTable,2)*I38</f>
        <v>5193.33</v>
      </c>
      <c r="K38" s="296">
        <f>J38*$L$4</f>
        <v>166186.56</v>
      </c>
      <c r="L38" s="390">
        <f>K38</f>
        <v>166186.56</v>
      </c>
      <c r="M38" s="376">
        <f>HLOOKUP(Labor!$B$11,InflationTable,3)*I38</f>
        <v>5301.7049999999999</v>
      </c>
      <c r="N38" s="377">
        <f>M38*$O$4</f>
        <v>169654.56</v>
      </c>
      <c r="O38" s="378">
        <f>N38</f>
        <v>169654.56</v>
      </c>
      <c r="P38" s="296">
        <f>HLOOKUP(Labor!$B$11,InflationTable,4)*$I$38</f>
        <v>5405.7450000000008</v>
      </c>
      <c r="Q38" s="296">
        <f>P38*$R$4</f>
        <v>172983.84000000003</v>
      </c>
      <c r="R38" s="390">
        <f>Q38</f>
        <v>172983.84000000003</v>
      </c>
      <c r="S38" s="211">
        <f>AVERAGE(L38,O38,R38)</f>
        <v>169608.32000000001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39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88</v>
      </c>
      <c r="G39" s="36">
        <f t="shared" si="3"/>
        <v>0</v>
      </c>
      <c r="H39" s="36">
        <f t="shared" si="3"/>
        <v>0</v>
      </c>
      <c r="I39" s="51">
        <f t="shared" si="3"/>
        <v>88</v>
      </c>
      <c r="J39" s="307" t="s">
        <v>12</v>
      </c>
      <c r="K39" s="302">
        <f>K37</f>
        <v>2816</v>
      </c>
      <c r="L39" s="303">
        <f>L37</f>
        <v>2816</v>
      </c>
      <c r="M39" s="85" t="s">
        <v>12</v>
      </c>
      <c r="N39" s="82">
        <f>N37</f>
        <v>2816</v>
      </c>
      <c r="O39" s="96">
        <f>O37</f>
        <v>2816</v>
      </c>
      <c r="P39" s="301" t="s">
        <v>12</v>
      </c>
      <c r="Q39" s="302">
        <f>Q37</f>
        <v>2816</v>
      </c>
      <c r="R39" s="303">
        <f>R37</f>
        <v>2816</v>
      </c>
      <c r="S39" s="96">
        <f>S37</f>
        <v>2816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" si="4">C39</f>
        <v>0</v>
      </c>
      <c r="D40" s="240">
        <f>D38</f>
        <v>0</v>
      </c>
      <c r="E40" s="240">
        <f>E38</f>
        <v>0</v>
      </c>
      <c r="F40" s="240">
        <f>F38</f>
        <v>4335</v>
      </c>
      <c r="G40" s="240">
        <f>G38</f>
        <v>0</v>
      </c>
      <c r="H40" s="240">
        <f>H38</f>
        <v>0</v>
      </c>
      <c r="I40" s="251">
        <f>I38+C35</f>
        <v>20335</v>
      </c>
      <c r="J40" s="305">
        <f t="shared" ref="J40:R40" si="5">J38+J35</f>
        <v>24361.33</v>
      </c>
      <c r="K40" s="305">
        <f t="shared" si="5"/>
        <v>779562.56</v>
      </c>
      <c r="L40" s="306">
        <f t="shared" si="5"/>
        <v>779562.56</v>
      </c>
      <c r="M40" s="252">
        <f t="shared" si="5"/>
        <v>24869.705000000002</v>
      </c>
      <c r="N40" s="253">
        <f t="shared" si="5"/>
        <v>795830.56</v>
      </c>
      <c r="O40" s="254">
        <f t="shared" si="5"/>
        <v>795830.56</v>
      </c>
      <c r="P40" s="304">
        <f t="shared" si="5"/>
        <v>25357.745000000003</v>
      </c>
      <c r="Q40" s="305">
        <f t="shared" si="5"/>
        <v>811447.84000000008</v>
      </c>
      <c r="R40" s="306">
        <f t="shared" si="5"/>
        <v>811447.84000000008</v>
      </c>
      <c r="S40" s="255">
        <f>AVERAGE(L40,O40,R40)</f>
        <v>795613.65333333332</v>
      </c>
      <c r="T40" s="251">
        <f>T35</f>
        <v>626005.33333333337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24</v>
      </c>
      <c r="C42" s="5"/>
      <c r="D42" s="5"/>
      <c r="E42" s="5"/>
      <c r="F42" s="112" t="s">
        <v>6</v>
      </c>
      <c r="G42" s="1412"/>
      <c r="H42" s="1413"/>
      <c r="I42" s="1414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15"/>
      <c r="H43" s="1415"/>
      <c r="I43" s="1416"/>
      <c r="J43" s="1395" t="s">
        <v>61</v>
      </c>
      <c r="K43" s="1419" t="s">
        <v>57</v>
      </c>
      <c r="L43" s="1420"/>
      <c r="M43" s="1392" t="s">
        <v>61</v>
      </c>
      <c r="N43" s="1429" t="s">
        <v>57</v>
      </c>
      <c r="O43" s="1430"/>
      <c r="P43" s="1395" t="s">
        <v>61</v>
      </c>
      <c r="Q43" s="1419" t="s">
        <v>57</v>
      </c>
      <c r="R43" s="1420"/>
      <c r="S43" s="131"/>
      <c r="T43" s="37"/>
      <c r="U43" s="138"/>
    </row>
    <row r="44" spans="1:21">
      <c r="A44" s="615"/>
      <c r="B44" s="611" t="s">
        <v>19</v>
      </c>
      <c r="C44" s="1389" t="s">
        <v>60</v>
      </c>
      <c r="D44" s="1389" t="s">
        <v>62</v>
      </c>
      <c r="E44" s="9"/>
      <c r="F44" s="72"/>
      <c r="G44" s="72"/>
      <c r="H44" s="72"/>
      <c r="I44" s="73"/>
      <c r="J44" s="260" t="s">
        <v>56</v>
      </c>
      <c r="K44" s="1393" t="s">
        <v>13</v>
      </c>
      <c r="L44" s="1394" t="s">
        <v>68</v>
      </c>
      <c r="M44" s="77" t="s">
        <v>56</v>
      </c>
      <c r="N44" s="1396" t="s">
        <v>13</v>
      </c>
      <c r="O44" s="1397" t="s">
        <v>68</v>
      </c>
      <c r="P44" s="260" t="s">
        <v>56</v>
      </c>
      <c r="Q44" s="1393" t="s">
        <v>13</v>
      </c>
      <c r="R44" s="1394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3000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3594</v>
      </c>
      <c r="K45" s="355">
        <f>J45*$L$4</f>
        <v>115008</v>
      </c>
      <c r="L45" s="308">
        <f>K45</f>
        <v>115008</v>
      </c>
      <c r="M45" s="357">
        <f>HLOOKUP($D$45,InflationTable,3)*$C$45</f>
        <v>3669.0000000000005</v>
      </c>
      <c r="N45" s="357">
        <f>M45*$O$4</f>
        <v>117408.00000000001</v>
      </c>
      <c r="O45" s="95">
        <f>N45</f>
        <v>117408.00000000001</v>
      </c>
      <c r="P45" s="358">
        <f>HLOOKUP($D$45,InflationTable,4)*$C$45</f>
        <v>3741.0000000000005</v>
      </c>
      <c r="Q45" s="355">
        <f>P45*$R$4</f>
        <v>119712.00000000001</v>
      </c>
      <c r="R45" s="308">
        <f>Q45</f>
        <v>119712.00000000001</v>
      </c>
      <c r="S45" s="359" t="s">
        <v>12</v>
      </c>
      <c r="T45" s="360">
        <f>AVERAGE(L45,O45,R45)</f>
        <v>117376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24</v>
      </c>
      <c r="G47" s="21">
        <v>8</v>
      </c>
      <c r="H47" s="21">
        <v>0</v>
      </c>
      <c r="I47" s="52">
        <f>SUM(C47:H47)</f>
        <v>32</v>
      </c>
      <c r="J47" s="263" t="s">
        <v>12</v>
      </c>
      <c r="K47" s="281">
        <f>I47*$L$4</f>
        <v>1024</v>
      </c>
      <c r="L47" s="289">
        <f>K47</f>
        <v>1024</v>
      </c>
      <c r="M47" s="58" t="s">
        <v>12</v>
      </c>
      <c r="N47" s="69">
        <f>$I$47*$O$4</f>
        <v>1024</v>
      </c>
      <c r="O47" s="68">
        <f>N47</f>
        <v>1024</v>
      </c>
      <c r="P47" s="263" t="s">
        <v>12</v>
      </c>
      <c r="Q47" s="281">
        <f>$I$47*$R$4</f>
        <v>1024</v>
      </c>
      <c r="R47" s="289">
        <f>Q47</f>
        <v>1024</v>
      </c>
      <c r="S47" s="121">
        <f>AVERAGE(L47,O47,R47)</f>
        <v>1024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1182</v>
      </c>
      <c r="G48" s="35">
        <f>ROUND(G47*Labor!$D$7,0)</f>
        <v>444</v>
      </c>
      <c r="H48" s="35">
        <f>ROUND(H47*Labor!$D$8,0)</f>
        <v>0</v>
      </c>
      <c r="I48" s="39">
        <f>SUM(C48:H48)</f>
        <v>1626</v>
      </c>
      <c r="J48" s="292">
        <f>HLOOKUP(Labor!$B$11,InflationTable,2)*I48</f>
        <v>1947.9479999999999</v>
      </c>
      <c r="K48" s="269">
        <f>J48*$L$4</f>
        <v>62334.335999999996</v>
      </c>
      <c r="L48" s="308">
        <f>K48</f>
        <v>62334.335999999996</v>
      </c>
      <c r="M48" s="84">
        <f>HLOOKUP(Labor!$B$11,InflationTable,3)*$I$48</f>
        <v>1988.5980000000002</v>
      </c>
      <c r="N48" s="63">
        <f>M48*$O$4</f>
        <v>63635.136000000006</v>
      </c>
      <c r="O48" s="95">
        <f>N48</f>
        <v>63635.136000000006</v>
      </c>
      <c r="P48" s="268">
        <f>HLOOKUP(Labor!$B$11,InflationTable,4)*$I$48</f>
        <v>2027.6220000000001</v>
      </c>
      <c r="Q48" s="269">
        <f>P48*$O$4</f>
        <v>64883.904000000002</v>
      </c>
      <c r="R48" s="308">
        <f>Q48</f>
        <v>64883.904000000002</v>
      </c>
      <c r="S48" s="128">
        <f>AVERAGE(L48,O48,R48)</f>
        <v>63617.792000000009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48</v>
      </c>
      <c r="G49" s="346">
        <v>16</v>
      </c>
      <c r="H49" s="346">
        <v>0</v>
      </c>
      <c r="I49" s="347">
        <f>SUM(C49:H49)</f>
        <v>64</v>
      </c>
      <c r="J49" s="293" t="s">
        <v>12</v>
      </c>
      <c r="K49" s="327">
        <f>I49*$L$4</f>
        <v>2048</v>
      </c>
      <c r="L49" s="328">
        <f>K49</f>
        <v>2048</v>
      </c>
      <c r="M49" s="61" t="s">
        <v>12</v>
      </c>
      <c r="N49" s="348">
        <f>$I$49*$O$4</f>
        <v>2048</v>
      </c>
      <c r="O49" s="349">
        <f>N49</f>
        <v>2048</v>
      </c>
      <c r="P49" s="293" t="s">
        <v>12</v>
      </c>
      <c r="Q49" s="327">
        <f>$I$49*$R$4</f>
        <v>2048</v>
      </c>
      <c r="R49" s="328">
        <f>Q49</f>
        <v>2048</v>
      </c>
      <c r="S49" s="129">
        <f>AVERAGE(L49,O49,R49)</f>
        <v>2048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2365</v>
      </c>
      <c r="G50" s="35">
        <f>ROUND(G49*Labor!$D$7,0)</f>
        <v>887</v>
      </c>
      <c r="H50" s="35">
        <f>ROUND(H49*Labor!$D$8,0)</f>
        <v>0</v>
      </c>
      <c r="I50" s="39">
        <f>SUM(C50:H50)</f>
        <v>3252</v>
      </c>
      <c r="J50" s="268">
        <f>HLOOKUP(Labor!$B$11,InflationTable,2)*$I$50</f>
        <v>3895.8959999999997</v>
      </c>
      <c r="K50" s="269">
        <f>J50*$L$4</f>
        <v>124668.67199999999</v>
      </c>
      <c r="L50" s="308">
        <f>K50</f>
        <v>124668.67199999999</v>
      </c>
      <c r="M50" s="84">
        <f>HLOOKUP(Labor!$B$11,InflationTable,3)*$I$50</f>
        <v>3977.1960000000004</v>
      </c>
      <c r="N50" s="63">
        <f>M50*$O$4</f>
        <v>127270.27200000001</v>
      </c>
      <c r="O50" s="95">
        <f>N50</f>
        <v>127270.27200000001</v>
      </c>
      <c r="P50" s="268">
        <f>HLOOKUP(Labor!$B$11,InflationTable,4)*$I$50</f>
        <v>4055.2440000000001</v>
      </c>
      <c r="Q50" s="269">
        <f>P50*$R$4</f>
        <v>129767.808</v>
      </c>
      <c r="R50" s="308">
        <f>Q50</f>
        <v>129767.808</v>
      </c>
      <c r="S50" s="132">
        <f>AVERAGE(L50,O50,R50)</f>
        <v>127235.58400000002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72</v>
      </c>
      <c r="G51" s="36">
        <f t="shared" si="6"/>
        <v>24</v>
      </c>
      <c r="H51" s="36">
        <f t="shared" si="6"/>
        <v>0</v>
      </c>
      <c r="I51" s="46">
        <f t="shared" si="6"/>
        <v>96</v>
      </c>
      <c r="J51" s="301" t="s">
        <v>12</v>
      </c>
      <c r="K51" s="309">
        <f>K47+K49</f>
        <v>3072</v>
      </c>
      <c r="L51" s="310">
        <f>L47+L49</f>
        <v>3072</v>
      </c>
      <c r="M51" s="85" t="s">
        <v>12</v>
      </c>
      <c r="N51" s="86">
        <f>N47+N49</f>
        <v>3072</v>
      </c>
      <c r="O51" s="97">
        <f>O47+O49</f>
        <v>3072</v>
      </c>
      <c r="P51" s="301" t="s">
        <v>12</v>
      </c>
      <c r="Q51" s="309">
        <f>Q47+Q49</f>
        <v>3072</v>
      </c>
      <c r="R51" s="310">
        <f>R47+R49</f>
        <v>3072</v>
      </c>
      <c r="S51" s="121">
        <f>AVERAGE(L51,O51,R51)</f>
        <v>3072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si="6"/>
        <v>0</v>
      </c>
      <c r="D52" s="240">
        <f t="shared" si="6"/>
        <v>0</v>
      </c>
      <c r="E52" s="240">
        <f t="shared" si="6"/>
        <v>0</v>
      </c>
      <c r="F52" s="240">
        <f t="shared" si="6"/>
        <v>3547</v>
      </c>
      <c r="G52" s="240">
        <f t="shared" si="6"/>
        <v>1331</v>
      </c>
      <c r="H52" s="240">
        <f t="shared" si="6"/>
        <v>0</v>
      </c>
      <c r="I52" s="222">
        <f>I50+I48+C45</f>
        <v>7878</v>
      </c>
      <c r="J52" s="311">
        <f t="shared" ref="J52:R52" si="7">J50+J48+J45</f>
        <v>9437.8439999999991</v>
      </c>
      <c r="K52" s="305">
        <f t="shared" si="7"/>
        <v>302011.00799999997</v>
      </c>
      <c r="L52" s="306">
        <f t="shared" si="7"/>
        <v>302011.00799999997</v>
      </c>
      <c r="M52" s="252">
        <f t="shared" si="7"/>
        <v>9634.7940000000017</v>
      </c>
      <c r="N52" s="253">
        <f t="shared" si="7"/>
        <v>308313.40800000005</v>
      </c>
      <c r="O52" s="254">
        <f t="shared" si="7"/>
        <v>308313.40800000005</v>
      </c>
      <c r="P52" s="311">
        <f t="shared" si="7"/>
        <v>9823.866</v>
      </c>
      <c r="Q52" s="305">
        <f t="shared" si="7"/>
        <v>314363.712</v>
      </c>
      <c r="R52" s="306">
        <f t="shared" si="7"/>
        <v>314363.712</v>
      </c>
      <c r="S52" s="248">
        <f>S50+S48</f>
        <v>190853.37600000002</v>
      </c>
      <c r="T52" s="251">
        <f>T45</f>
        <v>117376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564" t="s">
        <v>26</v>
      </c>
      <c r="C54" s="5"/>
      <c r="D54" s="5"/>
      <c r="E54" s="5"/>
      <c r="F54" s="112" t="s">
        <v>6</v>
      </c>
      <c r="G54" s="1412"/>
      <c r="H54" s="1413"/>
      <c r="I54" s="1414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1395" t="s">
        <v>61</v>
      </c>
      <c r="K55" s="1419" t="s">
        <v>57</v>
      </c>
      <c r="L55" s="1420"/>
      <c r="M55" s="1392" t="s">
        <v>61</v>
      </c>
      <c r="N55" s="1429" t="s">
        <v>57</v>
      </c>
      <c r="O55" s="1430"/>
      <c r="P55" s="1395" t="s">
        <v>61</v>
      </c>
      <c r="Q55" s="1419" t="s">
        <v>57</v>
      </c>
      <c r="R55" s="1420"/>
      <c r="S55" s="131"/>
      <c r="T55" s="37"/>
      <c r="U55" s="138"/>
    </row>
    <row r="56" spans="2:21">
      <c r="B56" s="563" t="s">
        <v>27</v>
      </c>
      <c r="C56" s="1389" t="s">
        <v>45</v>
      </c>
      <c r="D56" s="1396" t="s">
        <v>46</v>
      </c>
      <c r="E56" s="1389" t="s">
        <v>47</v>
      </c>
      <c r="F56" s="1389" t="s">
        <v>48</v>
      </c>
      <c r="G56" s="1389" t="s">
        <v>49</v>
      </c>
      <c r="H56" s="1389" t="s">
        <v>50</v>
      </c>
      <c r="I56" s="45" t="s">
        <v>13</v>
      </c>
      <c r="J56" s="260" t="s">
        <v>56</v>
      </c>
      <c r="K56" s="1393" t="s">
        <v>13</v>
      </c>
      <c r="L56" s="1394" t="s">
        <v>68</v>
      </c>
      <c r="M56" s="77" t="s">
        <v>56</v>
      </c>
      <c r="N56" s="1396" t="s">
        <v>13</v>
      </c>
      <c r="O56" s="1397" t="s">
        <v>68</v>
      </c>
      <c r="P56" s="260" t="s">
        <v>56</v>
      </c>
      <c r="Q56" s="1393" t="s">
        <v>13</v>
      </c>
      <c r="R56" s="1394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24</v>
      </c>
      <c r="G57" s="21">
        <v>0</v>
      </c>
      <c r="H57" s="21">
        <v>0</v>
      </c>
      <c r="I57" s="52">
        <f t="shared" ref="I57:I64" si="8">SUM(C57:H57)</f>
        <v>24</v>
      </c>
      <c r="J57" s="263" t="s">
        <v>12</v>
      </c>
      <c r="K57" s="281">
        <f>I57*$L$4</f>
        <v>768</v>
      </c>
      <c r="L57" s="289">
        <f t="shared" ref="L57:L64" si="9">K57</f>
        <v>768</v>
      </c>
      <c r="M57" s="58" t="s">
        <v>12</v>
      </c>
      <c r="N57" s="69">
        <f>$I$57*$O$4</f>
        <v>768</v>
      </c>
      <c r="O57" s="68">
        <f t="shared" ref="O57:O64" si="10">N57</f>
        <v>768</v>
      </c>
      <c r="P57" s="263" t="s">
        <v>12</v>
      </c>
      <c r="Q57" s="281">
        <f>$I$57*$R$4</f>
        <v>768</v>
      </c>
      <c r="R57" s="289">
        <f t="shared" ref="R57:R64" si="11">Q57</f>
        <v>768</v>
      </c>
      <c r="S57" s="121">
        <f t="shared" ref="S57:S66" si="12">AVERAGE(L57,O57,R57)</f>
        <v>768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1182</v>
      </c>
      <c r="G58" s="35">
        <f>ROUND(G57*Labor!$D$7,0)</f>
        <v>0</v>
      </c>
      <c r="H58" s="35">
        <f>ROUND(H57*Labor!$D$8,0)</f>
        <v>0</v>
      </c>
      <c r="I58" s="39">
        <f t="shared" si="8"/>
        <v>1182</v>
      </c>
      <c r="J58" s="268">
        <f>HLOOKUP(Labor!$B$11,InflationTable,2)*I58</f>
        <v>1416.0360000000001</v>
      </c>
      <c r="K58" s="269">
        <f>J58*$L$4</f>
        <v>45313.152000000002</v>
      </c>
      <c r="L58" s="308">
        <f t="shared" si="9"/>
        <v>45313.152000000002</v>
      </c>
      <c r="M58" s="84">
        <f>HLOOKUP(Labor!$B$11,InflationTable,3)*$I$58</f>
        <v>1445.586</v>
      </c>
      <c r="N58" s="63">
        <f>M58*$L$4</f>
        <v>46258.752</v>
      </c>
      <c r="O58" s="95">
        <f t="shared" si="10"/>
        <v>46258.752</v>
      </c>
      <c r="P58" s="268">
        <f>HLOOKUP(Labor!$B$11,InflationTable,4)*$I$58</f>
        <v>1473.9540000000002</v>
      </c>
      <c r="Q58" s="269">
        <f>P58*$R$4</f>
        <v>47166.528000000006</v>
      </c>
      <c r="R58" s="308">
        <f t="shared" si="11"/>
        <v>47166.528000000006</v>
      </c>
      <c r="S58" s="128">
        <f t="shared" si="12"/>
        <v>46246.144000000008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8</v>
      </c>
      <c r="G59" s="346">
        <v>1</v>
      </c>
      <c r="H59" s="346">
        <v>1</v>
      </c>
      <c r="I59" s="347">
        <f t="shared" si="8"/>
        <v>10</v>
      </c>
      <c r="J59" s="293" t="s">
        <v>12</v>
      </c>
      <c r="K59" s="327">
        <f>I59*$L$4</f>
        <v>320</v>
      </c>
      <c r="L59" s="328">
        <f t="shared" si="9"/>
        <v>320</v>
      </c>
      <c r="M59" s="61" t="s">
        <v>12</v>
      </c>
      <c r="N59" s="348">
        <f>$I$59*$O$4</f>
        <v>320</v>
      </c>
      <c r="O59" s="349">
        <f t="shared" si="10"/>
        <v>320</v>
      </c>
      <c r="P59" s="293" t="s">
        <v>12</v>
      </c>
      <c r="Q59" s="327">
        <f>$I$59*$R$4</f>
        <v>320</v>
      </c>
      <c r="R59" s="328">
        <f t="shared" si="11"/>
        <v>320</v>
      </c>
      <c r="S59" s="129">
        <f t="shared" si="12"/>
        <v>320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394</v>
      </c>
      <c r="G60" s="35">
        <f>ROUND(G59*Labor!$D$7,0)</f>
        <v>55</v>
      </c>
      <c r="H60" s="35">
        <f>ROUND(H59*Labor!$D$8,0)</f>
        <v>59</v>
      </c>
      <c r="I60" s="39">
        <f t="shared" si="8"/>
        <v>508</v>
      </c>
      <c r="J60" s="292">
        <f>HLOOKUP(Labor!$B$11,InflationTable,2)*I60</f>
        <v>608.58399999999995</v>
      </c>
      <c r="K60" s="269">
        <f>J60*$L$4</f>
        <v>19474.687999999998</v>
      </c>
      <c r="L60" s="308">
        <f t="shared" si="9"/>
        <v>19474.687999999998</v>
      </c>
      <c r="M60" s="362">
        <f>HLOOKUP(Labor!$B$11,InflationTable,3)*I60</f>
        <v>621.28399999999999</v>
      </c>
      <c r="N60" s="63">
        <f>M60*$O$4</f>
        <v>19881.088</v>
      </c>
      <c r="O60" s="95">
        <f t="shared" si="10"/>
        <v>19881.088</v>
      </c>
      <c r="P60" s="268">
        <f>HLOOKUP(Labor!$B$11,InflationTable,4)*$I$60</f>
        <v>633.476</v>
      </c>
      <c r="Q60" s="269">
        <f>P60*$R$4</f>
        <v>20271.232</v>
      </c>
      <c r="R60" s="308">
        <f t="shared" si="11"/>
        <v>20271.232</v>
      </c>
      <c r="S60" s="128">
        <f t="shared" si="12"/>
        <v>19875.669333333335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0</v>
      </c>
      <c r="F61" s="346">
        <v>32</v>
      </c>
      <c r="G61" s="346">
        <v>8</v>
      </c>
      <c r="H61" s="346">
        <v>0</v>
      </c>
      <c r="I61" s="347">
        <f t="shared" si="8"/>
        <v>40</v>
      </c>
      <c r="J61" s="293" t="s">
        <v>12</v>
      </c>
      <c r="K61" s="327">
        <f>I61*$L$4</f>
        <v>1280</v>
      </c>
      <c r="L61" s="328">
        <f t="shared" si="9"/>
        <v>1280</v>
      </c>
      <c r="M61" s="61" t="s">
        <v>12</v>
      </c>
      <c r="N61" s="348">
        <f>$I$61*$O$4</f>
        <v>1280</v>
      </c>
      <c r="O61" s="349">
        <f t="shared" si="10"/>
        <v>1280</v>
      </c>
      <c r="P61" s="293" t="s">
        <v>12</v>
      </c>
      <c r="Q61" s="327">
        <f>$I$61*$R$4</f>
        <v>1280</v>
      </c>
      <c r="R61" s="328">
        <f t="shared" si="11"/>
        <v>1280</v>
      </c>
      <c r="S61" s="129">
        <f t="shared" si="12"/>
        <v>1280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0</v>
      </c>
      <c r="F62" s="35">
        <f>ROUND(F61*Labor!$D$6,0)</f>
        <v>1576</v>
      </c>
      <c r="G62" s="35">
        <f>ROUND(G61*Labor!$D$7,0)</f>
        <v>444</v>
      </c>
      <c r="H62" s="35">
        <f>ROUND(H61*Labor!$D$8,0)</f>
        <v>0</v>
      </c>
      <c r="I62" s="39">
        <f t="shared" si="8"/>
        <v>2020</v>
      </c>
      <c r="J62" s="292">
        <f>HLOOKUP(Labor!$B$11,InflationTable,2)*I62</f>
        <v>2419.96</v>
      </c>
      <c r="K62" s="269">
        <f>J62*$L$4</f>
        <v>77438.720000000001</v>
      </c>
      <c r="L62" s="308">
        <f t="shared" si="9"/>
        <v>77438.720000000001</v>
      </c>
      <c r="M62" s="84">
        <f>HLOOKUP(Labor!$B$11,InflationTable,3)*$I$62</f>
        <v>2470.46</v>
      </c>
      <c r="N62" s="63">
        <f>M62*$O$4</f>
        <v>79054.720000000001</v>
      </c>
      <c r="O62" s="95">
        <f t="shared" si="10"/>
        <v>79054.720000000001</v>
      </c>
      <c r="P62" s="268">
        <f>HLOOKUP(Labor!$B$11,InflationTable,4)*$I$62</f>
        <v>2518.94</v>
      </c>
      <c r="Q62" s="269">
        <f>P62*$R$4</f>
        <v>80606.080000000002</v>
      </c>
      <c r="R62" s="308">
        <f t="shared" si="11"/>
        <v>80606.080000000002</v>
      </c>
      <c r="S62" s="128">
        <f t="shared" si="12"/>
        <v>79033.17333333334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0</v>
      </c>
      <c r="F63" s="346">
        <v>70</v>
      </c>
      <c r="G63" s="346">
        <v>30</v>
      </c>
      <c r="H63" s="346">
        <v>10</v>
      </c>
      <c r="I63" s="347">
        <f t="shared" si="8"/>
        <v>110</v>
      </c>
      <c r="J63" s="293" t="s">
        <v>12</v>
      </c>
      <c r="K63" s="327">
        <f>I63*$L$4</f>
        <v>3520</v>
      </c>
      <c r="L63" s="328">
        <f t="shared" si="9"/>
        <v>3520</v>
      </c>
      <c r="M63" s="61" t="s">
        <v>12</v>
      </c>
      <c r="N63" s="348">
        <f>$I$63*$O$4</f>
        <v>3520</v>
      </c>
      <c r="O63" s="349">
        <f t="shared" si="10"/>
        <v>3520</v>
      </c>
      <c r="P63" s="293" t="s">
        <v>12</v>
      </c>
      <c r="Q63" s="327">
        <f>$I$63*$R$4</f>
        <v>3520</v>
      </c>
      <c r="R63" s="328">
        <f t="shared" si="11"/>
        <v>3520</v>
      </c>
      <c r="S63" s="129">
        <f t="shared" si="12"/>
        <v>3520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0</v>
      </c>
      <c r="F64" s="35">
        <f>ROUND(F63*Labor!$D$6,0)</f>
        <v>3448</v>
      </c>
      <c r="G64" s="35">
        <f>ROUND(G63*Labor!$D$7,0)</f>
        <v>1664</v>
      </c>
      <c r="H64" s="35">
        <f>ROUND(H63*Labor!$D$8,0)</f>
        <v>586</v>
      </c>
      <c r="I64" s="39">
        <f t="shared" si="8"/>
        <v>5698</v>
      </c>
      <c r="J64" s="268">
        <f>HLOOKUP(Labor!$B$11,InflationTable,2)*I64</f>
        <v>6826.2039999999997</v>
      </c>
      <c r="K64" s="269">
        <f>J64*$L$4</f>
        <v>218438.52799999999</v>
      </c>
      <c r="L64" s="300">
        <f t="shared" si="9"/>
        <v>218438.52799999999</v>
      </c>
      <c r="M64" s="84">
        <f>HLOOKUP(Labor!$B$11,InflationTable,3)*$I$64</f>
        <v>6968.6540000000005</v>
      </c>
      <c r="N64" s="63">
        <f>M64*$O$4</f>
        <v>222996.92800000001</v>
      </c>
      <c r="O64" s="98">
        <f t="shared" si="10"/>
        <v>222996.92800000001</v>
      </c>
      <c r="P64" s="268">
        <f>HLOOKUP(Labor!$B$11,InflationTable,4)*$I$64</f>
        <v>7105.4060000000009</v>
      </c>
      <c r="Q64" s="269">
        <f>P64*$R$4</f>
        <v>227372.99200000003</v>
      </c>
      <c r="R64" s="300">
        <f t="shared" si="11"/>
        <v>227372.99200000003</v>
      </c>
      <c r="S64" s="128">
        <f t="shared" si="12"/>
        <v>222936.14933333336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3">C57+C59+C61+C63</f>
        <v>0</v>
      </c>
      <c r="D65" s="36">
        <f t="shared" si="13"/>
        <v>0</v>
      </c>
      <c r="E65" s="36">
        <f t="shared" si="13"/>
        <v>0</v>
      </c>
      <c r="F65" s="36">
        <f t="shared" si="13"/>
        <v>134</v>
      </c>
      <c r="G65" s="36">
        <f t="shared" si="13"/>
        <v>39</v>
      </c>
      <c r="H65" s="36">
        <f t="shared" si="13"/>
        <v>11</v>
      </c>
      <c r="I65" s="46">
        <f t="shared" si="13"/>
        <v>184</v>
      </c>
      <c r="J65" s="301" t="s">
        <v>12</v>
      </c>
      <c r="K65" s="285">
        <f>K57+K59+K61+K63</f>
        <v>5888</v>
      </c>
      <c r="L65" s="312">
        <f>L57+L59+L61+L63</f>
        <v>5888</v>
      </c>
      <c r="M65" s="85" t="s">
        <v>12</v>
      </c>
      <c r="N65" s="33">
        <f>N57+N59+N61+N63</f>
        <v>5888</v>
      </c>
      <c r="O65" s="99">
        <f>O57+O59+O61+O63</f>
        <v>5888</v>
      </c>
      <c r="P65" s="301" t="s">
        <v>12</v>
      </c>
      <c r="Q65" s="285">
        <f>Q57+Q59+Q61+Q63</f>
        <v>5888</v>
      </c>
      <c r="R65" s="312">
        <f>R57+R59+R61+R63</f>
        <v>5888</v>
      </c>
      <c r="S65" s="129">
        <f t="shared" si="12"/>
        <v>5888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3"/>
        <v>0</v>
      </c>
      <c r="D66" s="240">
        <f t="shared" si="13"/>
        <v>0</v>
      </c>
      <c r="E66" s="240">
        <f t="shared" si="13"/>
        <v>0</v>
      </c>
      <c r="F66" s="240">
        <f t="shared" si="13"/>
        <v>6600</v>
      </c>
      <c r="G66" s="240">
        <f t="shared" si="13"/>
        <v>2163</v>
      </c>
      <c r="H66" s="240">
        <f t="shared" si="13"/>
        <v>645</v>
      </c>
      <c r="I66" s="243">
        <f t="shared" si="13"/>
        <v>9408</v>
      </c>
      <c r="J66" s="313">
        <f>J58+J60+J62+J64</f>
        <v>11270.784</v>
      </c>
      <c r="K66" s="275">
        <f>K58+K60+K62+K64</f>
        <v>360665.08799999999</v>
      </c>
      <c r="L66" s="276">
        <f>L58+L60+L62+L64</f>
        <v>360665.08799999999</v>
      </c>
      <c r="M66" s="242">
        <f>M58+M60+M62+M64</f>
        <v>11505.984</v>
      </c>
      <c r="N66" s="240">
        <f>N58+N60+N62+N64</f>
        <v>368191.48800000001</v>
      </c>
      <c r="O66" s="243">
        <f>O58+O60+O62+O64</f>
        <v>368191.48800000001</v>
      </c>
      <c r="P66" s="313">
        <f>P58+P60+P62+P64</f>
        <v>11731.776000000002</v>
      </c>
      <c r="Q66" s="275">
        <f>Q58+Q60+Q62+Q64</f>
        <v>375416.83200000005</v>
      </c>
      <c r="R66" s="276">
        <f>R58+R60+R62+R64</f>
        <v>375416.83200000005</v>
      </c>
      <c r="S66" s="255">
        <f t="shared" si="12"/>
        <v>368091.136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28</v>
      </c>
      <c r="C69" s="5"/>
      <c r="D69" s="5"/>
      <c r="E69" s="5"/>
      <c r="F69" s="112" t="s">
        <v>6</v>
      </c>
      <c r="G69" s="1412"/>
      <c r="H69" s="1413"/>
      <c r="I69" s="1414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1395" t="s">
        <v>61</v>
      </c>
      <c r="K70" s="1419" t="s">
        <v>57</v>
      </c>
      <c r="L70" s="1420"/>
      <c r="M70" s="1392" t="s">
        <v>61</v>
      </c>
      <c r="N70" s="1429" t="s">
        <v>57</v>
      </c>
      <c r="O70" s="1433"/>
      <c r="P70" s="318" t="s">
        <v>61</v>
      </c>
      <c r="Q70" s="1419" t="s">
        <v>57</v>
      </c>
      <c r="R70" s="1420"/>
      <c r="S70" s="170"/>
      <c r="T70" s="133"/>
      <c r="U70" s="37"/>
    </row>
    <row r="71" spans="2:22">
      <c r="B71" s="557"/>
      <c r="C71" s="1389" t="s">
        <v>45</v>
      </c>
      <c r="D71" s="1396" t="s">
        <v>46</v>
      </c>
      <c r="E71" s="1389" t="s">
        <v>47</v>
      </c>
      <c r="F71" s="1389" t="s">
        <v>48</v>
      </c>
      <c r="G71" s="1389" t="s">
        <v>49</v>
      </c>
      <c r="H71" s="1389" t="s">
        <v>50</v>
      </c>
      <c r="I71" s="45" t="s">
        <v>13</v>
      </c>
      <c r="J71" s="260" t="s">
        <v>56</v>
      </c>
      <c r="K71" s="1393" t="s">
        <v>13</v>
      </c>
      <c r="L71" s="1394" t="s">
        <v>68</v>
      </c>
      <c r="M71" s="77" t="s">
        <v>56</v>
      </c>
      <c r="N71" s="1396" t="s">
        <v>13</v>
      </c>
      <c r="O71" s="1397" t="s">
        <v>68</v>
      </c>
      <c r="P71" s="260" t="s">
        <v>56</v>
      </c>
      <c r="Q71" s="1393" t="s">
        <v>13</v>
      </c>
      <c r="R71" s="1394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0</v>
      </c>
      <c r="F72" s="21">
        <v>8</v>
      </c>
      <c r="G72" s="21">
        <v>8</v>
      </c>
      <c r="H72" s="21">
        <v>0</v>
      </c>
      <c r="I72" s="52">
        <f>SUM(C72:H72)</f>
        <v>16</v>
      </c>
      <c r="J72" s="263" t="s">
        <v>12</v>
      </c>
      <c r="K72" s="281">
        <f>I72*$L$4</f>
        <v>512</v>
      </c>
      <c r="L72" s="289">
        <f>K72</f>
        <v>512</v>
      </c>
      <c r="M72" s="58" t="s">
        <v>12</v>
      </c>
      <c r="N72" s="69">
        <f>$I$72*$O$4</f>
        <v>512</v>
      </c>
      <c r="O72" s="68">
        <f>N72</f>
        <v>512</v>
      </c>
      <c r="P72" s="263" t="s">
        <v>12</v>
      </c>
      <c r="Q72" s="281">
        <f>$I$72*$O$4</f>
        <v>512</v>
      </c>
      <c r="R72" s="289">
        <f>Q72</f>
        <v>512</v>
      </c>
      <c r="S72" s="121">
        <f>AVERAGE(L72,O72,R72)</f>
        <v>512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0</v>
      </c>
      <c r="F73" s="35">
        <f>ROUND(F72*Labor!$D$6,0)</f>
        <v>394</v>
      </c>
      <c r="G73" s="35">
        <f>ROUND(G72*Labor!$D$7,0)</f>
        <v>444</v>
      </c>
      <c r="H73" s="35">
        <f>ROUND(H72*Labor!$D$8,0)</f>
        <v>0</v>
      </c>
      <c r="I73" s="39">
        <f>SUM(C73:H73)</f>
        <v>838</v>
      </c>
      <c r="J73" s="268">
        <f>HLOOKUP(Labor!$B$11,InflationTable,2)*I73</f>
        <v>1003.924</v>
      </c>
      <c r="K73" s="269">
        <f>J73*$L$4</f>
        <v>32125.567999999999</v>
      </c>
      <c r="L73" s="308">
        <f>K73</f>
        <v>32125.567999999999</v>
      </c>
      <c r="M73" s="362">
        <f>HLOOKUP(Labor!$B$11,InflationTable,3)*$I$73</f>
        <v>1024.874</v>
      </c>
      <c r="N73" s="63">
        <f>M73*$O$4</f>
        <v>32795.968000000001</v>
      </c>
      <c r="O73" s="95">
        <f>N73</f>
        <v>32795.968000000001</v>
      </c>
      <c r="P73" s="268">
        <f>HLOOKUP(Labor!$B$11,InflationTable,4)*$I73</f>
        <v>1044.9860000000001</v>
      </c>
      <c r="Q73" s="269">
        <f>P73*$R$4</f>
        <v>33439.552000000003</v>
      </c>
      <c r="R73" s="308">
        <f>Q73</f>
        <v>33439.552000000003</v>
      </c>
      <c r="S73" s="128">
        <f>AVERAGE(L73,O73,R73)</f>
        <v>32787.029333333332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0</v>
      </c>
      <c r="E74" s="346">
        <v>0</v>
      </c>
      <c r="F74" s="346">
        <v>16</v>
      </c>
      <c r="G74" s="346">
        <v>0</v>
      </c>
      <c r="H74" s="346">
        <v>0</v>
      </c>
      <c r="I74" s="347">
        <f>SUM(C74:H74)</f>
        <v>16</v>
      </c>
      <c r="J74" s="293" t="s">
        <v>12</v>
      </c>
      <c r="K74" s="327">
        <f>I74*$L$4</f>
        <v>512</v>
      </c>
      <c r="L74" s="328">
        <f>K74</f>
        <v>512</v>
      </c>
      <c r="M74" s="61" t="s">
        <v>12</v>
      </c>
      <c r="N74" s="348">
        <f>$I$74*$O$4</f>
        <v>512</v>
      </c>
      <c r="O74" s="349">
        <f>N74</f>
        <v>512</v>
      </c>
      <c r="P74" s="293" t="s">
        <v>12</v>
      </c>
      <c r="Q74" s="327">
        <f>$I$74*$O$4</f>
        <v>512</v>
      </c>
      <c r="R74" s="328">
        <f>Q74</f>
        <v>512</v>
      </c>
      <c r="S74" s="129">
        <f>AVERAGE(L74,O74,R74)</f>
        <v>512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0</v>
      </c>
      <c r="E75" s="35">
        <f>ROUND(E74*Labor!$D$5,0)</f>
        <v>0</v>
      </c>
      <c r="F75" s="35">
        <f>ROUND(F74*Labor!$D$6,0)</f>
        <v>788</v>
      </c>
      <c r="G75" s="35">
        <f>ROUND(G74*Labor!$D$7,0)</f>
        <v>0</v>
      </c>
      <c r="H75" s="35">
        <f>ROUND(H74*Labor!$D$8,0)</f>
        <v>0</v>
      </c>
      <c r="I75" s="39">
        <f>SUM(C75:H75)</f>
        <v>788</v>
      </c>
      <c r="J75" s="268">
        <f>HLOOKUP(Labor!$B$11,InflationTable,2)*I75</f>
        <v>944.024</v>
      </c>
      <c r="K75" s="269">
        <f>J75*$L$4</f>
        <v>30208.768</v>
      </c>
      <c r="L75" s="308">
        <f>K75</f>
        <v>30208.768</v>
      </c>
      <c r="M75" s="362">
        <f>HLOOKUP(Labor!$B$11,InflationTable,3)*$I$75</f>
        <v>963.72400000000005</v>
      </c>
      <c r="N75" s="63">
        <f>M75*$O$4</f>
        <v>30839.168000000001</v>
      </c>
      <c r="O75" s="95">
        <f>N75</f>
        <v>30839.168000000001</v>
      </c>
      <c r="P75" s="268">
        <f>HLOOKUP(Labor!$B$11,InflationTable,4)*$I75</f>
        <v>982.63600000000008</v>
      </c>
      <c r="Q75" s="269">
        <f>P75*$R$4</f>
        <v>31444.352000000003</v>
      </c>
      <c r="R75" s="308">
        <f>Q75</f>
        <v>31444.352000000003</v>
      </c>
      <c r="S75" s="128">
        <f>AVERAGE(L75,O75,R75)</f>
        <v>30830.762666666666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4</v>
      </c>
      <c r="G77" s="21">
        <v>2</v>
      </c>
      <c r="H77" s="21">
        <v>0</v>
      </c>
      <c r="I77" s="52">
        <f t="shared" ref="I77:I82" si="14">SUM(C77:H77)</f>
        <v>6</v>
      </c>
      <c r="J77" s="263" t="s">
        <v>12</v>
      </c>
      <c r="K77" s="281">
        <f>I77*$L$4</f>
        <v>192</v>
      </c>
      <c r="L77" s="289">
        <f t="shared" ref="L77:L82" si="15">K77</f>
        <v>192</v>
      </c>
      <c r="M77" s="58" t="s">
        <v>12</v>
      </c>
      <c r="N77" s="69">
        <f>$I77*$O$4</f>
        <v>192</v>
      </c>
      <c r="O77" s="68">
        <f t="shared" ref="O77:O82" si="16">N77</f>
        <v>192</v>
      </c>
      <c r="P77" s="263" t="s">
        <v>12</v>
      </c>
      <c r="Q77" s="281">
        <f>$I77*$O$4</f>
        <v>192</v>
      </c>
      <c r="R77" s="289">
        <f t="shared" ref="R77:R82" si="17">Q77</f>
        <v>192</v>
      </c>
      <c r="S77" s="121">
        <f t="shared" ref="S77:S82" si="18">AVERAGE(L77,O77,R77)</f>
        <v>192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197</v>
      </c>
      <c r="G78" s="35">
        <f>ROUND(G77*Labor!$D$7,0)</f>
        <v>111</v>
      </c>
      <c r="H78" s="35">
        <f>ROUND(H77*Labor!$D$8,0)</f>
        <v>0</v>
      </c>
      <c r="I78" s="39">
        <f t="shared" si="14"/>
        <v>308</v>
      </c>
      <c r="J78" s="268">
        <f>HLOOKUP(Labor!$B$11,InflationTable,2)*I78</f>
        <v>368.98399999999998</v>
      </c>
      <c r="K78" s="269">
        <f>J78*$L$4</f>
        <v>11807.487999999999</v>
      </c>
      <c r="L78" s="308">
        <f t="shared" si="15"/>
        <v>11807.487999999999</v>
      </c>
      <c r="M78" s="362">
        <f>HLOOKUP(Labor!$B$11,InflationTable,3)*$I78</f>
        <v>376.68400000000003</v>
      </c>
      <c r="N78" s="63">
        <f>M78*$O$4</f>
        <v>12053.888000000001</v>
      </c>
      <c r="O78" s="95">
        <f t="shared" si="16"/>
        <v>12053.888000000001</v>
      </c>
      <c r="P78" s="268">
        <f>HLOOKUP(Labor!$B$11,InflationTable,4)*$I78</f>
        <v>384.07600000000002</v>
      </c>
      <c r="Q78" s="269">
        <f>P78*$R$4</f>
        <v>12290.432000000001</v>
      </c>
      <c r="R78" s="308">
        <f t="shared" si="17"/>
        <v>12290.432000000001</v>
      </c>
      <c r="S78" s="128">
        <f t="shared" si="18"/>
        <v>12050.602666666668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0</v>
      </c>
      <c r="E79" s="346">
        <v>0</v>
      </c>
      <c r="F79" s="346">
        <v>0</v>
      </c>
      <c r="G79" s="346">
        <v>16</v>
      </c>
      <c r="H79" s="346">
        <v>0</v>
      </c>
      <c r="I79" s="347">
        <f t="shared" si="14"/>
        <v>16</v>
      </c>
      <c r="J79" s="293" t="s">
        <v>12</v>
      </c>
      <c r="K79" s="327">
        <f>I79*$L$4</f>
        <v>512</v>
      </c>
      <c r="L79" s="328">
        <f t="shared" si="15"/>
        <v>512</v>
      </c>
      <c r="M79" s="61" t="s">
        <v>12</v>
      </c>
      <c r="N79" s="348">
        <f>$I79*$O$4</f>
        <v>512</v>
      </c>
      <c r="O79" s="349">
        <f t="shared" si="16"/>
        <v>512</v>
      </c>
      <c r="P79" s="293" t="s">
        <v>12</v>
      </c>
      <c r="Q79" s="327">
        <f>$I79*$O$4</f>
        <v>512</v>
      </c>
      <c r="R79" s="328">
        <f t="shared" si="17"/>
        <v>512</v>
      </c>
      <c r="S79" s="129">
        <f t="shared" si="18"/>
        <v>512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0</v>
      </c>
      <c r="E80" s="35">
        <f>ROUND(E79*Labor!$D$5,0)</f>
        <v>0</v>
      </c>
      <c r="F80" s="35">
        <f>ROUND(F79*Labor!$D$6,0)</f>
        <v>0</v>
      </c>
      <c r="G80" s="35">
        <f>ROUND(G79*Labor!$D$7,0)</f>
        <v>887</v>
      </c>
      <c r="H80" s="35">
        <f>ROUND(H79*Labor!$D$8,0)</f>
        <v>0</v>
      </c>
      <c r="I80" s="39">
        <f t="shared" si="14"/>
        <v>887</v>
      </c>
      <c r="J80" s="268">
        <f>HLOOKUP(Labor!$B$11,InflationTable,2)*I80</f>
        <v>1062.626</v>
      </c>
      <c r="K80" s="269">
        <f>J80*$L$4</f>
        <v>34004.031999999999</v>
      </c>
      <c r="L80" s="308">
        <f t="shared" si="15"/>
        <v>34004.031999999999</v>
      </c>
      <c r="M80" s="362">
        <f>HLOOKUP(Labor!$B$11,InflationTable,3)*$I80</f>
        <v>1084.8010000000002</v>
      </c>
      <c r="N80" s="63">
        <f>M80*$O$4</f>
        <v>34713.632000000005</v>
      </c>
      <c r="O80" s="95">
        <f t="shared" si="16"/>
        <v>34713.632000000005</v>
      </c>
      <c r="P80" s="268">
        <f>HLOOKUP(Labor!$B$11,InflationTable,4)*$I80</f>
        <v>1106.0890000000002</v>
      </c>
      <c r="Q80" s="269">
        <f>P80*$R$4</f>
        <v>35394.848000000005</v>
      </c>
      <c r="R80" s="308">
        <f t="shared" si="17"/>
        <v>35394.848000000005</v>
      </c>
      <c r="S80" s="172">
        <f t="shared" si="18"/>
        <v>34704.170666666672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0</v>
      </c>
      <c r="F81" s="346">
        <v>6</v>
      </c>
      <c r="G81" s="346">
        <v>2</v>
      </c>
      <c r="H81" s="346">
        <v>0</v>
      </c>
      <c r="I81" s="347">
        <f t="shared" si="14"/>
        <v>8</v>
      </c>
      <c r="J81" s="293" t="s">
        <v>12</v>
      </c>
      <c r="K81" s="327">
        <f>I81*$L$4</f>
        <v>256</v>
      </c>
      <c r="L81" s="328">
        <f t="shared" si="15"/>
        <v>256</v>
      </c>
      <c r="M81" s="61" t="s">
        <v>12</v>
      </c>
      <c r="N81" s="348">
        <f>$I81*$O$4</f>
        <v>256</v>
      </c>
      <c r="O81" s="349">
        <f t="shared" si="16"/>
        <v>256</v>
      </c>
      <c r="P81" s="293" t="s">
        <v>12</v>
      </c>
      <c r="Q81" s="327">
        <f>$I81*$O$4</f>
        <v>256</v>
      </c>
      <c r="R81" s="328">
        <f t="shared" si="17"/>
        <v>256</v>
      </c>
      <c r="S81" s="121">
        <f t="shared" si="18"/>
        <v>256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0</v>
      </c>
      <c r="F82" s="35">
        <f>ROUND(F81*Labor!$D$6,0)</f>
        <v>296</v>
      </c>
      <c r="G82" s="35">
        <f>ROUND(G81*Labor!$D$7,0)</f>
        <v>111</v>
      </c>
      <c r="H82" s="35">
        <f>ROUND(H81*Labor!$D$8,0)</f>
        <v>0</v>
      </c>
      <c r="I82" s="39">
        <f t="shared" si="14"/>
        <v>407</v>
      </c>
      <c r="J82" s="268">
        <f>HLOOKUP(Labor!$B$11,InflationTable,2)*I82</f>
        <v>487.58599999999996</v>
      </c>
      <c r="K82" s="269">
        <f>J82*$L$4</f>
        <v>15602.751999999999</v>
      </c>
      <c r="L82" s="308">
        <f t="shared" si="15"/>
        <v>15602.751999999999</v>
      </c>
      <c r="M82" s="362">
        <f>HLOOKUP(Labor!$B$11,InflationTable,3)*$I82</f>
        <v>497.76100000000002</v>
      </c>
      <c r="N82" s="63">
        <f>M82*$O$4</f>
        <v>15928.352000000001</v>
      </c>
      <c r="O82" s="95">
        <f t="shared" si="16"/>
        <v>15928.352000000001</v>
      </c>
      <c r="P82" s="268">
        <f>HLOOKUP(Labor!$B$11,InflationTable,4)*$I82</f>
        <v>507.52900000000005</v>
      </c>
      <c r="Q82" s="269">
        <f>P82*$R$4</f>
        <v>16240.928000000002</v>
      </c>
      <c r="R82" s="308">
        <f t="shared" si="17"/>
        <v>16240.928000000002</v>
      </c>
      <c r="S82" s="128">
        <f t="shared" si="18"/>
        <v>15924.010666666667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I84*$J$5</f>
        <v>0</v>
      </c>
      <c r="L84" s="289">
        <f>K84</f>
        <v>0</v>
      </c>
      <c r="M84" s="58" t="s">
        <v>12</v>
      </c>
      <c r="N84" s="89">
        <f>$I84*M$5</f>
        <v>0</v>
      </c>
      <c r="O84" s="68">
        <f>N84</f>
        <v>0</v>
      </c>
      <c r="P84" s="263" t="s">
        <v>12</v>
      </c>
      <c r="Q84" s="314">
        <f>$I84*P$5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J85*$J$5</f>
        <v>0</v>
      </c>
      <c r="L85" s="308">
        <f>K85</f>
        <v>0</v>
      </c>
      <c r="M85" s="362">
        <f>HLOOKUP(Labor!$B$11,InflationTable,3)*$I85</f>
        <v>0</v>
      </c>
      <c r="N85" s="63">
        <f>M85*$M$5</f>
        <v>0</v>
      </c>
      <c r="O85" s="95">
        <f>N85</f>
        <v>0</v>
      </c>
      <c r="P85" s="268">
        <f>HLOOKUP(Labor!$B$11,InflationTable,4)*$I85</f>
        <v>0</v>
      </c>
      <c r="Q85" s="269">
        <f>P85*$P$5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1390"/>
      <c r="L86" s="543"/>
      <c r="M86" s="364" t="s">
        <v>55</v>
      </c>
      <c r="N86" s="1431" t="s">
        <v>57</v>
      </c>
      <c r="O86" s="1432"/>
      <c r="P86" s="259" t="s">
        <v>55</v>
      </c>
      <c r="Q86" s="1428" t="s">
        <v>57</v>
      </c>
      <c r="R86" s="1436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0</v>
      </c>
      <c r="F87" s="21">
        <v>0</v>
      </c>
      <c r="G87" s="21">
        <v>10</v>
      </c>
      <c r="H87" s="21">
        <v>5</v>
      </c>
      <c r="I87" s="52">
        <f>SUM(C87:H87)</f>
        <v>15</v>
      </c>
      <c r="J87" s="263" t="s">
        <v>12</v>
      </c>
      <c r="K87" s="283">
        <f>I87*$J$5</f>
        <v>210</v>
      </c>
      <c r="L87" s="282">
        <f>K87/$E$86</f>
        <v>42</v>
      </c>
      <c r="M87" s="58" t="s">
        <v>12</v>
      </c>
      <c r="N87" s="60">
        <f>$I$87*$M$5</f>
        <v>210</v>
      </c>
      <c r="O87" s="59">
        <f>N87/$E$86</f>
        <v>42</v>
      </c>
      <c r="P87" s="263" t="s">
        <v>12</v>
      </c>
      <c r="Q87" s="283">
        <f>$I$87*$P$5</f>
        <v>210</v>
      </c>
      <c r="R87" s="282">
        <f>Q87/$E$86</f>
        <v>42</v>
      </c>
      <c r="S87" s="121">
        <f>AVERAGE(L87,O87,R87)</f>
        <v>42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0</v>
      </c>
      <c r="F88" s="35">
        <f>ROUND(F87*Labor!$D$6,0)</f>
        <v>0</v>
      </c>
      <c r="G88" s="35">
        <f>ROUND(G87*Labor!$D$7,0)</f>
        <v>555</v>
      </c>
      <c r="H88" s="35">
        <f>ROUND(H87*Labor!$D$8,0)</f>
        <v>293</v>
      </c>
      <c r="I88" s="39">
        <f>SUM(C88:H88)</f>
        <v>848</v>
      </c>
      <c r="J88" s="268">
        <f>HLOOKUP(Labor!$B$11,InflationTable,2)*I88</f>
        <v>1015.904</v>
      </c>
      <c r="K88" s="269">
        <f>J88*$J$5</f>
        <v>14222.655999999999</v>
      </c>
      <c r="L88" s="270">
        <f>K88/$E$86</f>
        <v>2844.5311999999999</v>
      </c>
      <c r="M88" s="91">
        <f>HLOOKUP(Labor!$B$11,InflationTable,3)*$I88</f>
        <v>1037.104</v>
      </c>
      <c r="N88" s="63">
        <f>M88*$M$5</f>
        <v>14519.456</v>
      </c>
      <c r="O88" s="64">
        <f>N88/$E$86</f>
        <v>2903.8912</v>
      </c>
      <c r="P88" s="292">
        <f>HLOOKUP(Labor!$B$11,InflationTable,4)*$I88</f>
        <v>1057.4560000000001</v>
      </c>
      <c r="Q88" s="269">
        <f>P88*$P$5</f>
        <v>14804.384000000002</v>
      </c>
      <c r="R88" s="270">
        <f>Q88/$E$86</f>
        <v>2960.8768000000005</v>
      </c>
      <c r="S88" s="128">
        <f>AVERAGE(L88,O88,R88)</f>
        <v>2903.099733333333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19">C72+C74+C77+C79+C81+C84+C87</f>
        <v>0</v>
      </c>
      <c r="D89" s="42">
        <f t="shared" si="19"/>
        <v>0</v>
      </c>
      <c r="E89" s="42">
        <f t="shared" si="19"/>
        <v>0</v>
      </c>
      <c r="F89" s="42">
        <f t="shared" si="19"/>
        <v>34</v>
      </c>
      <c r="G89" s="42">
        <f t="shared" si="19"/>
        <v>38</v>
      </c>
      <c r="H89" s="42">
        <f t="shared" si="19"/>
        <v>5</v>
      </c>
      <c r="I89" s="53">
        <f t="shared" si="19"/>
        <v>77</v>
      </c>
      <c r="J89" s="293" t="s">
        <v>12</v>
      </c>
      <c r="K89" s="315" t="s">
        <v>12</v>
      </c>
      <c r="L89" s="316">
        <f>L87+K84+K81+K79+K77+K74+K72</f>
        <v>2026</v>
      </c>
      <c r="M89" s="92" t="s">
        <v>12</v>
      </c>
      <c r="N89" s="42" t="s">
        <v>12</v>
      </c>
      <c r="O89" s="90">
        <f>O87+N84+N81+N79+N77+N74+N72</f>
        <v>2026</v>
      </c>
      <c r="P89" s="293" t="s">
        <v>12</v>
      </c>
      <c r="Q89" s="315" t="s">
        <v>12</v>
      </c>
      <c r="R89" s="316">
        <f>R87+Q84+Q81+Q79+Q77+Q74+Q72</f>
        <v>2026</v>
      </c>
      <c r="S89" s="150">
        <f>AVERAGE(L89,O89,R89)</f>
        <v>2026</v>
      </c>
      <c r="T89" s="133"/>
      <c r="U89" s="37"/>
    </row>
    <row r="90" spans="2:21" ht="13.5" thickBot="1">
      <c r="B90" s="561" t="s">
        <v>67</v>
      </c>
      <c r="C90" s="240">
        <f t="shared" si="19"/>
        <v>0</v>
      </c>
      <c r="D90" s="240">
        <f t="shared" si="19"/>
        <v>0</v>
      </c>
      <c r="E90" s="240">
        <f t="shared" si="19"/>
        <v>0</v>
      </c>
      <c r="F90" s="240">
        <f t="shared" si="19"/>
        <v>1675</v>
      </c>
      <c r="G90" s="240">
        <f t="shared" si="19"/>
        <v>2108</v>
      </c>
      <c r="H90" s="240">
        <f t="shared" si="19"/>
        <v>293</v>
      </c>
      <c r="I90" s="243">
        <f t="shared" si="19"/>
        <v>4076</v>
      </c>
      <c r="J90" s="274">
        <f>J73+J75+J78+J80+J82+J85+J88</f>
        <v>4883.0479999999998</v>
      </c>
      <c r="K90" s="317" t="s">
        <v>12</v>
      </c>
      <c r="L90" s="306">
        <f>L88+K85+K82+K80+K78+K75+K73</f>
        <v>126593.13919999999</v>
      </c>
      <c r="M90" s="242">
        <f>M73+M75+M78+M80+M82+M85+M88</f>
        <v>4984.9480000000003</v>
      </c>
      <c r="N90" s="256" t="s">
        <v>12</v>
      </c>
      <c r="O90" s="254">
        <f>O88+N85+N82+N80+N78+N75+N73</f>
        <v>129234.89920000001</v>
      </c>
      <c r="P90" s="274">
        <f>P73+P75+P78+P80+P82+P85+P88</f>
        <v>5082.7720000000008</v>
      </c>
      <c r="Q90" s="317" t="s">
        <v>12</v>
      </c>
      <c r="R90" s="306">
        <f>R88+Q85+Q82+Q80+Q78+Q75+Q73</f>
        <v>131770.98880000002</v>
      </c>
      <c r="S90" s="248">
        <f>AVERAGE(L90,O90,R90)</f>
        <v>129199.67573333334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562" t="s">
        <v>30</v>
      </c>
      <c r="C92" s="5"/>
      <c r="D92" s="5"/>
      <c r="E92" s="5"/>
      <c r="F92" s="112" t="s">
        <v>6</v>
      </c>
      <c r="G92" s="1412"/>
      <c r="H92" s="1413"/>
      <c r="I92" s="1414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1395" t="s">
        <v>61</v>
      </c>
      <c r="K93" s="1419" t="s">
        <v>57</v>
      </c>
      <c r="L93" s="1420"/>
      <c r="M93" s="1392" t="s">
        <v>61</v>
      </c>
      <c r="N93" s="1429" t="s">
        <v>57</v>
      </c>
      <c r="O93" s="1433"/>
      <c r="P93" s="318" t="s">
        <v>61</v>
      </c>
      <c r="Q93" s="1428" t="s">
        <v>57</v>
      </c>
      <c r="R93" s="1436"/>
      <c r="S93" s="131"/>
      <c r="T93" s="133"/>
      <c r="U93" s="37"/>
    </row>
    <row r="94" spans="2:21">
      <c r="B94" s="563" t="s">
        <v>21</v>
      </c>
      <c r="C94" s="1389" t="s">
        <v>45</v>
      </c>
      <c r="D94" s="1396" t="s">
        <v>46</v>
      </c>
      <c r="E94" s="1389" t="s">
        <v>47</v>
      </c>
      <c r="F94" s="1389" t="s">
        <v>48</v>
      </c>
      <c r="G94" s="1389" t="s">
        <v>49</v>
      </c>
      <c r="H94" s="1389" t="s">
        <v>50</v>
      </c>
      <c r="I94" s="45" t="s">
        <v>13</v>
      </c>
      <c r="J94" s="260" t="s">
        <v>56</v>
      </c>
      <c r="K94" s="1393" t="s">
        <v>13</v>
      </c>
      <c r="L94" s="1394" t="s">
        <v>68</v>
      </c>
      <c r="M94" s="77" t="s">
        <v>56</v>
      </c>
      <c r="N94" s="1396" t="s">
        <v>13</v>
      </c>
      <c r="O94" s="1397" t="s">
        <v>68</v>
      </c>
      <c r="P94" s="260" t="s">
        <v>56</v>
      </c>
      <c r="Q94" s="1393" t="s">
        <v>13</v>
      </c>
      <c r="R94" s="1394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20</v>
      </c>
      <c r="H95" s="21">
        <v>0</v>
      </c>
      <c r="I95" s="52">
        <f>SUM(C95:H95)</f>
        <v>20</v>
      </c>
      <c r="J95" s="263" t="s">
        <v>12</v>
      </c>
      <c r="K95" s="281">
        <f>I95*$L$4</f>
        <v>640</v>
      </c>
      <c r="L95" s="289">
        <f>K95</f>
        <v>640</v>
      </c>
      <c r="M95" s="58" t="s">
        <v>12</v>
      </c>
      <c r="N95" s="69">
        <f>$I95*O$4</f>
        <v>640</v>
      </c>
      <c r="O95" s="59">
        <f>N95</f>
        <v>640</v>
      </c>
      <c r="P95" s="263" t="s">
        <v>12</v>
      </c>
      <c r="Q95" s="281">
        <f>$I95*R$4</f>
        <v>640</v>
      </c>
      <c r="R95" s="289">
        <f>Q95</f>
        <v>640</v>
      </c>
      <c r="S95" s="173">
        <f t="shared" ref="S95:S100" si="20">AVERAGE(L95,O95,R95)</f>
        <v>640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1109</v>
      </c>
      <c r="H96" s="35">
        <f>ROUND(H95*Labor!$D$8,0)</f>
        <v>0</v>
      </c>
      <c r="I96" s="39">
        <f>SUM(C96:H96)</f>
        <v>1109</v>
      </c>
      <c r="J96" s="268">
        <f>HLOOKUP(Labor!$B$11,InflationTable,2)*I96</f>
        <v>1328.5819999999999</v>
      </c>
      <c r="K96" s="269">
        <f>J96*$L$4</f>
        <v>42514.623999999996</v>
      </c>
      <c r="L96" s="308">
        <f>K96</f>
        <v>42514.623999999996</v>
      </c>
      <c r="M96" s="84">
        <f>HLOOKUP(Labor!$B$11,InflationTable,3)*$I96</f>
        <v>1356.307</v>
      </c>
      <c r="N96" s="63">
        <f>M96*O$4</f>
        <v>43401.824000000001</v>
      </c>
      <c r="O96" s="64">
        <f>N96</f>
        <v>43401.824000000001</v>
      </c>
      <c r="P96" s="268">
        <f>HLOOKUP(Labor!$B$11,InflationTable,4)*$I96</f>
        <v>1382.9230000000002</v>
      </c>
      <c r="Q96" s="269">
        <f>P96*R$4</f>
        <v>44253.536000000007</v>
      </c>
      <c r="R96" s="308">
        <f>Q96</f>
        <v>44253.536000000007</v>
      </c>
      <c r="S96" s="171">
        <f t="shared" si="20"/>
        <v>43389.994666666673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0</v>
      </c>
      <c r="F97" s="346">
        <v>0</v>
      </c>
      <c r="G97" s="346">
        <v>16</v>
      </c>
      <c r="H97" s="346">
        <v>8</v>
      </c>
      <c r="I97" s="347">
        <f>SUM(C97:H97)</f>
        <v>24</v>
      </c>
      <c r="J97" s="293" t="s">
        <v>12</v>
      </c>
      <c r="K97" s="327">
        <f>I97*$L$4</f>
        <v>768</v>
      </c>
      <c r="L97" s="328">
        <f>K97</f>
        <v>768</v>
      </c>
      <c r="M97" s="61" t="s">
        <v>12</v>
      </c>
      <c r="N97" s="348">
        <f>$I97*O$4</f>
        <v>768</v>
      </c>
      <c r="O97" s="349">
        <f>N97</f>
        <v>768</v>
      </c>
      <c r="P97" s="293" t="s">
        <v>12</v>
      </c>
      <c r="Q97" s="327">
        <f>$I97*R$4</f>
        <v>768</v>
      </c>
      <c r="R97" s="328">
        <f>Q97</f>
        <v>768</v>
      </c>
      <c r="S97" s="173">
        <f t="shared" si="20"/>
        <v>768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0</v>
      </c>
      <c r="F98" s="35">
        <f>ROUND(F97*Labor!$D$6,0)</f>
        <v>0</v>
      </c>
      <c r="G98" s="35">
        <f>ROUND(G97*Labor!$D$7,0)</f>
        <v>887</v>
      </c>
      <c r="H98" s="35">
        <f>ROUND(H97*Labor!$D$8,0)</f>
        <v>469</v>
      </c>
      <c r="I98" s="39">
        <f>SUM(C98:H98)</f>
        <v>1356</v>
      </c>
      <c r="J98" s="268">
        <f>HLOOKUP(Labor!$B$11,InflationTable,2)*I98</f>
        <v>1624.4879999999998</v>
      </c>
      <c r="K98" s="269">
        <f>J98*$L$4</f>
        <v>51983.615999999995</v>
      </c>
      <c r="L98" s="300">
        <f>K98</f>
        <v>51983.615999999995</v>
      </c>
      <c r="M98" s="84">
        <f>HLOOKUP(Labor!$B$11,InflationTable,3)*$I98</f>
        <v>1658.3880000000001</v>
      </c>
      <c r="N98" s="63">
        <f>M98*O$4</f>
        <v>53068.416000000005</v>
      </c>
      <c r="O98" s="64">
        <f>N98</f>
        <v>53068.416000000005</v>
      </c>
      <c r="P98" s="292">
        <f>HLOOKUP(Labor!$B$11,InflationTable,4)*$I98</f>
        <v>1690.9320000000002</v>
      </c>
      <c r="Q98" s="269">
        <f>P98*R$4</f>
        <v>54109.824000000008</v>
      </c>
      <c r="R98" s="300">
        <f>Q98</f>
        <v>54109.824000000008</v>
      </c>
      <c r="S98" s="128">
        <f t="shared" si="20"/>
        <v>53053.952000000012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1">C95+C97</f>
        <v>0</v>
      </c>
      <c r="D99" s="36">
        <f t="shared" si="21"/>
        <v>0</v>
      </c>
      <c r="E99" s="36">
        <f t="shared" si="21"/>
        <v>0</v>
      </c>
      <c r="F99" s="36">
        <f t="shared" si="21"/>
        <v>0</v>
      </c>
      <c r="G99" s="36">
        <f t="shared" si="21"/>
        <v>36</v>
      </c>
      <c r="H99" s="36">
        <f t="shared" si="21"/>
        <v>8</v>
      </c>
      <c r="I99" s="46">
        <f t="shared" si="21"/>
        <v>44</v>
      </c>
      <c r="J99" s="301" t="s">
        <v>12</v>
      </c>
      <c r="K99" s="320">
        <f>K95+K97</f>
        <v>1408</v>
      </c>
      <c r="L99" s="321">
        <f>L95+L97</f>
        <v>1408</v>
      </c>
      <c r="M99" s="85" t="s">
        <v>12</v>
      </c>
      <c r="N99" s="36">
        <f>N95+N97</f>
        <v>1408</v>
      </c>
      <c r="O99" s="100">
        <f>O95+O97</f>
        <v>1408</v>
      </c>
      <c r="P99" s="301" t="s">
        <v>12</v>
      </c>
      <c r="Q99" s="320">
        <f>Q95+Q97</f>
        <v>1408</v>
      </c>
      <c r="R99" s="322">
        <f>R95+R97</f>
        <v>1408</v>
      </c>
      <c r="S99" s="121">
        <f t="shared" si="20"/>
        <v>1408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1"/>
        <v>0</v>
      </c>
      <c r="D100" s="240">
        <f t="shared" si="21"/>
        <v>0</v>
      </c>
      <c r="E100" s="240">
        <f t="shared" si="21"/>
        <v>0</v>
      </c>
      <c r="F100" s="240">
        <f t="shared" si="21"/>
        <v>0</v>
      </c>
      <c r="G100" s="240">
        <f t="shared" si="21"/>
        <v>1996</v>
      </c>
      <c r="H100" s="240">
        <f t="shared" si="21"/>
        <v>469</v>
      </c>
      <c r="I100" s="243">
        <f t="shared" si="21"/>
        <v>2465</v>
      </c>
      <c r="J100" s="274">
        <f>J96+J98</f>
        <v>2953.0699999999997</v>
      </c>
      <c r="K100" s="275">
        <f>K96+K98</f>
        <v>94498.239999999991</v>
      </c>
      <c r="L100" s="276">
        <f>L96+L98</f>
        <v>94498.239999999991</v>
      </c>
      <c r="M100" s="242">
        <f>M96+M98</f>
        <v>3014.6950000000002</v>
      </c>
      <c r="N100" s="240">
        <f>N96+N98</f>
        <v>96470.24</v>
      </c>
      <c r="O100" s="243">
        <f>O96+O98</f>
        <v>96470.24</v>
      </c>
      <c r="P100" s="313">
        <f>P96+P98</f>
        <v>3073.8550000000005</v>
      </c>
      <c r="Q100" s="275">
        <f>Q96+Q98</f>
        <v>98363.360000000015</v>
      </c>
      <c r="R100" s="276">
        <f>R96+R98</f>
        <v>98363.360000000015</v>
      </c>
      <c r="S100" s="257">
        <f t="shared" si="20"/>
        <v>96443.946666666656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648" t="str">
        <f>C2</f>
        <v>PAMSVOC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5" si="22">C15</f>
        <v>0</v>
      </c>
      <c r="D104" s="184">
        <f t="shared" si="22"/>
        <v>0</v>
      </c>
      <c r="E104" s="184">
        <f t="shared" si="22"/>
        <v>0</v>
      </c>
      <c r="F104" s="184">
        <f t="shared" si="22"/>
        <v>14</v>
      </c>
      <c r="G104" s="184">
        <f t="shared" si="22"/>
        <v>14</v>
      </c>
      <c r="H104" s="184">
        <f t="shared" si="22"/>
        <v>10</v>
      </c>
      <c r="I104" s="185">
        <f t="shared" si="22"/>
        <v>38</v>
      </c>
      <c r="J104" s="326" t="str">
        <f t="shared" si="22"/>
        <v>NA</v>
      </c>
      <c r="K104" s="327">
        <f t="shared" si="22"/>
        <v>532</v>
      </c>
      <c r="L104" s="328">
        <f t="shared" si="22"/>
        <v>106.4</v>
      </c>
      <c r="M104" s="186" t="str">
        <f t="shared" si="22"/>
        <v>NA</v>
      </c>
      <c r="N104" s="184">
        <f t="shared" si="22"/>
        <v>532</v>
      </c>
      <c r="O104" s="185">
        <f t="shared" si="22"/>
        <v>106.4</v>
      </c>
      <c r="P104" s="326" t="str">
        <f t="shared" si="22"/>
        <v>NA</v>
      </c>
      <c r="Q104" s="327">
        <f t="shared" si="22"/>
        <v>532</v>
      </c>
      <c r="R104" s="328">
        <f t="shared" si="22"/>
        <v>106.4</v>
      </c>
      <c r="S104" s="185">
        <f t="shared" si="22"/>
        <v>106.40000000000002</v>
      </c>
      <c r="T104" s="37"/>
      <c r="U104" s="138"/>
    </row>
    <row r="105" spans="2:22" ht="13.5" thickBot="1">
      <c r="B105" s="573" t="s">
        <v>76</v>
      </c>
      <c r="C105" s="203">
        <f t="shared" si="22"/>
        <v>0</v>
      </c>
      <c r="D105" s="204">
        <f t="shared" si="22"/>
        <v>0</v>
      </c>
      <c r="E105" s="204">
        <f t="shared" si="22"/>
        <v>0</v>
      </c>
      <c r="F105" s="204">
        <f t="shared" si="22"/>
        <v>690</v>
      </c>
      <c r="G105" s="204">
        <f t="shared" si="22"/>
        <v>777</v>
      </c>
      <c r="H105" s="204">
        <f t="shared" si="22"/>
        <v>586</v>
      </c>
      <c r="I105" s="205">
        <f t="shared" si="22"/>
        <v>2053</v>
      </c>
      <c r="J105" s="329">
        <f t="shared" si="22"/>
        <v>2459.4939999999997</v>
      </c>
      <c r="K105" s="330">
        <f t="shared" si="22"/>
        <v>34432.915999999997</v>
      </c>
      <c r="L105" s="331">
        <f t="shared" si="22"/>
        <v>6886.5832</v>
      </c>
      <c r="M105" s="203">
        <f t="shared" si="22"/>
        <v>2510.819</v>
      </c>
      <c r="N105" s="204">
        <f t="shared" si="22"/>
        <v>35151.466</v>
      </c>
      <c r="O105" s="205">
        <f t="shared" si="22"/>
        <v>7030.2932000000001</v>
      </c>
      <c r="P105" s="329">
        <f t="shared" si="22"/>
        <v>2560.0910000000003</v>
      </c>
      <c r="Q105" s="330">
        <f t="shared" si="22"/>
        <v>35841.274000000005</v>
      </c>
      <c r="R105" s="331">
        <f t="shared" si="22"/>
        <v>7168.2548000000006</v>
      </c>
      <c r="S105" s="205">
        <f t="shared" si="22"/>
        <v>7028.3770666666678</v>
      </c>
      <c r="T105" s="206" t="str">
        <f>T16</f>
        <v>NA</v>
      </c>
      <c r="U105" s="392" t="s">
        <v>12</v>
      </c>
    </row>
    <row r="106" spans="2:22">
      <c r="B106" s="574" t="s">
        <v>98</v>
      </c>
      <c r="C106" s="196">
        <f t="shared" ref="C106:S107" si="23">C29</f>
        <v>0</v>
      </c>
      <c r="D106" s="184">
        <f t="shared" si="23"/>
        <v>0</v>
      </c>
      <c r="E106" s="184">
        <f t="shared" si="23"/>
        <v>0</v>
      </c>
      <c r="F106" s="184">
        <f t="shared" si="23"/>
        <v>18</v>
      </c>
      <c r="G106" s="184">
        <f t="shared" si="23"/>
        <v>5</v>
      </c>
      <c r="H106" s="184">
        <f t="shared" si="23"/>
        <v>0</v>
      </c>
      <c r="I106" s="185">
        <f t="shared" si="23"/>
        <v>23</v>
      </c>
      <c r="J106" s="326" t="str">
        <f t="shared" si="23"/>
        <v>NA</v>
      </c>
      <c r="K106" s="327">
        <f t="shared" si="23"/>
        <v>1040</v>
      </c>
      <c r="L106" s="328">
        <f t="shared" si="23"/>
        <v>208</v>
      </c>
      <c r="M106" s="186" t="str">
        <f t="shared" si="23"/>
        <v>NA</v>
      </c>
      <c r="N106" s="184">
        <f t="shared" si="23"/>
        <v>1040</v>
      </c>
      <c r="O106" s="185">
        <f t="shared" si="23"/>
        <v>208</v>
      </c>
      <c r="P106" s="326" t="str">
        <f t="shared" si="23"/>
        <v>NA</v>
      </c>
      <c r="Q106" s="327">
        <f t="shared" si="23"/>
        <v>1040</v>
      </c>
      <c r="R106" s="328">
        <f t="shared" si="23"/>
        <v>208</v>
      </c>
      <c r="S106" s="185">
        <f t="shared" si="23"/>
        <v>208</v>
      </c>
      <c r="T106" s="37"/>
      <c r="U106" s="138"/>
    </row>
    <row r="107" spans="2:22" ht="13.5" thickBot="1">
      <c r="B107" s="573" t="s">
        <v>76</v>
      </c>
      <c r="C107" s="207">
        <f t="shared" si="23"/>
        <v>0</v>
      </c>
      <c r="D107" s="208">
        <f t="shared" si="23"/>
        <v>0</v>
      </c>
      <c r="E107" s="208">
        <f t="shared" si="23"/>
        <v>0</v>
      </c>
      <c r="F107" s="208">
        <f t="shared" si="23"/>
        <v>887</v>
      </c>
      <c r="G107" s="208">
        <f t="shared" si="23"/>
        <v>277</v>
      </c>
      <c r="H107" s="208">
        <f t="shared" si="23"/>
        <v>0</v>
      </c>
      <c r="I107" s="209">
        <f t="shared" si="23"/>
        <v>1164</v>
      </c>
      <c r="J107" s="332">
        <f t="shared" si="23"/>
        <v>1394.472</v>
      </c>
      <c r="K107" s="296">
        <f t="shared" si="23"/>
        <v>62559.56</v>
      </c>
      <c r="L107" s="297">
        <f t="shared" si="23"/>
        <v>431654.73440000002</v>
      </c>
      <c r="M107" s="207">
        <f t="shared" si="23"/>
        <v>1423.5720000000001</v>
      </c>
      <c r="N107" s="208">
        <f t="shared" si="23"/>
        <v>45554.304000000004</v>
      </c>
      <c r="O107" s="209">
        <f t="shared" si="23"/>
        <v>413518.80320000002</v>
      </c>
      <c r="P107" s="332">
        <f t="shared" si="23"/>
        <v>1451.508</v>
      </c>
      <c r="Q107" s="296">
        <f t="shared" si="23"/>
        <v>46448.256000000001</v>
      </c>
      <c r="R107" s="297">
        <f t="shared" si="23"/>
        <v>421633.64480000001</v>
      </c>
      <c r="S107" s="209">
        <f t="shared" si="23"/>
        <v>10304.141333333333</v>
      </c>
      <c r="T107" s="210" t="str">
        <f>T30</f>
        <v>NA</v>
      </c>
      <c r="U107" s="575">
        <f>U30</f>
        <v>411964.91946666664</v>
      </c>
    </row>
    <row r="108" spans="2:22">
      <c r="B108" s="574" t="s">
        <v>96</v>
      </c>
      <c r="C108" s="197">
        <f t="shared" ref="C108:S109" si="24">C39</f>
        <v>0</v>
      </c>
      <c r="D108" s="25">
        <f t="shared" si="24"/>
        <v>0</v>
      </c>
      <c r="E108" s="25">
        <f t="shared" si="24"/>
        <v>0</v>
      </c>
      <c r="F108" s="25">
        <f t="shared" si="24"/>
        <v>88</v>
      </c>
      <c r="G108" s="25">
        <f t="shared" si="24"/>
        <v>0</v>
      </c>
      <c r="H108" s="25">
        <f t="shared" si="24"/>
        <v>0</v>
      </c>
      <c r="I108" s="198">
        <f t="shared" si="24"/>
        <v>88</v>
      </c>
      <c r="J108" s="333" t="str">
        <f t="shared" si="24"/>
        <v>NA</v>
      </c>
      <c r="K108" s="334">
        <f t="shared" si="24"/>
        <v>2816</v>
      </c>
      <c r="L108" s="335">
        <f t="shared" si="24"/>
        <v>2816</v>
      </c>
      <c r="M108" s="199" t="str">
        <f t="shared" si="24"/>
        <v>NA</v>
      </c>
      <c r="N108" s="25">
        <f t="shared" si="24"/>
        <v>2816</v>
      </c>
      <c r="O108" s="198">
        <f t="shared" si="24"/>
        <v>2816</v>
      </c>
      <c r="P108" s="333" t="str">
        <f t="shared" si="24"/>
        <v>NA</v>
      </c>
      <c r="Q108" s="334">
        <f t="shared" si="24"/>
        <v>2816</v>
      </c>
      <c r="R108" s="335">
        <f t="shared" si="24"/>
        <v>2816</v>
      </c>
      <c r="S108" s="198">
        <f t="shared" si="24"/>
        <v>2816</v>
      </c>
      <c r="T108" s="200" t="str">
        <f>T21</f>
        <v>NA</v>
      </c>
      <c r="U108" s="147" t="s">
        <v>12</v>
      </c>
    </row>
    <row r="109" spans="2:22" ht="13.5" thickBot="1">
      <c r="B109" s="573" t="s">
        <v>76</v>
      </c>
      <c r="C109" s="211">
        <f t="shared" si="24"/>
        <v>0</v>
      </c>
      <c r="D109" s="208">
        <f t="shared" si="24"/>
        <v>0</v>
      </c>
      <c r="E109" s="208">
        <f t="shared" si="24"/>
        <v>0</v>
      </c>
      <c r="F109" s="208">
        <f t="shared" si="24"/>
        <v>4335</v>
      </c>
      <c r="G109" s="208">
        <f t="shared" si="24"/>
        <v>0</v>
      </c>
      <c r="H109" s="208">
        <f t="shared" si="24"/>
        <v>0</v>
      </c>
      <c r="I109" s="209">
        <f t="shared" si="24"/>
        <v>20335</v>
      </c>
      <c r="J109" s="332">
        <f t="shared" si="24"/>
        <v>24361.33</v>
      </c>
      <c r="K109" s="296">
        <f t="shared" si="24"/>
        <v>779562.56</v>
      </c>
      <c r="L109" s="297">
        <f t="shared" si="24"/>
        <v>779562.56</v>
      </c>
      <c r="M109" s="207">
        <f t="shared" si="24"/>
        <v>24869.705000000002</v>
      </c>
      <c r="N109" s="208">
        <f t="shared" si="24"/>
        <v>795830.56</v>
      </c>
      <c r="O109" s="209">
        <f t="shared" si="24"/>
        <v>795830.56</v>
      </c>
      <c r="P109" s="332">
        <f t="shared" si="24"/>
        <v>25357.745000000003</v>
      </c>
      <c r="Q109" s="296">
        <f t="shared" si="24"/>
        <v>811447.84000000008</v>
      </c>
      <c r="R109" s="297">
        <f t="shared" si="24"/>
        <v>811447.84000000008</v>
      </c>
      <c r="S109" s="209">
        <f t="shared" si="24"/>
        <v>795613.65333333332</v>
      </c>
      <c r="T109" s="209">
        <f>T40</f>
        <v>626005.33333333337</v>
      </c>
      <c r="U109" s="392" t="s">
        <v>12</v>
      </c>
    </row>
    <row r="110" spans="2:22">
      <c r="B110" s="574" t="s">
        <v>99</v>
      </c>
      <c r="C110" s="197">
        <f t="shared" ref="C110:S111" si="25">C51</f>
        <v>0</v>
      </c>
      <c r="D110" s="25">
        <f t="shared" si="25"/>
        <v>0</v>
      </c>
      <c r="E110" s="25">
        <f t="shared" si="25"/>
        <v>0</v>
      </c>
      <c r="F110" s="25">
        <f t="shared" si="25"/>
        <v>72</v>
      </c>
      <c r="G110" s="25">
        <f t="shared" si="25"/>
        <v>24</v>
      </c>
      <c r="H110" s="25">
        <f t="shared" si="25"/>
        <v>0</v>
      </c>
      <c r="I110" s="198">
        <f t="shared" si="25"/>
        <v>96</v>
      </c>
      <c r="J110" s="333" t="str">
        <f t="shared" si="25"/>
        <v>NA</v>
      </c>
      <c r="K110" s="334">
        <f t="shared" si="25"/>
        <v>3072</v>
      </c>
      <c r="L110" s="335">
        <f t="shared" si="25"/>
        <v>3072</v>
      </c>
      <c r="M110" s="199" t="str">
        <f t="shared" si="25"/>
        <v>NA</v>
      </c>
      <c r="N110" s="25">
        <f t="shared" si="25"/>
        <v>3072</v>
      </c>
      <c r="O110" s="198">
        <f t="shared" si="25"/>
        <v>3072</v>
      </c>
      <c r="P110" s="333" t="str">
        <f t="shared" si="25"/>
        <v>NA</v>
      </c>
      <c r="Q110" s="334">
        <f t="shared" si="25"/>
        <v>3072</v>
      </c>
      <c r="R110" s="335">
        <f t="shared" si="25"/>
        <v>3072</v>
      </c>
      <c r="S110" s="198">
        <f t="shared" si="25"/>
        <v>3072</v>
      </c>
      <c r="T110" s="37"/>
      <c r="U110" s="138"/>
    </row>
    <row r="111" spans="2:22" ht="13.5" thickBot="1">
      <c r="B111" s="573" t="s">
        <v>76</v>
      </c>
      <c r="C111" s="207">
        <f t="shared" si="25"/>
        <v>0</v>
      </c>
      <c r="D111" s="208">
        <f t="shared" si="25"/>
        <v>0</v>
      </c>
      <c r="E111" s="208">
        <f t="shared" si="25"/>
        <v>0</v>
      </c>
      <c r="F111" s="208">
        <f t="shared" si="25"/>
        <v>3547</v>
      </c>
      <c r="G111" s="208">
        <f t="shared" si="25"/>
        <v>1331</v>
      </c>
      <c r="H111" s="208">
        <f t="shared" si="25"/>
        <v>0</v>
      </c>
      <c r="I111" s="209">
        <f t="shared" si="25"/>
        <v>7878</v>
      </c>
      <c r="J111" s="332">
        <f t="shared" si="25"/>
        <v>9437.8439999999991</v>
      </c>
      <c r="K111" s="296">
        <f t="shared" si="25"/>
        <v>302011.00799999997</v>
      </c>
      <c r="L111" s="297">
        <f t="shared" si="25"/>
        <v>302011.00799999997</v>
      </c>
      <c r="M111" s="211">
        <f t="shared" si="25"/>
        <v>9634.7940000000017</v>
      </c>
      <c r="N111" s="208">
        <f t="shared" si="25"/>
        <v>308313.40800000005</v>
      </c>
      <c r="O111" s="209">
        <f t="shared" si="25"/>
        <v>308313.40800000005</v>
      </c>
      <c r="P111" s="332">
        <f t="shared" si="25"/>
        <v>9823.866</v>
      </c>
      <c r="Q111" s="296">
        <f t="shared" si="25"/>
        <v>314363.712</v>
      </c>
      <c r="R111" s="297">
        <f t="shared" si="25"/>
        <v>314363.712</v>
      </c>
      <c r="S111" s="209">
        <f t="shared" si="25"/>
        <v>190853.37600000002</v>
      </c>
      <c r="T111" s="209">
        <f>T52</f>
        <v>117376</v>
      </c>
      <c r="U111" s="576" t="s">
        <v>12</v>
      </c>
    </row>
    <row r="112" spans="2:22">
      <c r="B112" s="574" t="s">
        <v>100</v>
      </c>
      <c r="C112" s="197">
        <f t="shared" ref="C112:U113" si="26">C65</f>
        <v>0</v>
      </c>
      <c r="D112" s="25">
        <f t="shared" si="26"/>
        <v>0</v>
      </c>
      <c r="E112" s="25">
        <f t="shared" si="26"/>
        <v>0</v>
      </c>
      <c r="F112" s="25">
        <f t="shared" si="26"/>
        <v>134</v>
      </c>
      <c r="G112" s="25">
        <f t="shared" si="26"/>
        <v>39</v>
      </c>
      <c r="H112" s="25">
        <f t="shared" si="26"/>
        <v>11</v>
      </c>
      <c r="I112" s="198">
        <f t="shared" si="26"/>
        <v>184</v>
      </c>
      <c r="J112" s="333" t="str">
        <f t="shared" si="26"/>
        <v>NA</v>
      </c>
      <c r="K112" s="334">
        <f t="shared" si="26"/>
        <v>5888</v>
      </c>
      <c r="L112" s="335">
        <f t="shared" si="26"/>
        <v>5888</v>
      </c>
      <c r="M112" s="199" t="str">
        <f t="shared" si="26"/>
        <v>NA</v>
      </c>
      <c r="N112" s="25">
        <f t="shared" si="26"/>
        <v>5888</v>
      </c>
      <c r="O112" s="198">
        <f t="shared" si="26"/>
        <v>5888</v>
      </c>
      <c r="P112" s="333" t="str">
        <f t="shared" si="26"/>
        <v>NA</v>
      </c>
      <c r="Q112" s="334">
        <f t="shared" si="26"/>
        <v>5888</v>
      </c>
      <c r="R112" s="335">
        <f t="shared" si="26"/>
        <v>5888</v>
      </c>
      <c r="S112" s="198">
        <f t="shared" si="26"/>
        <v>5888</v>
      </c>
      <c r="T112" s="212" t="str">
        <f t="shared" si="26"/>
        <v>NA</v>
      </c>
      <c r="U112" s="577" t="str">
        <f t="shared" si="26"/>
        <v>NA</v>
      </c>
    </row>
    <row r="113" spans="2:21" ht="13.5" thickBot="1">
      <c r="B113" s="573" t="s">
        <v>76</v>
      </c>
      <c r="C113" s="207">
        <f t="shared" si="26"/>
        <v>0</v>
      </c>
      <c r="D113" s="208">
        <f t="shared" si="26"/>
        <v>0</v>
      </c>
      <c r="E113" s="208">
        <f t="shared" si="26"/>
        <v>0</v>
      </c>
      <c r="F113" s="208">
        <f t="shared" si="26"/>
        <v>6600</v>
      </c>
      <c r="G113" s="208">
        <f t="shared" si="26"/>
        <v>2163</v>
      </c>
      <c r="H113" s="208">
        <f t="shared" si="26"/>
        <v>645</v>
      </c>
      <c r="I113" s="209">
        <f t="shared" si="26"/>
        <v>9408</v>
      </c>
      <c r="J113" s="332">
        <f t="shared" si="26"/>
        <v>11270.784</v>
      </c>
      <c r="K113" s="296">
        <f t="shared" si="26"/>
        <v>360665.08799999999</v>
      </c>
      <c r="L113" s="297">
        <f t="shared" si="26"/>
        <v>360665.08799999999</v>
      </c>
      <c r="M113" s="207">
        <f t="shared" si="26"/>
        <v>11505.984</v>
      </c>
      <c r="N113" s="208">
        <f t="shared" si="26"/>
        <v>368191.48800000001</v>
      </c>
      <c r="O113" s="209">
        <f t="shared" si="26"/>
        <v>368191.48800000001</v>
      </c>
      <c r="P113" s="339">
        <f t="shared" si="26"/>
        <v>11731.776000000002</v>
      </c>
      <c r="Q113" s="296">
        <f t="shared" si="26"/>
        <v>375416.83200000005</v>
      </c>
      <c r="R113" s="297">
        <f t="shared" si="26"/>
        <v>375416.83200000005</v>
      </c>
      <c r="S113" s="209">
        <f t="shared" si="26"/>
        <v>368091.136</v>
      </c>
      <c r="T113" s="210" t="str">
        <f t="shared" si="26"/>
        <v>NA</v>
      </c>
      <c r="U113" s="392" t="s">
        <v>12</v>
      </c>
    </row>
    <row r="114" spans="2:21">
      <c r="B114" s="574" t="s">
        <v>101</v>
      </c>
      <c r="C114" s="213">
        <f t="shared" ref="C114:S115" si="27">C89</f>
        <v>0</v>
      </c>
      <c r="D114" s="214">
        <f t="shared" si="27"/>
        <v>0</v>
      </c>
      <c r="E114" s="214">
        <f t="shared" si="27"/>
        <v>0</v>
      </c>
      <c r="F114" s="214">
        <f t="shared" si="27"/>
        <v>34</v>
      </c>
      <c r="G114" s="214">
        <f t="shared" si="27"/>
        <v>38</v>
      </c>
      <c r="H114" s="214">
        <f t="shared" si="27"/>
        <v>5</v>
      </c>
      <c r="I114" s="215">
        <f t="shared" si="27"/>
        <v>77</v>
      </c>
      <c r="J114" s="336" t="str">
        <f t="shared" si="27"/>
        <v>NA</v>
      </c>
      <c r="K114" s="337" t="str">
        <f t="shared" si="27"/>
        <v>NA</v>
      </c>
      <c r="L114" s="294">
        <f t="shared" si="27"/>
        <v>2026</v>
      </c>
      <c r="M114" s="216" t="str">
        <f t="shared" si="27"/>
        <v>NA</v>
      </c>
      <c r="N114" s="217" t="str">
        <f t="shared" si="27"/>
        <v>NA</v>
      </c>
      <c r="O114" s="215">
        <f t="shared" si="27"/>
        <v>2026</v>
      </c>
      <c r="P114" s="336" t="str">
        <f t="shared" si="27"/>
        <v>NA</v>
      </c>
      <c r="Q114" s="337" t="str">
        <f t="shared" si="27"/>
        <v>NA</v>
      </c>
      <c r="R114" s="294">
        <f t="shared" si="27"/>
        <v>2026</v>
      </c>
      <c r="S114" s="215">
        <f t="shared" si="27"/>
        <v>2026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si="27"/>
        <v>0</v>
      </c>
      <c r="D115" s="208">
        <f t="shared" si="27"/>
        <v>0</v>
      </c>
      <c r="E115" s="208">
        <f t="shared" si="27"/>
        <v>0</v>
      </c>
      <c r="F115" s="208">
        <f t="shared" si="27"/>
        <v>1675</v>
      </c>
      <c r="G115" s="208">
        <f t="shared" si="27"/>
        <v>2108</v>
      </c>
      <c r="H115" s="208">
        <f t="shared" si="27"/>
        <v>293</v>
      </c>
      <c r="I115" s="209">
        <f t="shared" si="27"/>
        <v>4076</v>
      </c>
      <c r="J115" s="332">
        <f t="shared" si="27"/>
        <v>4883.0479999999998</v>
      </c>
      <c r="K115" s="338" t="str">
        <f t="shared" si="27"/>
        <v>NA</v>
      </c>
      <c r="L115" s="297">
        <f t="shared" si="27"/>
        <v>126593.13919999999</v>
      </c>
      <c r="M115" s="211">
        <f t="shared" si="27"/>
        <v>4984.9480000000003</v>
      </c>
      <c r="N115" s="219" t="str">
        <f t="shared" si="27"/>
        <v>NA</v>
      </c>
      <c r="O115" s="209">
        <f t="shared" si="27"/>
        <v>129234.89920000001</v>
      </c>
      <c r="P115" s="332">
        <f t="shared" si="27"/>
        <v>5082.7720000000008</v>
      </c>
      <c r="Q115" s="338" t="str">
        <f t="shared" si="27"/>
        <v>NA</v>
      </c>
      <c r="R115" s="297">
        <f t="shared" si="27"/>
        <v>131770.98880000002</v>
      </c>
      <c r="S115" s="209">
        <f t="shared" si="27"/>
        <v>129199.67573333334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7" si="28">C99</f>
        <v>0</v>
      </c>
      <c r="D116" s="25">
        <f t="shared" si="28"/>
        <v>0</v>
      </c>
      <c r="E116" s="25">
        <f t="shared" si="28"/>
        <v>0</v>
      </c>
      <c r="F116" s="25">
        <f t="shared" si="28"/>
        <v>0</v>
      </c>
      <c r="G116" s="25">
        <f t="shared" si="28"/>
        <v>36</v>
      </c>
      <c r="H116" s="25">
        <f t="shared" si="28"/>
        <v>8</v>
      </c>
      <c r="I116" s="198">
        <f t="shared" si="28"/>
        <v>44</v>
      </c>
      <c r="J116" s="333" t="str">
        <f t="shared" si="28"/>
        <v>NA</v>
      </c>
      <c r="K116" s="334">
        <f t="shared" si="28"/>
        <v>1408</v>
      </c>
      <c r="L116" s="335">
        <f t="shared" si="28"/>
        <v>1408</v>
      </c>
      <c r="M116" s="199" t="str">
        <f t="shared" si="28"/>
        <v>NA</v>
      </c>
      <c r="N116" s="25">
        <f t="shared" si="28"/>
        <v>1408</v>
      </c>
      <c r="O116" s="198">
        <f t="shared" si="28"/>
        <v>1408</v>
      </c>
      <c r="P116" s="333" t="str">
        <f t="shared" si="28"/>
        <v>NA</v>
      </c>
      <c r="Q116" s="334">
        <f t="shared" si="28"/>
        <v>1408</v>
      </c>
      <c r="R116" s="335">
        <f t="shared" si="28"/>
        <v>1408</v>
      </c>
      <c r="S116" s="198">
        <f t="shared" si="28"/>
        <v>1408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si="28"/>
        <v>0</v>
      </c>
      <c r="D117" s="221">
        <f t="shared" si="28"/>
        <v>0</v>
      </c>
      <c r="E117" s="221">
        <f t="shared" si="28"/>
        <v>0</v>
      </c>
      <c r="F117" s="221">
        <f t="shared" si="28"/>
        <v>0</v>
      </c>
      <c r="G117" s="221">
        <f t="shared" si="28"/>
        <v>1996</v>
      </c>
      <c r="H117" s="221">
        <f t="shared" si="28"/>
        <v>469</v>
      </c>
      <c r="I117" s="222">
        <f t="shared" si="28"/>
        <v>2465</v>
      </c>
      <c r="J117" s="304">
        <f t="shared" si="28"/>
        <v>2953.0699999999997</v>
      </c>
      <c r="K117" s="305">
        <f t="shared" si="28"/>
        <v>94498.239999999991</v>
      </c>
      <c r="L117" s="306">
        <f t="shared" si="28"/>
        <v>94498.239999999991</v>
      </c>
      <c r="M117" s="220">
        <f t="shared" si="28"/>
        <v>3014.6950000000002</v>
      </c>
      <c r="N117" s="221">
        <f t="shared" si="28"/>
        <v>96470.24</v>
      </c>
      <c r="O117" s="222">
        <f t="shared" si="28"/>
        <v>96470.24</v>
      </c>
      <c r="P117" s="311">
        <f t="shared" si="28"/>
        <v>3073.8550000000005</v>
      </c>
      <c r="Q117" s="305">
        <f t="shared" si="28"/>
        <v>98363.360000000015</v>
      </c>
      <c r="R117" s="306">
        <f t="shared" si="28"/>
        <v>98363.360000000015</v>
      </c>
      <c r="S117" s="222">
        <f t="shared" si="28"/>
        <v>96443.946666666656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29">C104+C106+C108+C110+C112+C114+C116</f>
        <v>0</v>
      </c>
      <c r="D119" s="101">
        <f t="shared" si="29"/>
        <v>0</v>
      </c>
      <c r="E119" s="101">
        <f t="shared" si="29"/>
        <v>0</v>
      </c>
      <c r="F119" s="101">
        <f t="shared" si="29"/>
        <v>360</v>
      </c>
      <c r="G119" s="101">
        <f t="shared" si="29"/>
        <v>156</v>
      </c>
      <c r="H119" s="101">
        <f t="shared" si="29"/>
        <v>34</v>
      </c>
      <c r="I119" s="102">
        <f t="shared" si="29"/>
        <v>550</v>
      </c>
      <c r="J119" s="340" t="s">
        <v>12</v>
      </c>
      <c r="K119" s="281">
        <f>K104+K106+K108+K110+K112+K116</f>
        <v>14756</v>
      </c>
      <c r="L119" s="289">
        <f>L104+L106+L108+L110+L112+L114+L116</f>
        <v>15524.4</v>
      </c>
      <c r="M119" s="103" t="s">
        <v>12</v>
      </c>
      <c r="N119" s="101">
        <f>N104+N106+N108+N110+N112+N116</f>
        <v>14756</v>
      </c>
      <c r="O119" s="102">
        <f>O104+O106+O108+O110+O112+O114+O116</f>
        <v>15524.4</v>
      </c>
      <c r="P119" s="340" t="s">
        <v>12</v>
      </c>
      <c r="Q119" s="281">
        <f>Q104+Q106+Q108+Q110+Q112+Q116</f>
        <v>14756</v>
      </c>
      <c r="R119" s="289">
        <f>R104+R106+R108+R110+R112+R114+R116</f>
        <v>15524.4</v>
      </c>
      <c r="S119" s="174">
        <f>S104+S106+S108+S110+S112+S114+S116</f>
        <v>15524.4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29"/>
        <v>0</v>
      </c>
      <c r="D120" s="583">
        <f t="shared" si="29"/>
        <v>0</v>
      </c>
      <c r="E120" s="583">
        <f t="shared" si="29"/>
        <v>0</v>
      </c>
      <c r="F120" s="583">
        <f t="shared" si="29"/>
        <v>17734</v>
      </c>
      <c r="G120" s="583">
        <f t="shared" si="29"/>
        <v>8652</v>
      </c>
      <c r="H120" s="583">
        <f t="shared" si="29"/>
        <v>1993</v>
      </c>
      <c r="I120" s="584">
        <f t="shared" si="29"/>
        <v>47379</v>
      </c>
      <c r="J120" s="585">
        <f>J105+J107+J109+J111+J113+J115+J117</f>
        <v>56760.042000000001</v>
      </c>
      <c r="K120" s="586">
        <f>K105+K107+K109+K111+K113+K117</f>
        <v>1633729.372</v>
      </c>
      <c r="L120" s="587">
        <f>L105+L107+L109+L111+L113+L115+L117</f>
        <v>2101871.3528</v>
      </c>
      <c r="M120" s="582">
        <f>M105+M107+M109+M111+M113+M115+M117</f>
        <v>57944.517</v>
      </c>
      <c r="N120" s="588">
        <f>N105+N107+N109+N111+N113+N117</f>
        <v>1649511.4660000002</v>
      </c>
      <c r="O120" s="584">
        <f>O105+O107+O109+O111+O113+O115+O117</f>
        <v>2118589.6916000005</v>
      </c>
      <c r="P120" s="589">
        <f>P105+P107+P109+P111+P113+P115+P117</f>
        <v>59081.613000000005</v>
      </c>
      <c r="Q120" s="586">
        <f>Q105+Q107+Q109+Q111+Q113+Q117</f>
        <v>1681881.2740000004</v>
      </c>
      <c r="R120" s="587">
        <f>R105+R107+R109+R111+R113+R115+R117</f>
        <v>2160164.6324</v>
      </c>
      <c r="S120" s="590">
        <f>S105+S107+S109+S111+S113+S115+S117</f>
        <v>1597534.3061333336</v>
      </c>
      <c r="T120" s="584">
        <f>SUM(T105,T107,T109,T111,T113,T115,T117)</f>
        <v>743381.33333333337</v>
      </c>
      <c r="U120" s="591">
        <f>SUM(U105,U107,U109,U111,U113,U115,U117)</f>
        <v>411964.91946666664</v>
      </c>
    </row>
  </sheetData>
  <mergeCells count="35">
    <mergeCell ref="F2:G2"/>
    <mergeCell ref="S2:T2"/>
    <mergeCell ref="C5:I5"/>
    <mergeCell ref="G7:I7"/>
    <mergeCell ref="K8:L8"/>
    <mergeCell ref="N8:O8"/>
    <mergeCell ref="Q8:R8"/>
    <mergeCell ref="G54:I54"/>
    <mergeCell ref="G18:I18"/>
    <mergeCell ref="K19:L19"/>
    <mergeCell ref="N19:O19"/>
    <mergeCell ref="Q19:R19"/>
    <mergeCell ref="G32:I32"/>
    <mergeCell ref="G33:I33"/>
    <mergeCell ref="K33:L33"/>
    <mergeCell ref="N33:O33"/>
    <mergeCell ref="Q33:R33"/>
    <mergeCell ref="G42:I42"/>
    <mergeCell ref="G43:I43"/>
    <mergeCell ref="K43:L43"/>
    <mergeCell ref="N43:O43"/>
    <mergeCell ref="Q43:R43"/>
    <mergeCell ref="K55:L55"/>
    <mergeCell ref="N55:O55"/>
    <mergeCell ref="Q55:R55"/>
    <mergeCell ref="G69:I69"/>
    <mergeCell ref="K70:L70"/>
    <mergeCell ref="N70:O70"/>
    <mergeCell ref="Q70:R70"/>
    <mergeCell ref="N86:O86"/>
    <mergeCell ref="Q86:R86"/>
    <mergeCell ref="G92:I92"/>
    <mergeCell ref="K93:L93"/>
    <mergeCell ref="N93:O93"/>
    <mergeCell ref="Q93:R93"/>
  </mergeCells>
  <dataValidations count="1">
    <dataValidation allowBlank="1" showInputMessage="1" showErrorMessage="1" sqref="D35 D21:D23"/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9"/>
  <sheetViews>
    <sheetView topLeftCell="A26" zoomScaleNormal="100" workbookViewId="0">
      <selection activeCell="F2" sqref="F2:G2"/>
    </sheetView>
  </sheetViews>
  <sheetFormatPr defaultRowHeight="12.75"/>
  <cols>
    <col min="1" max="1" width="1.140625" customWidth="1"/>
    <col min="2" max="2" width="31.42578125" customWidth="1"/>
    <col min="3" max="3" width="16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  <col min="22" max="22" width="4.7109375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369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26</v>
      </c>
      <c r="M4" s="396" t="s">
        <v>71</v>
      </c>
      <c r="N4" s="431" t="s">
        <v>69</v>
      </c>
      <c r="O4" s="20">
        <v>26</v>
      </c>
      <c r="P4" s="425" t="s">
        <v>71</v>
      </c>
      <c r="Q4" s="429" t="s">
        <v>69</v>
      </c>
      <c r="R4" s="20">
        <v>26</v>
      </c>
      <c r="S4" s="115" t="s">
        <v>69</v>
      </c>
      <c r="T4" s="106">
        <f>AVERAGE(L4,O4,R4)</f>
        <v>26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11426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13688.348</v>
      </c>
      <c r="K21" s="279">
        <f>J21*$L$4</f>
        <v>355897.04800000001</v>
      </c>
      <c r="L21" s="280">
        <f>K21/$E$18</f>
        <v>71179.409599999999</v>
      </c>
      <c r="M21" s="78">
        <f>HLOOKUP($D$21,InflationTable,3)*$C$21</f>
        <v>13973.998000000001</v>
      </c>
      <c r="N21" s="27">
        <f>M21*$L$4</f>
        <v>363323.94800000003</v>
      </c>
      <c r="O21" s="182">
        <f>N21/$E$18</f>
        <v>72664.789600000004</v>
      </c>
      <c r="P21" s="298">
        <f>HLOOKUP($D$21,InflationTable,4)*$C$21</f>
        <v>14248.222000000002</v>
      </c>
      <c r="Q21" s="279">
        <f>P21*$L$4</f>
        <v>370453.77200000006</v>
      </c>
      <c r="R21" s="280">
        <f>Q21/$E$18</f>
        <v>74090.754400000005</v>
      </c>
      <c r="S21" s="127" t="s">
        <v>12</v>
      </c>
      <c r="T21" s="119" t="s">
        <v>12</v>
      </c>
      <c r="U21" s="139">
        <f>AVERAGE(L21,O21,R21)</f>
        <v>72644.984533333336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104</v>
      </c>
      <c r="L24" s="282">
        <f>K24/$E$18</f>
        <v>20.8</v>
      </c>
      <c r="M24" s="58" t="s">
        <v>12</v>
      </c>
      <c r="N24" s="69">
        <f>$I$24*($O$4+$O$5)</f>
        <v>104</v>
      </c>
      <c r="O24" s="59">
        <f>N24/$E$18</f>
        <v>20.8</v>
      </c>
      <c r="P24" s="263" t="s">
        <v>12</v>
      </c>
      <c r="Q24" s="281">
        <f>$I$24*($R$4+$R$5)</f>
        <v>104</v>
      </c>
      <c r="R24" s="282">
        <f>Q24/$E$18</f>
        <v>20.8</v>
      </c>
      <c r="S24" s="151">
        <f>AVERAGE(L24,O24,R24)</f>
        <v>20.8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6136.1559999999999</v>
      </c>
      <c r="L25" s="297">
        <f>K25/$E$18</f>
        <v>1227.2311999999999</v>
      </c>
      <c r="M25" s="376">
        <f>HLOOKUP(Labor!$B$11,InflationTable,3)*$I25</f>
        <v>240.93100000000001</v>
      </c>
      <c r="N25" s="377">
        <f>M25*$L$4</f>
        <v>6264.2060000000001</v>
      </c>
      <c r="O25" s="378">
        <f>N25/$E$18</f>
        <v>1252.8412000000001</v>
      </c>
      <c r="P25" s="332">
        <f>HLOOKUP(Labor!$B$11,InflationTable,4)*$I25</f>
        <v>245.65900000000002</v>
      </c>
      <c r="Q25" s="296">
        <f>P25*$L$4</f>
        <v>6387.1340000000009</v>
      </c>
      <c r="R25" s="390">
        <f>Q25/$E$18</f>
        <v>1277.4268000000002</v>
      </c>
      <c r="S25" s="391">
        <f>AVERAGE(L25,O25,R25)</f>
        <v>1252.4997333333333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416</v>
      </c>
      <c r="L26" s="294">
        <f>K26/$E$18</f>
        <v>83.2</v>
      </c>
      <c r="M26" s="61" t="s">
        <v>12</v>
      </c>
      <c r="N26" s="348">
        <f>I26*$O$4</f>
        <v>416</v>
      </c>
      <c r="O26" s="62">
        <f>N26/$E$18</f>
        <v>83.2</v>
      </c>
      <c r="P26" s="293" t="s">
        <v>12</v>
      </c>
      <c r="Q26" s="327">
        <f>$I26*$O$4</f>
        <v>416</v>
      </c>
      <c r="R26" s="367">
        <f>Q26/$E$18</f>
        <v>83.2</v>
      </c>
      <c r="S26" s="129">
        <f>AVERAGE(L26,O26,R26)</f>
        <v>83.2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21180.639999999999</v>
      </c>
      <c r="L27" s="297">
        <f>K27/$E$18</f>
        <v>4236.1279999999997</v>
      </c>
      <c r="M27" s="376">
        <f>HLOOKUP(Labor!$B$11,InflationTable,3)*$I27</f>
        <v>831.6400000000001</v>
      </c>
      <c r="N27" s="377">
        <f>M27*$O$4</f>
        <v>21622.640000000003</v>
      </c>
      <c r="O27" s="378">
        <f>N27/$E$18</f>
        <v>4324.5280000000002</v>
      </c>
      <c r="P27" s="339">
        <f>HLOOKUP(Labor!$B$11,InflationTable,4)*$I27</f>
        <v>847.96</v>
      </c>
      <c r="Q27" s="296">
        <f>P27*$R$4</f>
        <v>22046.959999999999</v>
      </c>
      <c r="R27" s="297">
        <f>Q27/$E$18</f>
        <v>4409.3919999999998</v>
      </c>
      <c r="S27" s="211">
        <f>AVERAGE(L27,O27,R27)</f>
        <v>4323.3493333333327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520</v>
      </c>
      <c r="L28" s="286">
        <f>L24+L26</f>
        <v>104</v>
      </c>
      <c r="M28" s="44" t="s">
        <v>12</v>
      </c>
      <c r="N28" s="33">
        <f>N24+N26</f>
        <v>520</v>
      </c>
      <c r="O28" s="40">
        <f>O24+O26</f>
        <v>104</v>
      </c>
      <c r="P28" s="284" t="s">
        <v>12</v>
      </c>
      <c r="Q28" s="285">
        <f>Q24+Q26</f>
        <v>520</v>
      </c>
      <c r="R28" s="286">
        <f>R24+R26</f>
        <v>104</v>
      </c>
      <c r="S28" s="175">
        <f>AVERAGE(L28,O28,R28)</f>
        <v>104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76642.768800000005</v>
      </c>
      <c r="M29" s="242">
        <f>M27+M25</f>
        <v>1072.5710000000001</v>
      </c>
      <c r="N29" s="247"/>
      <c r="O29" s="243">
        <f>O27+O25+O22+O21</f>
        <v>78242.158800000005</v>
      </c>
      <c r="P29" s="274">
        <f>P27+P25</f>
        <v>1093.6190000000001</v>
      </c>
      <c r="Q29" s="287"/>
      <c r="R29" s="276">
        <f>R27+R25+R22+R21</f>
        <v>79777.573199999999</v>
      </c>
      <c r="S29" s="248">
        <f>SUM(S27,S25)</f>
        <v>5575.8490666666657</v>
      </c>
      <c r="T29" s="249" t="s">
        <v>12</v>
      </c>
      <c r="U29" s="250">
        <f>SUM(U21:U22)</f>
        <v>72644.984533333336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24918.399999999998</v>
      </c>
      <c r="L34" s="308">
        <f>K34</f>
        <v>24918.399999999998</v>
      </c>
      <c r="M34" s="171">
        <f>HLOOKUP($D$34,InflationTable,3)*$C$34</f>
        <v>978.40000000000009</v>
      </c>
      <c r="N34" s="357">
        <f>M34*$O$4</f>
        <v>25438.400000000001</v>
      </c>
      <c r="O34" s="95">
        <f>N34</f>
        <v>25438.400000000001</v>
      </c>
      <c r="P34" s="355">
        <f>HLOOKUP($D$34,InflationTable,4)*$C$34</f>
        <v>997.60000000000014</v>
      </c>
      <c r="Q34" s="355">
        <f>P34*$R$4</f>
        <v>25937.600000000002</v>
      </c>
      <c r="R34" s="308">
        <f>Q34</f>
        <v>25937.600000000002</v>
      </c>
      <c r="S34" s="359" t="s">
        <v>12</v>
      </c>
      <c r="T34" s="360">
        <f>AVERAGE(L34,O34,R34)</f>
        <v>25431.466666666671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3120</v>
      </c>
      <c r="L36" s="289">
        <f>K36</f>
        <v>3120</v>
      </c>
      <c r="M36" s="58" t="s">
        <v>12</v>
      </c>
      <c r="N36" s="69">
        <f>$I$36*$O$4</f>
        <v>3120</v>
      </c>
      <c r="O36" s="68">
        <f>N36</f>
        <v>3120</v>
      </c>
      <c r="P36" s="299" t="s">
        <v>12</v>
      </c>
      <c r="Q36" s="281">
        <f>$I$36*$R$4</f>
        <v>3120</v>
      </c>
      <c r="R36" s="289">
        <f>Q36</f>
        <v>3120</v>
      </c>
      <c r="S36" s="121">
        <f>AVERAGE(L36,O36,R36)</f>
        <v>3120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158792.50399999999</v>
      </c>
      <c r="L37" s="390">
        <f>K37</f>
        <v>158792.50399999999</v>
      </c>
      <c r="M37" s="376">
        <f>HLOOKUP(Labor!$B$11,InflationTable,3)*I37</f>
        <v>6234.8540000000003</v>
      </c>
      <c r="N37" s="377">
        <f>M37*$O$4</f>
        <v>162106.204</v>
      </c>
      <c r="O37" s="378">
        <f>N37</f>
        <v>162106.204</v>
      </c>
      <c r="P37" s="296">
        <f>HLOOKUP(Labor!$B$11,InflationTable,4)*$I$37</f>
        <v>6357.2060000000001</v>
      </c>
      <c r="Q37" s="296">
        <f>P37*$R$4</f>
        <v>165287.356</v>
      </c>
      <c r="R37" s="390">
        <f>Q37</f>
        <v>165287.356</v>
      </c>
      <c r="S37" s="211">
        <f>AVERAGE(L37,O37,R37)</f>
        <v>162062.02133333334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3120</v>
      </c>
      <c r="L38" s="303">
        <f>L36</f>
        <v>3120</v>
      </c>
      <c r="M38" s="85" t="s">
        <v>12</v>
      </c>
      <c r="N38" s="82">
        <f>N36</f>
        <v>3120</v>
      </c>
      <c r="O38" s="96">
        <f>O36</f>
        <v>3120</v>
      </c>
      <c r="P38" s="301" t="s">
        <v>12</v>
      </c>
      <c r="Q38" s="302">
        <f>Q36</f>
        <v>3120</v>
      </c>
      <c r="R38" s="303">
        <f>R36</f>
        <v>3120</v>
      </c>
      <c r="S38" s="96">
        <f>S36</f>
        <v>3120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183710.90399999998</v>
      </c>
      <c r="L39" s="306">
        <f t="shared" si="5"/>
        <v>183710.90399999998</v>
      </c>
      <c r="M39" s="252">
        <f t="shared" si="5"/>
        <v>7213.2540000000008</v>
      </c>
      <c r="N39" s="253">
        <f t="shared" si="5"/>
        <v>187544.60399999999</v>
      </c>
      <c r="O39" s="254">
        <f t="shared" si="5"/>
        <v>187544.60399999999</v>
      </c>
      <c r="P39" s="304">
        <f t="shared" si="5"/>
        <v>7354.8060000000005</v>
      </c>
      <c r="Q39" s="305">
        <f t="shared" si="5"/>
        <v>191224.95600000001</v>
      </c>
      <c r="R39" s="306">
        <f t="shared" si="5"/>
        <v>191224.95600000001</v>
      </c>
      <c r="S39" s="255">
        <f>AVERAGE(L39,O39,R39)</f>
        <v>187493.48799999998</v>
      </c>
      <c r="T39" s="251">
        <f>T34</f>
        <v>25431.466666666671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31148</v>
      </c>
      <c r="L44" s="308">
        <f>K44</f>
        <v>31148</v>
      </c>
      <c r="M44" s="357">
        <f>HLOOKUP($D$44,InflationTable,3)*$C$44</f>
        <v>1223</v>
      </c>
      <c r="N44" s="357">
        <f>M44*$O$4</f>
        <v>31798</v>
      </c>
      <c r="O44" s="95">
        <f>N44</f>
        <v>31798</v>
      </c>
      <c r="P44" s="358">
        <f>HLOOKUP($D$44,InflationTable,4)*$C$44</f>
        <v>1247</v>
      </c>
      <c r="Q44" s="355">
        <f>P44*$R$4</f>
        <v>32422</v>
      </c>
      <c r="R44" s="308">
        <f>Q44</f>
        <v>32422</v>
      </c>
      <c r="S44" s="359" t="s">
        <v>12</v>
      </c>
      <c r="T44" s="360">
        <f>AVERAGE(L44,O44,R44)</f>
        <v>31789.333333333332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312</v>
      </c>
      <c r="L46" s="289">
        <f>K46</f>
        <v>312</v>
      </c>
      <c r="M46" s="58" t="s">
        <v>12</v>
      </c>
      <c r="N46" s="69">
        <f>$I$46*$O$4</f>
        <v>312</v>
      </c>
      <c r="O46" s="68">
        <f>N46</f>
        <v>312</v>
      </c>
      <c r="P46" s="263" t="s">
        <v>12</v>
      </c>
      <c r="Q46" s="281">
        <f>$I$46*$R$4</f>
        <v>312</v>
      </c>
      <c r="R46" s="289">
        <f>Q46</f>
        <v>312</v>
      </c>
      <c r="S46" s="121">
        <f>AVERAGE(L46,O46,R46)</f>
        <v>312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16352.699999999999</v>
      </c>
      <c r="L47" s="308">
        <f>K47</f>
        <v>16352.699999999999</v>
      </c>
      <c r="M47" s="84">
        <f>HLOOKUP(Labor!$B$11,InflationTable,3)*$I$47</f>
        <v>642.07500000000005</v>
      </c>
      <c r="N47" s="63">
        <f>M47*$O$4</f>
        <v>16693.95</v>
      </c>
      <c r="O47" s="95">
        <f>N47</f>
        <v>16693.95</v>
      </c>
      <c r="P47" s="268">
        <f>HLOOKUP(Labor!$B$11,InflationTable,4)*$I$47</f>
        <v>654.67500000000007</v>
      </c>
      <c r="Q47" s="269">
        <f>P47*$O$4</f>
        <v>17021.550000000003</v>
      </c>
      <c r="R47" s="308">
        <f>Q47</f>
        <v>17021.550000000003</v>
      </c>
      <c r="S47" s="128">
        <f>AVERAGE(L47,O47,R47)</f>
        <v>16689.400000000001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1456</v>
      </c>
      <c r="L48" s="328">
        <f>K48</f>
        <v>1456</v>
      </c>
      <c r="M48" s="61" t="s">
        <v>12</v>
      </c>
      <c r="N48" s="348">
        <f>$I$48*$O$4</f>
        <v>1456</v>
      </c>
      <c r="O48" s="349">
        <f>N48</f>
        <v>1456</v>
      </c>
      <c r="P48" s="293" t="s">
        <v>12</v>
      </c>
      <c r="Q48" s="327">
        <f>$I$48*$R$4</f>
        <v>1456</v>
      </c>
      <c r="R48" s="328">
        <f>Q48</f>
        <v>1456</v>
      </c>
      <c r="S48" s="129">
        <f>AVERAGE(L48,O48,R48)</f>
        <v>1456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80455.284</v>
      </c>
      <c r="L49" s="308">
        <f>K49</f>
        <v>80455.284</v>
      </c>
      <c r="M49" s="84">
        <f>HLOOKUP(Labor!$B$11,InflationTable,3)*$I$49</f>
        <v>3159.009</v>
      </c>
      <c r="N49" s="63">
        <f>M49*$O$4</f>
        <v>82134.233999999997</v>
      </c>
      <c r="O49" s="95">
        <f>N49</f>
        <v>82134.233999999997</v>
      </c>
      <c r="P49" s="268">
        <f>HLOOKUP(Labor!$B$11,InflationTable,4)*$I$49</f>
        <v>3221.0010000000002</v>
      </c>
      <c r="Q49" s="269">
        <f>P49*$R$4</f>
        <v>83746.026000000013</v>
      </c>
      <c r="R49" s="308">
        <f>Q49</f>
        <v>83746.026000000013</v>
      </c>
      <c r="S49" s="132">
        <f>AVERAGE(L49,O49,R49)</f>
        <v>82111.847999999998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1768</v>
      </c>
      <c r="L50" s="310">
        <f>L46+L48</f>
        <v>1768</v>
      </c>
      <c r="M50" s="85" t="s">
        <v>12</v>
      </c>
      <c r="N50" s="86">
        <f>N46+N48</f>
        <v>1768</v>
      </c>
      <c r="O50" s="97">
        <f>O46+O48</f>
        <v>1768</v>
      </c>
      <c r="P50" s="301" t="s">
        <v>12</v>
      </c>
      <c r="Q50" s="309">
        <f>Q46+Q48</f>
        <v>1768</v>
      </c>
      <c r="R50" s="310">
        <f>R46+R48</f>
        <v>1768</v>
      </c>
      <c r="S50" s="121">
        <f>AVERAGE(L50,O50,R50)</f>
        <v>1768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127955.984</v>
      </c>
      <c r="L51" s="306">
        <f t="shared" si="8"/>
        <v>127955.984</v>
      </c>
      <c r="M51" s="252">
        <f t="shared" si="8"/>
        <v>5024.0839999999998</v>
      </c>
      <c r="N51" s="253">
        <f t="shared" si="8"/>
        <v>130626.18399999999</v>
      </c>
      <c r="O51" s="254">
        <f t="shared" si="8"/>
        <v>130626.18399999999</v>
      </c>
      <c r="P51" s="311">
        <f t="shared" si="8"/>
        <v>5122.6760000000004</v>
      </c>
      <c r="Q51" s="305">
        <f t="shared" si="8"/>
        <v>133189.576</v>
      </c>
      <c r="R51" s="306">
        <f t="shared" si="8"/>
        <v>133189.576</v>
      </c>
      <c r="S51" s="248">
        <f>S49+S47</f>
        <v>98801.247999999992</v>
      </c>
      <c r="T51" s="251">
        <f>T44</f>
        <v>31789.333333333332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364</v>
      </c>
      <c r="L56" s="289">
        <f t="shared" ref="L56:L63" si="10">K56</f>
        <v>364</v>
      </c>
      <c r="M56" s="58" t="s">
        <v>12</v>
      </c>
      <c r="N56" s="69">
        <f>$I$56*$O$4</f>
        <v>364</v>
      </c>
      <c r="O56" s="68">
        <f t="shared" ref="O56:O63" si="11">N56</f>
        <v>364</v>
      </c>
      <c r="P56" s="263" t="s">
        <v>12</v>
      </c>
      <c r="Q56" s="281">
        <f>$I$56*$R$4</f>
        <v>364</v>
      </c>
      <c r="R56" s="289">
        <f t="shared" ref="R56:R63" si="12">Q56</f>
        <v>364</v>
      </c>
      <c r="S56" s="121">
        <f t="shared" ref="S56:S65" si="13">AVERAGE(L56,O56,R56)</f>
        <v>364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19810.128000000001</v>
      </c>
      <c r="L57" s="308">
        <f t="shared" si="10"/>
        <v>19810.128000000001</v>
      </c>
      <c r="M57" s="84">
        <f>HLOOKUP(Labor!$B$11,InflationTable,3)*$I$57</f>
        <v>777.82800000000009</v>
      </c>
      <c r="N57" s="63">
        <f>M57*$L$4</f>
        <v>20223.528000000002</v>
      </c>
      <c r="O57" s="95">
        <f t="shared" si="11"/>
        <v>20223.528000000002</v>
      </c>
      <c r="P57" s="268">
        <f>HLOOKUP(Labor!$B$11,InflationTable,4)*$I$57</f>
        <v>793.0920000000001</v>
      </c>
      <c r="Q57" s="269">
        <f>P57*$R$4</f>
        <v>20620.392000000003</v>
      </c>
      <c r="R57" s="308">
        <f t="shared" si="12"/>
        <v>20620.392000000003</v>
      </c>
      <c r="S57" s="128">
        <f t="shared" si="13"/>
        <v>20218.016000000003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234</v>
      </c>
      <c r="L58" s="328">
        <f t="shared" si="10"/>
        <v>234</v>
      </c>
      <c r="M58" s="61" t="s">
        <v>12</v>
      </c>
      <c r="N58" s="348">
        <f>$I$58*$O$4</f>
        <v>234</v>
      </c>
      <c r="O58" s="349">
        <f t="shared" si="11"/>
        <v>234</v>
      </c>
      <c r="P58" s="293" t="s">
        <v>12</v>
      </c>
      <c r="Q58" s="327">
        <f>$I$58*$R$4</f>
        <v>234</v>
      </c>
      <c r="R58" s="328">
        <f t="shared" si="12"/>
        <v>234</v>
      </c>
      <c r="S58" s="129">
        <f t="shared" si="13"/>
        <v>234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13611.675999999999</v>
      </c>
      <c r="L59" s="308">
        <f t="shared" si="10"/>
        <v>13611.675999999999</v>
      </c>
      <c r="M59" s="362">
        <f>HLOOKUP(Labor!$B$11,InflationTable,3)*I59</f>
        <v>534.45100000000002</v>
      </c>
      <c r="N59" s="63">
        <f>M59*$O$4</f>
        <v>13895.726000000001</v>
      </c>
      <c r="O59" s="95">
        <f t="shared" si="11"/>
        <v>13895.726000000001</v>
      </c>
      <c r="P59" s="268">
        <f>HLOOKUP(Labor!$B$11,InflationTable,4)*$I$59</f>
        <v>544.93900000000008</v>
      </c>
      <c r="Q59" s="269">
        <f>P59*$R$4</f>
        <v>14168.414000000002</v>
      </c>
      <c r="R59" s="308">
        <f t="shared" si="12"/>
        <v>14168.414000000002</v>
      </c>
      <c r="S59" s="128">
        <f t="shared" si="13"/>
        <v>13891.938666666669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312</v>
      </c>
      <c r="L60" s="328">
        <f t="shared" si="10"/>
        <v>312</v>
      </c>
      <c r="M60" s="61" t="s">
        <v>12</v>
      </c>
      <c r="N60" s="348">
        <f>$I$60*$O$4</f>
        <v>312</v>
      </c>
      <c r="O60" s="349">
        <f t="shared" si="11"/>
        <v>312</v>
      </c>
      <c r="P60" s="293" t="s">
        <v>12</v>
      </c>
      <c r="Q60" s="327">
        <f>$I$60*$R$4</f>
        <v>312</v>
      </c>
      <c r="R60" s="328">
        <f t="shared" si="12"/>
        <v>312</v>
      </c>
      <c r="S60" s="129">
        <f t="shared" si="13"/>
        <v>312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17754.36</v>
      </c>
      <c r="L61" s="308">
        <f t="shared" si="10"/>
        <v>17754.36</v>
      </c>
      <c r="M61" s="84">
        <f>HLOOKUP(Labor!$B$11,InflationTable,3)*$I$61</f>
        <v>697.11</v>
      </c>
      <c r="N61" s="63">
        <f>M61*$O$4</f>
        <v>18124.86</v>
      </c>
      <c r="O61" s="95">
        <f t="shared" si="11"/>
        <v>18124.86</v>
      </c>
      <c r="P61" s="268">
        <f>HLOOKUP(Labor!$B$11,InflationTable,4)*$I$61</f>
        <v>710.79000000000008</v>
      </c>
      <c r="Q61" s="269">
        <f>P61*$R$4</f>
        <v>18480.54</v>
      </c>
      <c r="R61" s="308">
        <f t="shared" si="12"/>
        <v>18480.54</v>
      </c>
      <c r="S61" s="128">
        <f t="shared" si="13"/>
        <v>18119.920000000002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104</v>
      </c>
      <c r="L62" s="328">
        <f t="shared" si="10"/>
        <v>104</v>
      </c>
      <c r="M62" s="61" t="s">
        <v>12</v>
      </c>
      <c r="N62" s="348">
        <f>$I$62*$O$4</f>
        <v>104</v>
      </c>
      <c r="O62" s="349">
        <f t="shared" si="11"/>
        <v>104</v>
      </c>
      <c r="P62" s="293" t="s">
        <v>12</v>
      </c>
      <c r="Q62" s="327">
        <f>$I$62*$R$4</f>
        <v>104</v>
      </c>
      <c r="R62" s="328">
        <f t="shared" si="12"/>
        <v>104</v>
      </c>
      <c r="S62" s="129">
        <f t="shared" si="13"/>
        <v>104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5731.232</v>
      </c>
      <c r="L63" s="300">
        <f t="shared" si="10"/>
        <v>5731.232</v>
      </c>
      <c r="M63" s="84">
        <f>HLOOKUP(Labor!$B$11,InflationTable,3)*$I$63</f>
        <v>225.03200000000001</v>
      </c>
      <c r="N63" s="63">
        <f>M63*$O$4</f>
        <v>5850.8320000000003</v>
      </c>
      <c r="O63" s="98">
        <f t="shared" si="11"/>
        <v>5850.8320000000003</v>
      </c>
      <c r="P63" s="268">
        <f>HLOOKUP(Labor!$B$11,InflationTable,4)*$I$63</f>
        <v>229.44800000000001</v>
      </c>
      <c r="Q63" s="269">
        <f>P63*$R$4</f>
        <v>5965.6480000000001</v>
      </c>
      <c r="R63" s="300">
        <f t="shared" si="12"/>
        <v>5965.6480000000001</v>
      </c>
      <c r="S63" s="128">
        <f t="shared" si="13"/>
        <v>5849.2373333333335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1014</v>
      </c>
      <c r="L64" s="312">
        <f>L56+L58+L60+L62</f>
        <v>1014</v>
      </c>
      <c r="M64" s="85" t="s">
        <v>12</v>
      </c>
      <c r="N64" s="33">
        <f>N56+N58+N60+N62</f>
        <v>1014</v>
      </c>
      <c r="O64" s="99">
        <f>O56+O58+O60+O62</f>
        <v>1014</v>
      </c>
      <c r="P64" s="301" t="s">
        <v>12</v>
      </c>
      <c r="Q64" s="285">
        <f>Q56+Q58+Q60+Q62</f>
        <v>1014</v>
      </c>
      <c r="R64" s="312">
        <f>R56+R58+R60+R62</f>
        <v>1014</v>
      </c>
      <c r="S64" s="129">
        <f t="shared" si="13"/>
        <v>1014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56907.396000000008</v>
      </c>
      <c r="L65" s="276">
        <f>L57+L59+L61+L63</f>
        <v>56907.396000000008</v>
      </c>
      <c r="M65" s="242">
        <f>M57+M59+M61+M63</f>
        <v>2234.4210000000003</v>
      </c>
      <c r="N65" s="240">
        <f>N57+N59+N61+N63</f>
        <v>58094.946000000004</v>
      </c>
      <c r="O65" s="243">
        <f>O57+O59+O61+O63</f>
        <v>58094.946000000004</v>
      </c>
      <c r="P65" s="313">
        <f>P57+P59+P61+P63</f>
        <v>2278.2690000000002</v>
      </c>
      <c r="Q65" s="275">
        <f>Q57+Q59+Q61+Q63</f>
        <v>59234.994000000006</v>
      </c>
      <c r="R65" s="276">
        <f>R57+R59+R61+R63</f>
        <v>59234.994000000006</v>
      </c>
      <c r="S65" s="255">
        <f t="shared" si="13"/>
        <v>58079.112000000001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936</v>
      </c>
      <c r="L71" s="289">
        <f>K71</f>
        <v>936</v>
      </c>
      <c r="M71" s="58" t="s">
        <v>12</v>
      </c>
      <c r="N71" s="69">
        <f>$I$71*$O$4</f>
        <v>936</v>
      </c>
      <c r="O71" s="68">
        <f>N71</f>
        <v>936</v>
      </c>
      <c r="P71" s="263" t="s">
        <v>12</v>
      </c>
      <c r="Q71" s="281">
        <f>$I$71*$O$4</f>
        <v>936</v>
      </c>
      <c r="R71" s="289">
        <f>Q71</f>
        <v>936</v>
      </c>
      <c r="S71" s="121">
        <f>AVERAGE(L71,O71,R71)</f>
        <v>936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58309.055999999997</v>
      </c>
      <c r="L72" s="308">
        <f>K72</f>
        <v>58309.055999999997</v>
      </c>
      <c r="M72" s="362">
        <f>HLOOKUP(Labor!$B$11,InflationTable,3)*$I$72</f>
        <v>2289.4560000000001</v>
      </c>
      <c r="N72" s="63">
        <f>M72*$O$4</f>
        <v>59525.856</v>
      </c>
      <c r="O72" s="95">
        <f>N72</f>
        <v>59525.856</v>
      </c>
      <c r="P72" s="268">
        <f>HLOOKUP(Labor!$B$11,InflationTable,4)*$I72</f>
        <v>2334.384</v>
      </c>
      <c r="Q72" s="269">
        <f>P72*$R$4</f>
        <v>60693.983999999997</v>
      </c>
      <c r="R72" s="308">
        <f>Q72</f>
        <v>60693.983999999997</v>
      </c>
      <c r="S72" s="128">
        <f>AVERAGE(L72,O72,R72)</f>
        <v>59509.632000000005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676</v>
      </c>
      <c r="L73" s="328">
        <f>K73</f>
        <v>676</v>
      </c>
      <c r="M73" s="61" t="s">
        <v>12</v>
      </c>
      <c r="N73" s="348">
        <f>$I$73*$O$4</f>
        <v>676</v>
      </c>
      <c r="O73" s="349">
        <f>N73</f>
        <v>676</v>
      </c>
      <c r="P73" s="293" t="s">
        <v>12</v>
      </c>
      <c r="Q73" s="327">
        <f>$I$73*$O$4</f>
        <v>676</v>
      </c>
      <c r="R73" s="328">
        <f>Q73</f>
        <v>676</v>
      </c>
      <c r="S73" s="129">
        <f>AVERAGE(L73,O73,R73)</f>
        <v>676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33079.175999999992</v>
      </c>
      <c r="L74" s="308">
        <f>K74</f>
        <v>33079.175999999992</v>
      </c>
      <c r="M74" s="362">
        <f>HLOOKUP(Labor!$B$11,InflationTable,3)*$I$74</f>
        <v>1298.826</v>
      </c>
      <c r="N74" s="63">
        <f>M74*$O$4</f>
        <v>33769.476000000002</v>
      </c>
      <c r="O74" s="95">
        <f>N74</f>
        <v>33769.476000000002</v>
      </c>
      <c r="P74" s="268">
        <f>HLOOKUP(Labor!$B$11,InflationTable,4)*$I74</f>
        <v>1324.3140000000001</v>
      </c>
      <c r="Q74" s="269">
        <f>P74*$R$4</f>
        <v>34432.164000000004</v>
      </c>
      <c r="R74" s="308">
        <f>Q74</f>
        <v>34432.164000000004</v>
      </c>
      <c r="S74" s="128">
        <f>AVERAGE(L74,O74,R74)</f>
        <v>33760.272000000004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104</v>
      </c>
      <c r="L76" s="289">
        <f t="shared" ref="L76:L81" si="16">K76</f>
        <v>104</v>
      </c>
      <c r="M76" s="58" t="s">
        <v>12</v>
      </c>
      <c r="N76" s="69">
        <f>$I76*$O$4</f>
        <v>104</v>
      </c>
      <c r="O76" s="68">
        <f t="shared" ref="O76:O81" si="17">N76</f>
        <v>104</v>
      </c>
      <c r="P76" s="263" t="s">
        <v>12</v>
      </c>
      <c r="Q76" s="281">
        <f>$I76*$O$4</f>
        <v>104</v>
      </c>
      <c r="R76" s="289">
        <f t="shared" ref="R76:R81" si="18">Q76</f>
        <v>104</v>
      </c>
      <c r="S76" s="121">
        <f t="shared" ref="S76:S81" si="19">AVERAGE(L76,O76,R76)</f>
        <v>104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6541.08</v>
      </c>
      <c r="L77" s="308">
        <f t="shared" si="16"/>
        <v>6541.08</v>
      </c>
      <c r="M77" s="362">
        <f>HLOOKUP(Labor!$B$11,InflationTable,3)*$I77</f>
        <v>256.83000000000004</v>
      </c>
      <c r="N77" s="63">
        <f>M77*$O$4</f>
        <v>6677.5800000000008</v>
      </c>
      <c r="O77" s="95">
        <f t="shared" si="17"/>
        <v>6677.5800000000008</v>
      </c>
      <c r="P77" s="268">
        <f>HLOOKUP(Labor!$B$11,InflationTable,4)*$I77</f>
        <v>261.87</v>
      </c>
      <c r="Q77" s="269">
        <f>P77*$R$4</f>
        <v>6808.62</v>
      </c>
      <c r="R77" s="308">
        <f t="shared" si="18"/>
        <v>6808.62</v>
      </c>
      <c r="S77" s="128">
        <f t="shared" si="19"/>
        <v>6675.7599999999993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130</v>
      </c>
      <c r="L78" s="328">
        <f t="shared" si="16"/>
        <v>130</v>
      </c>
      <c r="M78" s="61" t="s">
        <v>12</v>
      </c>
      <c r="N78" s="348">
        <f>$I78*$O$4</f>
        <v>130</v>
      </c>
      <c r="O78" s="349">
        <f t="shared" si="17"/>
        <v>130</v>
      </c>
      <c r="P78" s="293" t="s">
        <v>12</v>
      </c>
      <c r="Q78" s="327">
        <f>$I78*$O$4</f>
        <v>130</v>
      </c>
      <c r="R78" s="328">
        <f t="shared" si="18"/>
        <v>130</v>
      </c>
      <c r="S78" s="129">
        <f t="shared" si="19"/>
        <v>130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7444.3720000000003</v>
      </c>
      <c r="L79" s="308">
        <f t="shared" si="16"/>
        <v>7444.3720000000003</v>
      </c>
      <c r="M79" s="362">
        <f>HLOOKUP(Labor!$B$11,InflationTable,3)*$I79</f>
        <v>292.29700000000003</v>
      </c>
      <c r="N79" s="63">
        <f>M79*$O$4</f>
        <v>7599.7220000000007</v>
      </c>
      <c r="O79" s="95">
        <f t="shared" si="17"/>
        <v>7599.7220000000007</v>
      </c>
      <c r="P79" s="268">
        <f>HLOOKUP(Labor!$B$11,InflationTable,4)*$I79</f>
        <v>298.03300000000002</v>
      </c>
      <c r="Q79" s="269">
        <f>P79*$R$4</f>
        <v>7748.8580000000002</v>
      </c>
      <c r="R79" s="308">
        <f t="shared" si="18"/>
        <v>7748.8580000000002</v>
      </c>
      <c r="S79" s="172">
        <f t="shared" si="19"/>
        <v>7597.6506666666673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156</v>
      </c>
      <c r="L80" s="328">
        <f t="shared" si="16"/>
        <v>156</v>
      </c>
      <c r="M80" s="61" t="s">
        <v>12</v>
      </c>
      <c r="N80" s="348">
        <f>$I80*$O$4</f>
        <v>156</v>
      </c>
      <c r="O80" s="349">
        <f t="shared" si="17"/>
        <v>156</v>
      </c>
      <c r="P80" s="293" t="s">
        <v>12</v>
      </c>
      <c r="Q80" s="327">
        <f>$I80*$O$4</f>
        <v>156</v>
      </c>
      <c r="R80" s="328">
        <f t="shared" si="18"/>
        <v>156</v>
      </c>
      <c r="S80" s="121">
        <f t="shared" si="19"/>
        <v>156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9780.4719999999998</v>
      </c>
      <c r="L81" s="308">
        <f t="shared" si="16"/>
        <v>9780.4719999999998</v>
      </c>
      <c r="M81" s="362">
        <f>HLOOKUP(Labor!$B$11,InflationTable,3)*$I81</f>
        <v>384.02200000000005</v>
      </c>
      <c r="N81" s="63">
        <f>M81*$O$4</f>
        <v>9984.5720000000019</v>
      </c>
      <c r="O81" s="95">
        <f t="shared" si="17"/>
        <v>9984.5720000000019</v>
      </c>
      <c r="P81" s="268">
        <f>HLOOKUP(Labor!$B$11,InflationTable,4)*$I81</f>
        <v>391.55800000000005</v>
      </c>
      <c r="Q81" s="269">
        <f>P81*$R$4</f>
        <v>10180.508000000002</v>
      </c>
      <c r="R81" s="308">
        <f t="shared" si="18"/>
        <v>10180.508000000002</v>
      </c>
      <c r="S81" s="128">
        <f t="shared" si="19"/>
        <v>9981.8506666666672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3.5</v>
      </c>
      <c r="L83" s="289">
        <f>K83</f>
        <v>3.5</v>
      </c>
      <c r="M83" s="58" t="s">
        <v>12</v>
      </c>
      <c r="N83" s="89">
        <f>$I83*M$5</f>
        <v>3.5</v>
      </c>
      <c r="O83" s="68">
        <f>N83</f>
        <v>3.5</v>
      </c>
      <c r="P83" s="263" t="s">
        <v>12</v>
      </c>
      <c r="Q83" s="314">
        <f>$I83*P$5</f>
        <v>3.5</v>
      </c>
      <c r="R83" s="289">
        <f>Q83</f>
        <v>3.5</v>
      </c>
      <c r="S83" s="121">
        <f>AVERAGE(L83,O83,R83)</f>
        <v>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201.26399999999998</v>
      </c>
      <c r="L84" s="308">
        <f>K84</f>
        <v>201.26399999999998</v>
      </c>
      <c r="M84" s="362">
        <f>HLOOKUP(Labor!$B$11,InflationTable,3)*$I84</f>
        <v>29.352000000000004</v>
      </c>
      <c r="N84" s="63">
        <f>M84*$M$5</f>
        <v>205.46400000000003</v>
      </c>
      <c r="O84" s="95">
        <f>N84</f>
        <v>205.46400000000003</v>
      </c>
      <c r="P84" s="268">
        <f>HLOOKUP(Labor!$B$11,InflationTable,4)*$I84</f>
        <v>29.928000000000004</v>
      </c>
      <c r="Q84" s="269">
        <f>P84*$P$5</f>
        <v>209.49600000000004</v>
      </c>
      <c r="R84" s="308">
        <f>Q84</f>
        <v>209.49600000000004</v>
      </c>
      <c r="S84" s="132">
        <f>AVERAGE(L84,O84,R84)</f>
        <v>205.40800000000002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105</v>
      </c>
      <c r="L86" s="282">
        <f>K86/$E$85</f>
        <v>21</v>
      </c>
      <c r="M86" s="58" t="s">
        <v>12</v>
      </c>
      <c r="N86" s="60">
        <f>$I$86*$M$5</f>
        <v>105</v>
      </c>
      <c r="O86" s="59">
        <f>N86/$E$85</f>
        <v>21</v>
      </c>
      <c r="P86" s="263" t="s">
        <v>12</v>
      </c>
      <c r="Q86" s="283">
        <f>$I$86*$P$5</f>
        <v>105</v>
      </c>
      <c r="R86" s="282">
        <f>Q86/$E$85</f>
        <v>21</v>
      </c>
      <c r="S86" s="121">
        <f>AVERAGE(L86,O86,R86)</f>
        <v>21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6842.9759999999997</v>
      </c>
      <c r="L87" s="270">
        <f>K87/$E$85</f>
        <v>1368.5952</v>
      </c>
      <c r="M87" s="91">
        <f>HLOOKUP(Labor!$B$11,InflationTable,3)*$I87</f>
        <v>997.96800000000007</v>
      </c>
      <c r="N87" s="63">
        <f>M87*$M$5</f>
        <v>6985.7760000000007</v>
      </c>
      <c r="O87" s="64">
        <f>N87/$E$85</f>
        <v>1397.1552000000001</v>
      </c>
      <c r="P87" s="292">
        <f>HLOOKUP(Labor!$B$11,InflationTable,4)*$I87</f>
        <v>1017.5520000000001</v>
      </c>
      <c r="Q87" s="269">
        <f>P87*$P$5</f>
        <v>7122.8640000000014</v>
      </c>
      <c r="R87" s="270">
        <f>Q87/$E$85</f>
        <v>1424.5728000000004</v>
      </c>
      <c r="S87" s="128">
        <f>AVERAGE(L87,O87,R87)</f>
        <v>1396.7744000000002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2026.5</v>
      </c>
      <c r="M88" s="92" t="s">
        <v>12</v>
      </c>
      <c r="N88" s="42" t="s">
        <v>12</v>
      </c>
      <c r="O88" s="90">
        <f>O86+N83+N80+N78+N76+N73+N71</f>
        <v>2026.5</v>
      </c>
      <c r="P88" s="293" t="s">
        <v>12</v>
      </c>
      <c r="Q88" s="315" t="s">
        <v>12</v>
      </c>
      <c r="R88" s="316">
        <f>R86+Q83+Q80+Q78+Q76+Q73+Q71</f>
        <v>2026.5</v>
      </c>
      <c r="S88" s="150">
        <f>AVERAGE(L88,O88,R88)</f>
        <v>2026.5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116724.01519999999</v>
      </c>
      <c r="M89" s="242">
        <f>M72+M74+M77+M79+M81+M84+M87</f>
        <v>5548.7509999999993</v>
      </c>
      <c r="N89" s="256" t="s">
        <v>12</v>
      </c>
      <c r="O89" s="254">
        <f>O87+N84+N81+N79+N77+N74+N72</f>
        <v>119159.82520000001</v>
      </c>
      <c r="P89" s="274">
        <f>P72+P74+P77+P79+P81+P84+P87</f>
        <v>5657.639000000001</v>
      </c>
      <c r="Q89" s="317" t="s">
        <v>12</v>
      </c>
      <c r="R89" s="306">
        <f>R87+Q84+Q81+Q79+Q77+Q74+Q72</f>
        <v>121498.2028</v>
      </c>
      <c r="S89" s="248">
        <f>AVERAGE(L89,O89,R89)</f>
        <v>119127.34773333331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312</v>
      </c>
      <c r="L94" s="289">
        <f>K94</f>
        <v>312</v>
      </c>
      <c r="M94" s="58" t="s">
        <v>12</v>
      </c>
      <c r="N94" s="69">
        <f>$I94*O$4</f>
        <v>312</v>
      </c>
      <c r="O94" s="59">
        <f>N94</f>
        <v>312</v>
      </c>
      <c r="P94" s="263" t="s">
        <v>12</v>
      </c>
      <c r="Q94" s="281">
        <f>$I94*R$4</f>
        <v>312</v>
      </c>
      <c r="R94" s="289">
        <f>Q94</f>
        <v>312</v>
      </c>
      <c r="S94" s="173">
        <f t="shared" ref="S94:S99" si="21">AVERAGE(L94,O94,R94)</f>
        <v>312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21118.343999999997</v>
      </c>
      <c r="L95" s="308">
        <f>K95</f>
        <v>21118.343999999997</v>
      </c>
      <c r="M95" s="84">
        <f>HLOOKUP(Labor!$B$11,InflationTable,3)*$I95</f>
        <v>829.19400000000007</v>
      </c>
      <c r="N95" s="63">
        <f>M95*O$4</f>
        <v>21559.044000000002</v>
      </c>
      <c r="O95" s="64">
        <f>N95</f>
        <v>21559.044000000002</v>
      </c>
      <c r="P95" s="268">
        <f>HLOOKUP(Labor!$B$11,InflationTable,4)*$I95</f>
        <v>845.46600000000012</v>
      </c>
      <c r="Q95" s="269">
        <f>P95*R$4</f>
        <v>21982.116000000002</v>
      </c>
      <c r="R95" s="308">
        <f>Q95</f>
        <v>21982.116000000002</v>
      </c>
      <c r="S95" s="171">
        <f t="shared" si="21"/>
        <v>21553.168000000001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780</v>
      </c>
      <c r="L96" s="328">
        <f>K96</f>
        <v>780</v>
      </c>
      <c r="M96" s="61" t="s">
        <v>12</v>
      </c>
      <c r="N96" s="348">
        <f>$I96*O$4</f>
        <v>780</v>
      </c>
      <c r="O96" s="349">
        <f>N96</f>
        <v>780</v>
      </c>
      <c r="P96" s="293" t="s">
        <v>12</v>
      </c>
      <c r="Q96" s="327">
        <f>$I96*R$4</f>
        <v>780</v>
      </c>
      <c r="R96" s="328">
        <f>Q96</f>
        <v>780</v>
      </c>
      <c r="S96" s="173">
        <f t="shared" si="21"/>
        <v>780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44821.972000000002</v>
      </c>
      <c r="L97" s="300">
        <f>K97</f>
        <v>44821.972000000002</v>
      </c>
      <c r="M97" s="84">
        <f>HLOOKUP(Labor!$B$11,InflationTable,3)*$I97</f>
        <v>1759.8970000000002</v>
      </c>
      <c r="N97" s="63">
        <f>M97*O$4</f>
        <v>45757.322000000007</v>
      </c>
      <c r="O97" s="64">
        <f>N97</f>
        <v>45757.322000000007</v>
      </c>
      <c r="P97" s="292">
        <f>HLOOKUP(Labor!$B$11,InflationTable,4)*$I97</f>
        <v>1794.4330000000002</v>
      </c>
      <c r="Q97" s="269">
        <f>P97*R$4</f>
        <v>46655.258000000009</v>
      </c>
      <c r="R97" s="300">
        <f>Q97</f>
        <v>46655.258000000009</v>
      </c>
      <c r="S97" s="128">
        <f t="shared" si="21"/>
        <v>45744.850666666673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1092</v>
      </c>
      <c r="L98" s="321">
        <f>L94+L96</f>
        <v>1092</v>
      </c>
      <c r="M98" s="85" t="s">
        <v>12</v>
      </c>
      <c r="N98" s="36">
        <f>N94+N96</f>
        <v>1092</v>
      </c>
      <c r="O98" s="100">
        <f>O94+O96</f>
        <v>1092</v>
      </c>
      <c r="P98" s="301" t="s">
        <v>12</v>
      </c>
      <c r="Q98" s="320">
        <f>Q94+Q96</f>
        <v>1092</v>
      </c>
      <c r="R98" s="322">
        <f>R94+R96</f>
        <v>1092</v>
      </c>
      <c r="S98" s="121">
        <f t="shared" si="21"/>
        <v>1092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65940.315999999992</v>
      </c>
      <c r="L99" s="276">
        <f>L95+L97</f>
        <v>65940.315999999992</v>
      </c>
      <c r="M99" s="242">
        <f>M95+M97</f>
        <v>2589.0910000000003</v>
      </c>
      <c r="N99" s="240">
        <f>N95+N97</f>
        <v>67316.366000000009</v>
      </c>
      <c r="O99" s="243">
        <f>O95+O97</f>
        <v>67316.366000000009</v>
      </c>
      <c r="P99" s="313">
        <f>P95+P97</f>
        <v>2639.8990000000003</v>
      </c>
      <c r="Q99" s="275">
        <f>Q95+Q97</f>
        <v>68637.374000000011</v>
      </c>
      <c r="R99" s="276">
        <f>R95+R97</f>
        <v>68637.374000000011</v>
      </c>
      <c r="S99" s="257">
        <f t="shared" si="21"/>
        <v>67298.01866666667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648" t="str">
        <f>C2</f>
        <v>PAMSNMOC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0</v>
      </c>
      <c r="G103" s="184">
        <f t="shared" si="23"/>
        <v>0</v>
      </c>
      <c r="H103" s="184">
        <f t="shared" si="23"/>
        <v>0</v>
      </c>
      <c r="I103" s="185">
        <f t="shared" si="23"/>
        <v>0</v>
      </c>
      <c r="J103" s="326" t="str">
        <f t="shared" si="23"/>
        <v>NA</v>
      </c>
      <c r="K103" s="327">
        <f t="shared" si="23"/>
        <v>0</v>
      </c>
      <c r="L103" s="328">
        <f t="shared" si="23"/>
        <v>0</v>
      </c>
      <c r="M103" s="186" t="str">
        <f t="shared" si="23"/>
        <v>NA</v>
      </c>
      <c r="N103" s="184">
        <f t="shared" si="23"/>
        <v>0</v>
      </c>
      <c r="O103" s="185">
        <f t="shared" si="23"/>
        <v>0</v>
      </c>
      <c r="P103" s="326" t="str">
        <f t="shared" si="23"/>
        <v>NA</v>
      </c>
      <c r="Q103" s="327">
        <f t="shared" si="23"/>
        <v>0</v>
      </c>
      <c r="R103" s="328">
        <f t="shared" si="23"/>
        <v>0</v>
      </c>
      <c r="S103" s="185">
        <f t="shared" si="23"/>
        <v>0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0</v>
      </c>
      <c r="G104" s="204">
        <f t="shared" si="24"/>
        <v>0</v>
      </c>
      <c r="H104" s="204">
        <f t="shared" si="24"/>
        <v>0</v>
      </c>
      <c r="I104" s="205">
        <f t="shared" si="24"/>
        <v>0</v>
      </c>
      <c r="J104" s="329">
        <f t="shared" si="24"/>
        <v>0</v>
      </c>
      <c r="K104" s="330">
        <f t="shared" si="24"/>
        <v>0</v>
      </c>
      <c r="L104" s="331">
        <f t="shared" si="24"/>
        <v>0</v>
      </c>
      <c r="M104" s="203">
        <f t="shared" si="24"/>
        <v>0</v>
      </c>
      <c r="N104" s="204">
        <f t="shared" si="24"/>
        <v>0</v>
      </c>
      <c r="O104" s="205">
        <f t="shared" si="24"/>
        <v>0</v>
      </c>
      <c r="P104" s="329">
        <f t="shared" si="24"/>
        <v>0</v>
      </c>
      <c r="Q104" s="330">
        <f t="shared" si="24"/>
        <v>0</v>
      </c>
      <c r="R104" s="331">
        <f t="shared" si="24"/>
        <v>0</v>
      </c>
      <c r="S104" s="205">
        <f t="shared" si="24"/>
        <v>0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520</v>
      </c>
      <c r="L105" s="328">
        <f t="shared" si="25"/>
        <v>104</v>
      </c>
      <c r="M105" s="186" t="str">
        <f t="shared" si="25"/>
        <v>NA</v>
      </c>
      <c r="N105" s="184">
        <f t="shared" si="25"/>
        <v>520</v>
      </c>
      <c r="O105" s="185">
        <f t="shared" si="25"/>
        <v>104</v>
      </c>
      <c r="P105" s="326" t="str">
        <f t="shared" si="25"/>
        <v>NA</v>
      </c>
      <c r="Q105" s="327">
        <f t="shared" si="25"/>
        <v>520</v>
      </c>
      <c r="R105" s="328">
        <f t="shared" si="25"/>
        <v>104</v>
      </c>
      <c r="S105" s="185">
        <f t="shared" si="25"/>
        <v>104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76642.768800000005</v>
      </c>
      <c r="M106" s="207">
        <f t="shared" si="26"/>
        <v>1072.5710000000001</v>
      </c>
      <c r="N106" s="208">
        <f t="shared" si="26"/>
        <v>0</v>
      </c>
      <c r="O106" s="209">
        <f t="shared" si="26"/>
        <v>78242.158800000005</v>
      </c>
      <c r="P106" s="332">
        <f t="shared" si="26"/>
        <v>1093.6190000000001</v>
      </c>
      <c r="Q106" s="296">
        <f t="shared" si="26"/>
        <v>0</v>
      </c>
      <c r="R106" s="297">
        <f t="shared" si="26"/>
        <v>79777.573199999999</v>
      </c>
      <c r="S106" s="209">
        <f t="shared" si="26"/>
        <v>5575.8490666666657</v>
      </c>
      <c r="T106" s="210" t="str">
        <f>T29</f>
        <v>NA</v>
      </c>
      <c r="U106" s="575">
        <f>U29</f>
        <v>72644.984533333336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3120</v>
      </c>
      <c r="L107" s="335">
        <f t="shared" si="27"/>
        <v>3120</v>
      </c>
      <c r="M107" s="199" t="str">
        <f t="shared" si="27"/>
        <v>NA</v>
      </c>
      <c r="N107" s="25">
        <f t="shared" si="27"/>
        <v>3120</v>
      </c>
      <c r="O107" s="198">
        <f t="shared" si="27"/>
        <v>3120</v>
      </c>
      <c r="P107" s="333" t="str">
        <f t="shared" si="27"/>
        <v>NA</v>
      </c>
      <c r="Q107" s="334">
        <f t="shared" si="27"/>
        <v>3120</v>
      </c>
      <c r="R107" s="335">
        <f t="shared" si="27"/>
        <v>3120</v>
      </c>
      <c r="S107" s="198">
        <f t="shared" si="27"/>
        <v>3120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183710.90399999998</v>
      </c>
      <c r="L108" s="297">
        <f t="shared" si="28"/>
        <v>183710.90399999998</v>
      </c>
      <c r="M108" s="207">
        <f t="shared" si="28"/>
        <v>7213.2540000000008</v>
      </c>
      <c r="N108" s="208">
        <f t="shared" si="28"/>
        <v>187544.60399999999</v>
      </c>
      <c r="O108" s="209">
        <f t="shared" si="28"/>
        <v>187544.60399999999</v>
      </c>
      <c r="P108" s="332">
        <f t="shared" si="28"/>
        <v>7354.8060000000005</v>
      </c>
      <c r="Q108" s="296">
        <f t="shared" si="28"/>
        <v>191224.95600000001</v>
      </c>
      <c r="R108" s="297">
        <f t="shared" si="28"/>
        <v>191224.95600000001</v>
      </c>
      <c r="S108" s="209">
        <f t="shared" si="28"/>
        <v>187493.48799999998</v>
      </c>
      <c r="T108" s="209">
        <f>T39</f>
        <v>25431.466666666671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1768</v>
      </c>
      <c r="L109" s="335">
        <f t="shared" si="29"/>
        <v>1768</v>
      </c>
      <c r="M109" s="199" t="str">
        <f t="shared" si="29"/>
        <v>NA</v>
      </c>
      <c r="N109" s="25">
        <f t="shared" si="29"/>
        <v>1768</v>
      </c>
      <c r="O109" s="198">
        <f t="shared" si="29"/>
        <v>1768</v>
      </c>
      <c r="P109" s="333" t="str">
        <f t="shared" si="29"/>
        <v>NA</v>
      </c>
      <c r="Q109" s="334">
        <f t="shared" si="29"/>
        <v>1768</v>
      </c>
      <c r="R109" s="335">
        <f t="shared" si="29"/>
        <v>1768</v>
      </c>
      <c r="S109" s="198">
        <f t="shared" si="29"/>
        <v>1768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127955.984</v>
      </c>
      <c r="L110" s="297">
        <f t="shared" si="30"/>
        <v>127955.984</v>
      </c>
      <c r="M110" s="211">
        <f t="shared" si="30"/>
        <v>5024.0839999999998</v>
      </c>
      <c r="N110" s="208">
        <f t="shared" si="30"/>
        <v>130626.18399999999</v>
      </c>
      <c r="O110" s="209">
        <f t="shared" si="30"/>
        <v>130626.18399999999</v>
      </c>
      <c r="P110" s="332">
        <f t="shared" si="30"/>
        <v>5122.6760000000004</v>
      </c>
      <c r="Q110" s="296">
        <f t="shared" si="30"/>
        <v>133189.576</v>
      </c>
      <c r="R110" s="297">
        <f t="shared" si="30"/>
        <v>133189.576</v>
      </c>
      <c r="S110" s="209">
        <f t="shared" si="30"/>
        <v>98801.247999999992</v>
      </c>
      <c r="T110" s="209">
        <f>T51</f>
        <v>31789.333333333332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1014</v>
      </c>
      <c r="L111" s="335">
        <f t="shared" si="31"/>
        <v>1014</v>
      </c>
      <c r="M111" s="199" t="str">
        <f t="shared" si="31"/>
        <v>NA</v>
      </c>
      <c r="N111" s="25">
        <f t="shared" si="31"/>
        <v>1014</v>
      </c>
      <c r="O111" s="198">
        <f t="shared" si="31"/>
        <v>1014</v>
      </c>
      <c r="P111" s="333" t="str">
        <f t="shared" si="31"/>
        <v>NA</v>
      </c>
      <c r="Q111" s="334">
        <f t="shared" si="31"/>
        <v>1014</v>
      </c>
      <c r="R111" s="335">
        <f t="shared" si="31"/>
        <v>1014</v>
      </c>
      <c r="S111" s="198">
        <f t="shared" si="31"/>
        <v>1014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56907.396000000008</v>
      </c>
      <c r="L112" s="297">
        <f t="shared" si="32"/>
        <v>56907.396000000008</v>
      </c>
      <c r="M112" s="207">
        <f t="shared" si="32"/>
        <v>2234.4210000000003</v>
      </c>
      <c r="N112" s="208">
        <f t="shared" si="32"/>
        <v>58094.946000000004</v>
      </c>
      <c r="O112" s="209">
        <f t="shared" si="32"/>
        <v>58094.946000000004</v>
      </c>
      <c r="P112" s="339">
        <f t="shared" si="32"/>
        <v>2278.2690000000002</v>
      </c>
      <c r="Q112" s="296">
        <f t="shared" si="32"/>
        <v>59234.994000000006</v>
      </c>
      <c r="R112" s="297">
        <f t="shared" si="32"/>
        <v>59234.994000000006</v>
      </c>
      <c r="S112" s="209">
        <f t="shared" si="32"/>
        <v>58079.112000000001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2026.5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2026.5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2026.5</v>
      </c>
      <c r="S113" s="215">
        <f t="shared" si="33"/>
        <v>2026.5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116724.01519999999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119159.82520000001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121498.2028</v>
      </c>
      <c r="S114" s="209">
        <f t="shared" si="34"/>
        <v>119127.34773333331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1092</v>
      </c>
      <c r="L115" s="335">
        <f t="shared" si="35"/>
        <v>1092</v>
      </c>
      <c r="M115" s="199" t="str">
        <f t="shared" si="35"/>
        <v>NA</v>
      </c>
      <c r="N115" s="25">
        <f t="shared" si="35"/>
        <v>1092</v>
      </c>
      <c r="O115" s="198">
        <f t="shared" si="35"/>
        <v>1092</v>
      </c>
      <c r="P115" s="333" t="str">
        <f t="shared" si="35"/>
        <v>NA</v>
      </c>
      <c r="Q115" s="334">
        <f t="shared" si="35"/>
        <v>1092</v>
      </c>
      <c r="R115" s="335">
        <f t="shared" si="35"/>
        <v>1092</v>
      </c>
      <c r="S115" s="198">
        <f t="shared" si="35"/>
        <v>1092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65940.315999999992</v>
      </c>
      <c r="L116" s="306">
        <f t="shared" si="36"/>
        <v>65940.315999999992</v>
      </c>
      <c r="M116" s="220">
        <f t="shared" si="36"/>
        <v>2589.0910000000003</v>
      </c>
      <c r="N116" s="221">
        <f t="shared" si="36"/>
        <v>67316.366000000009</v>
      </c>
      <c r="O116" s="222">
        <f t="shared" si="36"/>
        <v>67316.366000000009</v>
      </c>
      <c r="P116" s="311">
        <f t="shared" si="36"/>
        <v>2639.8990000000003</v>
      </c>
      <c r="Q116" s="305">
        <f t="shared" si="36"/>
        <v>68637.374000000011</v>
      </c>
      <c r="R116" s="306">
        <f t="shared" si="36"/>
        <v>68637.374000000011</v>
      </c>
      <c r="S116" s="222">
        <f t="shared" si="36"/>
        <v>67298.01866666667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96.3</v>
      </c>
      <c r="G118" s="101">
        <f t="shared" si="37"/>
        <v>43</v>
      </c>
      <c r="H118" s="101">
        <f t="shared" si="37"/>
        <v>11</v>
      </c>
      <c r="I118" s="102">
        <f t="shared" si="37"/>
        <v>381.5</v>
      </c>
      <c r="J118" s="340" t="s">
        <v>12</v>
      </c>
      <c r="K118" s="281">
        <f>K103+K105+K107+K109+K111+K115</f>
        <v>7514</v>
      </c>
      <c r="L118" s="289">
        <f>L103+L105+L107+L109+L111+L113+L115</f>
        <v>9124.5</v>
      </c>
      <c r="M118" s="103" t="s">
        <v>12</v>
      </c>
      <c r="N118" s="101">
        <f>N103+N105+N107+N109+N111+N115</f>
        <v>7514</v>
      </c>
      <c r="O118" s="102">
        <f>O103+O105+O107+O109+O111+O113+O115</f>
        <v>9124.5</v>
      </c>
      <c r="P118" s="340" t="s">
        <v>12</v>
      </c>
      <c r="Q118" s="281">
        <f>Q103+Q105+Q107+Q109+Q111+Q115</f>
        <v>7514</v>
      </c>
      <c r="R118" s="289">
        <f>R103+R105+R107+R109+R111+R113+R115</f>
        <v>9124.5</v>
      </c>
      <c r="S118" s="174">
        <f>S103+S105+S107+S109+S111+S113+S115</f>
        <v>9124.5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4745</v>
      </c>
      <c r="G119" s="583">
        <f t="shared" si="37"/>
        <v>2384</v>
      </c>
      <c r="H119" s="583">
        <f t="shared" si="37"/>
        <v>644</v>
      </c>
      <c r="I119" s="584">
        <f t="shared" si="37"/>
        <v>19364</v>
      </c>
      <c r="J119" s="585">
        <f>J104+J106+J108+J110+J112+J114+J116</f>
        <v>23198.072</v>
      </c>
      <c r="K119" s="586">
        <f>K104+K106+K108+K110+K112+K116</f>
        <v>434514.6</v>
      </c>
      <c r="L119" s="587">
        <f>L104+L106+L108+L110+L112+L114+L116</f>
        <v>627881.38399999996</v>
      </c>
      <c r="M119" s="582">
        <f>M104+M106+M108+M110+M112+M114+M116</f>
        <v>23682.171999999999</v>
      </c>
      <c r="N119" s="588">
        <f>N104+N106+N108+N110+N112+N116</f>
        <v>443582.1</v>
      </c>
      <c r="O119" s="584">
        <f>O104+O106+O108+O110+O112+O114+O116</f>
        <v>640984.08400000003</v>
      </c>
      <c r="P119" s="589">
        <f>P104+P106+P108+P110+P112+P114+P116</f>
        <v>24146.908000000007</v>
      </c>
      <c r="Q119" s="586">
        <f>Q104+Q106+Q108+Q110+Q112+Q116</f>
        <v>452286.9</v>
      </c>
      <c r="R119" s="587">
        <f>R104+R106+R108+R110+R112+R114+R116</f>
        <v>653562.67599999998</v>
      </c>
      <c r="S119" s="590">
        <f>S104+S106+S108+S110+S112+S114+S116</f>
        <v>536375.06346666662</v>
      </c>
      <c r="T119" s="584">
        <f>SUM(T104,T106,T108,T110,T112,T114,T116)</f>
        <v>57220.800000000003</v>
      </c>
      <c r="U119" s="591">
        <f>SUM(U104,U106,U108,U110,U112,U114,U116)</f>
        <v>72644.984533333336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disablePrompts="1" count="1">
    <dataValidation allowBlank="1" showInputMessage="1" showErrorMessage="1" sqref="D34 D21"/>
  </dataValidations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6" max="2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V121"/>
  <sheetViews>
    <sheetView topLeftCell="A27" zoomScaleNormal="100" workbookViewId="0">
      <selection activeCell="F3" sqref="F3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157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AVERAGE(J6,M6,P6)</f>
        <v>20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161</v>
      </c>
      <c r="L4" s="20">
        <v>103</v>
      </c>
      <c r="M4" s="396" t="s">
        <v>71</v>
      </c>
      <c r="N4" s="429" t="s">
        <v>161</v>
      </c>
      <c r="O4" s="20">
        <v>103</v>
      </c>
      <c r="P4" s="425" t="s">
        <v>71</v>
      </c>
      <c r="Q4" s="429" t="s">
        <v>161</v>
      </c>
      <c r="R4" s="20">
        <v>103</v>
      </c>
      <c r="S4" s="429" t="s">
        <v>161</v>
      </c>
      <c r="T4" s="106">
        <f>AVERAGE(L4,O4,R4)</f>
        <v>103</v>
      </c>
      <c r="U4" s="37"/>
    </row>
    <row r="5" spans="1:21">
      <c r="A5" s="615"/>
      <c r="B5" s="5"/>
      <c r="C5" s="5"/>
      <c r="D5" s="5"/>
      <c r="E5" s="5"/>
      <c r="F5" s="7"/>
      <c r="G5" s="5"/>
      <c r="H5" s="5"/>
      <c r="J5" s="425"/>
      <c r="K5" s="429" t="s">
        <v>152</v>
      </c>
      <c r="L5" s="651">
        <v>0</v>
      </c>
      <c r="M5" s="396"/>
      <c r="N5" s="429" t="s">
        <v>152</v>
      </c>
      <c r="O5" s="652">
        <v>0</v>
      </c>
      <c r="P5" s="425"/>
      <c r="Q5" s="429" t="s">
        <v>152</v>
      </c>
      <c r="R5" s="651">
        <v>0</v>
      </c>
      <c r="S5" s="429" t="s">
        <v>152</v>
      </c>
      <c r="T5" s="106">
        <f>AVERAGE(L5,O5,R5)</f>
        <v>0</v>
      </c>
      <c r="U5" s="37"/>
    </row>
    <row r="6" spans="1:21" ht="12.75" customHeight="1" thickBot="1">
      <c r="A6" s="615"/>
      <c r="B6" s="597" t="s">
        <v>2</v>
      </c>
      <c r="C6" s="1452"/>
      <c r="D6" s="1427"/>
      <c r="E6" s="1427"/>
      <c r="F6" s="1427"/>
      <c r="G6" s="1427"/>
      <c r="H6" s="1427"/>
      <c r="I6" s="1427"/>
      <c r="J6" s="341">
        <v>20</v>
      </c>
      <c r="K6" s="342" t="s">
        <v>70</v>
      </c>
      <c r="L6" s="343">
        <f>L4*$I$4</f>
        <v>0</v>
      </c>
      <c r="M6" s="632">
        <v>20</v>
      </c>
      <c r="N6" s="344" t="s">
        <v>70</v>
      </c>
      <c r="O6" s="345">
        <f>O4*$I$4</f>
        <v>0</v>
      </c>
      <c r="P6" s="631">
        <v>20</v>
      </c>
      <c r="Q6" s="342" t="s">
        <v>70</v>
      </c>
      <c r="R6" s="343">
        <f>R4*$I$4</f>
        <v>0</v>
      </c>
      <c r="S6" s="237" t="s">
        <v>70</v>
      </c>
      <c r="T6" s="238">
        <f>AVERAGE(L6,O6,R6)</f>
        <v>0</v>
      </c>
      <c r="U6" s="37"/>
    </row>
    <row r="7" spans="1:21" ht="30" customHeight="1" thickTop="1" thickBot="1">
      <c r="A7" s="615"/>
      <c r="B7" s="598" t="s">
        <v>73</v>
      </c>
      <c r="C7" s="4"/>
      <c r="D7" s="4"/>
      <c r="E7" s="4"/>
      <c r="F7" s="12"/>
      <c r="G7" s="4"/>
      <c r="H7" s="4"/>
      <c r="I7" s="4"/>
      <c r="J7" s="544"/>
      <c r="K7" s="87"/>
      <c r="L7" s="87"/>
      <c r="M7" s="545"/>
      <c r="N7" s="4"/>
      <c r="O7" s="4"/>
      <c r="P7" s="544"/>
      <c r="Q7" s="87"/>
      <c r="R7" s="87"/>
      <c r="S7" s="546" t="s">
        <v>17</v>
      </c>
      <c r="T7" s="547" t="s">
        <v>103</v>
      </c>
      <c r="U7" s="548"/>
    </row>
    <row r="8" spans="1:21" ht="15.75">
      <c r="A8" s="615"/>
      <c r="B8" s="599" t="s">
        <v>158</v>
      </c>
      <c r="C8" s="239"/>
      <c r="D8" s="431" t="s">
        <v>54</v>
      </c>
      <c r="E8" s="28">
        <v>5</v>
      </c>
      <c r="F8" s="112" t="s">
        <v>6</v>
      </c>
      <c r="G8" s="1421"/>
      <c r="H8" s="1422"/>
      <c r="I8" s="1423"/>
      <c r="J8" s="88" t="s">
        <v>3</v>
      </c>
      <c r="K8" s="179"/>
      <c r="L8" s="180"/>
      <c r="M8" s="55" t="s">
        <v>3</v>
      </c>
      <c r="N8" s="426"/>
      <c r="O8" s="67"/>
      <c r="P8" s="55" t="s">
        <v>3</v>
      </c>
      <c r="Q8" s="426"/>
      <c r="R8" s="67"/>
      <c r="S8" s="124"/>
      <c r="T8" s="117"/>
      <c r="U8" s="141"/>
    </row>
    <row r="9" spans="1:21">
      <c r="A9" s="615"/>
      <c r="B9" s="600" t="s">
        <v>44</v>
      </c>
      <c r="C9" s="6"/>
      <c r="D9" s="6"/>
      <c r="E9" s="6"/>
      <c r="F9" s="11"/>
      <c r="G9" s="6"/>
      <c r="H9" s="6"/>
      <c r="I9" s="47" t="s">
        <v>55</v>
      </c>
      <c r="J9" s="259" t="s">
        <v>55</v>
      </c>
      <c r="K9" s="1428" t="s">
        <v>57</v>
      </c>
      <c r="L9" s="1420"/>
      <c r="M9" s="57" t="s">
        <v>55</v>
      </c>
      <c r="N9" s="1429" t="s">
        <v>57</v>
      </c>
      <c r="O9" s="1430"/>
      <c r="P9" s="277" t="s">
        <v>55</v>
      </c>
      <c r="Q9" s="1419" t="s">
        <v>57</v>
      </c>
      <c r="R9" s="1420"/>
      <c r="S9" s="125"/>
      <c r="T9" s="145"/>
      <c r="U9" s="143"/>
    </row>
    <row r="10" spans="1:21">
      <c r="A10" s="615"/>
      <c r="B10" s="601" t="s">
        <v>53</v>
      </c>
      <c r="C10" s="23" t="s">
        <v>45</v>
      </c>
      <c r="D10" s="24" t="s">
        <v>46</v>
      </c>
      <c r="E10" s="23" t="s">
        <v>47</v>
      </c>
      <c r="F10" s="23" t="s">
        <v>48</v>
      </c>
      <c r="G10" s="23" t="s">
        <v>49</v>
      </c>
      <c r="H10" s="23" t="s">
        <v>50</v>
      </c>
      <c r="I10" s="47" t="s">
        <v>13</v>
      </c>
      <c r="J10" s="260" t="s">
        <v>56</v>
      </c>
      <c r="K10" s="261" t="s">
        <v>13</v>
      </c>
      <c r="L10" s="262" t="s">
        <v>68</v>
      </c>
      <c r="M10" s="77" t="s">
        <v>56</v>
      </c>
      <c r="N10" s="24" t="s">
        <v>13</v>
      </c>
      <c r="O10" s="38" t="s">
        <v>68</v>
      </c>
      <c r="P10" s="261" t="s">
        <v>56</v>
      </c>
      <c r="Q10" s="261" t="s">
        <v>13</v>
      </c>
      <c r="R10" s="262" t="s">
        <v>68</v>
      </c>
      <c r="S10" s="123"/>
      <c r="T10" s="146"/>
      <c r="U10" s="144"/>
    </row>
    <row r="11" spans="1:21">
      <c r="A11" s="615"/>
      <c r="B11" s="602" t="s">
        <v>51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48">
        <f>SUM(C11:H11)</f>
        <v>0</v>
      </c>
      <c r="J11" s="263" t="s">
        <v>12</v>
      </c>
      <c r="K11" s="264">
        <f>I11*$J$6</f>
        <v>0</v>
      </c>
      <c r="L11" s="265">
        <f>K11/$E$8</f>
        <v>0</v>
      </c>
      <c r="M11" s="58" t="s">
        <v>12</v>
      </c>
      <c r="N11" s="432">
        <f>I11*$M$6</f>
        <v>0</v>
      </c>
      <c r="O11" s="68">
        <f>N11/$E$8</f>
        <v>0</v>
      </c>
      <c r="P11" s="263" t="s">
        <v>12</v>
      </c>
      <c r="Q11" s="433">
        <f>$I11*$M$6</f>
        <v>0</v>
      </c>
      <c r="R11" s="289">
        <f>Q11/$E$8</f>
        <v>0</v>
      </c>
      <c r="S11" s="121">
        <f>AVERAGE(L11,O11,R11)</f>
        <v>0</v>
      </c>
      <c r="T11" s="119" t="s">
        <v>12</v>
      </c>
      <c r="U11" s="119" t="s">
        <v>12</v>
      </c>
    </row>
    <row r="12" spans="1:21" s="1" customFormat="1">
      <c r="A12" s="616"/>
      <c r="B12" s="603" t="s">
        <v>52</v>
      </c>
      <c r="C12" s="381">
        <f>ROUND(C11*Labor!$D$3,0)</f>
        <v>0</v>
      </c>
      <c r="D12" s="23">
        <f>ROUND(D11*Labor!$D$4,0)</f>
        <v>0</v>
      </c>
      <c r="E12" s="23">
        <f>ROUND(E11*Labor!$D$5,0)</f>
        <v>0</v>
      </c>
      <c r="F12" s="23">
        <f>ROUND(F11*Labor!$D$6,0)</f>
        <v>0</v>
      </c>
      <c r="G12" s="23">
        <f>ROUND(G11*Labor!$D$7,0)</f>
        <v>0</v>
      </c>
      <c r="H12" s="23">
        <f>ROUND(H11*Labor!$D$8,0)</f>
        <v>0</v>
      </c>
      <c r="I12" s="382">
        <f>SUM(C12:H12)</f>
        <v>0</v>
      </c>
      <c r="J12" s="383">
        <f>HLOOKUP(Labor!$B$11,InflationTable,2)*$I12</f>
        <v>0</v>
      </c>
      <c r="K12" s="384">
        <f>J12*$J$6</f>
        <v>0</v>
      </c>
      <c r="L12" s="385">
        <f>K12/$E$8</f>
        <v>0</v>
      </c>
      <c r="M12" s="386">
        <f>HLOOKUP(Labor!$B$11,InflationTable,3)*$I12</f>
        <v>0</v>
      </c>
      <c r="N12" s="387">
        <f>M12*$J$6</f>
        <v>0</v>
      </c>
      <c r="O12" s="388">
        <f>N12/$E$8</f>
        <v>0</v>
      </c>
      <c r="P12" s="383">
        <f>HLOOKUP(Labor!$B$11,InflationTable,4)*$I12</f>
        <v>0</v>
      </c>
      <c r="Q12" s="384">
        <f>P12*$J$6</f>
        <v>0</v>
      </c>
      <c r="R12" s="385">
        <f>Q12/$E$8</f>
        <v>0</v>
      </c>
      <c r="S12" s="379">
        <f>AVERAGE(L12,O12,R12)</f>
        <v>0</v>
      </c>
      <c r="T12" s="380" t="s">
        <v>12</v>
      </c>
      <c r="U12" s="380" t="s">
        <v>12</v>
      </c>
    </row>
    <row r="13" spans="1:21">
      <c r="A13" s="615"/>
      <c r="B13" s="112" t="s">
        <v>7</v>
      </c>
      <c r="C13" s="5"/>
      <c r="D13" s="5"/>
      <c r="E13" s="5"/>
      <c r="F13" s="7"/>
      <c r="G13" s="5"/>
      <c r="H13" s="8"/>
      <c r="I13" s="37"/>
      <c r="J13" s="266"/>
      <c r="K13" s="266"/>
      <c r="L13" s="267"/>
      <c r="M13" s="426"/>
      <c r="N13" s="426"/>
      <c r="O13" s="65"/>
      <c r="P13" s="404"/>
      <c r="Q13" s="404"/>
      <c r="R13" s="290"/>
      <c r="S13" s="122"/>
      <c r="T13" s="37"/>
      <c r="U13" s="3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48">
        <f>SUM(C14:H14)</f>
        <v>0</v>
      </c>
      <c r="J14" s="263" t="s">
        <v>12</v>
      </c>
      <c r="K14" s="264">
        <f>I14*$J$6</f>
        <v>0</v>
      </c>
      <c r="L14" s="265">
        <f>K14/$E$8</f>
        <v>0</v>
      </c>
      <c r="M14" s="58" t="s">
        <v>12</v>
      </c>
      <c r="N14" s="60">
        <f>I14*$M$6</f>
        <v>0</v>
      </c>
      <c r="O14" s="59">
        <f>N14/$E$8</f>
        <v>0</v>
      </c>
      <c r="P14" s="263" t="s">
        <v>12</v>
      </c>
      <c r="Q14" s="291">
        <f>$I14*$P$6</f>
        <v>0</v>
      </c>
      <c r="R14" s="282">
        <f>Q14/$E$8</f>
        <v>0</v>
      </c>
      <c r="S14" s="121">
        <f>AVERAGE(L14,O14,R14)</f>
        <v>0</v>
      </c>
      <c r="T14" s="119" t="s">
        <v>12</v>
      </c>
      <c r="U14" s="119" t="s">
        <v>12</v>
      </c>
    </row>
    <row r="15" spans="1:21" s="1" customFormat="1" ht="13.5" thickBot="1">
      <c r="A15" s="616"/>
      <c r="B15" s="604" t="s">
        <v>52</v>
      </c>
      <c r="C15" s="373">
        <f>ROUND(C14*Labor!$D$3,0)</f>
        <v>0</v>
      </c>
      <c r="D15" s="374">
        <f>ROUND(D14*Labor!$D$4,0)</f>
        <v>0</v>
      </c>
      <c r="E15" s="374">
        <f>ROUND(E14*Labor!$D$5,0)</f>
        <v>0</v>
      </c>
      <c r="F15" s="374">
        <f>ROUND(F14*Labor!$D$6,0)</f>
        <v>0</v>
      </c>
      <c r="G15" s="374">
        <f>ROUND(G14*Labor!$D$7,0)</f>
        <v>0</v>
      </c>
      <c r="H15" s="374">
        <f>ROUND(H14*Labor!$D$8,0)</f>
        <v>0</v>
      </c>
      <c r="I15" s="375">
        <f>SUM(C15:H15)</f>
        <v>0</v>
      </c>
      <c r="J15" s="332">
        <f>HLOOKUP(Labor!$B$11,InflationTable,2)*I15</f>
        <v>0</v>
      </c>
      <c r="K15" s="296">
        <f>J15*$J$6</f>
        <v>0</v>
      </c>
      <c r="L15" s="297">
        <f>K15/$E$8</f>
        <v>0</v>
      </c>
      <c r="M15" s="376">
        <f>HLOOKUP(Labor!$B$11,InflationTable,3)*I15</f>
        <v>0</v>
      </c>
      <c r="N15" s="377">
        <f>M15*$J$6</f>
        <v>0</v>
      </c>
      <c r="O15" s="378">
        <f>N15/$E$8</f>
        <v>0</v>
      </c>
      <c r="P15" s="339">
        <f>HLOOKUP(Labor!$B$11,InflationTable,4)*I15</f>
        <v>0</v>
      </c>
      <c r="Q15" s="296">
        <f>P15*$J$6</f>
        <v>0</v>
      </c>
      <c r="R15" s="297">
        <f>Q15/$E$8</f>
        <v>0</v>
      </c>
      <c r="S15" s="379">
        <f>AVERAGE(L15,O15,R15)</f>
        <v>0</v>
      </c>
      <c r="T15" s="380" t="s">
        <v>12</v>
      </c>
      <c r="U15" s="380" t="s">
        <v>12</v>
      </c>
    </row>
    <row r="16" spans="1:21">
      <c r="A16" s="615"/>
      <c r="B16" s="605" t="s">
        <v>66</v>
      </c>
      <c r="C16" s="33">
        <f t="shared" ref="C16:I17" si="0">C11+C14</f>
        <v>0</v>
      </c>
      <c r="D16" s="33">
        <f t="shared" si="0"/>
        <v>0</v>
      </c>
      <c r="E16" s="33">
        <f t="shared" si="0"/>
        <v>0</v>
      </c>
      <c r="F16" s="33">
        <f t="shared" si="0"/>
        <v>0</v>
      </c>
      <c r="G16" s="33">
        <f t="shared" si="0"/>
        <v>0</v>
      </c>
      <c r="H16" s="33">
        <f t="shared" si="0"/>
        <v>0</v>
      </c>
      <c r="I16" s="49">
        <f t="shared" si="0"/>
        <v>0</v>
      </c>
      <c r="J16" s="271" t="s">
        <v>12</v>
      </c>
      <c r="K16" s="272">
        <f>K11+K14</f>
        <v>0</v>
      </c>
      <c r="L16" s="273">
        <f>L11+L14</f>
        <v>0</v>
      </c>
      <c r="M16" s="61" t="s">
        <v>12</v>
      </c>
      <c r="N16" s="426">
        <f>I16*$M$6</f>
        <v>0</v>
      </c>
      <c r="O16" s="62">
        <f>N16/$E$8</f>
        <v>0</v>
      </c>
      <c r="P16" s="293" t="s">
        <v>12</v>
      </c>
      <c r="Q16" s="433">
        <f>$I16*$P$6</f>
        <v>0</v>
      </c>
      <c r="R16" s="294">
        <f>Q16/$E$8</f>
        <v>0</v>
      </c>
      <c r="S16" s="121">
        <f>AVERAGE(L16,O16,R16)</f>
        <v>0</v>
      </c>
      <c r="T16" s="119" t="s">
        <v>12</v>
      </c>
      <c r="U16" s="119" t="s">
        <v>12</v>
      </c>
    </row>
    <row r="17" spans="1:21" ht="13.5" thickBot="1">
      <c r="A17" s="615"/>
      <c r="B17" s="606" t="s">
        <v>67</v>
      </c>
      <c r="C17" s="240">
        <f t="shared" si="0"/>
        <v>0</v>
      </c>
      <c r="D17" s="240">
        <f t="shared" si="0"/>
        <v>0</v>
      </c>
      <c r="E17" s="240">
        <f t="shared" si="0"/>
        <v>0</v>
      </c>
      <c r="F17" s="240">
        <f t="shared" si="0"/>
        <v>0</v>
      </c>
      <c r="G17" s="240">
        <f t="shared" si="0"/>
        <v>0</v>
      </c>
      <c r="H17" s="240">
        <f t="shared" si="0"/>
        <v>0</v>
      </c>
      <c r="I17" s="241">
        <f t="shared" si="0"/>
        <v>0</v>
      </c>
      <c r="J17" s="274">
        <f>J12+J15</f>
        <v>0</v>
      </c>
      <c r="K17" s="275">
        <f>K12+K15</f>
        <v>0</v>
      </c>
      <c r="L17" s="276">
        <f>L12+L15</f>
        <v>0</v>
      </c>
      <c r="M17" s="242">
        <f>M12+M15</f>
        <v>0</v>
      </c>
      <c r="N17" s="240">
        <f>N12+N15</f>
        <v>0</v>
      </c>
      <c r="O17" s="243">
        <f>O12+O15</f>
        <v>0</v>
      </c>
      <c r="P17" s="295">
        <f>P12+P15</f>
        <v>0</v>
      </c>
      <c r="Q17" s="296">
        <f>P17*$P$6</f>
        <v>0</v>
      </c>
      <c r="R17" s="297">
        <f>Q17/$E$8</f>
        <v>0</v>
      </c>
      <c r="S17" s="211">
        <f>AVERAGE(L17,O17,R17)</f>
        <v>0</v>
      </c>
      <c r="T17" s="218" t="s">
        <v>12</v>
      </c>
      <c r="U17" s="218" t="s">
        <v>12</v>
      </c>
    </row>
    <row r="18" spans="1:21" ht="14.25" thickTop="1" thickBot="1">
      <c r="A18" s="615"/>
      <c r="B18" s="617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410"/>
      <c r="O18" s="410"/>
      <c r="P18" s="410"/>
      <c r="Q18" s="410"/>
      <c r="R18" s="410"/>
      <c r="S18" s="410"/>
      <c r="T18" s="410"/>
      <c r="U18" s="236"/>
    </row>
    <row r="19" spans="1:21" ht="16.5" thickTop="1">
      <c r="A19" s="615"/>
      <c r="B19" s="181" t="s">
        <v>160</v>
      </c>
      <c r="C19" s="72"/>
      <c r="D19" s="431" t="s">
        <v>54</v>
      </c>
      <c r="E19" s="70">
        <v>5</v>
      </c>
      <c r="F19" s="112" t="s">
        <v>6</v>
      </c>
      <c r="G19" s="1412"/>
      <c r="H19" s="1413"/>
      <c r="I19" s="1414"/>
      <c r="J19" s="181" t="s">
        <v>16</v>
      </c>
      <c r="K19" s="426"/>
      <c r="L19" s="180"/>
      <c r="M19" s="181" t="s">
        <v>16</v>
      </c>
      <c r="N19" s="426"/>
      <c r="O19" s="67"/>
      <c r="P19" s="181" t="s">
        <v>16</v>
      </c>
      <c r="Q19" s="426"/>
      <c r="R19" s="180"/>
      <c r="S19" s="225"/>
      <c r="T19" s="37"/>
      <c r="U19" s="138"/>
    </row>
    <row r="20" spans="1:21">
      <c r="A20" s="615"/>
      <c r="B20" s="5"/>
      <c r="C20" s="107" t="s">
        <v>60</v>
      </c>
      <c r="D20" s="23" t="s">
        <v>62</v>
      </c>
      <c r="E20" s="5"/>
      <c r="F20" s="5"/>
      <c r="G20" s="5"/>
      <c r="H20" s="6"/>
      <c r="I20" s="43"/>
      <c r="J20" s="277" t="s">
        <v>61</v>
      </c>
      <c r="K20" s="1419" t="s">
        <v>57</v>
      </c>
      <c r="L20" s="1420"/>
      <c r="M20" s="93" t="s">
        <v>61</v>
      </c>
      <c r="N20" s="1429" t="s">
        <v>57</v>
      </c>
      <c r="O20" s="1430"/>
      <c r="P20" s="262" t="s">
        <v>61</v>
      </c>
      <c r="Q20" s="1419" t="s">
        <v>57</v>
      </c>
      <c r="R20" s="1420"/>
      <c r="S20" s="131"/>
      <c r="T20" s="37"/>
      <c r="U20" s="138"/>
    </row>
    <row r="21" spans="1:21">
      <c r="A21" s="615"/>
      <c r="B21" s="607" t="s">
        <v>58</v>
      </c>
      <c r="C21" s="23"/>
      <c r="D21" s="23"/>
      <c r="E21" s="9"/>
      <c r="F21" s="72"/>
      <c r="G21" s="72"/>
      <c r="H21" s="72"/>
      <c r="I21" s="73"/>
      <c r="J21" s="260" t="s">
        <v>56</v>
      </c>
      <c r="K21" s="261" t="s">
        <v>13</v>
      </c>
      <c r="L21" s="262" t="s">
        <v>68</v>
      </c>
      <c r="M21" s="77" t="s">
        <v>56</v>
      </c>
      <c r="N21" s="24" t="s">
        <v>13</v>
      </c>
      <c r="O21" s="38" t="s">
        <v>68</v>
      </c>
      <c r="P21" s="260" t="s">
        <v>56</v>
      </c>
      <c r="Q21" s="261" t="s">
        <v>13</v>
      </c>
      <c r="R21" s="262" t="s">
        <v>68</v>
      </c>
      <c r="S21" s="123"/>
      <c r="T21" s="37"/>
      <c r="U21" s="138"/>
    </row>
    <row r="22" spans="1:21">
      <c r="A22" s="615"/>
      <c r="B22" s="608" t="s">
        <v>14</v>
      </c>
      <c r="C22" s="163">
        <f>VLOOKUP(C$2,Monitor_Costs,2,FALSE)</f>
        <v>20500</v>
      </c>
      <c r="D22" s="22">
        <f>VLOOKUP(C$2,Monitor_Costs,3,FALSE)</f>
        <v>2013</v>
      </c>
      <c r="E22" s="74"/>
      <c r="F22" s="75"/>
      <c r="G22" s="76"/>
      <c r="H22" s="76"/>
      <c r="I22" s="37"/>
      <c r="J22" s="279">
        <f>HLOOKUP(D22,InflationTable,2)*$C$22</f>
        <v>24559</v>
      </c>
      <c r="K22" s="279">
        <f>J22*$L$4</f>
        <v>2529577</v>
      </c>
      <c r="L22" s="280">
        <f>K22/$E$19</f>
        <v>505915.4</v>
      </c>
      <c r="M22" s="78">
        <f>HLOOKUP($D$22,InflationTable,3)*$C$22</f>
        <v>25071.5</v>
      </c>
      <c r="N22" s="27">
        <f>M22*$L$4</f>
        <v>2582364.5</v>
      </c>
      <c r="O22" s="182">
        <f>N22/$E$19</f>
        <v>516472.9</v>
      </c>
      <c r="P22" s="298">
        <f>HLOOKUP($D$22,InflationTable,4)*$C$22</f>
        <v>25563.500000000004</v>
      </c>
      <c r="Q22" s="279">
        <f>P22*$L$4</f>
        <v>2633040.5000000005</v>
      </c>
      <c r="R22" s="280">
        <f>Q22/$E$19</f>
        <v>526608.10000000009</v>
      </c>
      <c r="S22" s="127" t="s">
        <v>12</v>
      </c>
      <c r="T22" s="119" t="s">
        <v>12</v>
      </c>
      <c r="U22" s="139">
        <f>AVERAGE(L22,O22,R22)</f>
        <v>516332.13333333336</v>
      </c>
    </row>
    <row r="23" spans="1:21" ht="13.5" thickBot="1">
      <c r="A23" s="615"/>
      <c r="B23" s="609" t="s">
        <v>15</v>
      </c>
      <c r="C23" s="4"/>
      <c r="D23" s="4"/>
      <c r="E23" s="4"/>
      <c r="F23" s="12"/>
      <c r="G23" s="4"/>
      <c r="H23" s="4"/>
      <c r="I23" s="368"/>
      <c r="J23" s="369"/>
      <c r="K23" s="355">
        <f>J22*$L$6</f>
        <v>0</v>
      </c>
      <c r="L23" s="308">
        <f>K23/$E$19</f>
        <v>0</v>
      </c>
      <c r="M23" s="4"/>
      <c r="N23" s="104">
        <f>M22*$L$6</f>
        <v>0</v>
      </c>
      <c r="O23" s="370">
        <f>N23/$E$19</f>
        <v>0</v>
      </c>
      <c r="P23" s="371"/>
      <c r="Q23" s="355">
        <f>P22*$L$6</f>
        <v>0</v>
      </c>
      <c r="R23" s="308">
        <f>Q23/$E$19</f>
        <v>0</v>
      </c>
      <c r="S23" s="359" t="s">
        <v>12</v>
      </c>
      <c r="T23" s="149" t="s">
        <v>12</v>
      </c>
      <c r="U23" s="372">
        <f>AVERAGE(L23,O23,R23)</f>
        <v>0</v>
      </c>
    </row>
    <row r="24" spans="1:21">
      <c r="A24" s="615"/>
      <c r="B24" s="610" t="s">
        <v>17</v>
      </c>
      <c r="C24" s="107" t="s">
        <v>45</v>
      </c>
      <c r="D24" s="108" t="s">
        <v>46</v>
      </c>
      <c r="E24" s="107" t="s">
        <v>47</v>
      </c>
      <c r="F24" s="107" t="s">
        <v>48</v>
      </c>
      <c r="G24" s="107" t="s">
        <v>49</v>
      </c>
      <c r="H24" s="107" t="s">
        <v>50</v>
      </c>
      <c r="I24" s="350" t="s">
        <v>74</v>
      </c>
      <c r="J24" s="351"/>
      <c r="K24" s="352"/>
      <c r="L24" s="356"/>
      <c r="M24" s="110"/>
      <c r="N24" s="108"/>
      <c r="O24" s="111"/>
      <c r="P24" s="352"/>
      <c r="Q24" s="352"/>
      <c r="R24" s="356"/>
      <c r="S24" s="125"/>
      <c r="T24" s="37"/>
      <c r="U24" s="138"/>
    </row>
    <row r="25" spans="1:21">
      <c r="A25" s="615"/>
      <c r="B25" s="611" t="s">
        <v>119</v>
      </c>
      <c r="C25" s="3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48">
        <f>SUM(C25:H25)</f>
        <v>0</v>
      </c>
      <c r="J25" s="263" t="s">
        <v>12</v>
      </c>
      <c r="K25" s="281">
        <f>I25*($L$4+$L$6)</f>
        <v>0</v>
      </c>
      <c r="L25" s="282">
        <f>K25/$E$19</f>
        <v>0</v>
      </c>
      <c r="M25" s="58" t="s">
        <v>12</v>
      </c>
      <c r="N25" s="69">
        <f>$I$25*($O$4+$O$6)</f>
        <v>0</v>
      </c>
      <c r="O25" s="59">
        <f>N25/$E$19</f>
        <v>0</v>
      </c>
      <c r="P25" s="263" t="s">
        <v>12</v>
      </c>
      <c r="Q25" s="281">
        <f>$I$25*($R$4+$R$6)</f>
        <v>0</v>
      </c>
      <c r="R25" s="282">
        <f>Q25/$E$19</f>
        <v>0</v>
      </c>
      <c r="S25" s="151">
        <f>AVERAGE(L25,O25,R25)</f>
        <v>0</v>
      </c>
      <c r="T25" s="119" t="s">
        <v>12</v>
      </c>
      <c r="U25" s="140" t="s">
        <v>12</v>
      </c>
    </row>
    <row r="26" spans="1:21" s="1" customFormat="1" ht="13.5" thickBot="1">
      <c r="A26" s="616"/>
      <c r="B26" s="604" t="s">
        <v>8</v>
      </c>
      <c r="C26" s="389">
        <f>ROUND(C25*Labor!$D$3,0)</f>
        <v>0</v>
      </c>
      <c r="D26" s="374">
        <f>ROUND(D25*Labor!$D$4,0)</f>
        <v>0</v>
      </c>
      <c r="E26" s="374">
        <f>ROUND(E25*Labor!$D$5,0)</f>
        <v>0</v>
      </c>
      <c r="F26" s="374">
        <f>ROUND(F25*Labor!$D$6,0)</f>
        <v>0</v>
      </c>
      <c r="G26" s="374">
        <f>ROUND(G25*Labor!$D$7,0)</f>
        <v>0</v>
      </c>
      <c r="H26" s="374">
        <f>ROUND(H25*Labor!$D$8,0)</f>
        <v>0</v>
      </c>
      <c r="I26" s="375">
        <f>SUM(C26:H26)</f>
        <v>0</v>
      </c>
      <c r="J26" s="332">
        <f>HLOOKUP(Labor!$B$11,InflationTable,2)*I26</f>
        <v>0</v>
      </c>
      <c r="K26" s="296">
        <f>J26*($L$4+$L$6)</f>
        <v>0</v>
      </c>
      <c r="L26" s="297">
        <f>K26/$E$19</f>
        <v>0</v>
      </c>
      <c r="M26" s="376">
        <f>HLOOKUP(Labor!$B$11,InflationTable,3)*$I26</f>
        <v>0</v>
      </c>
      <c r="N26" s="377">
        <f>M26*$L$4</f>
        <v>0</v>
      </c>
      <c r="O26" s="378">
        <f>N26/$E$19</f>
        <v>0</v>
      </c>
      <c r="P26" s="332">
        <f>HLOOKUP(Labor!$B$11,InflationTable,4)*$I26</f>
        <v>0</v>
      </c>
      <c r="Q26" s="296">
        <f>P26*$L$4</f>
        <v>0</v>
      </c>
      <c r="R26" s="390">
        <f>Q26/$E$19</f>
        <v>0</v>
      </c>
      <c r="S26" s="391">
        <f>AVERAGE(L26,O26,R26)</f>
        <v>0</v>
      </c>
      <c r="T26" s="218" t="s">
        <v>12</v>
      </c>
      <c r="U26" s="392" t="s">
        <v>12</v>
      </c>
    </row>
    <row r="27" spans="1:21">
      <c r="A27" s="615"/>
      <c r="B27" s="112" t="s">
        <v>118</v>
      </c>
      <c r="C27" s="346">
        <v>0</v>
      </c>
      <c r="D27" s="365">
        <v>0</v>
      </c>
      <c r="E27" s="365">
        <v>0</v>
      </c>
      <c r="F27" s="365">
        <v>0</v>
      </c>
      <c r="G27" s="365">
        <v>0</v>
      </c>
      <c r="H27" s="365">
        <v>0</v>
      </c>
      <c r="I27" s="366">
        <f>SUM(C27:H27)</f>
        <v>0</v>
      </c>
      <c r="J27" s="293" t="s">
        <v>12</v>
      </c>
      <c r="K27" s="334">
        <f>I27*$L$4</f>
        <v>0</v>
      </c>
      <c r="L27" s="294">
        <f>K27/$E$19</f>
        <v>0</v>
      </c>
      <c r="M27" s="61" t="s">
        <v>12</v>
      </c>
      <c r="N27" s="348">
        <f>I27*$O$4</f>
        <v>0</v>
      </c>
      <c r="O27" s="62">
        <f>N27/$E$19</f>
        <v>0</v>
      </c>
      <c r="P27" s="293" t="s">
        <v>12</v>
      </c>
      <c r="Q27" s="327">
        <f>$I27*$O$4</f>
        <v>0</v>
      </c>
      <c r="R27" s="367">
        <f>Q27/$E$19</f>
        <v>0</v>
      </c>
      <c r="S27" s="129">
        <f>AVERAGE(L27,O27,R27)</f>
        <v>0</v>
      </c>
      <c r="T27" s="136" t="s">
        <v>12</v>
      </c>
      <c r="U27" s="147" t="s">
        <v>12</v>
      </c>
    </row>
    <row r="28" spans="1:21" s="1" customFormat="1" ht="13.5" thickBot="1">
      <c r="A28" s="616"/>
      <c r="B28" s="612" t="s">
        <v>8</v>
      </c>
      <c r="C28" s="373">
        <f>ROUND(C27*Labor!$D$3,0)</f>
        <v>0</v>
      </c>
      <c r="D28" s="374">
        <f>ROUND(D27*Labor!$D$4,0)</f>
        <v>0</v>
      </c>
      <c r="E28" s="374">
        <f>ROUND(E27*Labor!$D$5,0)</f>
        <v>0</v>
      </c>
      <c r="F28" s="374">
        <f>ROUND(F27*Labor!$D$6,0)</f>
        <v>0</v>
      </c>
      <c r="G28" s="374">
        <f>ROUND(G27*Labor!$D$7,0)</f>
        <v>0</v>
      </c>
      <c r="H28" s="374">
        <f>ROUND(H27*Labor!$D$8,0)</f>
        <v>0</v>
      </c>
      <c r="I28" s="375">
        <f>SUM(C28:H28)</f>
        <v>0</v>
      </c>
      <c r="J28" s="332">
        <f>HLOOKUP(Labor!$B$11,InflationTable,2)*I28</f>
        <v>0</v>
      </c>
      <c r="K28" s="296">
        <f>J28*$L$4</f>
        <v>0</v>
      </c>
      <c r="L28" s="297">
        <f>K28/$E$19</f>
        <v>0</v>
      </c>
      <c r="M28" s="376">
        <f>HLOOKUP(Labor!$B$11,InflationTable,3)*$I28</f>
        <v>0</v>
      </c>
      <c r="N28" s="377">
        <f>M28*$O$4</f>
        <v>0</v>
      </c>
      <c r="O28" s="378">
        <f>N28/$E$19</f>
        <v>0</v>
      </c>
      <c r="P28" s="339">
        <f>HLOOKUP(Labor!$B$11,InflationTable,4)*$I28</f>
        <v>0</v>
      </c>
      <c r="Q28" s="296">
        <f>P28*$R$4</f>
        <v>0</v>
      </c>
      <c r="R28" s="297">
        <f>Q28/$E$19</f>
        <v>0</v>
      </c>
      <c r="S28" s="211">
        <f>AVERAGE(L28,O28,R28)</f>
        <v>0</v>
      </c>
      <c r="T28" s="393" t="s">
        <v>12</v>
      </c>
      <c r="U28" s="392" t="s">
        <v>12</v>
      </c>
    </row>
    <row r="29" spans="1:21">
      <c r="A29" s="615"/>
      <c r="B29" s="605" t="s">
        <v>66</v>
      </c>
      <c r="C29" s="33">
        <f t="shared" ref="C29:I29" si="1">C25+C27</f>
        <v>0</v>
      </c>
      <c r="D29" s="33">
        <f t="shared" si="1"/>
        <v>0</v>
      </c>
      <c r="E29" s="33">
        <f t="shared" si="1"/>
        <v>0</v>
      </c>
      <c r="F29" s="33">
        <f t="shared" si="1"/>
        <v>0</v>
      </c>
      <c r="G29" s="33">
        <f t="shared" si="1"/>
        <v>0</v>
      </c>
      <c r="H29" s="33">
        <f t="shared" si="1"/>
        <v>0</v>
      </c>
      <c r="I29" s="49">
        <f t="shared" si="1"/>
        <v>0</v>
      </c>
      <c r="J29" s="284" t="s">
        <v>12</v>
      </c>
      <c r="K29" s="285">
        <f>K25+K27</f>
        <v>0</v>
      </c>
      <c r="L29" s="286">
        <f>L25+L27</f>
        <v>0</v>
      </c>
      <c r="M29" s="44" t="s">
        <v>12</v>
      </c>
      <c r="N29" s="33">
        <f>N25+N27</f>
        <v>0</v>
      </c>
      <c r="O29" s="40">
        <f>O25+O27</f>
        <v>0</v>
      </c>
      <c r="P29" s="284" t="s">
        <v>12</v>
      </c>
      <c r="Q29" s="285">
        <f>Q25+Q27</f>
        <v>0</v>
      </c>
      <c r="R29" s="286">
        <f>R25+R27</f>
        <v>0</v>
      </c>
      <c r="S29" s="175">
        <f>AVERAGE(L29,O29,R29)</f>
        <v>0</v>
      </c>
      <c r="T29" s="136" t="s">
        <v>12</v>
      </c>
      <c r="U29" s="147" t="s">
        <v>12</v>
      </c>
    </row>
    <row r="30" spans="1:21" ht="13.5" thickBot="1">
      <c r="A30" s="615"/>
      <c r="B30" s="606" t="s">
        <v>67</v>
      </c>
      <c r="C30" s="240">
        <f t="shared" ref="C30:J30" si="2">C28+C26</f>
        <v>0</v>
      </c>
      <c r="D30" s="240">
        <f t="shared" si="2"/>
        <v>0</v>
      </c>
      <c r="E30" s="240">
        <f t="shared" si="2"/>
        <v>0</v>
      </c>
      <c r="F30" s="240">
        <f t="shared" si="2"/>
        <v>0</v>
      </c>
      <c r="G30" s="240">
        <f t="shared" si="2"/>
        <v>0</v>
      </c>
      <c r="H30" s="240">
        <f t="shared" si="2"/>
        <v>0</v>
      </c>
      <c r="I30" s="241">
        <f t="shared" si="2"/>
        <v>0</v>
      </c>
      <c r="J30" s="274">
        <f t="shared" si="2"/>
        <v>0</v>
      </c>
      <c r="K30" s="287"/>
      <c r="L30" s="276">
        <f>L28+L26+L23+L22</f>
        <v>505915.4</v>
      </c>
      <c r="M30" s="242">
        <f>M28+M26</f>
        <v>0</v>
      </c>
      <c r="N30" s="247"/>
      <c r="O30" s="243">
        <f>O28+O26+O23+O22</f>
        <v>516472.9</v>
      </c>
      <c r="P30" s="274">
        <f>P28+P26</f>
        <v>0</v>
      </c>
      <c r="Q30" s="287"/>
      <c r="R30" s="276">
        <f>R28+R26+R23+R22</f>
        <v>526608.10000000009</v>
      </c>
      <c r="S30" s="248">
        <f>SUM(S28,S26)</f>
        <v>0</v>
      </c>
      <c r="T30" s="249" t="s">
        <v>12</v>
      </c>
      <c r="U30" s="250">
        <f>SUM(U22:U23)</f>
        <v>516332.13333333336</v>
      </c>
    </row>
    <row r="31" spans="1:21" ht="14.25" thickTop="1" thickBot="1">
      <c r="A31" s="615"/>
      <c r="B31" s="5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20"/>
    </row>
    <row r="32" spans="1:21" ht="16.5" thickTop="1">
      <c r="A32" s="615"/>
      <c r="B32" s="613" t="s">
        <v>146</v>
      </c>
      <c r="C32" s="5"/>
      <c r="D32" s="5"/>
      <c r="E32" s="5"/>
      <c r="F32" s="112" t="s">
        <v>6</v>
      </c>
      <c r="G32" s="1412"/>
      <c r="H32" s="1413"/>
      <c r="I32" s="1414"/>
      <c r="J32" s="244" t="s">
        <v>22</v>
      </c>
      <c r="K32" s="426"/>
      <c r="L32" s="180"/>
      <c r="M32" s="244" t="s">
        <v>22</v>
      </c>
      <c r="N32" s="426"/>
      <c r="O32" s="67"/>
      <c r="P32" s="244" t="s">
        <v>22</v>
      </c>
      <c r="Q32" s="426"/>
      <c r="R32" s="67"/>
      <c r="S32" s="225"/>
      <c r="T32" s="37"/>
      <c r="U32" s="138"/>
    </row>
    <row r="33" spans="1:21">
      <c r="A33" s="615"/>
      <c r="B33" s="5"/>
      <c r="C33" s="5"/>
      <c r="D33" s="5"/>
      <c r="E33" s="5"/>
      <c r="F33" s="112"/>
      <c r="G33" s="1415"/>
      <c r="H33" s="1415"/>
      <c r="I33" s="1416"/>
      <c r="J33" s="277" t="s">
        <v>61</v>
      </c>
      <c r="K33" s="1434" t="s">
        <v>57</v>
      </c>
      <c r="L33" s="1435"/>
      <c r="M33" s="57" t="s">
        <v>61</v>
      </c>
      <c r="N33" s="1429" t="s">
        <v>57</v>
      </c>
      <c r="O33" s="1430"/>
      <c r="P33" s="277" t="s">
        <v>61</v>
      </c>
      <c r="Q33" s="1419" t="s">
        <v>57</v>
      </c>
      <c r="R33" s="1420"/>
      <c r="S33" s="131"/>
      <c r="T33" s="37"/>
      <c r="U33" s="138"/>
    </row>
    <row r="34" spans="1:21">
      <c r="A34" s="615"/>
      <c r="B34" s="611" t="s">
        <v>18</v>
      </c>
      <c r="C34" s="23" t="s">
        <v>60</v>
      </c>
      <c r="D34" s="23" t="s">
        <v>62</v>
      </c>
      <c r="E34" s="9"/>
      <c r="F34" s="72"/>
      <c r="G34" s="72"/>
      <c r="H34" s="72"/>
      <c r="I34" s="37"/>
      <c r="J34" s="261" t="s">
        <v>56</v>
      </c>
      <c r="K34" s="261" t="s">
        <v>13</v>
      </c>
      <c r="L34" s="262" t="s">
        <v>68</v>
      </c>
      <c r="M34" s="77" t="s">
        <v>56</v>
      </c>
      <c r="N34" s="24" t="s">
        <v>13</v>
      </c>
      <c r="O34" s="38" t="s">
        <v>68</v>
      </c>
      <c r="P34" s="260" t="s">
        <v>56</v>
      </c>
      <c r="Q34" s="261" t="s">
        <v>13</v>
      </c>
      <c r="R34" s="262" t="s">
        <v>68</v>
      </c>
      <c r="S34" s="123"/>
      <c r="T34" s="37"/>
      <c r="U34" s="138"/>
    </row>
    <row r="35" spans="1:21" ht="13.5" thickBot="1">
      <c r="A35" s="615"/>
      <c r="B35" s="361"/>
      <c r="C35" s="353">
        <f>VLOOKUP(C$2,Monitor_Costs,4,FALSE)</f>
        <v>800</v>
      </c>
      <c r="D35" s="34">
        <f>VLOOKUP(C$2,Monitor_Costs,5,FALSE)</f>
        <v>2013</v>
      </c>
      <c r="E35" s="4"/>
      <c r="F35" s="12"/>
      <c r="G35" s="4"/>
      <c r="H35" s="361"/>
      <c r="I35" s="363"/>
      <c r="J35" s="355">
        <f>HLOOKUP($D$35,InflationTable,2)*$C$35</f>
        <v>958.4</v>
      </c>
      <c r="K35" s="355">
        <f>J35*$L$4</f>
        <v>98715.199999999997</v>
      </c>
      <c r="L35" s="308">
        <f>K35</f>
        <v>98715.199999999997</v>
      </c>
      <c r="M35" s="171">
        <f>HLOOKUP($D$35,InflationTable,3)*$C$35</f>
        <v>978.40000000000009</v>
      </c>
      <c r="N35" s="357">
        <f>M35*$O$4</f>
        <v>100775.20000000001</v>
      </c>
      <c r="O35" s="95">
        <f>N35</f>
        <v>100775.20000000001</v>
      </c>
      <c r="P35" s="355">
        <f>HLOOKUP($D$35,InflationTable,4)*$C$35</f>
        <v>997.60000000000014</v>
      </c>
      <c r="Q35" s="355">
        <f>P35*$R$4</f>
        <v>102752.80000000002</v>
      </c>
      <c r="R35" s="308">
        <f>Q35</f>
        <v>102752.80000000002</v>
      </c>
      <c r="S35" s="359" t="s">
        <v>12</v>
      </c>
      <c r="T35" s="360">
        <f>AVERAGE(L35,O35,R35)</f>
        <v>100747.73333333335</v>
      </c>
      <c r="U35" s="142" t="s">
        <v>12</v>
      </c>
    </row>
    <row r="36" spans="1:21">
      <c r="A36" s="615"/>
      <c r="B36" s="465" t="s">
        <v>23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2"/>
      <c r="K36" s="352"/>
      <c r="L36" s="356"/>
      <c r="M36" s="110"/>
      <c r="N36" s="108"/>
      <c r="O36" s="111"/>
      <c r="P36" s="352"/>
      <c r="Q36" s="352"/>
      <c r="R36" s="356"/>
      <c r="S36" s="123"/>
      <c r="T36" s="37"/>
      <c r="U36" s="138"/>
    </row>
    <row r="37" spans="1:21">
      <c r="A37" s="615"/>
      <c r="B37" s="614" t="s">
        <v>4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48">
        <f>SUM(C37:H37)</f>
        <v>0</v>
      </c>
      <c r="J37" s="299" t="s">
        <v>12</v>
      </c>
      <c r="K37" s="281">
        <f>I37*$L$4</f>
        <v>0</v>
      </c>
      <c r="L37" s="289">
        <f>K37</f>
        <v>0</v>
      </c>
      <c r="M37" s="58" t="s">
        <v>12</v>
      </c>
      <c r="N37" s="69">
        <f>$I$37*$O$4</f>
        <v>0</v>
      </c>
      <c r="O37" s="68">
        <f>N37</f>
        <v>0</v>
      </c>
      <c r="P37" s="299" t="s">
        <v>12</v>
      </c>
      <c r="Q37" s="281">
        <f>$I$37*$R$4</f>
        <v>0</v>
      </c>
      <c r="R37" s="289">
        <f>Q37</f>
        <v>0</v>
      </c>
      <c r="S37" s="121">
        <f>AVERAGE(L37,O37,R37)</f>
        <v>0</v>
      </c>
      <c r="T37" s="119" t="s">
        <v>12</v>
      </c>
      <c r="U37" s="140" t="s">
        <v>12</v>
      </c>
    </row>
    <row r="38" spans="1:21" s="1" customFormat="1" ht="13.5" thickBot="1">
      <c r="A38" s="616"/>
      <c r="B38" s="604" t="s">
        <v>8</v>
      </c>
      <c r="C38" s="373">
        <f>ROUND(C37*Labor!$D$3,0)</f>
        <v>0</v>
      </c>
      <c r="D38" s="374">
        <f>ROUND(D37*Labor!$D$4,0)</f>
        <v>0</v>
      </c>
      <c r="E38" s="374">
        <f>ROUND(E37*Labor!$D$5,0)</f>
        <v>0</v>
      </c>
      <c r="F38" s="374">
        <f>ROUND(F37*Labor!$D$6,0)</f>
        <v>0</v>
      </c>
      <c r="G38" s="374">
        <f>ROUND(G37*Labor!$D$7,0)</f>
        <v>0</v>
      </c>
      <c r="H38" s="374">
        <f>ROUND(H37*Labor!$D$8,0)</f>
        <v>0</v>
      </c>
      <c r="I38" s="375">
        <f>SUM(C38:H38)</f>
        <v>0</v>
      </c>
      <c r="J38" s="296">
        <f>HLOOKUP(Labor!$B$11,InflationTable,2)*I38</f>
        <v>0</v>
      </c>
      <c r="K38" s="296">
        <f>J38*$L$4</f>
        <v>0</v>
      </c>
      <c r="L38" s="390">
        <f>K38</f>
        <v>0</v>
      </c>
      <c r="M38" s="376">
        <f>HLOOKUP(Labor!$B$11,InflationTable,3)*I38</f>
        <v>0</v>
      </c>
      <c r="N38" s="377">
        <f>M38*$O$4</f>
        <v>0</v>
      </c>
      <c r="O38" s="378">
        <f>N38</f>
        <v>0</v>
      </c>
      <c r="P38" s="296">
        <f>HLOOKUP(Labor!$B$11,InflationTable,4)*$I$38</f>
        <v>0</v>
      </c>
      <c r="Q38" s="296">
        <f>P38*$R$4</f>
        <v>0</v>
      </c>
      <c r="R38" s="390">
        <f>Q38</f>
        <v>0</v>
      </c>
      <c r="S38" s="211">
        <f>AVERAGE(L38,O38,R38)</f>
        <v>0</v>
      </c>
      <c r="T38" s="393" t="s">
        <v>12</v>
      </c>
      <c r="U38" s="392" t="s">
        <v>12</v>
      </c>
    </row>
    <row r="39" spans="1:21">
      <c r="A39" s="615"/>
      <c r="B39" s="605" t="s">
        <v>66</v>
      </c>
      <c r="C39" s="36">
        <f t="shared" ref="C39:I40" si="3">C37</f>
        <v>0</v>
      </c>
      <c r="D39" s="36">
        <f t="shared" si="3"/>
        <v>0</v>
      </c>
      <c r="E39" s="36">
        <f t="shared" si="3"/>
        <v>0</v>
      </c>
      <c r="F39" s="36">
        <f t="shared" si="3"/>
        <v>0</v>
      </c>
      <c r="G39" s="36">
        <f t="shared" si="3"/>
        <v>0</v>
      </c>
      <c r="H39" s="36">
        <f t="shared" si="3"/>
        <v>0</v>
      </c>
      <c r="I39" s="51">
        <f t="shared" si="3"/>
        <v>0</v>
      </c>
      <c r="J39" s="307" t="s">
        <v>12</v>
      </c>
      <c r="K39" s="302">
        <f>K37</f>
        <v>0</v>
      </c>
      <c r="L39" s="303">
        <f>L37</f>
        <v>0</v>
      </c>
      <c r="M39" s="85" t="s">
        <v>12</v>
      </c>
      <c r="N39" s="82">
        <f>N37</f>
        <v>0</v>
      </c>
      <c r="O39" s="96">
        <f>O37</f>
        <v>0</v>
      </c>
      <c r="P39" s="301" t="s">
        <v>12</v>
      </c>
      <c r="Q39" s="302">
        <f>Q37</f>
        <v>0</v>
      </c>
      <c r="R39" s="303">
        <f>R37</f>
        <v>0</v>
      </c>
      <c r="S39" s="96">
        <f>S37</f>
        <v>0</v>
      </c>
      <c r="T39" s="136" t="s">
        <v>12</v>
      </c>
      <c r="U39" s="147" t="s">
        <v>12</v>
      </c>
    </row>
    <row r="40" spans="1:21" ht="13.5" thickBot="1">
      <c r="A40" s="615"/>
      <c r="B40" s="606" t="s">
        <v>67</v>
      </c>
      <c r="C40" s="240">
        <f t="shared" ref="C40:H40" si="4">C39</f>
        <v>0</v>
      </c>
      <c r="D40" s="240">
        <f t="shared" si="4"/>
        <v>0</v>
      </c>
      <c r="E40" s="240">
        <f t="shared" si="4"/>
        <v>0</v>
      </c>
      <c r="F40" s="240">
        <f t="shared" si="4"/>
        <v>0</v>
      </c>
      <c r="G40" s="240">
        <f t="shared" si="4"/>
        <v>0</v>
      </c>
      <c r="H40" s="240">
        <f t="shared" si="4"/>
        <v>0</v>
      </c>
      <c r="I40" s="51">
        <f t="shared" si="3"/>
        <v>0</v>
      </c>
      <c r="J40" s="305">
        <f t="shared" ref="J40:R40" si="5">J38+J35</f>
        <v>958.4</v>
      </c>
      <c r="K40" s="305">
        <f t="shared" si="5"/>
        <v>98715.199999999997</v>
      </c>
      <c r="L40" s="306">
        <f t="shared" si="5"/>
        <v>98715.199999999997</v>
      </c>
      <c r="M40" s="252">
        <f t="shared" si="5"/>
        <v>978.40000000000009</v>
      </c>
      <c r="N40" s="253">
        <f t="shared" si="5"/>
        <v>100775.20000000001</v>
      </c>
      <c r="O40" s="254">
        <f t="shared" si="5"/>
        <v>100775.20000000001</v>
      </c>
      <c r="P40" s="304">
        <f t="shared" si="5"/>
        <v>997.60000000000014</v>
      </c>
      <c r="Q40" s="305">
        <f t="shared" si="5"/>
        <v>102752.80000000002</v>
      </c>
      <c r="R40" s="306">
        <f t="shared" si="5"/>
        <v>102752.80000000002</v>
      </c>
      <c r="S40" s="255">
        <f>AVERAGE(L40,O40,R40)</f>
        <v>100747.73333333335</v>
      </c>
      <c r="T40" s="251">
        <f>T35</f>
        <v>100747.73333333335</v>
      </c>
      <c r="U40" s="224" t="s">
        <v>12</v>
      </c>
    </row>
    <row r="41" spans="1:21" ht="14.25" thickTop="1" thickBot="1">
      <c r="A41" s="615"/>
      <c r="B41" s="617"/>
      <c r="C41" s="618"/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7"/>
      <c r="O41" s="618"/>
      <c r="P41" s="618"/>
      <c r="Q41" s="618"/>
      <c r="R41" s="618"/>
      <c r="S41" s="618"/>
      <c r="T41" s="618"/>
      <c r="U41" s="620"/>
    </row>
    <row r="42" spans="1:21" ht="16.5" thickTop="1">
      <c r="A42" s="615"/>
      <c r="B42" s="80" t="s">
        <v>147</v>
      </c>
      <c r="C42" s="5"/>
      <c r="D42" s="5"/>
      <c r="E42" s="5"/>
      <c r="F42" s="112" t="s">
        <v>6</v>
      </c>
      <c r="G42" s="1412"/>
      <c r="H42" s="1413"/>
      <c r="I42" s="1414"/>
      <c r="J42" s="181" t="s">
        <v>24</v>
      </c>
      <c r="K42" s="426"/>
      <c r="L42" s="180"/>
      <c r="M42" s="181" t="s">
        <v>24</v>
      </c>
      <c r="N42" s="319"/>
      <c r="O42" s="67"/>
      <c r="P42" s="181" t="s">
        <v>24</v>
      </c>
      <c r="Q42" s="426"/>
      <c r="R42" s="67"/>
      <c r="S42" s="225"/>
      <c r="T42" s="37"/>
      <c r="U42" s="138"/>
    </row>
    <row r="43" spans="1:21">
      <c r="A43" s="615"/>
      <c r="B43" s="5"/>
      <c r="C43" s="5"/>
      <c r="D43" s="5"/>
      <c r="E43" s="5"/>
      <c r="F43" s="112"/>
      <c r="G43" s="1415"/>
      <c r="H43" s="1415"/>
      <c r="I43" s="1416"/>
      <c r="J43" s="277" t="s">
        <v>61</v>
      </c>
      <c r="K43" s="1419" t="s">
        <v>57</v>
      </c>
      <c r="L43" s="1420"/>
      <c r="M43" s="57" t="s">
        <v>61</v>
      </c>
      <c r="N43" s="1429" t="s">
        <v>57</v>
      </c>
      <c r="O43" s="1430"/>
      <c r="P43" s="277" t="s">
        <v>61</v>
      </c>
      <c r="Q43" s="1419" t="s">
        <v>57</v>
      </c>
      <c r="R43" s="1420"/>
      <c r="S43" s="131"/>
      <c r="T43" s="37"/>
      <c r="U43" s="138"/>
    </row>
    <row r="44" spans="1:21">
      <c r="A44" s="615"/>
      <c r="B44" s="611" t="s">
        <v>19</v>
      </c>
      <c r="C44" s="23" t="s">
        <v>60</v>
      </c>
      <c r="D44" s="23" t="s">
        <v>62</v>
      </c>
      <c r="E44" s="9"/>
      <c r="F44" s="72"/>
      <c r="G44" s="72"/>
      <c r="H44" s="72"/>
      <c r="I44" s="73"/>
      <c r="J44" s="260" t="s">
        <v>56</v>
      </c>
      <c r="K44" s="261" t="s">
        <v>13</v>
      </c>
      <c r="L44" s="262" t="s">
        <v>68</v>
      </c>
      <c r="M44" s="77" t="s">
        <v>56</v>
      </c>
      <c r="N44" s="24" t="s">
        <v>13</v>
      </c>
      <c r="O44" s="38" t="s">
        <v>68</v>
      </c>
      <c r="P44" s="260" t="s">
        <v>56</v>
      </c>
      <c r="Q44" s="261" t="s">
        <v>13</v>
      </c>
      <c r="R44" s="262" t="s">
        <v>68</v>
      </c>
      <c r="S44" s="123"/>
      <c r="T44" s="73"/>
      <c r="U44" s="138"/>
    </row>
    <row r="45" spans="1:21" ht="13.5" thickBot="1">
      <c r="A45" s="615"/>
      <c r="B45" s="361"/>
      <c r="C45" s="353">
        <f>VLOOKUP(C$2,Monitor_Costs,6,FALSE)</f>
        <v>1000</v>
      </c>
      <c r="D45" s="34">
        <f>VLOOKUP(C$2,Monitor_Costs,7,FALSE)</f>
        <v>2013</v>
      </c>
      <c r="E45" s="354"/>
      <c r="F45" s="71"/>
      <c r="G45" s="56"/>
      <c r="H45" s="56"/>
      <c r="I45" s="54"/>
      <c r="J45" s="355">
        <f>HLOOKUP(D45,InflationTable,2)*C45</f>
        <v>1198</v>
      </c>
      <c r="K45" s="355">
        <f>J45*$L$4</f>
        <v>123394</v>
      </c>
      <c r="L45" s="308">
        <f>K45</f>
        <v>123394</v>
      </c>
      <c r="M45" s="357">
        <f>HLOOKUP($D$45,InflationTable,3)*$C$45</f>
        <v>1223</v>
      </c>
      <c r="N45" s="357">
        <f>M45*$O$4</f>
        <v>125969</v>
      </c>
      <c r="O45" s="95">
        <f>N45</f>
        <v>125969</v>
      </c>
      <c r="P45" s="358">
        <f>HLOOKUP($D$45,InflationTable,4)*$C$45</f>
        <v>1247</v>
      </c>
      <c r="Q45" s="355">
        <f>P45*$R$4</f>
        <v>128441</v>
      </c>
      <c r="R45" s="308">
        <f>Q45</f>
        <v>128441</v>
      </c>
      <c r="S45" s="359" t="s">
        <v>12</v>
      </c>
      <c r="T45" s="360">
        <f>AVERAGE(L45,O45,R45)</f>
        <v>125934.66666666667</v>
      </c>
      <c r="U45" s="142" t="s">
        <v>12</v>
      </c>
    </row>
    <row r="46" spans="1:21">
      <c r="A46" s="615"/>
      <c r="B46" s="465" t="s">
        <v>25</v>
      </c>
      <c r="C46" s="107" t="s">
        <v>45</v>
      </c>
      <c r="D46" s="108" t="s">
        <v>46</v>
      </c>
      <c r="E46" s="107" t="s">
        <v>47</v>
      </c>
      <c r="F46" s="107" t="s">
        <v>48</v>
      </c>
      <c r="G46" s="107" t="s">
        <v>49</v>
      </c>
      <c r="H46" s="107" t="s">
        <v>50</v>
      </c>
      <c r="I46" s="350" t="s">
        <v>74</v>
      </c>
      <c r="J46" s="351"/>
      <c r="K46" s="352"/>
      <c r="L46" s="356"/>
      <c r="M46" s="110"/>
      <c r="N46" s="108"/>
      <c r="O46" s="111"/>
      <c r="P46" s="351"/>
      <c r="Q46" s="352"/>
      <c r="R46" s="356"/>
      <c r="S46" s="134"/>
      <c r="T46" s="136"/>
      <c r="U46" s="138"/>
    </row>
    <row r="47" spans="1:21">
      <c r="B47" s="566" t="s">
        <v>4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52">
        <f>SUM(C47:H47)</f>
        <v>0</v>
      </c>
      <c r="J47" s="263" t="s">
        <v>12</v>
      </c>
      <c r="K47" s="281">
        <f>I47*$L$4</f>
        <v>0</v>
      </c>
      <c r="L47" s="289">
        <f>K47</f>
        <v>0</v>
      </c>
      <c r="M47" s="58" t="s">
        <v>12</v>
      </c>
      <c r="N47" s="69">
        <f>$I$47*$O$4</f>
        <v>0</v>
      </c>
      <c r="O47" s="68">
        <f>N47</f>
        <v>0</v>
      </c>
      <c r="P47" s="263" t="s">
        <v>12</v>
      </c>
      <c r="Q47" s="281">
        <f>$I$47*$R$4</f>
        <v>0</v>
      </c>
      <c r="R47" s="289">
        <f>Q47</f>
        <v>0</v>
      </c>
      <c r="S47" s="121">
        <f>AVERAGE(L47,O47,R47)</f>
        <v>0</v>
      </c>
      <c r="T47" s="119" t="s">
        <v>12</v>
      </c>
      <c r="U47" s="140" t="s">
        <v>12</v>
      </c>
    </row>
    <row r="48" spans="1:21" ht="13.5" thickBot="1">
      <c r="B48" s="567" t="s">
        <v>8</v>
      </c>
      <c r="C48" s="34">
        <f>ROUND(C47*Labor!$D$3,0)</f>
        <v>0</v>
      </c>
      <c r="D48" s="35">
        <f>ROUND(D47*Labor!$D$4,0)</f>
        <v>0</v>
      </c>
      <c r="E48" s="35">
        <f>ROUND(E47*Labor!$D$5,0)</f>
        <v>0</v>
      </c>
      <c r="F48" s="35">
        <f>ROUND(F47*Labor!$D$6,0)</f>
        <v>0</v>
      </c>
      <c r="G48" s="35">
        <f>ROUND(G47*Labor!$D$7,0)</f>
        <v>0</v>
      </c>
      <c r="H48" s="35">
        <f>ROUND(H47*Labor!$D$8,0)</f>
        <v>0</v>
      </c>
      <c r="I48" s="39">
        <f>SUM(C48:H48)</f>
        <v>0</v>
      </c>
      <c r="J48" s="292">
        <f>HLOOKUP(Labor!$B$11,InflationTable,2)*I48</f>
        <v>0</v>
      </c>
      <c r="K48" s="269">
        <f>J48*$L$4</f>
        <v>0</v>
      </c>
      <c r="L48" s="308">
        <f>K48</f>
        <v>0</v>
      </c>
      <c r="M48" s="84">
        <f>HLOOKUP(Labor!$B$11,InflationTable,3)*$I$48</f>
        <v>0</v>
      </c>
      <c r="N48" s="63">
        <f>M48*$O$4</f>
        <v>0</v>
      </c>
      <c r="O48" s="95">
        <f>N48</f>
        <v>0</v>
      </c>
      <c r="P48" s="268">
        <f>HLOOKUP(Labor!$B$11,InflationTable,4)*$I$48</f>
        <v>0</v>
      </c>
      <c r="Q48" s="269">
        <f>P48*$O$4</f>
        <v>0</v>
      </c>
      <c r="R48" s="308">
        <f>Q48</f>
        <v>0</v>
      </c>
      <c r="S48" s="128">
        <f>AVERAGE(L48,O48,R48)</f>
        <v>0</v>
      </c>
      <c r="T48" s="149" t="s">
        <v>12</v>
      </c>
      <c r="U48" s="142" t="s">
        <v>12</v>
      </c>
    </row>
    <row r="49" spans="2:21">
      <c r="B49" s="565" t="s">
        <v>117</v>
      </c>
      <c r="C49" s="346">
        <v>0</v>
      </c>
      <c r="D49" s="346">
        <v>0</v>
      </c>
      <c r="E49" s="346">
        <v>0</v>
      </c>
      <c r="F49" s="346">
        <v>0</v>
      </c>
      <c r="G49" s="346">
        <v>0</v>
      </c>
      <c r="H49" s="346">
        <v>0</v>
      </c>
      <c r="I49" s="347">
        <f>SUM(C49:H49)</f>
        <v>0</v>
      </c>
      <c r="J49" s="293" t="s">
        <v>12</v>
      </c>
      <c r="K49" s="327">
        <f>I49*$L$4</f>
        <v>0</v>
      </c>
      <c r="L49" s="328">
        <f>K49</f>
        <v>0</v>
      </c>
      <c r="M49" s="61" t="s">
        <v>12</v>
      </c>
      <c r="N49" s="348">
        <f>$I$49*$O$4</f>
        <v>0</v>
      </c>
      <c r="O49" s="349">
        <f>N49</f>
        <v>0</v>
      </c>
      <c r="P49" s="293" t="s">
        <v>12</v>
      </c>
      <c r="Q49" s="327">
        <f>$I$49*$R$4</f>
        <v>0</v>
      </c>
      <c r="R49" s="328">
        <f>Q49</f>
        <v>0</v>
      </c>
      <c r="S49" s="129">
        <f>AVERAGE(L49,O49,R49)</f>
        <v>0</v>
      </c>
      <c r="T49" s="119" t="s">
        <v>12</v>
      </c>
      <c r="U49" s="140" t="s">
        <v>12</v>
      </c>
    </row>
    <row r="50" spans="2:21" ht="13.5" thickBot="1">
      <c r="B50" s="568" t="s">
        <v>8</v>
      </c>
      <c r="C50" s="34">
        <f>ROUND(C49*Labor!$D$3,0)</f>
        <v>0</v>
      </c>
      <c r="D50" s="35">
        <f>ROUND(D49*Labor!$D$4,0)</f>
        <v>0</v>
      </c>
      <c r="E50" s="35">
        <f>ROUND(E49*Labor!$D$5,0)</f>
        <v>0</v>
      </c>
      <c r="F50" s="35">
        <f>ROUND(F49*Labor!$D$6,0)</f>
        <v>0</v>
      </c>
      <c r="G50" s="35">
        <f>ROUND(G49*Labor!$D$7,0)</f>
        <v>0</v>
      </c>
      <c r="H50" s="35">
        <f>ROUND(H49*Labor!$D$8,0)</f>
        <v>0</v>
      </c>
      <c r="I50" s="39">
        <f>SUM(C50:H50)</f>
        <v>0</v>
      </c>
      <c r="J50" s="268">
        <f>HLOOKUP(Labor!$B$11,InflationTable,2)*$I$50</f>
        <v>0</v>
      </c>
      <c r="K50" s="269">
        <f>J50*$L$4</f>
        <v>0</v>
      </c>
      <c r="L50" s="308">
        <f>K50</f>
        <v>0</v>
      </c>
      <c r="M50" s="84">
        <f>HLOOKUP(Labor!$B$11,InflationTable,3)*$I$50</f>
        <v>0</v>
      </c>
      <c r="N50" s="63">
        <f>M50*$O$4</f>
        <v>0</v>
      </c>
      <c r="O50" s="95">
        <f>N50</f>
        <v>0</v>
      </c>
      <c r="P50" s="268">
        <f>HLOOKUP(Labor!$B$11,InflationTable,4)*$I$50</f>
        <v>0</v>
      </c>
      <c r="Q50" s="269">
        <f>P50*$R$4</f>
        <v>0</v>
      </c>
      <c r="R50" s="308">
        <f>Q50</f>
        <v>0</v>
      </c>
      <c r="S50" s="132">
        <f>AVERAGE(L50,O50,R50)</f>
        <v>0</v>
      </c>
      <c r="T50" s="149" t="s">
        <v>12</v>
      </c>
      <c r="U50" s="142" t="s">
        <v>12</v>
      </c>
    </row>
    <row r="51" spans="2:21">
      <c r="B51" s="560" t="s">
        <v>66</v>
      </c>
      <c r="C51" s="36">
        <f t="shared" ref="C51:I52" si="6">C47+C49</f>
        <v>0</v>
      </c>
      <c r="D51" s="36">
        <f t="shared" si="6"/>
        <v>0</v>
      </c>
      <c r="E51" s="36">
        <f t="shared" si="6"/>
        <v>0</v>
      </c>
      <c r="F51" s="36">
        <f t="shared" si="6"/>
        <v>0</v>
      </c>
      <c r="G51" s="36">
        <f t="shared" si="6"/>
        <v>0</v>
      </c>
      <c r="H51" s="36">
        <f t="shared" si="6"/>
        <v>0</v>
      </c>
      <c r="I51" s="46">
        <f t="shared" si="6"/>
        <v>0</v>
      </c>
      <c r="J51" s="301" t="s">
        <v>12</v>
      </c>
      <c r="K51" s="309">
        <f>K47+K49</f>
        <v>0</v>
      </c>
      <c r="L51" s="310">
        <f>L47+L49</f>
        <v>0</v>
      </c>
      <c r="M51" s="85" t="s">
        <v>12</v>
      </c>
      <c r="N51" s="86">
        <f>N47+N49</f>
        <v>0</v>
      </c>
      <c r="O51" s="97">
        <f>O47+O49</f>
        <v>0</v>
      </c>
      <c r="P51" s="301" t="s">
        <v>12</v>
      </c>
      <c r="Q51" s="309">
        <f>Q47+Q49</f>
        <v>0</v>
      </c>
      <c r="R51" s="310">
        <f>R47+R49</f>
        <v>0</v>
      </c>
      <c r="S51" s="121">
        <f>AVERAGE(L51,O51,R51)</f>
        <v>0</v>
      </c>
      <c r="T51" s="136" t="s">
        <v>12</v>
      </c>
      <c r="U51" s="148" t="s">
        <v>12</v>
      </c>
    </row>
    <row r="52" spans="2:21" ht="13.5" thickBot="1">
      <c r="B52" s="561" t="s">
        <v>67</v>
      </c>
      <c r="C52" s="240">
        <f t="shared" ref="C52:H52" si="7">C48+C50</f>
        <v>0</v>
      </c>
      <c r="D52" s="240">
        <f t="shared" si="7"/>
        <v>0</v>
      </c>
      <c r="E52" s="240">
        <f t="shared" si="7"/>
        <v>0</v>
      </c>
      <c r="F52" s="240">
        <f t="shared" si="7"/>
        <v>0</v>
      </c>
      <c r="G52" s="240">
        <f t="shared" si="7"/>
        <v>0</v>
      </c>
      <c r="H52" s="240">
        <f t="shared" si="7"/>
        <v>0</v>
      </c>
      <c r="I52" s="46">
        <f t="shared" si="6"/>
        <v>0</v>
      </c>
      <c r="J52" s="311">
        <f t="shared" ref="J52:R52" si="8">J50+J48+J45</f>
        <v>1198</v>
      </c>
      <c r="K52" s="305">
        <f t="shared" si="8"/>
        <v>123394</v>
      </c>
      <c r="L52" s="306">
        <f t="shared" si="8"/>
        <v>123394</v>
      </c>
      <c r="M52" s="252">
        <f t="shared" si="8"/>
        <v>1223</v>
      </c>
      <c r="N52" s="253">
        <f t="shared" si="8"/>
        <v>125969</v>
      </c>
      <c r="O52" s="254">
        <f t="shared" si="8"/>
        <v>125969</v>
      </c>
      <c r="P52" s="311">
        <f t="shared" si="8"/>
        <v>1247</v>
      </c>
      <c r="Q52" s="305">
        <f t="shared" si="8"/>
        <v>128441</v>
      </c>
      <c r="R52" s="306">
        <f t="shared" si="8"/>
        <v>128441</v>
      </c>
      <c r="S52" s="248">
        <f>S50+S48</f>
        <v>0</v>
      </c>
      <c r="T52" s="251">
        <f>T45</f>
        <v>125934.66666666667</v>
      </c>
      <c r="U52" s="224" t="s">
        <v>12</v>
      </c>
    </row>
    <row r="53" spans="2:21" ht="14.25" thickTop="1" thickBot="1">
      <c r="B53" s="555"/>
      <c r="C53" s="618"/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20"/>
    </row>
    <row r="54" spans="2:21" ht="16.5" thickTop="1">
      <c r="B54" s="653" t="s">
        <v>26</v>
      </c>
      <c r="C54" s="5"/>
      <c r="D54" s="5"/>
      <c r="E54" s="5"/>
      <c r="F54" s="112" t="s">
        <v>6</v>
      </c>
      <c r="G54" s="1412"/>
      <c r="H54" s="1413"/>
      <c r="I54" s="1414"/>
      <c r="J54" s="181" t="s">
        <v>26</v>
      </c>
      <c r="K54" s="426"/>
      <c r="L54" s="67"/>
      <c r="M54" s="245" t="s">
        <v>26</v>
      </c>
      <c r="N54" s="426"/>
      <c r="O54" s="426"/>
      <c r="P54" s="245" t="s">
        <v>26</v>
      </c>
      <c r="Q54" s="426"/>
      <c r="R54" s="67"/>
      <c r="S54" s="225"/>
      <c r="T54" s="37"/>
      <c r="U54" s="138"/>
    </row>
    <row r="55" spans="2:21">
      <c r="B55" s="555"/>
      <c r="C55" s="5"/>
      <c r="D55" s="5"/>
      <c r="E55" s="5"/>
      <c r="F55" s="7"/>
      <c r="G55" s="5"/>
      <c r="H55" s="5"/>
      <c r="I55" s="45" t="s">
        <v>61</v>
      </c>
      <c r="J55" s="277" t="s">
        <v>61</v>
      </c>
      <c r="K55" s="1419" t="s">
        <v>57</v>
      </c>
      <c r="L55" s="1420"/>
      <c r="M55" s="57" t="s">
        <v>61</v>
      </c>
      <c r="N55" s="1429" t="s">
        <v>57</v>
      </c>
      <c r="O55" s="1430"/>
      <c r="P55" s="277" t="s">
        <v>61</v>
      </c>
      <c r="Q55" s="1419" t="s">
        <v>57</v>
      </c>
      <c r="R55" s="1420"/>
      <c r="S55" s="131"/>
      <c r="T55" s="37"/>
      <c r="U55" s="138"/>
    </row>
    <row r="56" spans="2:21">
      <c r="B56" s="563" t="s">
        <v>27</v>
      </c>
      <c r="C56" s="23" t="s">
        <v>45</v>
      </c>
      <c r="D56" s="24" t="s">
        <v>46</v>
      </c>
      <c r="E56" s="23" t="s">
        <v>47</v>
      </c>
      <c r="F56" s="23" t="s">
        <v>48</v>
      </c>
      <c r="G56" s="23" t="s">
        <v>49</v>
      </c>
      <c r="H56" s="23" t="s">
        <v>50</v>
      </c>
      <c r="I56" s="45" t="s">
        <v>13</v>
      </c>
      <c r="J56" s="260" t="s">
        <v>56</v>
      </c>
      <c r="K56" s="261" t="s">
        <v>13</v>
      </c>
      <c r="L56" s="262" t="s">
        <v>68</v>
      </c>
      <c r="M56" s="77" t="s">
        <v>56</v>
      </c>
      <c r="N56" s="24" t="s">
        <v>13</v>
      </c>
      <c r="O56" s="38" t="s">
        <v>68</v>
      </c>
      <c r="P56" s="260" t="s">
        <v>56</v>
      </c>
      <c r="Q56" s="261" t="s">
        <v>13</v>
      </c>
      <c r="R56" s="262" t="s">
        <v>68</v>
      </c>
      <c r="S56" s="123"/>
      <c r="T56" s="37"/>
      <c r="U56" s="138"/>
    </row>
    <row r="57" spans="2:21">
      <c r="B57" s="566" t="s">
        <v>4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  <c r="I57" s="52">
        <f t="shared" ref="I57:I64" si="9">SUM(C57:H57)</f>
        <v>0</v>
      </c>
      <c r="J57" s="263" t="s">
        <v>12</v>
      </c>
      <c r="K57" s="281">
        <f>I57*(L$5+L$4)</f>
        <v>0</v>
      </c>
      <c r="L57" s="289">
        <f t="shared" ref="L57:L64" si="10">K57</f>
        <v>0</v>
      </c>
      <c r="M57" s="58" t="s">
        <v>12</v>
      </c>
      <c r="N57" s="69">
        <f>I57*(O$5+O$4)</f>
        <v>0</v>
      </c>
      <c r="O57" s="68">
        <f t="shared" ref="O57:O64" si="11">N57</f>
        <v>0</v>
      </c>
      <c r="P57" s="263" t="s">
        <v>12</v>
      </c>
      <c r="Q57" s="281">
        <f>$I57*(R$5+R$4)</f>
        <v>0</v>
      </c>
      <c r="R57" s="289">
        <f t="shared" ref="R57:R64" si="12">Q57</f>
        <v>0</v>
      </c>
      <c r="S57" s="121">
        <f t="shared" ref="S57:S66" si="13">AVERAGE(L57,O57,R57)</f>
        <v>0</v>
      </c>
      <c r="T57" s="119" t="s">
        <v>12</v>
      </c>
      <c r="U57" s="140" t="s">
        <v>12</v>
      </c>
    </row>
    <row r="58" spans="2:21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0</v>
      </c>
      <c r="F58" s="35">
        <f>ROUND(F57*Labor!$D$6,0)</f>
        <v>0</v>
      </c>
      <c r="G58" s="35">
        <f>ROUND(G57*Labor!$D$7,0)</f>
        <v>0</v>
      </c>
      <c r="H58" s="35">
        <f>ROUND(H57*Labor!$D$8,0)</f>
        <v>0</v>
      </c>
      <c r="I58" s="39">
        <f t="shared" si="9"/>
        <v>0</v>
      </c>
      <c r="J58" s="268">
        <f>HLOOKUP(Labor!$B$11,InflationTable,2)*$I58</f>
        <v>0</v>
      </c>
      <c r="K58" s="355">
        <f>J58*(L$4+L$5)</f>
        <v>0</v>
      </c>
      <c r="L58" s="308">
        <f t="shared" si="10"/>
        <v>0</v>
      </c>
      <c r="M58" s="84">
        <f>HLOOKUP(Labor!$B$11,InflationTable,3)*$I58</f>
        <v>0</v>
      </c>
      <c r="N58" s="357">
        <f>M58*(O$4+O$5)</f>
        <v>0</v>
      </c>
      <c r="O58" s="95">
        <f t="shared" si="11"/>
        <v>0</v>
      </c>
      <c r="P58" s="268">
        <f>HLOOKUP(Labor!$B$11,InflationTable,4)*$I58</f>
        <v>0</v>
      </c>
      <c r="Q58" s="355">
        <f>P58*(R$4+R$5)</f>
        <v>0</v>
      </c>
      <c r="R58" s="308">
        <f t="shared" si="12"/>
        <v>0</v>
      </c>
      <c r="S58" s="128">
        <f t="shared" si="13"/>
        <v>0</v>
      </c>
      <c r="T58" s="149" t="s">
        <v>12</v>
      </c>
      <c r="U58" s="142" t="s">
        <v>12</v>
      </c>
    </row>
    <row r="59" spans="2:21">
      <c r="B59" s="559" t="s">
        <v>114</v>
      </c>
      <c r="C59" s="346">
        <v>0</v>
      </c>
      <c r="D59" s="346">
        <v>0</v>
      </c>
      <c r="E59" s="346">
        <v>0</v>
      </c>
      <c r="F59" s="346">
        <v>0</v>
      </c>
      <c r="G59" s="346">
        <v>0</v>
      </c>
      <c r="H59" s="346">
        <v>0</v>
      </c>
      <c r="I59" s="347">
        <f t="shared" si="9"/>
        <v>0</v>
      </c>
      <c r="J59" s="293" t="s">
        <v>12</v>
      </c>
      <c r="K59" s="281">
        <f>I59*(L$5+L$4)</f>
        <v>0</v>
      </c>
      <c r="L59" s="328">
        <f t="shared" si="10"/>
        <v>0</v>
      </c>
      <c r="M59" s="61" t="s">
        <v>12</v>
      </c>
      <c r="N59" s="69">
        <f>I59*(O$5+O$4)</f>
        <v>0</v>
      </c>
      <c r="O59" s="349">
        <f t="shared" si="11"/>
        <v>0</v>
      </c>
      <c r="P59" s="293" t="s">
        <v>12</v>
      </c>
      <c r="Q59" s="281">
        <f>$I59*(R$5+R$4)</f>
        <v>0</v>
      </c>
      <c r="R59" s="328">
        <f t="shared" si="12"/>
        <v>0</v>
      </c>
      <c r="S59" s="129">
        <f t="shared" si="13"/>
        <v>0</v>
      </c>
      <c r="T59" s="136" t="s">
        <v>12</v>
      </c>
      <c r="U59" s="147" t="s">
        <v>12</v>
      </c>
    </row>
    <row r="60" spans="2:21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0</v>
      </c>
      <c r="F60" s="35">
        <f>ROUND(F59*Labor!$D$6,0)</f>
        <v>0</v>
      </c>
      <c r="G60" s="35">
        <f>ROUND(G59*Labor!$D$7,0)</f>
        <v>0</v>
      </c>
      <c r="H60" s="35">
        <f>ROUND(H59*Labor!$D$8,0)</f>
        <v>0</v>
      </c>
      <c r="I60" s="39">
        <f t="shared" si="9"/>
        <v>0</v>
      </c>
      <c r="J60" s="292">
        <f>HLOOKUP(Labor!$B$11,InflationTable,2)*$I60</f>
        <v>0</v>
      </c>
      <c r="K60" s="355">
        <f>J60*(L$4+L$5)</f>
        <v>0</v>
      </c>
      <c r="L60" s="308">
        <f t="shared" si="10"/>
        <v>0</v>
      </c>
      <c r="M60" s="84">
        <f>HLOOKUP(Labor!$B$11,InflationTable,3)*$I60</f>
        <v>0</v>
      </c>
      <c r="N60" s="357">
        <f>M60*(O$4+O$5)</f>
        <v>0</v>
      </c>
      <c r="O60" s="95">
        <f t="shared" si="11"/>
        <v>0</v>
      </c>
      <c r="P60" s="268">
        <f>HLOOKUP(Labor!$B$11,InflationTable,4)*$I60</f>
        <v>0</v>
      </c>
      <c r="Q60" s="355">
        <f>P60*(R$4+R$5)</f>
        <v>0</v>
      </c>
      <c r="R60" s="308">
        <f t="shared" si="12"/>
        <v>0</v>
      </c>
      <c r="S60" s="128">
        <f t="shared" si="13"/>
        <v>0</v>
      </c>
      <c r="T60" s="149" t="s">
        <v>12</v>
      </c>
      <c r="U60" s="142" t="s">
        <v>12</v>
      </c>
    </row>
    <row r="61" spans="2:21">
      <c r="B61" s="559" t="s">
        <v>115</v>
      </c>
      <c r="C61" s="346">
        <v>0</v>
      </c>
      <c r="D61" s="346">
        <v>0</v>
      </c>
      <c r="E61" s="346">
        <v>5</v>
      </c>
      <c r="F61" s="346">
        <v>10</v>
      </c>
      <c r="G61" s="346">
        <v>0</v>
      </c>
      <c r="H61" s="346">
        <v>0</v>
      </c>
      <c r="I61" s="347">
        <f t="shared" si="9"/>
        <v>15</v>
      </c>
      <c r="J61" s="293" t="s">
        <v>12</v>
      </c>
      <c r="K61" s="281">
        <f>I61*(L$5+L$4)</f>
        <v>1545</v>
      </c>
      <c r="L61" s="328">
        <f t="shared" si="10"/>
        <v>1545</v>
      </c>
      <c r="M61" s="61" t="s">
        <v>12</v>
      </c>
      <c r="N61" s="69">
        <f>I61*(O$5+O$4)</f>
        <v>1545</v>
      </c>
      <c r="O61" s="349">
        <f t="shared" si="11"/>
        <v>1545</v>
      </c>
      <c r="P61" s="293" t="s">
        <v>12</v>
      </c>
      <c r="Q61" s="281">
        <f>$I61*(R$5+R$4)</f>
        <v>1545</v>
      </c>
      <c r="R61" s="328">
        <f t="shared" si="12"/>
        <v>1545</v>
      </c>
      <c r="S61" s="129">
        <f t="shared" si="13"/>
        <v>1545</v>
      </c>
      <c r="T61" s="136" t="s">
        <v>12</v>
      </c>
      <c r="U61" s="147" t="s">
        <v>12</v>
      </c>
    </row>
    <row r="62" spans="2:21" ht="13.5" thickBot="1">
      <c r="B62" s="567" t="s">
        <v>8</v>
      </c>
      <c r="C62" s="34">
        <f>ROUND(C61*Labor!$D$3,0)</f>
        <v>0</v>
      </c>
      <c r="D62" s="35">
        <f>ROUND(D61*Labor!$D$4,0)</f>
        <v>0</v>
      </c>
      <c r="E62" s="35">
        <f>ROUND(E61*Labor!$D$5,0)</f>
        <v>221</v>
      </c>
      <c r="F62" s="35">
        <f>ROUND(F61*Labor!$D$6,0)</f>
        <v>493</v>
      </c>
      <c r="G62" s="35">
        <f>ROUND(G61*Labor!$D$7,0)</f>
        <v>0</v>
      </c>
      <c r="H62" s="35">
        <f>ROUND(H61*Labor!$D$8,0)</f>
        <v>0</v>
      </c>
      <c r="I62" s="39">
        <f t="shared" si="9"/>
        <v>714</v>
      </c>
      <c r="J62" s="292">
        <f>HLOOKUP(Labor!$B$11,InflationTable,2)*$I62</f>
        <v>855.37199999999996</v>
      </c>
      <c r="K62" s="355">
        <f>J62*(L$4+L$5)</f>
        <v>88103.315999999992</v>
      </c>
      <c r="L62" s="308">
        <f t="shared" si="10"/>
        <v>88103.315999999992</v>
      </c>
      <c r="M62" s="84">
        <f>HLOOKUP(Labor!$B$11,InflationTable,3)*$I62</f>
        <v>873.22200000000009</v>
      </c>
      <c r="N62" s="357">
        <f>M62*(O$4+O$5)</f>
        <v>89941.866000000009</v>
      </c>
      <c r="O62" s="95">
        <f t="shared" si="11"/>
        <v>89941.866000000009</v>
      </c>
      <c r="P62" s="268">
        <f>HLOOKUP(Labor!$B$11,InflationTable,4)*$I62</f>
        <v>890.35800000000006</v>
      </c>
      <c r="Q62" s="355">
        <f>P62*(R$4+R$5)</f>
        <v>91706.874000000011</v>
      </c>
      <c r="R62" s="308">
        <f t="shared" si="12"/>
        <v>91706.874000000011</v>
      </c>
      <c r="S62" s="128">
        <f t="shared" si="13"/>
        <v>89917.351999999999</v>
      </c>
      <c r="T62" s="149" t="s">
        <v>12</v>
      </c>
      <c r="U62" s="142" t="s">
        <v>12</v>
      </c>
    </row>
    <row r="63" spans="2:21">
      <c r="B63" s="559" t="s">
        <v>116</v>
      </c>
      <c r="C63" s="346">
        <v>0</v>
      </c>
      <c r="D63" s="346">
        <v>0</v>
      </c>
      <c r="E63" s="346">
        <v>2</v>
      </c>
      <c r="F63" s="346">
        <v>3</v>
      </c>
      <c r="G63" s="346">
        <v>0</v>
      </c>
      <c r="H63" s="346">
        <v>0</v>
      </c>
      <c r="I63" s="347">
        <f t="shared" si="9"/>
        <v>5</v>
      </c>
      <c r="J63" s="293" t="s">
        <v>12</v>
      </c>
      <c r="K63" s="281">
        <f>I63*(L$5+L$4)</f>
        <v>515</v>
      </c>
      <c r="L63" s="328">
        <f t="shared" si="10"/>
        <v>515</v>
      </c>
      <c r="M63" s="61" t="s">
        <v>12</v>
      </c>
      <c r="N63" s="69">
        <f>I63*(O$5+O$4)</f>
        <v>515</v>
      </c>
      <c r="O63" s="349">
        <f t="shared" si="11"/>
        <v>515</v>
      </c>
      <c r="P63" s="293" t="s">
        <v>12</v>
      </c>
      <c r="Q63" s="281">
        <f>$I63*(R$5+R$4)</f>
        <v>515</v>
      </c>
      <c r="R63" s="328">
        <f t="shared" si="12"/>
        <v>515</v>
      </c>
      <c r="S63" s="129">
        <f t="shared" si="13"/>
        <v>515</v>
      </c>
      <c r="T63" s="136" t="s">
        <v>12</v>
      </c>
      <c r="U63" s="147" t="s">
        <v>12</v>
      </c>
    </row>
    <row r="64" spans="2:21" ht="13.5" thickBot="1">
      <c r="B64" s="567" t="s">
        <v>8</v>
      </c>
      <c r="C64" s="34">
        <f>ROUND(C63*Labor!$D$3,0)</f>
        <v>0</v>
      </c>
      <c r="D64" s="35">
        <f>ROUND(D63*Labor!$D$4,0)</f>
        <v>0</v>
      </c>
      <c r="E64" s="35">
        <f>ROUND(E63*Labor!$D$5,0)</f>
        <v>88</v>
      </c>
      <c r="F64" s="35">
        <f>ROUND(F63*Labor!$D$6,0)</f>
        <v>148</v>
      </c>
      <c r="G64" s="35">
        <f>ROUND(G63*Labor!$D$7,0)</f>
        <v>0</v>
      </c>
      <c r="H64" s="35">
        <f>ROUND(H63*Labor!$D$8,0)</f>
        <v>0</v>
      </c>
      <c r="I64" s="39">
        <f t="shared" si="9"/>
        <v>236</v>
      </c>
      <c r="J64" s="292">
        <f>HLOOKUP(Labor!$B$11,InflationTable,2)*$I64</f>
        <v>282.72800000000001</v>
      </c>
      <c r="K64" s="355">
        <f>J64*(L$4+L$5)</f>
        <v>29120.984</v>
      </c>
      <c r="L64" s="300">
        <f t="shared" si="10"/>
        <v>29120.984</v>
      </c>
      <c r="M64" s="84">
        <f>HLOOKUP(Labor!$B$11,InflationTable,3)*$I64</f>
        <v>288.62800000000004</v>
      </c>
      <c r="N64" s="357">
        <f>M64*(O$4+O$5)</f>
        <v>29728.684000000005</v>
      </c>
      <c r="O64" s="98">
        <f t="shared" si="11"/>
        <v>29728.684000000005</v>
      </c>
      <c r="P64" s="268">
        <f>HLOOKUP(Labor!$B$11,InflationTable,4)*$I64</f>
        <v>294.29200000000003</v>
      </c>
      <c r="Q64" s="355">
        <f>P64*(R$4+R$5)</f>
        <v>30312.076000000005</v>
      </c>
      <c r="R64" s="300">
        <f t="shared" si="12"/>
        <v>30312.076000000005</v>
      </c>
      <c r="S64" s="128">
        <f t="shared" si="13"/>
        <v>29720.581333333335</v>
      </c>
      <c r="T64" s="137" t="s">
        <v>12</v>
      </c>
      <c r="U64" s="142" t="s">
        <v>12</v>
      </c>
    </row>
    <row r="65" spans="2:22">
      <c r="B65" s="560" t="s">
        <v>66</v>
      </c>
      <c r="C65" s="36">
        <f t="shared" ref="C65:I66" si="14">C57+C59+C61+C63</f>
        <v>0</v>
      </c>
      <c r="D65" s="36">
        <f t="shared" si="14"/>
        <v>0</v>
      </c>
      <c r="E65" s="36">
        <f t="shared" si="14"/>
        <v>7</v>
      </c>
      <c r="F65" s="36">
        <f t="shared" si="14"/>
        <v>13</v>
      </c>
      <c r="G65" s="36">
        <f t="shared" si="14"/>
        <v>0</v>
      </c>
      <c r="H65" s="36">
        <f t="shared" si="14"/>
        <v>0</v>
      </c>
      <c r="I65" s="46">
        <f t="shared" si="14"/>
        <v>20</v>
      </c>
      <c r="J65" s="301" t="s">
        <v>12</v>
      </c>
      <c r="K65" s="285">
        <f>K57+K59+K61+K63</f>
        <v>2060</v>
      </c>
      <c r="L65" s="312">
        <f>L57+L59+L61+L63</f>
        <v>2060</v>
      </c>
      <c r="M65" s="85" t="s">
        <v>12</v>
      </c>
      <c r="N65" s="33">
        <f>N57+N59+N61+N63</f>
        <v>2060</v>
      </c>
      <c r="O65" s="99">
        <f>O57+O59+O61+O63</f>
        <v>2060</v>
      </c>
      <c r="P65" s="301" t="s">
        <v>12</v>
      </c>
      <c r="Q65" s="285">
        <f>Q57+Q59+Q61+Q63</f>
        <v>2060</v>
      </c>
      <c r="R65" s="312">
        <f>R57+R59+R61+R63</f>
        <v>2060</v>
      </c>
      <c r="S65" s="129">
        <f t="shared" si="13"/>
        <v>2060</v>
      </c>
      <c r="T65" s="136" t="s">
        <v>12</v>
      </c>
      <c r="U65" s="147" t="s">
        <v>12</v>
      </c>
    </row>
    <row r="66" spans="2:22" ht="13.5" thickBot="1">
      <c r="B66" s="561" t="s">
        <v>67</v>
      </c>
      <c r="C66" s="240">
        <f t="shared" si="14"/>
        <v>0</v>
      </c>
      <c r="D66" s="240">
        <f t="shared" si="14"/>
        <v>0</v>
      </c>
      <c r="E66" s="240">
        <f t="shared" si="14"/>
        <v>309</v>
      </c>
      <c r="F66" s="240">
        <f t="shared" si="14"/>
        <v>641</v>
      </c>
      <c r="G66" s="240">
        <f t="shared" si="14"/>
        <v>0</v>
      </c>
      <c r="H66" s="240">
        <f t="shared" si="14"/>
        <v>0</v>
      </c>
      <c r="I66" s="243">
        <f t="shared" si="14"/>
        <v>950</v>
      </c>
      <c r="J66" s="313">
        <f>J58+J60+J62+J64</f>
        <v>1138.0999999999999</v>
      </c>
      <c r="K66" s="275">
        <f>K58+K60+K62+K64</f>
        <v>117224.29999999999</v>
      </c>
      <c r="L66" s="276">
        <f>L58+L60+L62+L64</f>
        <v>117224.29999999999</v>
      </c>
      <c r="M66" s="242">
        <f>M58+M60+M62+M64</f>
        <v>1161.8500000000001</v>
      </c>
      <c r="N66" s="240">
        <f>N58+N60+N62+N64</f>
        <v>119670.55000000002</v>
      </c>
      <c r="O66" s="243">
        <f>O58+O60+O62+O64</f>
        <v>119670.55000000002</v>
      </c>
      <c r="P66" s="313">
        <f>P58+P60+P62+P64</f>
        <v>1184.6500000000001</v>
      </c>
      <c r="Q66" s="275">
        <f>Q58+Q60+Q62+Q64</f>
        <v>122018.95000000001</v>
      </c>
      <c r="R66" s="276">
        <f>R58+R60+R62+R64</f>
        <v>122018.95000000001</v>
      </c>
      <c r="S66" s="255">
        <f t="shared" si="13"/>
        <v>119637.93333333335</v>
      </c>
      <c r="T66" s="249" t="s">
        <v>12</v>
      </c>
      <c r="U66" s="224" t="s">
        <v>12</v>
      </c>
    </row>
    <row r="67" spans="2:22" ht="13.5" thickTop="1">
      <c r="B67" s="624"/>
      <c r="C67" s="621"/>
      <c r="D67" s="621"/>
      <c r="E67" s="621"/>
      <c r="F67" s="621"/>
      <c r="G67" s="621"/>
      <c r="H67" s="621"/>
      <c r="I67" s="622"/>
      <c r="J67" s="622"/>
      <c r="K67" s="622"/>
      <c r="L67" s="622"/>
      <c r="M67" s="622"/>
      <c r="N67" s="622"/>
      <c r="O67" s="622"/>
      <c r="P67" s="622"/>
      <c r="Q67" s="622"/>
      <c r="R67" s="622"/>
      <c r="S67" s="625"/>
      <c r="T67" s="626"/>
      <c r="U67" s="627"/>
      <c r="V67" s="5"/>
    </row>
    <row r="68" spans="2:22" ht="13.5" thickBot="1">
      <c r="B68" s="410"/>
      <c r="C68" s="410"/>
      <c r="D68" s="410"/>
      <c r="E68" s="410"/>
      <c r="F68" s="410"/>
      <c r="G68" s="410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5"/>
    </row>
    <row r="69" spans="2:22" ht="27.75" thickTop="1" thickBot="1">
      <c r="B69" s="564" t="s">
        <v>149</v>
      </c>
      <c r="C69" s="5"/>
      <c r="D69" s="5"/>
      <c r="E69" s="5"/>
      <c r="F69" s="112" t="s">
        <v>6</v>
      </c>
      <c r="G69" s="1412"/>
      <c r="H69" s="1413"/>
      <c r="I69" s="1414"/>
      <c r="J69" s="181" t="s">
        <v>28</v>
      </c>
      <c r="K69" s="426"/>
      <c r="L69" s="67"/>
      <c r="M69" s="181" t="s">
        <v>28</v>
      </c>
      <c r="N69" s="426"/>
      <c r="O69" s="67"/>
      <c r="P69" s="181" t="s">
        <v>28</v>
      </c>
      <c r="Q69" s="426"/>
      <c r="R69" s="67"/>
      <c r="S69" s="546" t="s">
        <v>17</v>
      </c>
      <c r="T69" s="547" t="s">
        <v>103</v>
      </c>
      <c r="U69" s="628" t="s">
        <v>79</v>
      </c>
    </row>
    <row r="70" spans="2:22">
      <c r="B70" s="555"/>
      <c r="C70" s="5"/>
      <c r="D70" s="5"/>
      <c r="E70" s="5"/>
      <c r="F70" s="7"/>
      <c r="G70" s="5"/>
      <c r="H70" s="5"/>
      <c r="I70" s="45" t="s">
        <v>61</v>
      </c>
      <c r="J70" s="277" t="s">
        <v>61</v>
      </c>
      <c r="K70" s="1419" t="s">
        <v>57</v>
      </c>
      <c r="L70" s="1420"/>
      <c r="M70" s="57" t="s">
        <v>61</v>
      </c>
      <c r="N70" s="1429" t="s">
        <v>57</v>
      </c>
      <c r="O70" s="1433"/>
      <c r="P70" s="318" t="s">
        <v>61</v>
      </c>
      <c r="Q70" s="1419" t="s">
        <v>57</v>
      </c>
      <c r="R70" s="1420"/>
      <c r="S70" s="170"/>
      <c r="T70" s="133"/>
      <c r="U70" s="37"/>
    </row>
    <row r="71" spans="2:22">
      <c r="B71" s="557"/>
      <c r="C71" s="23" t="s">
        <v>45</v>
      </c>
      <c r="D71" s="24" t="s">
        <v>46</v>
      </c>
      <c r="E71" s="23" t="s">
        <v>47</v>
      </c>
      <c r="F71" s="23" t="s">
        <v>48</v>
      </c>
      <c r="G71" s="23" t="s">
        <v>49</v>
      </c>
      <c r="H71" s="23" t="s">
        <v>50</v>
      </c>
      <c r="I71" s="45" t="s">
        <v>13</v>
      </c>
      <c r="J71" s="260" t="s">
        <v>56</v>
      </c>
      <c r="K71" s="261" t="s">
        <v>13</v>
      </c>
      <c r="L71" s="262" t="s">
        <v>68</v>
      </c>
      <c r="M71" s="77" t="s">
        <v>56</v>
      </c>
      <c r="N71" s="24" t="s">
        <v>13</v>
      </c>
      <c r="O71" s="38" t="s">
        <v>68</v>
      </c>
      <c r="P71" s="260" t="s">
        <v>56</v>
      </c>
      <c r="Q71" s="261" t="s">
        <v>13</v>
      </c>
      <c r="R71" s="262" t="s">
        <v>68</v>
      </c>
      <c r="S71" s="120"/>
      <c r="T71" s="133"/>
      <c r="U71" s="37"/>
    </row>
    <row r="72" spans="2:22">
      <c r="B72" s="557" t="s">
        <v>111</v>
      </c>
      <c r="C72" s="21">
        <v>0</v>
      </c>
      <c r="D72" s="21">
        <v>0</v>
      </c>
      <c r="E72" s="21">
        <v>36</v>
      </c>
      <c r="F72" s="21">
        <v>36</v>
      </c>
      <c r="G72" s="21">
        <v>0</v>
      </c>
      <c r="H72" s="21">
        <v>0</v>
      </c>
      <c r="I72" s="52">
        <f>SUM(C72:H72)</f>
        <v>72</v>
      </c>
      <c r="J72" s="263" t="s">
        <v>12</v>
      </c>
      <c r="K72" s="281">
        <f>I72*$L$4</f>
        <v>7416</v>
      </c>
      <c r="L72" s="289">
        <f>K72</f>
        <v>7416</v>
      </c>
      <c r="M72" s="58" t="s">
        <v>12</v>
      </c>
      <c r="N72" s="69">
        <f>$I$72*$O$4</f>
        <v>7416</v>
      </c>
      <c r="O72" s="68">
        <f>N72</f>
        <v>7416</v>
      </c>
      <c r="P72" s="263" t="s">
        <v>12</v>
      </c>
      <c r="Q72" s="281">
        <f>$I$72*$O$4</f>
        <v>7416</v>
      </c>
      <c r="R72" s="289">
        <f>Q72</f>
        <v>7416</v>
      </c>
      <c r="S72" s="121">
        <f>AVERAGE(L72,O72,R72)</f>
        <v>7416</v>
      </c>
      <c r="T72" s="135" t="s">
        <v>12</v>
      </c>
      <c r="U72" s="136" t="s">
        <v>12</v>
      </c>
    </row>
    <row r="73" spans="2:22" ht="13.5" thickBot="1">
      <c r="B73" s="568" t="s">
        <v>8</v>
      </c>
      <c r="C73" s="34">
        <f>ROUND(C72*Labor!$D$3,0)</f>
        <v>0</v>
      </c>
      <c r="D73" s="35">
        <f>ROUND(D72*Labor!$D$4,0)</f>
        <v>0</v>
      </c>
      <c r="E73" s="35">
        <f>ROUND(E72*Labor!$D$5,0)</f>
        <v>1588</v>
      </c>
      <c r="F73" s="35">
        <f>ROUND(F72*Labor!$D$6,0)</f>
        <v>1773</v>
      </c>
      <c r="G73" s="35">
        <f>ROUND(G72*Labor!$D$7,0)</f>
        <v>0</v>
      </c>
      <c r="H73" s="35">
        <f>ROUND(H72*Labor!$D$8,0)</f>
        <v>0</v>
      </c>
      <c r="I73" s="39">
        <f>SUM(C73:H73)</f>
        <v>3361</v>
      </c>
      <c r="J73" s="268">
        <f>HLOOKUP(Labor!$B$11,InflationTable,2)*I73</f>
        <v>4026.4780000000001</v>
      </c>
      <c r="K73" s="269">
        <f>J73*$L$4</f>
        <v>414727.234</v>
      </c>
      <c r="L73" s="308">
        <f>K73</f>
        <v>414727.234</v>
      </c>
      <c r="M73" s="362">
        <f>HLOOKUP(Labor!$B$11,InflationTable,3)*$I$73</f>
        <v>4110.5030000000006</v>
      </c>
      <c r="N73" s="63">
        <f>M73*$O$4</f>
        <v>423381.80900000007</v>
      </c>
      <c r="O73" s="95">
        <f>N73</f>
        <v>423381.80900000007</v>
      </c>
      <c r="P73" s="268">
        <f>HLOOKUP(Labor!$B$11,InflationTable,4)*$I73</f>
        <v>4191.1670000000004</v>
      </c>
      <c r="Q73" s="269">
        <f>P73*$R$4</f>
        <v>431690.20100000006</v>
      </c>
      <c r="R73" s="308">
        <f>Q73</f>
        <v>431690.20100000006</v>
      </c>
      <c r="S73" s="128">
        <f>AVERAGE(L73,O73,R73)</f>
        <v>423266.41466666671</v>
      </c>
      <c r="T73" s="137" t="s">
        <v>12</v>
      </c>
      <c r="U73" s="149" t="s">
        <v>12</v>
      </c>
    </row>
    <row r="74" spans="2:22">
      <c r="B74" s="559" t="s">
        <v>110</v>
      </c>
      <c r="C74" s="346">
        <v>0</v>
      </c>
      <c r="D74" s="346">
        <v>24</v>
      </c>
      <c r="E74" s="346">
        <v>24</v>
      </c>
      <c r="F74" s="346">
        <v>0</v>
      </c>
      <c r="G74" s="346">
        <v>0</v>
      </c>
      <c r="H74" s="346">
        <v>0</v>
      </c>
      <c r="I74" s="347">
        <f>SUM(C74:H74)</f>
        <v>48</v>
      </c>
      <c r="J74" s="293" t="s">
        <v>12</v>
      </c>
      <c r="K74" s="327">
        <f>I74*$L$4</f>
        <v>4944</v>
      </c>
      <c r="L74" s="328">
        <f>K74</f>
        <v>4944</v>
      </c>
      <c r="M74" s="61" t="s">
        <v>12</v>
      </c>
      <c r="N74" s="348">
        <f>$I$74*$O$4</f>
        <v>4944</v>
      </c>
      <c r="O74" s="349">
        <f>N74</f>
        <v>4944</v>
      </c>
      <c r="P74" s="293" t="s">
        <v>12</v>
      </c>
      <c r="Q74" s="327">
        <f>$I$74*$O$4</f>
        <v>4944</v>
      </c>
      <c r="R74" s="328">
        <f>Q74</f>
        <v>4944</v>
      </c>
      <c r="S74" s="129">
        <f>AVERAGE(L74,O74,R74)</f>
        <v>4944</v>
      </c>
      <c r="T74" s="135" t="s">
        <v>12</v>
      </c>
      <c r="U74" s="136" t="s">
        <v>12</v>
      </c>
    </row>
    <row r="75" spans="2:22" ht="13.5" thickBot="1">
      <c r="B75" s="568" t="s">
        <v>8</v>
      </c>
      <c r="C75" s="34">
        <f>ROUND(C74*Labor!$D$3,0)</f>
        <v>0</v>
      </c>
      <c r="D75" s="35">
        <f>ROUND(D74*Labor!$D$4,0)</f>
        <v>981</v>
      </c>
      <c r="E75" s="35">
        <f>ROUND(E74*Labor!$D$5,0)</f>
        <v>1059</v>
      </c>
      <c r="F75" s="35">
        <f>ROUND(F74*Labor!$D$6,0)</f>
        <v>0</v>
      </c>
      <c r="G75" s="35">
        <f>ROUND(G74*Labor!$D$7,0)</f>
        <v>0</v>
      </c>
      <c r="H75" s="35">
        <f>ROUND(H74*Labor!$D$8,0)</f>
        <v>0</v>
      </c>
      <c r="I75" s="39">
        <f>SUM(C75:H75)</f>
        <v>2040</v>
      </c>
      <c r="J75" s="268">
        <f>HLOOKUP(Labor!$B$11,InflationTable,2)*I75</f>
        <v>2443.92</v>
      </c>
      <c r="K75" s="269">
        <f>J75*$L$4</f>
        <v>251723.76</v>
      </c>
      <c r="L75" s="308">
        <f>K75</f>
        <v>251723.76</v>
      </c>
      <c r="M75" s="362">
        <f>HLOOKUP(Labor!$B$11,InflationTable,3)*$I$75</f>
        <v>2494.92</v>
      </c>
      <c r="N75" s="63">
        <f>M75*$O$4</f>
        <v>256976.76</v>
      </c>
      <c r="O75" s="95">
        <f>N75</f>
        <v>256976.76</v>
      </c>
      <c r="P75" s="268">
        <f>HLOOKUP(Labor!$B$11,InflationTable,4)*$I75</f>
        <v>2543.88</v>
      </c>
      <c r="Q75" s="269">
        <f>P75*$R$4</f>
        <v>262019.64</v>
      </c>
      <c r="R75" s="308">
        <f>Q75</f>
        <v>262019.64</v>
      </c>
      <c r="S75" s="128">
        <f>AVERAGE(L75,O75,R75)</f>
        <v>256906.72</v>
      </c>
      <c r="T75" s="137" t="s">
        <v>12</v>
      </c>
      <c r="U75" s="149" t="s">
        <v>12</v>
      </c>
    </row>
    <row r="76" spans="2:22">
      <c r="B76" s="559" t="s">
        <v>20</v>
      </c>
      <c r="C76" s="107" t="s">
        <v>45</v>
      </c>
      <c r="D76" s="108" t="s">
        <v>46</v>
      </c>
      <c r="E76" s="107" t="s">
        <v>47</v>
      </c>
      <c r="F76" s="107" t="s">
        <v>48</v>
      </c>
      <c r="G76" s="107" t="s">
        <v>49</v>
      </c>
      <c r="H76" s="107" t="s">
        <v>50</v>
      </c>
      <c r="I76" s="109" t="s">
        <v>13</v>
      </c>
      <c r="J76" s="351"/>
      <c r="K76" s="352"/>
      <c r="L76" s="356"/>
      <c r="M76" s="110" t="s">
        <v>56</v>
      </c>
      <c r="N76" s="108" t="s">
        <v>13</v>
      </c>
      <c r="O76" s="111" t="s">
        <v>68</v>
      </c>
      <c r="P76" s="351" t="s">
        <v>56</v>
      </c>
      <c r="Q76" s="352" t="s">
        <v>13</v>
      </c>
      <c r="R76" s="356" t="s">
        <v>68</v>
      </c>
      <c r="S76" s="123"/>
      <c r="T76" s="133"/>
      <c r="U76" s="37"/>
    </row>
    <row r="77" spans="2:22">
      <c r="B77" s="558" t="s">
        <v>4</v>
      </c>
      <c r="C77" s="21">
        <v>0</v>
      </c>
      <c r="D77" s="21">
        <v>0</v>
      </c>
      <c r="E77" s="21">
        <v>0</v>
      </c>
      <c r="F77" s="21">
        <v>2</v>
      </c>
      <c r="G77" s="21">
        <v>2</v>
      </c>
      <c r="H77" s="21">
        <v>0</v>
      </c>
      <c r="I77" s="52">
        <f t="shared" ref="I77:I82" si="15">SUM(C77:H77)</f>
        <v>4</v>
      </c>
      <c r="J77" s="263" t="s">
        <v>12</v>
      </c>
      <c r="K77" s="281">
        <f>I77*$L$4</f>
        <v>412</v>
      </c>
      <c r="L77" s="289">
        <f t="shared" ref="L77:L82" si="16">K77</f>
        <v>412</v>
      </c>
      <c r="M77" s="58" t="s">
        <v>12</v>
      </c>
      <c r="N77" s="69">
        <f>$I77*$O$4</f>
        <v>412</v>
      </c>
      <c r="O77" s="68">
        <f t="shared" ref="O77:O82" si="17">N77</f>
        <v>412</v>
      </c>
      <c r="P77" s="263" t="s">
        <v>12</v>
      </c>
      <c r="Q77" s="281">
        <f>$I77*$O$4</f>
        <v>412</v>
      </c>
      <c r="R77" s="289">
        <f t="shared" ref="R77:R82" si="18">Q77</f>
        <v>412</v>
      </c>
      <c r="S77" s="121">
        <f t="shared" ref="S77:S82" si="19">AVERAGE(L77,O77,R77)</f>
        <v>412</v>
      </c>
      <c r="T77" s="135" t="s">
        <v>12</v>
      </c>
      <c r="U77" s="136" t="s">
        <v>12</v>
      </c>
    </row>
    <row r="78" spans="2:22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99</v>
      </c>
      <c r="G78" s="35">
        <f>ROUND(G77*Labor!$D$7,0)</f>
        <v>111</v>
      </c>
      <c r="H78" s="35">
        <f>ROUND(H77*Labor!$D$8,0)</f>
        <v>0</v>
      </c>
      <c r="I78" s="39">
        <f t="shared" si="15"/>
        <v>210</v>
      </c>
      <c r="J78" s="268">
        <f>HLOOKUP(Labor!$B$11,InflationTable,2)*I78</f>
        <v>251.57999999999998</v>
      </c>
      <c r="K78" s="269">
        <f>J78*$L$4</f>
        <v>25912.739999999998</v>
      </c>
      <c r="L78" s="308">
        <f t="shared" si="16"/>
        <v>25912.739999999998</v>
      </c>
      <c r="M78" s="362">
        <f>HLOOKUP(Labor!$B$11,InflationTable,3)*$I78</f>
        <v>256.83000000000004</v>
      </c>
      <c r="N78" s="63">
        <f>M78*$O$4</f>
        <v>26453.490000000005</v>
      </c>
      <c r="O78" s="95">
        <f t="shared" si="17"/>
        <v>26453.490000000005</v>
      </c>
      <c r="P78" s="268">
        <f>HLOOKUP(Labor!$B$11,InflationTable,4)*$I78</f>
        <v>261.87</v>
      </c>
      <c r="Q78" s="269">
        <f>P78*$R$4</f>
        <v>26972.61</v>
      </c>
      <c r="R78" s="308">
        <f t="shared" si="18"/>
        <v>26972.61</v>
      </c>
      <c r="S78" s="128">
        <f t="shared" si="19"/>
        <v>26446.28</v>
      </c>
      <c r="T78" s="137" t="s">
        <v>12</v>
      </c>
      <c r="U78" s="149" t="s">
        <v>12</v>
      </c>
    </row>
    <row r="79" spans="2:22">
      <c r="B79" s="559" t="s">
        <v>109</v>
      </c>
      <c r="C79" s="346">
        <v>0</v>
      </c>
      <c r="D79" s="346">
        <v>1</v>
      </c>
      <c r="E79" s="346">
        <v>1</v>
      </c>
      <c r="F79" s="346">
        <v>2</v>
      </c>
      <c r="G79" s="346">
        <v>1</v>
      </c>
      <c r="H79" s="346">
        <v>0</v>
      </c>
      <c r="I79" s="347">
        <f t="shared" si="15"/>
        <v>5</v>
      </c>
      <c r="J79" s="293" t="s">
        <v>12</v>
      </c>
      <c r="K79" s="327">
        <f>I79*$L$4</f>
        <v>515</v>
      </c>
      <c r="L79" s="328">
        <f t="shared" si="16"/>
        <v>515</v>
      </c>
      <c r="M79" s="61" t="s">
        <v>12</v>
      </c>
      <c r="N79" s="348">
        <f>$I79*$O$4</f>
        <v>515</v>
      </c>
      <c r="O79" s="349">
        <f t="shared" si="17"/>
        <v>515</v>
      </c>
      <c r="P79" s="293" t="s">
        <v>12</v>
      </c>
      <c r="Q79" s="327">
        <f>$I79*$O$4</f>
        <v>515</v>
      </c>
      <c r="R79" s="328">
        <f t="shared" si="18"/>
        <v>515</v>
      </c>
      <c r="S79" s="129">
        <f t="shared" si="19"/>
        <v>515</v>
      </c>
      <c r="T79" s="135" t="s">
        <v>12</v>
      </c>
      <c r="U79" s="136" t="s">
        <v>12</v>
      </c>
    </row>
    <row r="80" spans="2:22" ht="13.5" thickBot="1">
      <c r="B80" s="568" t="s">
        <v>8</v>
      </c>
      <c r="C80" s="34">
        <f>ROUND(C79*Labor!$D$3,0)</f>
        <v>0</v>
      </c>
      <c r="D80" s="35">
        <f>ROUND(D79*Labor!$D$4,0)</f>
        <v>41</v>
      </c>
      <c r="E80" s="35">
        <f>ROUND(E79*Labor!$D$5,0)</f>
        <v>44</v>
      </c>
      <c r="F80" s="35">
        <f>ROUND(F79*Labor!$D$6,0)</f>
        <v>99</v>
      </c>
      <c r="G80" s="35">
        <f>ROUND(G79*Labor!$D$7,0)</f>
        <v>55</v>
      </c>
      <c r="H80" s="35">
        <f>ROUND(H79*Labor!$D$8,0)</f>
        <v>0</v>
      </c>
      <c r="I80" s="39">
        <f t="shared" si="15"/>
        <v>239</v>
      </c>
      <c r="J80" s="268">
        <f>HLOOKUP(Labor!$B$11,InflationTable,2)*I80</f>
        <v>286.322</v>
      </c>
      <c r="K80" s="269">
        <f>J80*$L$4</f>
        <v>29491.166000000001</v>
      </c>
      <c r="L80" s="308">
        <f t="shared" si="16"/>
        <v>29491.166000000001</v>
      </c>
      <c r="M80" s="362">
        <f>HLOOKUP(Labor!$B$11,InflationTable,3)*$I80</f>
        <v>292.29700000000003</v>
      </c>
      <c r="N80" s="63">
        <f>M80*$O$4</f>
        <v>30106.591000000004</v>
      </c>
      <c r="O80" s="95">
        <f t="shared" si="17"/>
        <v>30106.591000000004</v>
      </c>
      <c r="P80" s="268">
        <f>HLOOKUP(Labor!$B$11,InflationTable,4)*$I80</f>
        <v>298.03300000000002</v>
      </c>
      <c r="Q80" s="269">
        <f>P80*$R$4</f>
        <v>30697.399000000001</v>
      </c>
      <c r="R80" s="308">
        <f t="shared" si="18"/>
        <v>30697.399000000001</v>
      </c>
      <c r="S80" s="172">
        <f t="shared" si="19"/>
        <v>30098.385333333335</v>
      </c>
      <c r="T80" s="118" t="s">
        <v>12</v>
      </c>
      <c r="U80" s="119" t="s">
        <v>12</v>
      </c>
    </row>
    <row r="81" spans="2:21">
      <c r="B81" s="559" t="s">
        <v>108</v>
      </c>
      <c r="C81" s="346">
        <v>0</v>
      </c>
      <c r="D81" s="346">
        <v>0</v>
      </c>
      <c r="E81" s="346">
        <v>3</v>
      </c>
      <c r="F81" s="346">
        <v>3</v>
      </c>
      <c r="G81" s="346">
        <v>0</v>
      </c>
      <c r="H81" s="346">
        <v>0</v>
      </c>
      <c r="I81" s="347">
        <f t="shared" si="15"/>
        <v>6</v>
      </c>
      <c r="J81" s="293" t="s">
        <v>12</v>
      </c>
      <c r="K81" s="327">
        <f>I81*$L$4</f>
        <v>618</v>
      </c>
      <c r="L81" s="328">
        <f t="shared" si="16"/>
        <v>618</v>
      </c>
      <c r="M81" s="61" t="s">
        <v>12</v>
      </c>
      <c r="N81" s="348">
        <f>$I81*$O$4</f>
        <v>618</v>
      </c>
      <c r="O81" s="349">
        <f t="shared" si="17"/>
        <v>618</v>
      </c>
      <c r="P81" s="293" t="s">
        <v>12</v>
      </c>
      <c r="Q81" s="327">
        <f>$I81*$O$4</f>
        <v>618</v>
      </c>
      <c r="R81" s="328">
        <f t="shared" si="18"/>
        <v>618</v>
      </c>
      <c r="S81" s="121">
        <f t="shared" si="19"/>
        <v>618</v>
      </c>
      <c r="T81" s="135" t="s">
        <v>12</v>
      </c>
      <c r="U81" s="136" t="s">
        <v>12</v>
      </c>
    </row>
    <row r="82" spans="2:21" ht="13.5" thickBot="1">
      <c r="B82" s="568" t="s">
        <v>8</v>
      </c>
      <c r="C82" s="34">
        <f>ROUND(C81*Labor!$D$3,0)</f>
        <v>0</v>
      </c>
      <c r="D82" s="35">
        <f>ROUND(D81*Labor!$D$4,0)</f>
        <v>0</v>
      </c>
      <c r="E82" s="35">
        <f>ROUND(E81*Labor!$D$5,0)</f>
        <v>132</v>
      </c>
      <c r="F82" s="35">
        <f>ROUND(F81*Labor!$D$6,0)</f>
        <v>148</v>
      </c>
      <c r="G82" s="35">
        <f>ROUND(G81*Labor!$D$7,0)</f>
        <v>0</v>
      </c>
      <c r="H82" s="35">
        <f>ROUND(H81*Labor!$D$8,0)</f>
        <v>0</v>
      </c>
      <c r="I82" s="39">
        <f t="shared" si="15"/>
        <v>280</v>
      </c>
      <c r="J82" s="268">
        <f>HLOOKUP(Labor!$B$11,InflationTable,2)*I82</f>
        <v>335.44</v>
      </c>
      <c r="K82" s="269">
        <f>J82*$L$4</f>
        <v>34550.32</v>
      </c>
      <c r="L82" s="308">
        <f t="shared" si="16"/>
        <v>34550.32</v>
      </c>
      <c r="M82" s="362">
        <f>HLOOKUP(Labor!$B$11,InflationTable,3)*$I82</f>
        <v>342.44</v>
      </c>
      <c r="N82" s="63">
        <f>M82*$O$4</f>
        <v>35271.32</v>
      </c>
      <c r="O82" s="95">
        <f t="shared" si="17"/>
        <v>35271.32</v>
      </c>
      <c r="P82" s="268">
        <f>HLOOKUP(Labor!$B$11,InflationTable,4)*$I82</f>
        <v>349.16</v>
      </c>
      <c r="Q82" s="269">
        <f>P82*$R$4</f>
        <v>35963.480000000003</v>
      </c>
      <c r="R82" s="308">
        <f t="shared" si="18"/>
        <v>35963.480000000003</v>
      </c>
      <c r="S82" s="128">
        <f t="shared" si="19"/>
        <v>35261.706666666665</v>
      </c>
      <c r="T82" s="137" t="s">
        <v>12</v>
      </c>
      <c r="U82" s="149" t="s">
        <v>12</v>
      </c>
    </row>
    <row r="83" spans="2:21">
      <c r="B83" s="565" t="s">
        <v>29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109" t="s">
        <v>112</v>
      </c>
      <c r="J83" s="351"/>
      <c r="K83" s="352"/>
      <c r="L83" s="356"/>
      <c r="M83" s="110" t="s">
        <v>113</v>
      </c>
      <c r="N83" s="108" t="s">
        <v>13</v>
      </c>
      <c r="O83" s="111" t="s">
        <v>68</v>
      </c>
      <c r="P83" s="351" t="s">
        <v>113</v>
      </c>
      <c r="Q83" s="352" t="s">
        <v>13</v>
      </c>
      <c r="R83" s="356" t="s">
        <v>68</v>
      </c>
      <c r="S83" s="123"/>
      <c r="T83" s="133"/>
      <c r="U83" s="37"/>
    </row>
    <row r="84" spans="2:21">
      <c r="B84" s="569" t="s">
        <v>51</v>
      </c>
      <c r="C84" s="21">
        <v>0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52">
        <f>SUM(C84:H84)</f>
        <v>0</v>
      </c>
      <c r="J84" s="263" t="s">
        <v>12</v>
      </c>
      <c r="K84" s="314">
        <f>I84*$J$6</f>
        <v>0</v>
      </c>
      <c r="L84" s="289">
        <f>K84</f>
        <v>0</v>
      </c>
      <c r="M84" s="58" t="s">
        <v>12</v>
      </c>
      <c r="N84" s="89">
        <f>$I84*M$6</f>
        <v>0</v>
      </c>
      <c r="O84" s="68">
        <f>N84</f>
        <v>0</v>
      </c>
      <c r="P84" s="263" t="s">
        <v>12</v>
      </c>
      <c r="Q84" s="314">
        <f>$I84*P$6</f>
        <v>0</v>
      </c>
      <c r="R84" s="289">
        <f>Q84</f>
        <v>0</v>
      </c>
      <c r="S84" s="121">
        <f>AVERAGE(L84,O84,R84)</f>
        <v>0</v>
      </c>
      <c r="T84" s="135" t="s">
        <v>12</v>
      </c>
      <c r="U84" s="136" t="s">
        <v>12</v>
      </c>
    </row>
    <row r="85" spans="2:21" ht="13.5" thickBot="1">
      <c r="B85" s="567" t="s">
        <v>107</v>
      </c>
      <c r="C85" s="34">
        <f>ROUND(C84*Labor!$D$3,0)</f>
        <v>0</v>
      </c>
      <c r="D85" s="35">
        <f>ROUND(D84*Labor!$D$4,0)</f>
        <v>0</v>
      </c>
      <c r="E85" s="35">
        <f>ROUND(E84*Labor!$D$5,0)</f>
        <v>0</v>
      </c>
      <c r="F85" s="35">
        <f>ROUND(F84*Labor!$D$6,0)</f>
        <v>0</v>
      </c>
      <c r="G85" s="35">
        <f>ROUND(G84*Labor!$D$7,0)</f>
        <v>0</v>
      </c>
      <c r="H85" s="35">
        <f>ROUND(H84*Labor!$D$8,0)</f>
        <v>0</v>
      </c>
      <c r="I85" s="39">
        <f>SUM(C85:H85)</f>
        <v>0</v>
      </c>
      <c r="J85" s="268">
        <f>HLOOKUP(Labor!$B$11,InflationTable,2)*I85</f>
        <v>0</v>
      </c>
      <c r="K85" s="269">
        <f>J85*$J$6</f>
        <v>0</v>
      </c>
      <c r="L85" s="308">
        <f>K85</f>
        <v>0</v>
      </c>
      <c r="M85" s="362">
        <f>HLOOKUP(Labor!$B$11,InflationTable,3)*$I85</f>
        <v>0</v>
      </c>
      <c r="N85" s="63">
        <f>M85*$M$6</f>
        <v>0</v>
      </c>
      <c r="O85" s="95">
        <f>N85</f>
        <v>0</v>
      </c>
      <c r="P85" s="268">
        <f>HLOOKUP(Labor!$B$11,InflationTable,4)*$I85</f>
        <v>0</v>
      </c>
      <c r="Q85" s="269">
        <f>P85*$P$6</f>
        <v>0</v>
      </c>
      <c r="R85" s="308">
        <f>Q85</f>
        <v>0</v>
      </c>
      <c r="S85" s="132">
        <f>AVERAGE(L85,O85,R85)</f>
        <v>0</v>
      </c>
      <c r="T85" s="137" t="s">
        <v>12</v>
      </c>
      <c r="U85" s="149" t="s">
        <v>12</v>
      </c>
    </row>
    <row r="86" spans="2:21">
      <c r="B86" s="565" t="s">
        <v>106</v>
      </c>
      <c r="C86" s="32"/>
      <c r="D86" s="431" t="s">
        <v>54</v>
      </c>
      <c r="E86" s="28">
        <v>5</v>
      </c>
      <c r="F86" s="7"/>
      <c r="G86" s="5"/>
      <c r="H86" s="5"/>
      <c r="I86" s="109" t="s">
        <v>55</v>
      </c>
      <c r="J86" s="259"/>
      <c r="K86" s="542"/>
      <c r="L86" s="543"/>
      <c r="M86" s="364" t="s">
        <v>55</v>
      </c>
      <c r="N86" s="1431" t="s">
        <v>57</v>
      </c>
      <c r="O86" s="1432"/>
      <c r="P86" s="259" t="s">
        <v>55</v>
      </c>
      <c r="Q86" s="1428" t="s">
        <v>57</v>
      </c>
      <c r="R86" s="1436"/>
      <c r="S86" s="170"/>
      <c r="T86" s="133"/>
      <c r="U86" s="37"/>
    </row>
    <row r="87" spans="2:21">
      <c r="B87" s="569" t="s">
        <v>51</v>
      </c>
      <c r="C87" s="21">
        <v>0</v>
      </c>
      <c r="D87" s="21">
        <v>0</v>
      </c>
      <c r="E87" s="21">
        <v>5</v>
      </c>
      <c r="F87" s="21">
        <v>5</v>
      </c>
      <c r="G87" s="21">
        <v>5</v>
      </c>
      <c r="H87" s="21">
        <v>0</v>
      </c>
      <c r="I87" s="52">
        <f>SUM(C87:H87)</f>
        <v>15</v>
      </c>
      <c r="J87" s="263" t="s">
        <v>12</v>
      </c>
      <c r="K87" s="283">
        <f>I87*$J$6</f>
        <v>300</v>
      </c>
      <c r="L87" s="282">
        <f>K87/$E$86</f>
        <v>60</v>
      </c>
      <c r="M87" s="58" t="s">
        <v>12</v>
      </c>
      <c r="N87" s="60">
        <f>$I$87*$M$6</f>
        <v>300</v>
      </c>
      <c r="O87" s="59">
        <f>N87/$E$86</f>
        <v>60</v>
      </c>
      <c r="P87" s="263" t="s">
        <v>12</v>
      </c>
      <c r="Q87" s="283">
        <f>$I$87*$P$6</f>
        <v>300</v>
      </c>
      <c r="R87" s="282">
        <f>Q87/$E$86</f>
        <v>60</v>
      </c>
      <c r="S87" s="121">
        <f>AVERAGE(L87,O87,R87)</f>
        <v>60</v>
      </c>
      <c r="T87" s="135" t="s">
        <v>12</v>
      </c>
      <c r="U87" s="136" t="s">
        <v>12</v>
      </c>
    </row>
    <row r="88" spans="2:21" ht="13.5" thickBot="1">
      <c r="B88" s="567" t="s">
        <v>105</v>
      </c>
      <c r="C88" s="34">
        <f>ROUND(C87*Labor!$D$3,0)</f>
        <v>0</v>
      </c>
      <c r="D88" s="35">
        <f>ROUND(D87*Labor!$D$4,0)</f>
        <v>0</v>
      </c>
      <c r="E88" s="35">
        <f>ROUND(E87*Labor!$D$5,0)</f>
        <v>221</v>
      </c>
      <c r="F88" s="35">
        <f>ROUND(F87*Labor!$D$6,0)</f>
        <v>246</v>
      </c>
      <c r="G88" s="35">
        <f>ROUND(G87*Labor!$D$7,0)</f>
        <v>277</v>
      </c>
      <c r="H88" s="35">
        <f>ROUND(H87*Labor!$D$8,0)</f>
        <v>0</v>
      </c>
      <c r="I88" s="39">
        <f>SUM(C88:H88)</f>
        <v>744</v>
      </c>
      <c r="J88" s="268">
        <f>HLOOKUP(Labor!$B$11,InflationTable,2)*I88</f>
        <v>891.31200000000001</v>
      </c>
      <c r="K88" s="269">
        <f>J88*$J$6</f>
        <v>17826.240000000002</v>
      </c>
      <c r="L88" s="270">
        <f>K88/$E$86</f>
        <v>3565.2480000000005</v>
      </c>
      <c r="M88" s="91">
        <f>HLOOKUP(Labor!$B$11,InflationTable,3)*$I88</f>
        <v>909.91200000000003</v>
      </c>
      <c r="N88" s="63">
        <f>M88*$M$6</f>
        <v>18198.240000000002</v>
      </c>
      <c r="O88" s="64">
        <f>N88/$E$86</f>
        <v>3639.6480000000001</v>
      </c>
      <c r="P88" s="292">
        <f>HLOOKUP(Labor!$B$11,InflationTable,4)*$I88</f>
        <v>927.76800000000003</v>
      </c>
      <c r="Q88" s="269">
        <f>P88*$P$6</f>
        <v>18555.36</v>
      </c>
      <c r="R88" s="270">
        <f>Q88/$E$86</f>
        <v>3711.0720000000001</v>
      </c>
      <c r="S88" s="128">
        <f>AVERAGE(L88,O88,R88)</f>
        <v>3638.6560000000004</v>
      </c>
      <c r="T88" s="137" t="s">
        <v>12</v>
      </c>
      <c r="U88" s="149" t="s">
        <v>12</v>
      </c>
    </row>
    <row r="89" spans="2:21">
      <c r="B89" s="560" t="s">
        <v>66</v>
      </c>
      <c r="C89" s="42">
        <f t="shared" ref="C89:I90" si="20">C72+C74+C77+C79+C81+C84+C87</f>
        <v>0</v>
      </c>
      <c r="D89" s="42">
        <f t="shared" si="20"/>
        <v>25</v>
      </c>
      <c r="E89" s="42">
        <f t="shared" si="20"/>
        <v>69</v>
      </c>
      <c r="F89" s="42">
        <f t="shared" si="20"/>
        <v>48</v>
      </c>
      <c r="G89" s="42">
        <f t="shared" si="20"/>
        <v>8</v>
      </c>
      <c r="H89" s="42">
        <f t="shared" si="20"/>
        <v>0</v>
      </c>
      <c r="I89" s="53">
        <f t="shared" si="20"/>
        <v>150</v>
      </c>
      <c r="J89" s="293" t="s">
        <v>12</v>
      </c>
      <c r="K89" s="315" t="s">
        <v>12</v>
      </c>
      <c r="L89" s="316">
        <f>L87+K84+K81+K79+K77+K74+K72</f>
        <v>13965</v>
      </c>
      <c r="M89" s="92" t="s">
        <v>12</v>
      </c>
      <c r="N89" s="42" t="s">
        <v>12</v>
      </c>
      <c r="O89" s="90">
        <f>O87+N84+N81+N79+N77+N74+N72</f>
        <v>13965</v>
      </c>
      <c r="P89" s="293" t="s">
        <v>12</v>
      </c>
      <c r="Q89" s="315" t="s">
        <v>12</v>
      </c>
      <c r="R89" s="316">
        <f>R87+Q84+Q81+Q79+Q77+Q74+Q72</f>
        <v>13965</v>
      </c>
      <c r="S89" s="150">
        <f>AVERAGE(L89,O89,R89)</f>
        <v>13965</v>
      </c>
      <c r="T89" s="133"/>
      <c r="U89" s="37"/>
    </row>
    <row r="90" spans="2:21" ht="13.5" thickBot="1">
      <c r="B90" s="561" t="s">
        <v>67</v>
      </c>
      <c r="C90" s="240">
        <f t="shared" si="20"/>
        <v>0</v>
      </c>
      <c r="D90" s="240">
        <f t="shared" si="20"/>
        <v>1022</v>
      </c>
      <c r="E90" s="240">
        <f t="shared" si="20"/>
        <v>3044</v>
      </c>
      <c r="F90" s="240">
        <f t="shared" si="20"/>
        <v>2365</v>
      </c>
      <c r="G90" s="240">
        <f t="shared" si="20"/>
        <v>443</v>
      </c>
      <c r="H90" s="240">
        <f t="shared" si="20"/>
        <v>0</v>
      </c>
      <c r="I90" s="243">
        <f t="shared" si="20"/>
        <v>6874</v>
      </c>
      <c r="J90" s="274">
        <f>J73+J75+J78+J80+J82+J85+J88</f>
        <v>8235.0519999999997</v>
      </c>
      <c r="K90" s="317" t="s">
        <v>12</v>
      </c>
      <c r="L90" s="306">
        <f>L88+K85+K82+K80+K78+K75+K73</f>
        <v>759970.46799999999</v>
      </c>
      <c r="M90" s="242">
        <f>M73+M75+M78+M80+M82+M85+M88</f>
        <v>8406.902</v>
      </c>
      <c r="N90" s="256" t="s">
        <v>12</v>
      </c>
      <c r="O90" s="254">
        <f>O88+N85+N82+N80+N78+N75+N73</f>
        <v>775829.61800000002</v>
      </c>
      <c r="P90" s="274">
        <f>P73+P75+P78+P80+P82+P85+P88</f>
        <v>8571.8780000000006</v>
      </c>
      <c r="Q90" s="317" t="s">
        <v>12</v>
      </c>
      <c r="R90" s="306">
        <f>R88+Q85+Q82+Q80+Q78+Q75+Q73</f>
        <v>791054.402</v>
      </c>
      <c r="S90" s="248">
        <f>AVERAGE(L90,O90,R90)</f>
        <v>775618.16266666667</v>
      </c>
      <c r="T90" s="246"/>
      <c r="U90" s="236"/>
    </row>
    <row r="91" spans="2:21" ht="14.25" thickTop="1" thickBot="1">
      <c r="B91" s="619"/>
      <c r="C91" s="618"/>
      <c r="D91" s="618"/>
      <c r="E91" s="618"/>
      <c r="F91" s="618"/>
      <c r="G91" s="618"/>
      <c r="H91" s="618"/>
      <c r="I91" s="618"/>
      <c r="J91" s="618"/>
      <c r="K91" s="618"/>
      <c r="L91" s="618"/>
      <c r="M91" s="618"/>
      <c r="N91" s="618"/>
      <c r="O91" s="618"/>
      <c r="P91" s="618"/>
      <c r="Q91" s="618"/>
      <c r="R91" s="618"/>
      <c r="S91" s="618"/>
      <c r="T91" s="618"/>
      <c r="U91" s="620"/>
    </row>
    <row r="92" spans="2:21" ht="16.5" thickTop="1">
      <c r="B92" s="650" t="s">
        <v>30</v>
      </c>
      <c r="C92" s="5"/>
      <c r="D92" s="5"/>
      <c r="E92" s="5"/>
      <c r="F92" s="112" t="s">
        <v>6</v>
      </c>
      <c r="G92" s="1412"/>
      <c r="H92" s="1413"/>
      <c r="I92" s="1414"/>
      <c r="J92" s="181" t="s">
        <v>30</v>
      </c>
      <c r="K92" s="426"/>
      <c r="L92" s="67"/>
      <c r="M92" s="181" t="s">
        <v>30</v>
      </c>
      <c r="N92" s="426"/>
      <c r="O92" s="67"/>
      <c r="P92" s="181" t="s">
        <v>30</v>
      </c>
      <c r="Q92" s="319"/>
      <c r="R92" s="180"/>
      <c r="S92" s="225"/>
      <c r="T92" s="133"/>
      <c r="U92" s="37"/>
    </row>
    <row r="93" spans="2:21">
      <c r="B93" s="555"/>
      <c r="C93" s="5"/>
      <c r="D93" s="5"/>
      <c r="E93" s="5"/>
      <c r="F93" s="7"/>
      <c r="G93" s="5"/>
      <c r="H93" s="5"/>
      <c r="I93" s="45" t="s">
        <v>61</v>
      </c>
      <c r="J93" s="277" t="s">
        <v>61</v>
      </c>
      <c r="K93" s="1419" t="s">
        <v>57</v>
      </c>
      <c r="L93" s="1420"/>
      <c r="M93" s="57" t="s">
        <v>61</v>
      </c>
      <c r="N93" s="1429" t="s">
        <v>57</v>
      </c>
      <c r="O93" s="1433"/>
      <c r="P93" s="318" t="s">
        <v>61</v>
      </c>
      <c r="Q93" s="1428" t="s">
        <v>57</v>
      </c>
      <c r="R93" s="1436"/>
      <c r="S93" s="131"/>
      <c r="T93" s="133"/>
      <c r="U93" s="37"/>
    </row>
    <row r="94" spans="2:21">
      <c r="B94" s="563" t="s">
        <v>21</v>
      </c>
      <c r="C94" s="23" t="s">
        <v>45</v>
      </c>
      <c r="D94" s="24" t="s">
        <v>46</v>
      </c>
      <c r="E94" s="23" t="s">
        <v>47</v>
      </c>
      <c r="F94" s="23" t="s">
        <v>48</v>
      </c>
      <c r="G94" s="23" t="s">
        <v>49</v>
      </c>
      <c r="H94" s="23" t="s">
        <v>50</v>
      </c>
      <c r="I94" s="45" t="s">
        <v>13</v>
      </c>
      <c r="J94" s="260" t="s">
        <v>56</v>
      </c>
      <c r="K94" s="261" t="s">
        <v>13</v>
      </c>
      <c r="L94" s="262" t="s">
        <v>68</v>
      </c>
      <c r="M94" s="77" t="s">
        <v>56</v>
      </c>
      <c r="N94" s="24" t="s">
        <v>13</v>
      </c>
      <c r="O94" s="38" t="s">
        <v>68</v>
      </c>
      <c r="P94" s="260" t="s">
        <v>56</v>
      </c>
      <c r="Q94" s="261" t="s">
        <v>13</v>
      </c>
      <c r="R94" s="262" t="s">
        <v>68</v>
      </c>
      <c r="S94" s="123"/>
      <c r="T94" s="133"/>
      <c r="U94" s="37"/>
    </row>
    <row r="95" spans="2:21">
      <c r="B95" s="566" t="s">
        <v>4</v>
      </c>
      <c r="C95" s="21">
        <v>0</v>
      </c>
      <c r="D95" s="21">
        <v>0</v>
      </c>
      <c r="E95" s="21">
        <v>0</v>
      </c>
      <c r="F95" s="21">
        <v>0</v>
      </c>
      <c r="G95" s="21">
        <v>8</v>
      </c>
      <c r="H95" s="21">
        <v>4</v>
      </c>
      <c r="I95" s="52">
        <f>SUM(C95:H95)</f>
        <v>12</v>
      </c>
      <c r="J95" s="263" t="s">
        <v>12</v>
      </c>
      <c r="K95" s="281">
        <f>I95*(L$5+L$4)</f>
        <v>1236</v>
      </c>
      <c r="L95" s="289">
        <f>K95</f>
        <v>1236</v>
      </c>
      <c r="M95" s="58" t="s">
        <v>12</v>
      </c>
      <c r="N95" s="69">
        <f>I95*(O$5+O$4)</f>
        <v>1236</v>
      </c>
      <c r="O95" s="59">
        <f>N95</f>
        <v>1236</v>
      </c>
      <c r="P95" s="263" t="s">
        <v>12</v>
      </c>
      <c r="Q95" s="281">
        <f>$I95*(R$5+R$4)</f>
        <v>1236</v>
      </c>
      <c r="R95" s="289">
        <f>Q95</f>
        <v>1236</v>
      </c>
      <c r="S95" s="173">
        <f t="shared" ref="S95:S100" si="21">AVERAGE(L95,O95,R95)</f>
        <v>1236</v>
      </c>
      <c r="T95" s="135" t="s">
        <v>12</v>
      </c>
      <c r="U95" s="136" t="s">
        <v>12</v>
      </c>
    </row>
    <row r="96" spans="2:21" ht="13.5" thickBot="1">
      <c r="B96" s="567" t="s">
        <v>8</v>
      </c>
      <c r="C96" s="34">
        <f>ROUND(C95*Labor!$D$3,0)</f>
        <v>0</v>
      </c>
      <c r="D96" s="35">
        <f>ROUND(D95*Labor!$D$4,0)</f>
        <v>0</v>
      </c>
      <c r="E96" s="35">
        <f>ROUND(E95*Labor!$D$5,0)</f>
        <v>0</v>
      </c>
      <c r="F96" s="35">
        <f>ROUND(F95*Labor!$D$6,0)</f>
        <v>0</v>
      </c>
      <c r="G96" s="35">
        <f>ROUND(G95*Labor!$D$7,0)</f>
        <v>444</v>
      </c>
      <c r="H96" s="35">
        <f>ROUND(H95*Labor!$D$8,0)</f>
        <v>234</v>
      </c>
      <c r="I96" s="39">
        <f>SUM(C96:H96)</f>
        <v>678</v>
      </c>
      <c r="J96" s="268">
        <f>HLOOKUP(Labor!$B$11,InflationTable,2)*I96</f>
        <v>812.24399999999991</v>
      </c>
      <c r="K96" s="355">
        <f>J96*(L$4+L$5)</f>
        <v>83661.131999999998</v>
      </c>
      <c r="L96" s="308">
        <f>K96</f>
        <v>83661.131999999998</v>
      </c>
      <c r="M96" s="84">
        <f>HLOOKUP(Labor!$B$11,InflationTable,3)*$I96</f>
        <v>829.19400000000007</v>
      </c>
      <c r="N96" s="357">
        <f>M96*(O$4+O$5)</f>
        <v>85406.982000000004</v>
      </c>
      <c r="O96" s="64">
        <f>N96</f>
        <v>85406.982000000004</v>
      </c>
      <c r="P96" s="268">
        <f>HLOOKUP(Labor!$B$11,InflationTable,4)*$I96</f>
        <v>845.46600000000012</v>
      </c>
      <c r="Q96" s="355">
        <f>P96*(R$4+R$5)</f>
        <v>87082.998000000007</v>
      </c>
      <c r="R96" s="308">
        <f>Q96</f>
        <v>87082.998000000007</v>
      </c>
      <c r="S96" s="171">
        <f t="shared" si="21"/>
        <v>85383.704000000012</v>
      </c>
      <c r="T96" s="137" t="s">
        <v>12</v>
      </c>
      <c r="U96" s="149" t="s">
        <v>12</v>
      </c>
    </row>
    <row r="97" spans="2:22">
      <c r="B97" s="559" t="s">
        <v>104</v>
      </c>
      <c r="C97" s="346">
        <v>0</v>
      </c>
      <c r="D97" s="346">
        <v>0</v>
      </c>
      <c r="E97" s="346">
        <v>16</v>
      </c>
      <c r="F97" s="346">
        <v>8</v>
      </c>
      <c r="G97" s="346">
        <v>4</v>
      </c>
      <c r="H97" s="346">
        <v>2</v>
      </c>
      <c r="I97" s="347">
        <f>SUM(C97:H97)</f>
        <v>30</v>
      </c>
      <c r="J97" s="293" t="s">
        <v>12</v>
      </c>
      <c r="K97" s="281">
        <f>I97*(L$5+L$4)</f>
        <v>3090</v>
      </c>
      <c r="L97" s="328">
        <f>K97</f>
        <v>3090</v>
      </c>
      <c r="M97" s="61" t="s">
        <v>12</v>
      </c>
      <c r="N97" s="69">
        <f>I97*(O$5+O$4)</f>
        <v>3090</v>
      </c>
      <c r="O97" s="349">
        <f>N97</f>
        <v>3090</v>
      </c>
      <c r="P97" s="293" t="s">
        <v>12</v>
      </c>
      <c r="Q97" s="281">
        <f>$I97*(R$5+R$4)</f>
        <v>3090</v>
      </c>
      <c r="R97" s="328">
        <f>Q97</f>
        <v>3090</v>
      </c>
      <c r="S97" s="173">
        <f t="shared" si="21"/>
        <v>3090</v>
      </c>
      <c r="T97" s="135" t="s">
        <v>12</v>
      </c>
      <c r="U97" s="136" t="s">
        <v>12</v>
      </c>
    </row>
    <row r="98" spans="2:22" ht="13.5" thickBot="1">
      <c r="B98" s="568" t="s">
        <v>8</v>
      </c>
      <c r="C98" s="34">
        <f>ROUND(C97*Labor!$D$3,0)</f>
        <v>0</v>
      </c>
      <c r="D98" s="35">
        <f>ROUND(D97*Labor!$D$4,0)</f>
        <v>0</v>
      </c>
      <c r="E98" s="35">
        <f>ROUND(E97*Labor!$D$5,0)</f>
        <v>706</v>
      </c>
      <c r="F98" s="35">
        <f>ROUND(F97*Labor!$D$6,0)</f>
        <v>394</v>
      </c>
      <c r="G98" s="35">
        <f>ROUND(G97*Labor!$D$7,0)</f>
        <v>222</v>
      </c>
      <c r="H98" s="35">
        <f>ROUND(H97*Labor!$D$8,0)</f>
        <v>117</v>
      </c>
      <c r="I98" s="39">
        <f>SUM(C98:H98)</f>
        <v>1439</v>
      </c>
      <c r="J98" s="268">
        <f>HLOOKUP(Labor!$B$11,InflationTable,2)*I98</f>
        <v>1723.922</v>
      </c>
      <c r="K98" s="355">
        <f>J98*(L$4+L$5)</f>
        <v>177563.96600000001</v>
      </c>
      <c r="L98" s="300">
        <f>K98</f>
        <v>177563.96600000001</v>
      </c>
      <c r="M98" s="84">
        <f>HLOOKUP(Labor!$B$11,InflationTable,3)*$I98</f>
        <v>1759.8970000000002</v>
      </c>
      <c r="N98" s="357">
        <f>M98*(O$4+O$5)</f>
        <v>181269.391</v>
      </c>
      <c r="O98" s="64">
        <f>N98</f>
        <v>181269.391</v>
      </c>
      <c r="P98" s="292">
        <f>HLOOKUP(Labor!$B$11,InflationTable,4)*$I98</f>
        <v>1794.4330000000002</v>
      </c>
      <c r="Q98" s="355">
        <f>P98*(R$4+R$5)</f>
        <v>184826.59900000002</v>
      </c>
      <c r="R98" s="300">
        <f>Q98</f>
        <v>184826.59900000002</v>
      </c>
      <c r="S98" s="128">
        <f t="shared" si="21"/>
        <v>181219.98533333334</v>
      </c>
      <c r="T98" s="137" t="s">
        <v>12</v>
      </c>
      <c r="U98" s="149" t="s">
        <v>12</v>
      </c>
    </row>
    <row r="99" spans="2:22">
      <c r="B99" s="560" t="s">
        <v>66</v>
      </c>
      <c r="C99" s="36">
        <f t="shared" ref="C99:I100" si="22">C95+C97</f>
        <v>0</v>
      </c>
      <c r="D99" s="36">
        <f t="shared" si="22"/>
        <v>0</v>
      </c>
      <c r="E99" s="36">
        <f t="shared" si="22"/>
        <v>16</v>
      </c>
      <c r="F99" s="36">
        <f t="shared" si="22"/>
        <v>8</v>
      </c>
      <c r="G99" s="36">
        <f t="shared" si="22"/>
        <v>12</v>
      </c>
      <c r="H99" s="36">
        <f t="shared" si="22"/>
        <v>6</v>
      </c>
      <c r="I99" s="46">
        <f t="shared" si="22"/>
        <v>42</v>
      </c>
      <c r="J99" s="301" t="s">
        <v>12</v>
      </c>
      <c r="K99" s="320">
        <f>K95+K97</f>
        <v>4326</v>
      </c>
      <c r="L99" s="321">
        <f>L95+L97</f>
        <v>4326</v>
      </c>
      <c r="M99" s="85" t="s">
        <v>12</v>
      </c>
      <c r="N99" s="36">
        <f>N95+N97</f>
        <v>4326</v>
      </c>
      <c r="O99" s="100">
        <f>O95+O97</f>
        <v>4326</v>
      </c>
      <c r="P99" s="301" t="s">
        <v>12</v>
      </c>
      <c r="Q99" s="320">
        <f>Q95+Q97</f>
        <v>4326</v>
      </c>
      <c r="R99" s="322">
        <f>R95+R97</f>
        <v>4326</v>
      </c>
      <c r="S99" s="121">
        <f t="shared" si="21"/>
        <v>4326</v>
      </c>
      <c r="T99" s="135" t="s">
        <v>12</v>
      </c>
      <c r="U99" s="136" t="s">
        <v>12</v>
      </c>
    </row>
    <row r="100" spans="2:22" ht="13.5" thickBot="1">
      <c r="B100" s="561" t="s">
        <v>67</v>
      </c>
      <c r="C100" s="240">
        <f t="shared" si="22"/>
        <v>0</v>
      </c>
      <c r="D100" s="240">
        <f t="shared" si="22"/>
        <v>0</v>
      </c>
      <c r="E100" s="240">
        <f t="shared" si="22"/>
        <v>706</v>
      </c>
      <c r="F100" s="240">
        <f t="shared" si="22"/>
        <v>394</v>
      </c>
      <c r="G100" s="240">
        <f t="shared" si="22"/>
        <v>666</v>
      </c>
      <c r="H100" s="240">
        <f t="shared" si="22"/>
        <v>351</v>
      </c>
      <c r="I100" s="243">
        <f t="shared" si="22"/>
        <v>2117</v>
      </c>
      <c r="J100" s="274">
        <f>J96+J98</f>
        <v>2536.1660000000002</v>
      </c>
      <c r="K100" s="275">
        <f>K96+K98</f>
        <v>261225.098</v>
      </c>
      <c r="L100" s="276">
        <f>L96+L98</f>
        <v>261225.098</v>
      </c>
      <c r="M100" s="242">
        <f>M96+M98</f>
        <v>2589.0910000000003</v>
      </c>
      <c r="N100" s="240">
        <f>N96+N98</f>
        <v>266676.37300000002</v>
      </c>
      <c r="O100" s="243">
        <f>O96+O98</f>
        <v>266676.37300000002</v>
      </c>
      <c r="P100" s="313">
        <f>P96+P98</f>
        <v>2639.8990000000003</v>
      </c>
      <c r="Q100" s="275">
        <f>Q96+Q98</f>
        <v>271909.59700000001</v>
      </c>
      <c r="R100" s="276">
        <f>R96+R98</f>
        <v>271909.59700000001</v>
      </c>
      <c r="S100" s="257">
        <f t="shared" si="21"/>
        <v>266603.68933333334</v>
      </c>
      <c r="T100" s="258" t="s">
        <v>12</v>
      </c>
      <c r="U100" s="249" t="s">
        <v>12</v>
      </c>
    </row>
    <row r="101" spans="2:22" ht="14.25" thickTop="1" thickBot="1">
      <c r="B101" s="555"/>
      <c r="C101" s="5"/>
      <c r="D101" s="618"/>
      <c r="E101" s="618"/>
      <c r="F101" s="618"/>
      <c r="G101" s="618"/>
      <c r="H101" s="618"/>
      <c r="I101" s="618"/>
      <c r="J101" s="618"/>
      <c r="K101" s="618"/>
      <c r="L101" s="618"/>
      <c r="M101" s="618"/>
      <c r="N101" s="618"/>
      <c r="O101" s="618"/>
      <c r="P101" s="618"/>
      <c r="Q101" s="618"/>
      <c r="R101" s="618"/>
      <c r="S101" s="618"/>
      <c r="T101" s="618"/>
      <c r="U101" s="620"/>
    </row>
    <row r="102" spans="2:22" ht="19.5" thickTop="1" thickBot="1">
      <c r="B102" s="556" t="s">
        <v>121</v>
      </c>
      <c r="C102" s="234" t="str">
        <f>C2</f>
        <v>PAMSNOx</v>
      </c>
      <c r="D102" s="5"/>
      <c r="E102" s="4"/>
      <c r="F102" s="12"/>
      <c r="G102" s="4"/>
      <c r="H102" s="4"/>
      <c r="I102" s="41"/>
      <c r="J102" s="233" t="str">
        <f>J2</f>
        <v>Year 1</v>
      </c>
      <c r="K102" s="233">
        <f>K2</f>
        <v>2013</v>
      </c>
      <c r="L102" s="83"/>
      <c r="M102" s="79" t="str">
        <f>M2</f>
        <v>Year 2</v>
      </c>
      <c r="N102" s="79">
        <f>N2</f>
        <v>2014</v>
      </c>
      <c r="O102" s="41"/>
      <c r="P102" s="233" t="str">
        <f>P2</f>
        <v>Year 3</v>
      </c>
      <c r="Q102" s="233">
        <f>Q2</f>
        <v>2015</v>
      </c>
      <c r="R102" s="83"/>
      <c r="S102" s="152"/>
      <c r="T102" s="130"/>
      <c r="U102" s="570"/>
    </row>
    <row r="103" spans="2:22" ht="13.5" thickBot="1">
      <c r="B103" s="555"/>
      <c r="C103" s="194" t="s">
        <v>45</v>
      </c>
      <c r="D103" s="190" t="s">
        <v>46</v>
      </c>
      <c r="E103" s="187" t="s">
        <v>47</v>
      </c>
      <c r="F103" s="202" t="s">
        <v>48</v>
      </c>
      <c r="G103" s="201" t="s">
        <v>49</v>
      </c>
      <c r="H103" s="187" t="s">
        <v>50</v>
      </c>
      <c r="I103" s="188" t="s">
        <v>13</v>
      </c>
      <c r="J103" s="323" t="s">
        <v>56</v>
      </c>
      <c r="K103" s="324" t="s">
        <v>13</v>
      </c>
      <c r="L103" s="325" t="s">
        <v>68</v>
      </c>
      <c r="M103" s="189" t="s">
        <v>56</v>
      </c>
      <c r="N103" s="190" t="s">
        <v>13</v>
      </c>
      <c r="O103" s="191" t="s">
        <v>68</v>
      </c>
      <c r="P103" s="323" t="s">
        <v>56</v>
      </c>
      <c r="Q103" s="324" t="s">
        <v>13</v>
      </c>
      <c r="R103" s="325" t="s">
        <v>68</v>
      </c>
      <c r="S103" s="192"/>
      <c r="T103" s="193"/>
      <c r="U103" s="571"/>
      <c r="V103" s="5"/>
    </row>
    <row r="104" spans="2:22">
      <c r="B104" s="572" t="s">
        <v>97</v>
      </c>
      <c r="C104" s="196">
        <f t="shared" ref="C104:S104" si="23">C16</f>
        <v>0</v>
      </c>
      <c r="D104" s="184">
        <f t="shared" si="23"/>
        <v>0</v>
      </c>
      <c r="E104" s="184">
        <f t="shared" si="23"/>
        <v>0</v>
      </c>
      <c r="F104" s="184">
        <f t="shared" si="23"/>
        <v>0</v>
      </c>
      <c r="G104" s="184">
        <f t="shared" si="23"/>
        <v>0</v>
      </c>
      <c r="H104" s="184">
        <f t="shared" si="23"/>
        <v>0</v>
      </c>
      <c r="I104" s="185">
        <f t="shared" si="23"/>
        <v>0</v>
      </c>
      <c r="J104" s="326" t="str">
        <f t="shared" si="23"/>
        <v>NA</v>
      </c>
      <c r="K104" s="327">
        <f t="shared" si="23"/>
        <v>0</v>
      </c>
      <c r="L104" s="328">
        <f t="shared" si="23"/>
        <v>0</v>
      </c>
      <c r="M104" s="186" t="str">
        <f t="shared" si="23"/>
        <v>NA</v>
      </c>
      <c r="N104" s="184">
        <f t="shared" si="23"/>
        <v>0</v>
      </c>
      <c r="O104" s="185">
        <f t="shared" si="23"/>
        <v>0</v>
      </c>
      <c r="P104" s="326" t="str">
        <f t="shared" si="23"/>
        <v>NA</v>
      </c>
      <c r="Q104" s="327">
        <f t="shared" si="23"/>
        <v>0</v>
      </c>
      <c r="R104" s="328">
        <f t="shared" si="23"/>
        <v>0</v>
      </c>
      <c r="S104" s="185">
        <f t="shared" si="23"/>
        <v>0</v>
      </c>
      <c r="T104" s="37"/>
      <c r="U104" s="138"/>
    </row>
    <row r="105" spans="2:22" ht="13.5" thickBot="1">
      <c r="B105" s="573" t="s">
        <v>76</v>
      </c>
      <c r="C105" s="203">
        <f t="shared" ref="C105:S105" si="24">C17</f>
        <v>0</v>
      </c>
      <c r="D105" s="204">
        <f t="shared" si="24"/>
        <v>0</v>
      </c>
      <c r="E105" s="204">
        <f t="shared" si="24"/>
        <v>0</v>
      </c>
      <c r="F105" s="204">
        <f t="shared" si="24"/>
        <v>0</v>
      </c>
      <c r="G105" s="204">
        <f t="shared" si="24"/>
        <v>0</v>
      </c>
      <c r="H105" s="204">
        <f t="shared" si="24"/>
        <v>0</v>
      </c>
      <c r="I105" s="205">
        <f t="shared" si="24"/>
        <v>0</v>
      </c>
      <c r="J105" s="329">
        <f t="shared" si="24"/>
        <v>0</v>
      </c>
      <c r="K105" s="330">
        <f t="shared" si="24"/>
        <v>0</v>
      </c>
      <c r="L105" s="331">
        <f t="shared" si="24"/>
        <v>0</v>
      </c>
      <c r="M105" s="203">
        <f t="shared" si="24"/>
        <v>0</v>
      </c>
      <c r="N105" s="204">
        <f t="shared" si="24"/>
        <v>0</v>
      </c>
      <c r="O105" s="205">
        <f t="shared" si="24"/>
        <v>0</v>
      </c>
      <c r="P105" s="329">
        <f t="shared" si="24"/>
        <v>0</v>
      </c>
      <c r="Q105" s="330">
        <f t="shared" si="24"/>
        <v>0</v>
      </c>
      <c r="R105" s="331">
        <f t="shared" si="24"/>
        <v>0</v>
      </c>
      <c r="S105" s="205">
        <f t="shared" si="24"/>
        <v>0</v>
      </c>
      <c r="T105" s="206" t="str">
        <f>T17</f>
        <v>NA</v>
      </c>
      <c r="U105" s="392" t="s">
        <v>12</v>
      </c>
    </row>
    <row r="106" spans="2:22">
      <c r="B106" s="574" t="s">
        <v>98</v>
      </c>
      <c r="C106" s="196">
        <f t="shared" ref="C106:S106" si="25">C29</f>
        <v>0</v>
      </c>
      <c r="D106" s="184">
        <f t="shared" si="25"/>
        <v>0</v>
      </c>
      <c r="E106" s="184">
        <f t="shared" si="25"/>
        <v>0</v>
      </c>
      <c r="F106" s="184">
        <f t="shared" si="25"/>
        <v>0</v>
      </c>
      <c r="G106" s="184">
        <f t="shared" si="25"/>
        <v>0</v>
      </c>
      <c r="H106" s="184">
        <f t="shared" si="25"/>
        <v>0</v>
      </c>
      <c r="I106" s="185">
        <f t="shared" si="25"/>
        <v>0</v>
      </c>
      <c r="J106" s="326" t="str">
        <f t="shared" si="25"/>
        <v>NA</v>
      </c>
      <c r="K106" s="327">
        <f t="shared" si="25"/>
        <v>0</v>
      </c>
      <c r="L106" s="328">
        <f t="shared" si="25"/>
        <v>0</v>
      </c>
      <c r="M106" s="186" t="str">
        <f t="shared" si="25"/>
        <v>NA</v>
      </c>
      <c r="N106" s="184">
        <f t="shared" si="25"/>
        <v>0</v>
      </c>
      <c r="O106" s="185">
        <f t="shared" si="25"/>
        <v>0</v>
      </c>
      <c r="P106" s="326" t="str">
        <f t="shared" si="25"/>
        <v>NA</v>
      </c>
      <c r="Q106" s="327">
        <f t="shared" si="25"/>
        <v>0</v>
      </c>
      <c r="R106" s="328">
        <f t="shared" si="25"/>
        <v>0</v>
      </c>
      <c r="S106" s="185">
        <f t="shared" si="25"/>
        <v>0</v>
      </c>
      <c r="T106" s="37"/>
      <c r="U106" s="138"/>
    </row>
    <row r="107" spans="2:22" ht="13.5" thickBot="1">
      <c r="B107" s="573" t="s">
        <v>76</v>
      </c>
      <c r="C107" s="207">
        <f t="shared" ref="C107:S107" si="26">C30</f>
        <v>0</v>
      </c>
      <c r="D107" s="208">
        <f t="shared" si="26"/>
        <v>0</v>
      </c>
      <c r="E107" s="208">
        <f t="shared" si="26"/>
        <v>0</v>
      </c>
      <c r="F107" s="208">
        <f t="shared" si="26"/>
        <v>0</v>
      </c>
      <c r="G107" s="208">
        <f t="shared" si="26"/>
        <v>0</v>
      </c>
      <c r="H107" s="208">
        <f t="shared" si="26"/>
        <v>0</v>
      </c>
      <c r="I107" s="209">
        <f t="shared" si="26"/>
        <v>0</v>
      </c>
      <c r="J107" s="332">
        <f t="shared" si="26"/>
        <v>0</v>
      </c>
      <c r="K107" s="296">
        <f t="shared" si="26"/>
        <v>0</v>
      </c>
      <c r="L107" s="297">
        <f t="shared" si="26"/>
        <v>505915.4</v>
      </c>
      <c r="M107" s="207">
        <f t="shared" si="26"/>
        <v>0</v>
      </c>
      <c r="N107" s="208">
        <f t="shared" si="26"/>
        <v>0</v>
      </c>
      <c r="O107" s="209">
        <f t="shared" si="26"/>
        <v>516472.9</v>
      </c>
      <c r="P107" s="332">
        <f t="shared" si="26"/>
        <v>0</v>
      </c>
      <c r="Q107" s="296">
        <f t="shared" si="26"/>
        <v>0</v>
      </c>
      <c r="R107" s="297">
        <f t="shared" si="26"/>
        <v>526608.10000000009</v>
      </c>
      <c r="S107" s="209">
        <f t="shared" si="26"/>
        <v>0</v>
      </c>
      <c r="T107" s="210" t="str">
        <f>T30</f>
        <v>NA</v>
      </c>
      <c r="U107" s="575">
        <f>U30</f>
        <v>516332.13333333336</v>
      </c>
    </row>
    <row r="108" spans="2:22">
      <c r="B108" s="574" t="s">
        <v>96</v>
      </c>
      <c r="C108" s="197">
        <f t="shared" ref="C108:S108" si="27">C39</f>
        <v>0</v>
      </c>
      <c r="D108" s="25">
        <f t="shared" si="27"/>
        <v>0</v>
      </c>
      <c r="E108" s="25">
        <f t="shared" si="27"/>
        <v>0</v>
      </c>
      <c r="F108" s="25">
        <f t="shared" si="27"/>
        <v>0</v>
      </c>
      <c r="G108" s="25">
        <f t="shared" si="27"/>
        <v>0</v>
      </c>
      <c r="H108" s="25">
        <f t="shared" si="27"/>
        <v>0</v>
      </c>
      <c r="I108" s="198">
        <f t="shared" si="27"/>
        <v>0</v>
      </c>
      <c r="J108" s="333" t="str">
        <f t="shared" si="27"/>
        <v>NA</v>
      </c>
      <c r="K108" s="334">
        <f t="shared" si="27"/>
        <v>0</v>
      </c>
      <c r="L108" s="335">
        <f t="shared" si="27"/>
        <v>0</v>
      </c>
      <c r="M108" s="199" t="str">
        <f t="shared" si="27"/>
        <v>NA</v>
      </c>
      <c r="N108" s="25">
        <f t="shared" si="27"/>
        <v>0</v>
      </c>
      <c r="O108" s="198">
        <f t="shared" si="27"/>
        <v>0</v>
      </c>
      <c r="P108" s="333" t="str">
        <f t="shared" si="27"/>
        <v>NA</v>
      </c>
      <c r="Q108" s="334">
        <f t="shared" si="27"/>
        <v>0</v>
      </c>
      <c r="R108" s="335">
        <f t="shared" si="27"/>
        <v>0</v>
      </c>
      <c r="S108" s="198">
        <f t="shared" si="27"/>
        <v>0</v>
      </c>
      <c r="T108" s="200" t="str">
        <f>T22</f>
        <v>NA</v>
      </c>
      <c r="U108" s="147" t="s">
        <v>12</v>
      </c>
    </row>
    <row r="109" spans="2:22" ht="13.5" thickBot="1">
      <c r="B109" s="573" t="s">
        <v>76</v>
      </c>
      <c r="C109" s="211">
        <f t="shared" ref="C109:S109" si="28">C40</f>
        <v>0</v>
      </c>
      <c r="D109" s="208">
        <f t="shared" si="28"/>
        <v>0</v>
      </c>
      <c r="E109" s="208">
        <f t="shared" si="28"/>
        <v>0</v>
      </c>
      <c r="F109" s="208">
        <f t="shared" si="28"/>
        <v>0</v>
      </c>
      <c r="G109" s="208">
        <f t="shared" si="28"/>
        <v>0</v>
      </c>
      <c r="H109" s="208">
        <f t="shared" si="28"/>
        <v>0</v>
      </c>
      <c r="I109" s="209">
        <f t="shared" si="28"/>
        <v>0</v>
      </c>
      <c r="J109" s="332">
        <f t="shared" si="28"/>
        <v>958.4</v>
      </c>
      <c r="K109" s="296">
        <f t="shared" si="28"/>
        <v>98715.199999999997</v>
      </c>
      <c r="L109" s="297">
        <f t="shared" si="28"/>
        <v>98715.199999999997</v>
      </c>
      <c r="M109" s="207">
        <f t="shared" si="28"/>
        <v>978.40000000000009</v>
      </c>
      <c r="N109" s="208">
        <f t="shared" si="28"/>
        <v>100775.20000000001</v>
      </c>
      <c r="O109" s="209">
        <f t="shared" si="28"/>
        <v>100775.20000000001</v>
      </c>
      <c r="P109" s="332">
        <f t="shared" si="28"/>
        <v>997.60000000000014</v>
      </c>
      <c r="Q109" s="296">
        <f t="shared" si="28"/>
        <v>102752.80000000002</v>
      </c>
      <c r="R109" s="297">
        <f t="shared" si="28"/>
        <v>102752.80000000002</v>
      </c>
      <c r="S109" s="209">
        <f t="shared" si="28"/>
        <v>100747.73333333335</v>
      </c>
      <c r="T109" s="209">
        <f>T40</f>
        <v>100747.73333333335</v>
      </c>
      <c r="U109" s="392" t="s">
        <v>12</v>
      </c>
    </row>
    <row r="110" spans="2:22">
      <c r="B110" s="574" t="s">
        <v>99</v>
      </c>
      <c r="C110" s="197">
        <f t="shared" ref="C110:S110" si="29">C51</f>
        <v>0</v>
      </c>
      <c r="D110" s="25">
        <f t="shared" si="29"/>
        <v>0</v>
      </c>
      <c r="E110" s="25">
        <f t="shared" si="29"/>
        <v>0</v>
      </c>
      <c r="F110" s="25">
        <f t="shared" si="29"/>
        <v>0</v>
      </c>
      <c r="G110" s="25">
        <f t="shared" si="29"/>
        <v>0</v>
      </c>
      <c r="H110" s="25">
        <f t="shared" si="29"/>
        <v>0</v>
      </c>
      <c r="I110" s="198">
        <f t="shared" si="29"/>
        <v>0</v>
      </c>
      <c r="J110" s="333" t="str">
        <f t="shared" si="29"/>
        <v>NA</v>
      </c>
      <c r="K110" s="334">
        <f t="shared" si="29"/>
        <v>0</v>
      </c>
      <c r="L110" s="335">
        <f t="shared" si="29"/>
        <v>0</v>
      </c>
      <c r="M110" s="199" t="str">
        <f t="shared" si="29"/>
        <v>NA</v>
      </c>
      <c r="N110" s="25">
        <f t="shared" si="29"/>
        <v>0</v>
      </c>
      <c r="O110" s="198">
        <f t="shared" si="29"/>
        <v>0</v>
      </c>
      <c r="P110" s="333" t="str">
        <f t="shared" si="29"/>
        <v>NA</v>
      </c>
      <c r="Q110" s="334">
        <f t="shared" si="29"/>
        <v>0</v>
      </c>
      <c r="R110" s="335">
        <f t="shared" si="29"/>
        <v>0</v>
      </c>
      <c r="S110" s="198">
        <f t="shared" si="29"/>
        <v>0</v>
      </c>
      <c r="T110" s="37"/>
      <c r="U110" s="138"/>
    </row>
    <row r="111" spans="2:22" ht="13.5" thickBot="1">
      <c r="B111" s="573" t="s">
        <v>76</v>
      </c>
      <c r="C111" s="207">
        <f t="shared" ref="C111:S111" si="30">C52</f>
        <v>0</v>
      </c>
      <c r="D111" s="208">
        <f t="shared" si="30"/>
        <v>0</v>
      </c>
      <c r="E111" s="208">
        <f t="shared" si="30"/>
        <v>0</v>
      </c>
      <c r="F111" s="208">
        <f t="shared" si="30"/>
        <v>0</v>
      </c>
      <c r="G111" s="208">
        <f t="shared" si="30"/>
        <v>0</v>
      </c>
      <c r="H111" s="208">
        <f t="shared" si="30"/>
        <v>0</v>
      </c>
      <c r="I111" s="209">
        <f t="shared" si="30"/>
        <v>0</v>
      </c>
      <c r="J111" s="332">
        <f t="shared" si="30"/>
        <v>1198</v>
      </c>
      <c r="K111" s="296">
        <f t="shared" si="30"/>
        <v>123394</v>
      </c>
      <c r="L111" s="297">
        <f t="shared" si="30"/>
        <v>123394</v>
      </c>
      <c r="M111" s="211">
        <f t="shared" si="30"/>
        <v>1223</v>
      </c>
      <c r="N111" s="208">
        <f t="shared" si="30"/>
        <v>125969</v>
      </c>
      <c r="O111" s="209">
        <f t="shared" si="30"/>
        <v>125969</v>
      </c>
      <c r="P111" s="332">
        <f t="shared" si="30"/>
        <v>1247</v>
      </c>
      <c r="Q111" s="296">
        <f t="shared" si="30"/>
        <v>128441</v>
      </c>
      <c r="R111" s="297">
        <f t="shared" si="30"/>
        <v>128441</v>
      </c>
      <c r="S111" s="209">
        <f t="shared" si="30"/>
        <v>0</v>
      </c>
      <c r="T111" s="209">
        <f>T52</f>
        <v>125934.66666666667</v>
      </c>
      <c r="U111" s="576" t="s">
        <v>12</v>
      </c>
    </row>
    <row r="112" spans="2:22">
      <c r="B112" s="574" t="s">
        <v>100</v>
      </c>
      <c r="C112" s="197">
        <f t="shared" ref="C112:U112" si="31">C65</f>
        <v>0</v>
      </c>
      <c r="D112" s="25">
        <f t="shared" si="31"/>
        <v>0</v>
      </c>
      <c r="E112" s="25">
        <f t="shared" si="31"/>
        <v>7</v>
      </c>
      <c r="F112" s="25">
        <f t="shared" si="31"/>
        <v>13</v>
      </c>
      <c r="G112" s="25">
        <f t="shared" si="31"/>
        <v>0</v>
      </c>
      <c r="H112" s="25">
        <f t="shared" si="31"/>
        <v>0</v>
      </c>
      <c r="I112" s="198">
        <f t="shared" si="31"/>
        <v>20</v>
      </c>
      <c r="J112" s="333" t="str">
        <f t="shared" si="31"/>
        <v>NA</v>
      </c>
      <c r="K112" s="334">
        <f t="shared" si="31"/>
        <v>2060</v>
      </c>
      <c r="L112" s="335">
        <f t="shared" si="31"/>
        <v>2060</v>
      </c>
      <c r="M112" s="199" t="str">
        <f t="shared" si="31"/>
        <v>NA</v>
      </c>
      <c r="N112" s="25">
        <f t="shared" si="31"/>
        <v>2060</v>
      </c>
      <c r="O112" s="198">
        <f t="shared" si="31"/>
        <v>2060</v>
      </c>
      <c r="P112" s="333" t="str">
        <f t="shared" si="31"/>
        <v>NA</v>
      </c>
      <c r="Q112" s="334">
        <f t="shared" si="31"/>
        <v>2060</v>
      </c>
      <c r="R112" s="335">
        <f t="shared" si="31"/>
        <v>2060</v>
      </c>
      <c r="S112" s="198">
        <f t="shared" si="31"/>
        <v>2060</v>
      </c>
      <c r="T112" s="212" t="str">
        <f t="shared" si="31"/>
        <v>NA</v>
      </c>
      <c r="U112" s="577" t="str">
        <f t="shared" si="31"/>
        <v>NA</v>
      </c>
    </row>
    <row r="113" spans="2:21" ht="13.5" thickBot="1">
      <c r="B113" s="573" t="s">
        <v>76</v>
      </c>
      <c r="C113" s="207">
        <f t="shared" ref="C113:T113" si="32">C66</f>
        <v>0</v>
      </c>
      <c r="D113" s="208">
        <f t="shared" si="32"/>
        <v>0</v>
      </c>
      <c r="E113" s="208">
        <f t="shared" si="32"/>
        <v>309</v>
      </c>
      <c r="F113" s="208">
        <f t="shared" si="32"/>
        <v>641</v>
      </c>
      <c r="G113" s="208">
        <f t="shared" si="32"/>
        <v>0</v>
      </c>
      <c r="H113" s="208">
        <f t="shared" si="32"/>
        <v>0</v>
      </c>
      <c r="I113" s="209">
        <f t="shared" si="32"/>
        <v>950</v>
      </c>
      <c r="J113" s="332">
        <f t="shared" si="32"/>
        <v>1138.0999999999999</v>
      </c>
      <c r="K113" s="296">
        <f t="shared" si="32"/>
        <v>117224.29999999999</v>
      </c>
      <c r="L113" s="297">
        <f t="shared" si="32"/>
        <v>117224.29999999999</v>
      </c>
      <c r="M113" s="207">
        <f t="shared" si="32"/>
        <v>1161.8500000000001</v>
      </c>
      <c r="N113" s="208">
        <f t="shared" si="32"/>
        <v>119670.55000000002</v>
      </c>
      <c r="O113" s="209">
        <f t="shared" si="32"/>
        <v>119670.55000000002</v>
      </c>
      <c r="P113" s="339">
        <f t="shared" si="32"/>
        <v>1184.6500000000001</v>
      </c>
      <c r="Q113" s="296">
        <f t="shared" si="32"/>
        <v>122018.95000000001</v>
      </c>
      <c r="R113" s="297">
        <f t="shared" si="32"/>
        <v>122018.95000000001</v>
      </c>
      <c r="S113" s="209">
        <f t="shared" si="32"/>
        <v>119637.93333333335</v>
      </c>
      <c r="T113" s="210" t="str">
        <f t="shared" si="32"/>
        <v>NA</v>
      </c>
      <c r="U113" s="392" t="s">
        <v>12</v>
      </c>
    </row>
    <row r="114" spans="2:21">
      <c r="B114" s="574" t="s">
        <v>101</v>
      </c>
      <c r="C114" s="213">
        <f t="shared" ref="C114:S114" si="33">C89</f>
        <v>0</v>
      </c>
      <c r="D114" s="214">
        <f t="shared" si="33"/>
        <v>25</v>
      </c>
      <c r="E114" s="214">
        <f t="shared" si="33"/>
        <v>69</v>
      </c>
      <c r="F114" s="214">
        <f t="shared" si="33"/>
        <v>48</v>
      </c>
      <c r="G114" s="214">
        <f t="shared" si="33"/>
        <v>8</v>
      </c>
      <c r="H114" s="214">
        <f t="shared" si="33"/>
        <v>0</v>
      </c>
      <c r="I114" s="215">
        <f t="shared" si="33"/>
        <v>150</v>
      </c>
      <c r="J114" s="336" t="str">
        <f t="shared" si="33"/>
        <v>NA</v>
      </c>
      <c r="K114" s="337" t="str">
        <f t="shared" si="33"/>
        <v>NA</v>
      </c>
      <c r="L114" s="294">
        <f t="shared" si="33"/>
        <v>13965</v>
      </c>
      <c r="M114" s="216" t="str">
        <f t="shared" si="33"/>
        <v>NA</v>
      </c>
      <c r="N114" s="217" t="str">
        <f t="shared" si="33"/>
        <v>NA</v>
      </c>
      <c r="O114" s="215">
        <f t="shared" si="33"/>
        <v>13965</v>
      </c>
      <c r="P114" s="336" t="str">
        <f t="shared" si="33"/>
        <v>NA</v>
      </c>
      <c r="Q114" s="337" t="str">
        <f t="shared" si="33"/>
        <v>NA</v>
      </c>
      <c r="R114" s="294">
        <f t="shared" si="33"/>
        <v>13965</v>
      </c>
      <c r="S114" s="215">
        <f t="shared" si="33"/>
        <v>13965</v>
      </c>
      <c r="T114" s="136" t="s">
        <v>12</v>
      </c>
      <c r="U114" s="147" t="s">
        <v>12</v>
      </c>
    </row>
    <row r="115" spans="2:21" ht="13.5" thickBot="1">
      <c r="B115" s="573" t="s">
        <v>76</v>
      </c>
      <c r="C115" s="207">
        <f t="shared" ref="C115:S115" si="34">C90</f>
        <v>0</v>
      </c>
      <c r="D115" s="208">
        <f t="shared" si="34"/>
        <v>1022</v>
      </c>
      <c r="E115" s="208">
        <f t="shared" si="34"/>
        <v>3044</v>
      </c>
      <c r="F115" s="208">
        <f t="shared" si="34"/>
        <v>2365</v>
      </c>
      <c r="G115" s="208">
        <f t="shared" si="34"/>
        <v>443</v>
      </c>
      <c r="H115" s="208">
        <f t="shared" si="34"/>
        <v>0</v>
      </c>
      <c r="I115" s="209">
        <f t="shared" si="34"/>
        <v>6874</v>
      </c>
      <c r="J115" s="332">
        <f t="shared" si="34"/>
        <v>8235.0519999999997</v>
      </c>
      <c r="K115" s="338" t="str">
        <f t="shared" si="34"/>
        <v>NA</v>
      </c>
      <c r="L115" s="297">
        <f t="shared" si="34"/>
        <v>759970.46799999999</v>
      </c>
      <c r="M115" s="211">
        <f t="shared" si="34"/>
        <v>8406.902</v>
      </c>
      <c r="N115" s="219" t="str">
        <f t="shared" si="34"/>
        <v>NA</v>
      </c>
      <c r="O115" s="209">
        <f t="shared" si="34"/>
        <v>775829.61800000002</v>
      </c>
      <c r="P115" s="332">
        <f t="shared" si="34"/>
        <v>8571.8780000000006</v>
      </c>
      <c r="Q115" s="338" t="str">
        <f t="shared" si="34"/>
        <v>NA</v>
      </c>
      <c r="R115" s="297">
        <f t="shared" si="34"/>
        <v>791054.402</v>
      </c>
      <c r="S115" s="209">
        <f t="shared" si="34"/>
        <v>775618.16266666667</v>
      </c>
      <c r="T115" s="209">
        <f>T90</f>
        <v>0</v>
      </c>
      <c r="U115" s="392" t="s">
        <v>12</v>
      </c>
    </row>
    <row r="116" spans="2:21">
      <c r="B116" s="574" t="s">
        <v>102</v>
      </c>
      <c r="C116" s="197">
        <f t="shared" ref="C116:S116" si="35">C99</f>
        <v>0</v>
      </c>
      <c r="D116" s="25">
        <f t="shared" si="35"/>
        <v>0</v>
      </c>
      <c r="E116" s="25">
        <f t="shared" si="35"/>
        <v>16</v>
      </c>
      <c r="F116" s="25">
        <f t="shared" si="35"/>
        <v>8</v>
      </c>
      <c r="G116" s="25">
        <f t="shared" si="35"/>
        <v>12</v>
      </c>
      <c r="H116" s="25">
        <f t="shared" si="35"/>
        <v>6</v>
      </c>
      <c r="I116" s="198">
        <f t="shared" si="35"/>
        <v>42</v>
      </c>
      <c r="J116" s="333" t="str">
        <f t="shared" si="35"/>
        <v>NA</v>
      </c>
      <c r="K116" s="334">
        <f t="shared" si="35"/>
        <v>4326</v>
      </c>
      <c r="L116" s="335">
        <f t="shared" si="35"/>
        <v>4326</v>
      </c>
      <c r="M116" s="199" t="str">
        <f t="shared" si="35"/>
        <v>NA</v>
      </c>
      <c r="N116" s="25">
        <f t="shared" si="35"/>
        <v>4326</v>
      </c>
      <c r="O116" s="198">
        <f t="shared" si="35"/>
        <v>4326</v>
      </c>
      <c r="P116" s="333" t="str">
        <f t="shared" si="35"/>
        <v>NA</v>
      </c>
      <c r="Q116" s="334">
        <f t="shared" si="35"/>
        <v>4326</v>
      </c>
      <c r="R116" s="335">
        <f t="shared" si="35"/>
        <v>4326</v>
      </c>
      <c r="S116" s="198">
        <f t="shared" si="35"/>
        <v>4326</v>
      </c>
      <c r="T116" s="136" t="s">
        <v>12</v>
      </c>
      <c r="U116" s="147" t="s">
        <v>12</v>
      </c>
    </row>
    <row r="117" spans="2:21" ht="13.5" thickBot="1">
      <c r="B117" s="578" t="s">
        <v>76</v>
      </c>
      <c r="C117" s="220">
        <f t="shared" ref="C117:S117" si="36">C100</f>
        <v>0</v>
      </c>
      <c r="D117" s="221">
        <f t="shared" si="36"/>
        <v>0</v>
      </c>
      <c r="E117" s="221">
        <f t="shared" si="36"/>
        <v>706</v>
      </c>
      <c r="F117" s="221">
        <f t="shared" si="36"/>
        <v>394</v>
      </c>
      <c r="G117" s="221">
        <f t="shared" si="36"/>
        <v>666</v>
      </c>
      <c r="H117" s="221">
        <f t="shared" si="36"/>
        <v>351</v>
      </c>
      <c r="I117" s="222">
        <f t="shared" si="36"/>
        <v>2117</v>
      </c>
      <c r="J117" s="304">
        <f t="shared" si="36"/>
        <v>2536.1660000000002</v>
      </c>
      <c r="K117" s="305">
        <f t="shared" si="36"/>
        <v>261225.098</v>
      </c>
      <c r="L117" s="306">
        <f t="shared" si="36"/>
        <v>261225.098</v>
      </c>
      <c r="M117" s="220">
        <f t="shared" si="36"/>
        <v>2589.0910000000003</v>
      </c>
      <c r="N117" s="221">
        <f t="shared" si="36"/>
        <v>266676.37300000002</v>
      </c>
      <c r="O117" s="222">
        <f t="shared" si="36"/>
        <v>266676.37300000002</v>
      </c>
      <c r="P117" s="311">
        <f t="shared" si="36"/>
        <v>2639.8990000000003</v>
      </c>
      <c r="Q117" s="305">
        <f t="shared" si="36"/>
        <v>271909.59700000001</v>
      </c>
      <c r="R117" s="306">
        <f t="shared" si="36"/>
        <v>271909.59700000001</v>
      </c>
      <c r="S117" s="222">
        <f t="shared" si="36"/>
        <v>266603.68933333334</v>
      </c>
      <c r="T117" s="223" t="str">
        <f>T100</f>
        <v>NA</v>
      </c>
      <c r="U117" s="224" t="s">
        <v>12</v>
      </c>
    </row>
    <row r="118" spans="2:21" ht="18.75" thickTop="1">
      <c r="B118" s="579" t="s">
        <v>13</v>
      </c>
      <c r="C118" s="183" t="s">
        <v>45</v>
      </c>
      <c r="D118" s="108" t="s">
        <v>46</v>
      </c>
      <c r="E118" s="107" t="s">
        <v>47</v>
      </c>
      <c r="F118" s="107" t="s">
        <v>48</v>
      </c>
      <c r="G118" s="107" t="s">
        <v>49</v>
      </c>
      <c r="H118" s="107" t="s">
        <v>50</v>
      </c>
      <c r="I118" s="109" t="s">
        <v>13</v>
      </c>
      <c r="J118" s="110" t="s">
        <v>56</v>
      </c>
      <c r="K118" s="108" t="s">
        <v>13</v>
      </c>
      <c r="L118" s="111" t="s">
        <v>68</v>
      </c>
      <c r="M118" s="110" t="s">
        <v>56</v>
      </c>
      <c r="N118" s="108" t="s">
        <v>13</v>
      </c>
      <c r="O118" s="111" t="s">
        <v>68</v>
      </c>
      <c r="P118" s="110" t="s">
        <v>56</v>
      </c>
      <c r="Q118" s="108" t="s">
        <v>13</v>
      </c>
      <c r="R118" s="111" t="s">
        <v>68</v>
      </c>
      <c r="S118" s="111"/>
      <c r="T118" s="37"/>
      <c r="U118" s="138"/>
    </row>
    <row r="119" spans="2:21">
      <c r="B119" s="580" t="s">
        <v>75</v>
      </c>
      <c r="C119" s="195">
        <f t="shared" ref="C119:I120" si="37">C104+C106+C108+C110+C112+C114+C116</f>
        <v>0</v>
      </c>
      <c r="D119" s="101">
        <f t="shared" si="37"/>
        <v>25</v>
      </c>
      <c r="E119" s="101">
        <f t="shared" si="37"/>
        <v>92</v>
      </c>
      <c r="F119" s="101">
        <f t="shared" si="37"/>
        <v>69</v>
      </c>
      <c r="G119" s="101">
        <f t="shared" si="37"/>
        <v>20</v>
      </c>
      <c r="H119" s="101">
        <f t="shared" si="37"/>
        <v>6</v>
      </c>
      <c r="I119" s="102">
        <f t="shared" si="37"/>
        <v>212</v>
      </c>
      <c r="J119" s="340" t="s">
        <v>12</v>
      </c>
      <c r="K119" s="281">
        <f>K104+K106+K108+K110+K112+K116</f>
        <v>6386</v>
      </c>
      <c r="L119" s="289">
        <f>L104+L106+L108+L110+L112+L114+L116</f>
        <v>20351</v>
      </c>
      <c r="M119" s="103" t="s">
        <v>12</v>
      </c>
      <c r="N119" s="101">
        <f>N104+N106+N108+N110+N112+N116</f>
        <v>6386</v>
      </c>
      <c r="O119" s="102">
        <f>O104+O106+O108+O110+O112+O114+O116</f>
        <v>20351</v>
      </c>
      <c r="P119" s="340" t="s">
        <v>12</v>
      </c>
      <c r="Q119" s="281">
        <f>Q104+Q106+Q108+Q110+Q112+Q116</f>
        <v>6386</v>
      </c>
      <c r="R119" s="289">
        <f>R104+R106+R108+R110+R112+R114+R116</f>
        <v>20351</v>
      </c>
      <c r="S119" s="174">
        <f>S104+S106+S108+S110+S112+S114+S116</f>
        <v>20351</v>
      </c>
      <c r="T119" s="102"/>
      <c r="U119" s="140" t="s">
        <v>12</v>
      </c>
    </row>
    <row r="120" spans="2:21" s="235" customFormat="1" ht="16.5" thickBot="1">
      <c r="B120" s="581" t="s">
        <v>76</v>
      </c>
      <c r="C120" s="582">
        <f t="shared" si="37"/>
        <v>0</v>
      </c>
      <c r="D120" s="583">
        <f t="shared" si="37"/>
        <v>1022</v>
      </c>
      <c r="E120" s="583">
        <f t="shared" si="37"/>
        <v>4059</v>
      </c>
      <c r="F120" s="583">
        <f t="shared" si="37"/>
        <v>3400</v>
      </c>
      <c r="G120" s="583">
        <f t="shared" si="37"/>
        <v>1109</v>
      </c>
      <c r="H120" s="583">
        <f t="shared" si="37"/>
        <v>351</v>
      </c>
      <c r="I120" s="584">
        <f t="shared" si="37"/>
        <v>9941</v>
      </c>
      <c r="J120" s="585">
        <f>J105+J107+J109+J111+J113+J115+J117</f>
        <v>14065.718000000001</v>
      </c>
      <c r="K120" s="586">
        <f>K105+K107+K109+K111+K113+K117</f>
        <v>600558.598</v>
      </c>
      <c r="L120" s="587">
        <f>L105+L107+L109+L111+L113+L115+L117</f>
        <v>1866444.4659999998</v>
      </c>
      <c r="M120" s="582">
        <f>M105+M107+M109+M111+M113+M115+M117</f>
        <v>14359.243</v>
      </c>
      <c r="N120" s="588">
        <f>N105+N107+N109+N111+N113+N117</f>
        <v>613091.12300000002</v>
      </c>
      <c r="O120" s="584">
        <f>O105+O107+O109+O111+O113+O115+O117</f>
        <v>1905393.6410000003</v>
      </c>
      <c r="P120" s="589">
        <f>P105+P107+P109+P111+P113+P115+P117</f>
        <v>14641.027000000002</v>
      </c>
      <c r="Q120" s="586">
        <f>Q105+Q107+Q109+Q111+Q113+Q117</f>
        <v>625122.34700000007</v>
      </c>
      <c r="R120" s="587">
        <f>R105+R107+R109+R111+R113+R115+R117</f>
        <v>1942784.8490000002</v>
      </c>
      <c r="S120" s="590">
        <f>S105+S107+S109+S111+S113+S115+S117</f>
        <v>1262607.5186666667</v>
      </c>
      <c r="T120" s="584">
        <f>SUM(T105,T107,T109,T111,T113,T115,T117)</f>
        <v>226682.40000000002</v>
      </c>
      <c r="U120" s="591">
        <f>SUM(U105,U107,U109,U111,U113,U115,U117)</f>
        <v>516332.13333333336</v>
      </c>
    </row>
    <row r="121" spans="2:21">
      <c r="B121" s="1" t="s">
        <v>159</v>
      </c>
    </row>
  </sheetData>
  <mergeCells count="35">
    <mergeCell ref="Q93:R93"/>
    <mergeCell ref="Q33:R33"/>
    <mergeCell ref="Q43:R43"/>
    <mergeCell ref="Q55:R55"/>
    <mergeCell ref="Q86:R86"/>
    <mergeCell ref="Q70:R70"/>
    <mergeCell ref="G69:I69"/>
    <mergeCell ref="N86:O86"/>
    <mergeCell ref="K93:L93"/>
    <mergeCell ref="N33:O33"/>
    <mergeCell ref="N43:O43"/>
    <mergeCell ref="N70:O70"/>
    <mergeCell ref="N93:O93"/>
    <mergeCell ref="N55:O55"/>
    <mergeCell ref="K33:L33"/>
    <mergeCell ref="G92:I92"/>
    <mergeCell ref="K70:L70"/>
    <mergeCell ref="K55:L55"/>
    <mergeCell ref="G54:I54"/>
    <mergeCell ref="G33:I33"/>
    <mergeCell ref="K43:L43"/>
    <mergeCell ref="G19:I19"/>
    <mergeCell ref="G32:I32"/>
    <mergeCell ref="G43:I43"/>
    <mergeCell ref="G42:I42"/>
    <mergeCell ref="S2:T2"/>
    <mergeCell ref="Q20:R20"/>
    <mergeCell ref="G8:I8"/>
    <mergeCell ref="K20:L20"/>
    <mergeCell ref="F2:G2"/>
    <mergeCell ref="C6:I6"/>
    <mergeCell ref="Q9:R9"/>
    <mergeCell ref="K9:L9"/>
    <mergeCell ref="N9:O9"/>
    <mergeCell ref="N20:O20"/>
  </mergeCells>
  <phoneticPr fontId="2" type="noConversion"/>
  <dataValidations count="1">
    <dataValidation allowBlank="1" showInputMessage="1" showErrorMessage="1" sqref="D35 D22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dimension ref="A1:V116"/>
  <sheetViews>
    <sheetView topLeftCell="A66" zoomScaleNormal="100" workbookViewId="0">
      <selection activeCell="I77" sqref="I77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163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18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83</v>
      </c>
      <c r="M4" s="396" t="s">
        <v>71</v>
      </c>
      <c r="N4" s="431" t="s">
        <v>69</v>
      </c>
      <c r="O4" s="20">
        <v>83</v>
      </c>
      <c r="P4" s="425" t="s">
        <v>71</v>
      </c>
      <c r="Q4" s="429" t="s">
        <v>69</v>
      </c>
      <c r="R4" s="20">
        <v>83</v>
      </c>
      <c r="S4" s="115" t="s">
        <v>69</v>
      </c>
      <c r="T4" s="106">
        <f>AVERAGE(L4,O4,R4)</f>
        <v>83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18</v>
      </c>
      <c r="K5" s="342" t="s">
        <v>70</v>
      </c>
      <c r="L5" s="343">
        <f>L4*$I$4</f>
        <v>4.1500000000000004</v>
      </c>
      <c r="M5" s="632">
        <v>18</v>
      </c>
      <c r="N5" s="344" t="s">
        <v>70</v>
      </c>
      <c r="O5" s="345">
        <f>O4*$I$4</f>
        <v>4.1500000000000004</v>
      </c>
      <c r="P5" s="631">
        <v>18</v>
      </c>
      <c r="Q5" s="342" t="s">
        <v>70</v>
      </c>
      <c r="R5" s="343">
        <f>R4*$I$4</f>
        <v>4.1500000000000004</v>
      </c>
      <c r="S5" s="237" t="s">
        <v>70</v>
      </c>
      <c r="T5" s="238">
        <f>AVERAGE(L5,O5,R5)</f>
        <v>4.1500000000000004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162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48">
        <f>SUM(C10:H10)</f>
        <v>19</v>
      </c>
      <c r="J10" s="263" t="s">
        <v>12</v>
      </c>
      <c r="K10" s="264">
        <f>I10*$J$5</f>
        <v>342</v>
      </c>
      <c r="L10" s="265">
        <f>K10/$E$7</f>
        <v>68.400000000000006</v>
      </c>
      <c r="M10" s="58" t="s">
        <v>12</v>
      </c>
      <c r="N10" s="432">
        <f>I10*$M$5</f>
        <v>342</v>
      </c>
      <c r="O10" s="68">
        <f>N10/$E$7</f>
        <v>68.400000000000006</v>
      </c>
      <c r="P10" s="263" t="s">
        <v>12</v>
      </c>
      <c r="Q10" s="433">
        <f>$I10*$M$5</f>
        <v>342</v>
      </c>
      <c r="R10" s="289">
        <f>Q10/$E$7</f>
        <v>68.400000000000006</v>
      </c>
      <c r="S10" s="121">
        <f>AVERAGE(L10,O10,R10)</f>
        <v>68.400000000000006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246</v>
      </c>
      <c r="G11" s="23">
        <f>ROUND(G10*Labor!$D$7,0)</f>
        <v>666</v>
      </c>
      <c r="H11" s="23">
        <f>ROUND(H10*Labor!$D$8,0)</f>
        <v>117</v>
      </c>
      <c r="I11" s="382">
        <f>SUM(C11:H11)</f>
        <v>1029</v>
      </c>
      <c r="J11" s="383">
        <f>HLOOKUP(Labor!$B$11,InflationTable,2)*$I11</f>
        <v>1232.742</v>
      </c>
      <c r="K11" s="384">
        <f>J11*$J$5</f>
        <v>22189.356</v>
      </c>
      <c r="L11" s="385">
        <f>K11/$E$7</f>
        <v>4437.8711999999996</v>
      </c>
      <c r="M11" s="386">
        <f>HLOOKUP(Labor!$B$11,InflationTable,3)*$I11</f>
        <v>1258.4670000000001</v>
      </c>
      <c r="N11" s="387">
        <f>M11*$J$5</f>
        <v>22652.406000000003</v>
      </c>
      <c r="O11" s="388">
        <f>N11/$E$7</f>
        <v>4530.4812000000002</v>
      </c>
      <c r="P11" s="383">
        <f>HLOOKUP(Labor!$B$11,InflationTable,4)*$I11</f>
        <v>1283.163</v>
      </c>
      <c r="Q11" s="384">
        <f>P11*$J$5</f>
        <v>23096.934000000001</v>
      </c>
      <c r="R11" s="385">
        <f>Q11/$E$7</f>
        <v>4619.3868000000002</v>
      </c>
      <c r="S11" s="379">
        <f>AVERAGE(L11,O11,R11)</f>
        <v>4529.2464</v>
      </c>
      <c r="T11" s="380" t="s">
        <v>12</v>
      </c>
      <c r="U11" s="380" t="s">
        <v>12</v>
      </c>
    </row>
    <row r="12" spans="1:21">
      <c r="A12" s="615"/>
      <c r="B12" s="605" t="s">
        <v>66</v>
      </c>
      <c r="C12" s="33">
        <f>C10</f>
        <v>0</v>
      </c>
      <c r="D12" s="33">
        <f t="shared" ref="D12:I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33">
        <f t="shared" si="0"/>
        <v>19</v>
      </c>
      <c r="J12" s="271" t="str">
        <f t="shared" ref="J12:O12" si="1">J10</f>
        <v>NA</v>
      </c>
      <c r="K12" s="271">
        <f t="shared" si="1"/>
        <v>342</v>
      </c>
      <c r="L12" s="271">
        <f t="shared" si="1"/>
        <v>68.400000000000006</v>
      </c>
      <c r="M12" s="33" t="str">
        <f t="shared" si="1"/>
        <v>NA</v>
      </c>
      <c r="N12" s="33">
        <f t="shared" si="1"/>
        <v>342</v>
      </c>
      <c r="O12" s="33">
        <f t="shared" si="1"/>
        <v>68.400000000000006</v>
      </c>
      <c r="P12" s="271" t="str">
        <f t="shared" ref="P12:R13" si="2">P10</f>
        <v>NA</v>
      </c>
      <c r="Q12" s="271">
        <f t="shared" si="2"/>
        <v>342</v>
      </c>
      <c r="R12" s="271">
        <f t="shared" si="2"/>
        <v>68.400000000000006</v>
      </c>
      <c r="S12" s="121">
        <f>AVERAGE(L12,O12,R12)</f>
        <v>68.400000000000006</v>
      </c>
      <c r="T12" s="119" t="s">
        <v>12</v>
      </c>
      <c r="U12" s="119" t="s">
        <v>12</v>
      </c>
    </row>
    <row r="13" spans="1:21" ht="13.5" thickBot="1">
      <c r="A13" s="615"/>
      <c r="B13" s="606" t="s">
        <v>67</v>
      </c>
      <c r="C13" s="240">
        <f>C11</f>
        <v>0</v>
      </c>
      <c r="D13" s="240">
        <f t="shared" ref="D13:I13" si="3">D11</f>
        <v>0</v>
      </c>
      <c r="E13" s="240">
        <f t="shared" si="3"/>
        <v>0</v>
      </c>
      <c r="F13" s="240">
        <f t="shared" si="3"/>
        <v>246</v>
      </c>
      <c r="G13" s="240">
        <f t="shared" si="3"/>
        <v>666</v>
      </c>
      <c r="H13" s="240">
        <f t="shared" si="3"/>
        <v>117</v>
      </c>
      <c r="I13" s="240">
        <f t="shared" si="3"/>
        <v>1029</v>
      </c>
      <c r="J13" s="274">
        <f t="shared" ref="J13:O13" si="4">J11</f>
        <v>1232.742</v>
      </c>
      <c r="K13" s="274">
        <f t="shared" si="4"/>
        <v>22189.356</v>
      </c>
      <c r="L13" s="274">
        <f t="shared" si="4"/>
        <v>4437.8711999999996</v>
      </c>
      <c r="M13" s="240">
        <f t="shared" si="4"/>
        <v>1258.4670000000001</v>
      </c>
      <c r="N13" s="240">
        <f t="shared" si="4"/>
        <v>22652.406000000003</v>
      </c>
      <c r="O13" s="240">
        <f t="shared" si="4"/>
        <v>4530.4812000000002</v>
      </c>
      <c r="P13" s="274">
        <f t="shared" si="2"/>
        <v>1283.163</v>
      </c>
      <c r="Q13" s="274">
        <f t="shared" si="2"/>
        <v>23096.934000000001</v>
      </c>
      <c r="R13" s="274">
        <f t="shared" si="2"/>
        <v>4619.3868000000002</v>
      </c>
      <c r="S13" s="211">
        <f>AVERAGE(L13,O13,R13)</f>
        <v>4529.2464</v>
      </c>
      <c r="T13" s="218" t="s">
        <v>12</v>
      </c>
      <c r="U13" s="218" t="s">
        <v>12</v>
      </c>
    </row>
    <row r="14" spans="1:21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410"/>
      <c r="O14" s="410"/>
      <c r="P14" s="410"/>
      <c r="Q14" s="410"/>
      <c r="R14" s="410"/>
      <c r="S14" s="410"/>
      <c r="T14" s="410"/>
      <c r="U14" s="236"/>
    </row>
    <row r="15" spans="1:21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2"/>
      <c r="H15" s="1413"/>
      <c r="I15" s="1414"/>
      <c r="J15" s="181" t="s">
        <v>16</v>
      </c>
      <c r="K15" s="426"/>
      <c r="L15" s="180"/>
      <c r="M15" s="181" t="s">
        <v>16</v>
      </c>
      <c r="N15" s="426"/>
      <c r="O15" s="67"/>
      <c r="P15" s="181" t="s">
        <v>16</v>
      </c>
      <c r="Q15" s="426"/>
      <c r="R15" s="180"/>
      <c r="S15" s="225"/>
      <c r="T15" s="37"/>
      <c r="U15" s="138"/>
    </row>
    <row r="16" spans="1:21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43"/>
      <c r="J16" s="277" t="s">
        <v>61</v>
      </c>
      <c r="K16" s="1419" t="s">
        <v>57</v>
      </c>
      <c r="L16" s="1420"/>
      <c r="M16" s="93" t="s">
        <v>61</v>
      </c>
      <c r="N16" s="1429" t="s">
        <v>57</v>
      </c>
      <c r="O16" s="1430"/>
      <c r="P16" s="262" t="s">
        <v>61</v>
      </c>
      <c r="Q16" s="1419" t="s">
        <v>57</v>
      </c>
      <c r="R16" s="1420"/>
      <c r="S16" s="131"/>
      <c r="T16" s="37"/>
      <c r="U16" s="138"/>
    </row>
    <row r="17" spans="1:21">
      <c r="A17" s="615"/>
      <c r="B17" s="607" t="s">
        <v>58</v>
      </c>
      <c r="C17" s="23"/>
      <c r="D17" s="23"/>
      <c r="E17" s="9"/>
      <c r="F17" s="72"/>
      <c r="G17" s="72"/>
      <c r="H17" s="72"/>
      <c r="I17" s="73"/>
      <c r="J17" s="260" t="s">
        <v>56</v>
      </c>
      <c r="K17" s="261" t="s">
        <v>13</v>
      </c>
      <c r="L17" s="262" t="s">
        <v>68</v>
      </c>
      <c r="M17" s="77" t="s">
        <v>56</v>
      </c>
      <c r="N17" s="24" t="s">
        <v>13</v>
      </c>
      <c r="O17" s="38" t="s">
        <v>68</v>
      </c>
      <c r="P17" s="260" t="s">
        <v>56</v>
      </c>
      <c r="Q17" s="261" t="s">
        <v>13</v>
      </c>
      <c r="R17" s="262" t="s">
        <v>68</v>
      </c>
      <c r="S17" s="123"/>
      <c r="T17" s="37"/>
      <c r="U17" s="138"/>
    </row>
    <row r="18" spans="1:21">
      <c r="A18" s="615"/>
      <c r="B18" s="608" t="s">
        <v>14</v>
      </c>
      <c r="C18" s="163">
        <f>VLOOKUP(C$2,Monitor_Costs,2,FALSE)</f>
        <v>17285</v>
      </c>
      <c r="D18" s="22">
        <f>VLOOKUP(C$2,Monitor_Costs,3,FALSE)</f>
        <v>2013</v>
      </c>
      <c r="E18" s="74"/>
      <c r="F18" s="75"/>
      <c r="G18" s="76"/>
      <c r="H18" s="76"/>
      <c r="I18" s="37"/>
      <c r="J18" s="279">
        <f>HLOOKUP(D18,InflationTable,2)*$C$18</f>
        <v>20707.43</v>
      </c>
      <c r="K18" s="279">
        <f>J18*$L$4</f>
        <v>1718716.69</v>
      </c>
      <c r="L18" s="280">
        <f>K18/$E$15</f>
        <v>343743.33799999999</v>
      </c>
      <c r="M18" s="78">
        <f>HLOOKUP($D$18,InflationTable,3)*$C$18</f>
        <v>21139.555</v>
      </c>
      <c r="N18" s="27">
        <f>M18*$L$4</f>
        <v>1754583.0649999999</v>
      </c>
      <c r="O18" s="182">
        <f>N18/$E$15</f>
        <v>350916.61300000001</v>
      </c>
      <c r="P18" s="298">
        <f>HLOOKUP($D$18,InflationTable,4)*$C$18</f>
        <v>21554.395</v>
      </c>
      <c r="Q18" s="279">
        <f>P18*$L$4</f>
        <v>1789014.7850000001</v>
      </c>
      <c r="R18" s="280">
        <f>Q18/$E$15</f>
        <v>357802.95700000005</v>
      </c>
      <c r="S18" s="127" t="s">
        <v>12</v>
      </c>
      <c r="T18" s="119" t="s">
        <v>12</v>
      </c>
      <c r="U18" s="139">
        <f>AVERAGE(L18,O18,R18)</f>
        <v>350820.96933333337</v>
      </c>
    </row>
    <row r="19" spans="1:21" ht="13.5" thickBot="1">
      <c r="A19" s="615"/>
      <c r="B19" s="609" t="s">
        <v>15</v>
      </c>
      <c r="C19" s="4"/>
      <c r="D19" s="4"/>
      <c r="E19" s="4"/>
      <c r="F19" s="12"/>
      <c r="G19" s="4"/>
      <c r="H19" s="4"/>
      <c r="I19" s="368"/>
      <c r="J19" s="369"/>
      <c r="K19" s="355">
        <f>J18*$L$5</f>
        <v>85935.834500000012</v>
      </c>
      <c r="L19" s="308">
        <f>K19/$E$15</f>
        <v>17187.166900000004</v>
      </c>
      <c r="M19" s="4"/>
      <c r="N19" s="104">
        <f>M18*$L$5</f>
        <v>87729.153250000003</v>
      </c>
      <c r="O19" s="370">
        <f>N19/$E$15</f>
        <v>17545.83065</v>
      </c>
      <c r="P19" s="371"/>
      <c r="Q19" s="355">
        <f>P18*$L$5</f>
        <v>89450.739250000013</v>
      </c>
      <c r="R19" s="308">
        <f>Q19/$E$15</f>
        <v>17890.147850000001</v>
      </c>
      <c r="S19" s="359" t="s">
        <v>12</v>
      </c>
      <c r="T19" s="149" t="s">
        <v>12</v>
      </c>
      <c r="U19" s="372">
        <f>AVERAGE(L19,O19,R19)</f>
        <v>17541.048466666667</v>
      </c>
    </row>
    <row r="20" spans="1:21">
      <c r="A20" s="615"/>
      <c r="B20" s="610" t="s">
        <v>17</v>
      </c>
      <c r="C20" s="107" t="s">
        <v>45</v>
      </c>
      <c r="D20" s="108" t="s">
        <v>46</v>
      </c>
      <c r="E20" s="107" t="s">
        <v>47</v>
      </c>
      <c r="F20" s="107" t="s">
        <v>48</v>
      </c>
      <c r="G20" s="107" t="s">
        <v>49</v>
      </c>
      <c r="H20" s="107" t="s">
        <v>50</v>
      </c>
      <c r="I20" s="350" t="s">
        <v>74</v>
      </c>
      <c r="J20" s="351"/>
      <c r="K20" s="352"/>
      <c r="L20" s="356"/>
      <c r="M20" s="110"/>
      <c r="N20" s="108"/>
      <c r="O20" s="111"/>
      <c r="P20" s="352"/>
      <c r="Q20" s="352"/>
      <c r="R20" s="356"/>
      <c r="S20" s="125"/>
      <c r="T20" s="37"/>
      <c r="U20" s="138"/>
    </row>
    <row r="21" spans="1:21">
      <c r="A21" s="615"/>
      <c r="B21" s="611" t="s">
        <v>119</v>
      </c>
      <c r="C21" s="31">
        <v>0</v>
      </c>
      <c r="D21" s="21">
        <v>0</v>
      </c>
      <c r="E21" s="21">
        <v>0</v>
      </c>
      <c r="F21" s="21">
        <v>4</v>
      </c>
      <c r="G21" s="21">
        <v>4</v>
      </c>
      <c r="H21" s="21">
        <v>0</v>
      </c>
      <c r="I21" s="48">
        <f>SUM(C21:H21)</f>
        <v>8</v>
      </c>
      <c r="J21" s="263" t="s">
        <v>12</v>
      </c>
      <c r="K21" s="281">
        <f>I21*($L$4+$L$5)</f>
        <v>697.2</v>
      </c>
      <c r="L21" s="282">
        <f>K21/$E$15</f>
        <v>139.44</v>
      </c>
      <c r="M21" s="58" t="s">
        <v>12</v>
      </c>
      <c r="N21" s="69">
        <f>$I$21*($O$4+$O$5)</f>
        <v>697.2</v>
      </c>
      <c r="O21" s="59">
        <f>N21/$E$15</f>
        <v>139.44</v>
      </c>
      <c r="P21" s="263" t="s">
        <v>12</v>
      </c>
      <c r="Q21" s="281">
        <f>$I$21*($R$4+$R$5)</f>
        <v>697.2</v>
      </c>
      <c r="R21" s="282">
        <f>Q21/$E$15</f>
        <v>139.44</v>
      </c>
      <c r="S21" s="151">
        <f>AVERAGE(L21,O21,R21)</f>
        <v>139.44</v>
      </c>
      <c r="T21" s="119" t="s">
        <v>12</v>
      </c>
      <c r="U21" s="140" t="s">
        <v>12</v>
      </c>
    </row>
    <row r="22" spans="1:21" s="1" customFormat="1" ht="13.5" thickBot="1">
      <c r="A22" s="616"/>
      <c r="B22" s="604" t="s">
        <v>8</v>
      </c>
      <c r="C22" s="389">
        <f>ROUND(C21*Labor!$D$3,0)</f>
        <v>0</v>
      </c>
      <c r="D22" s="374">
        <f>ROUND(D21*Labor!$D$4,0)</f>
        <v>0</v>
      </c>
      <c r="E22" s="374">
        <f>ROUND(E21*Labor!$D$5,0)</f>
        <v>0</v>
      </c>
      <c r="F22" s="374">
        <f>ROUND(F21*Labor!$D$6,0)</f>
        <v>197</v>
      </c>
      <c r="G22" s="374">
        <f>ROUND(G21*Labor!$D$7,0)</f>
        <v>222</v>
      </c>
      <c r="H22" s="374">
        <f>ROUND(H21*Labor!$D$8,0)</f>
        <v>0</v>
      </c>
      <c r="I22" s="375">
        <f>SUM(C22:H22)</f>
        <v>419</v>
      </c>
      <c r="J22" s="332">
        <f>HLOOKUP(Labor!$B$11,InflationTable,2)*I22</f>
        <v>501.96199999999999</v>
      </c>
      <c r="K22" s="296">
        <f>J22*($L$4+$L$5)</f>
        <v>43745.988300000005</v>
      </c>
      <c r="L22" s="297">
        <f>K22/$E$15</f>
        <v>8749.1976600000016</v>
      </c>
      <c r="M22" s="376">
        <f>HLOOKUP(Labor!$B$11,InflationTable,3)*$I22</f>
        <v>512.43700000000001</v>
      </c>
      <c r="N22" s="377">
        <f>M22*$L$4</f>
        <v>42532.271000000001</v>
      </c>
      <c r="O22" s="378">
        <f>N22/$E$15</f>
        <v>8506.4542000000001</v>
      </c>
      <c r="P22" s="332">
        <f>HLOOKUP(Labor!$B$11,InflationTable,4)*$I22</f>
        <v>522.49300000000005</v>
      </c>
      <c r="Q22" s="296">
        <f>P22*$L$4</f>
        <v>43366.919000000002</v>
      </c>
      <c r="R22" s="390">
        <f>Q22/$E$15</f>
        <v>8673.3837999999996</v>
      </c>
      <c r="S22" s="391">
        <f>AVERAGE(L22,O22,R22)</f>
        <v>8643.0118866666671</v>
      </c>
      <c r="T22" s="218" t="s">
        <v>12</v>
      </c>
      <c r="U22" s="392" t="s">
        <v>12</v>
      </c>
    </row>
    <row r="23" spans="1:21">
      <c r="A23" s="615"/>
      <c r="B23" s="112" t="s">
        <v>118</v>
      </c>
      <c r="C23" s="346">
        <v>0</v>
      </c>
      <c r="D23" s="365">
        <v>8</v>
      </c>
      <c r="E23" s="365">
        <v>8</v>
      </c>
      <c r="F23" s="365">
        <v>0</v>
      </c>
      <c r="G23" s="365">
        <v>0</v>
      </c>
      <c r="H23" s="365">
        <v>0</v>
      </c>
      <c r="I23" s="366">
        <f>SUM(C23:H23)</f>
        <v>16</v>
      </c>
      <c r="J23" s="293" t="s">
        <v>12</v>
      </c>
      <c r="K23" s="334">
        <f>I23*$L$4</f>
        <v>1328</v>
      </c>
      <c r="L23" s="294">
        <f>K23/$E$15</f>
        <v>265.60000000000002</v>
      </c>
      <c r="M23" s="61" t="s">
        <v>12</v>
      </c>
      <c r="N23" s="348">
        <f>I23*$O$4</f>
        <v>1328</v>
      </c>
      <c r="O23" s="62">
        <f>N23/$E$15</f>
        <v>265.60000000000002</v>
      </c>
      <c r="P23" s="293" t="s">
        <v>12</v>
      </c>
      <c r="Q23" s="327">
        <f>$I23*$O$4</f>
        <v>1328</v>
      </c>
      <c r="R23" s="367">
        <f>Q23/$E$15</f>
        <v>265.60000000000002</v>
      </c>
      <c r="S23" s="129">
        <f>AVERAGE(L23,O23,R23)</f>
        <v>265.60000000000002</v>
      </c>
      <c r="T23" s="136" t="s">
        <v>12</v>
      </c>
      <c r="U23" s="147" t="s">
        <v>12</v>
      </c>
    </row>
    <row r="24" spans="1:21" s="1" customFormat="1" ht="13.5" thickBot="1">
      <c r="A24" s="616"/>
      <c r="B24" s="612" t="s">
        <v>8</v>
      </c>
      <c r="C24" s="373">
        <f>ROUND(C23*Labor!$D$3,0)</f>
        <v>0</v>
      </c>
      <c r="D24" s="374">
        <f>ROUND(D23*Labor!$D$4,0)</f>
        <v>327</v>
      </c>
      <c r="E24" s="374">
        <f>ROUND(E23*Labor!$D$5,0)</f>
        <v>353</v>
      </c>
      <c r="F24" s="374">
        <f>ROUND(F23*Labor!$D$6,0)</f>
        <v>0</v>
      </c>
      <c r="G24" s="374">
        <f>ROUND(G23*Labor!$D$7,0)</f>
        <v>0</v>
      </c>
      <c r="H24" s="374">
        <f>ROUND(H23*Labor!$D$8,0)</f>
        <v>0</v>
      </c>
      <c r="I24" s="375">
        <f>SUM(C24:H24)</f>
        <v>680</v>
      </c>
      <c r="J24" s="332">
        <f>HLOOKUP(Labor!$B$11,InflationTable,2)*I24</f>
        <v>814.64</v>
      </c>
      <c r="K24" s="296">
        <f>J24*$L$4</f>
        <v>67615.12</v>
      </c>
      <c r="L24" s="297">
        <f>K24/$E$15</f>
        <v>13523.023999999999</v>
      </c>
      <c r="M24" s="376">
        <f>HLOOKUP(Labor!$B$11,InflationTable,3)*$I24</f>
        <v>831.6400000000001</v>
      </c>
      <c r="N24" s="377">
        <f>M24*$O$4</f>
        <v>69026.12000000001</v>
      </c>
      <c r="O24" s="378">
        <f>N24/$E$15</f>
        <v>13805.224000000002</v>
      </c>
      <c r="P24" s="339">
        <f>HLOOKUP(Labor!$B$11,InflationTable,4)*$I24</f>
        <v>847.96</v>
      </c>
      <c r="Q24" s="296">
        <f>P24*$R$4</f>
        <v>70380.680000000008</v>
      </c>
      <c r="R24" s="297">
        <f>Q24/$E$15</f>
        <v>14076.136000000002</v>
      </c>
      <c r="S24" s="211">
        <f>AVERAGE(L24,O24,R24)</f>
        <v>13801.461333333335</v>
      </c>
      <c r="T24" s="393" t="s">
        <v>12</v>
      </c>
      <c r="U24" s="392" t="s">
        <v>12</v>
      </c>
    </row>
    <row r="25" spans="1:21">
      <c r="A25" s="615"/>
      <c r="B25" s="605" t="s">
        <v>66</v>
      </c>
      <c r="C25" s="33">
        <f t="shared" ref="C25:I25" si="5">C21+C23</f>
        <v>0</v>
      </c>
      <c r="D25" s="33">
        <f t="shared" si="5"/>
        <v>8</v>
      </c>
      <c r="E25" s="33">
        <f t="shared" si="5"/>
        <v>8</v>
      </c>
      <c r="F25" s="33">
        <f t="shared" si="5"/>
        <v>4</v>
      </c>
      <c r="G25" s="33">
        <f t="shared" si="5"/>
        <v>4</v>
      </c>
      <c r="H25" s="33">
        <f t="shared" si="5"/>
        <v>0</v>
      </c>
      <c r="I25" s="49">
        <f t="shared" si="5"/>
        <v>24</v>
      </c>
      <c r="J25" s="284" t="s">
        <v>12</v>
      </c>
      <c r="K25" s="285">
        <f>K21+K23</f>
        <v>2025.2</v>
      </c>
      <c r="L25" s="286">
        <f>L21+L23</f>
        <v>405.04</v>
      </c>
      <c r="M25" s="44" t="s">
        <v>12</v>
      </c>
      <c r="N25" s="33">
        <f>N21+N23</f>
        <v>2025.2</v>
      </c>
      <c r="O25" s="40">
        <f>O21+O23</f>
        <v>405.04</v>
      </c>
      <c r="P25" s="284" t="s">
        <v>12</v>
      </c>
      <c r="Q25" s="285">
        <f>Q21+Q23</f>
        <v>2025.2</v>
      </c>
      <c r="R25" s="286">
        <f>R21+R23</f>
        <v>405.04</v>
      </c>
      <c r="S25" s="175">
        <f>AVERAGE(L25,O25,R25)</f>
        <v>405.04</v>
      </c>
      <c r="T25" s="136" t="s">
        <v>12</v>
      </c>
      <c r="U25" s="147" t="s">
        <v>12</v>
      </c>
    </row>
    <row r="26" spans="1:21" ht="13.5" thickBot="1">
      <c r="A26" s="615"/>
      <c r="B26" s="606" t="s">
        <v>67</v>
      </c>
      <c r="C26" s="240">
        <f t="shared" ref="C26:J26" si="6">C24+C22</f>
        <v>0</v>
      </c>
      <c r="D26" s="240">
        <f t="shared" si="6"/>
        <v>327</v>
      </c>
      <c r="E26" s="240">
        <f t="shared" si="6"/>
        <v>353</v>
      </c>
      <c r="F26" s="240">
        <f t="shared" si="6"/>
        <v>197</v>
      </c>
      <c r="G26" s="240">
        <f t="shared" si="6"/>
        <v>222</v>
      </c>
      <c r="H26" s="240">
        <f t="shared" si="6"/>
        <v>0</v>
      </c>
      <c r="I26" s="241">
        <f t="shared" si="6"/>
        <v>1099</v>
      </c>
      <c r="J26" s="274">
        <f t="shared" si="6"/>
        <v>1316.6019999999999</v>
      </c>
      <c r="K26" s="287"/>
      <c r="L26" s="276">
        <f>L24+L22+L19+L18</f>
        <v>383202.72655999998</v>
      </c>
      <c r="M26" s="242">
        <f>M24+M22</f>
        <v>1344.0770000000002</v>
      </c>
      <c r="N26" s="247"/>
      <c r="O26" s="243">
        <f>O24+O22+O19+O18</f>
        <v>390774.12185</v>
      </c>
      <c r="P26" s="274">
        <f>P24+P22</f>
        <v>1370.453</v>
      </c>
      <c r="Q26" s="287"/>
      <c r="R26" s="276">
        <f>R24+R22+R19+R18</f>
        <v>398442.62465000007</v>
      </c>
      <c r="S26" s="248">
        <f>SUM(S24,S22)</f>
        <v>22444.47322</v>
      </c>
      <c r="T26" s="249" t="s">
        <v>12</v>
      </c>
      <c r="U26" s="250">
        <f>SUM(U18:U19)</f>
        <v>368362.01780000003</v>
      </c>
    </row>
    <row r="27" spans="1:21" ht="14.25" thickTop="1" thickBot="1">
      <c r="A27" s="615"/>
      <c r="B27" s="5"/>
      <c r="C27" s="618"/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20"/>
    </row>
    <row r="28" spans="1:21" ht="16.5" thickTop="1">
      <c r="A28" s="615"/>
      <c r="B28" s="613" t="s">
        <v>22</v>
      </c>
      <c r="C28" s="5"/>
      <c r="D28" s="5"/>
      <c r="E28" s="5"/>
      <c r="F28" s="112" t="s">
        <v>6</v>
      </c>
      <c r="G28" s="1412"/>
      <c r="H28" s="1413"/>
      <c r="I28" s="1414"/>
      <c r="J28" s="244" t="s">
        <v>22</v>
      </c>
      <c r="K28" s="426"/>
      <c r="L28" s="180"/>
      <c r="M28" s="244" t="s">
        <v>22</v>
      </c>
      <c r="N28" s="426"/>
      <c r="O28" s="67"/>
      <c r="P28" s="244" t="s">
        <v>22</v>
      </c>
      <c r="Q28" s="426"/>
      <c r="R28" s="67"/>
      <c r="S28" s="225"/>
      <c r="T28" s="37"/>
      <c r="U28" s="138"/>
    </row>
    <row r="29" spans="1:21">
      <c r="A29" s="615"/>
      <c r="B29" s="5"/>
      <c r="C29" s="5"/>
      <c r="D29" s="5"/>
      <c r="E29" s="5"/>
      <c r="F29" s="112"/>
      <c r="G29" s="1415"/>
      <c r="H29" s="1415"/>
      <c r="I29" s="1416"/>
      <c r="J29" s="277" t="s">
        <v>61</v>
      </c>
      <c r="K29" s="1434" t="s">
        <v>57</v>
      </c>
      <c r="L29" s="1435"/>
      <c r="M29" s="57" t="s">
        <v>61</v>
      </c>
      <c r="N29" s="1429" t="s">
        <v>57</v>
      </c>
      <c r="O29" s="1430"/>
      <c r="P29" s="277" t="s">
        <v>61</v>
      </c>
      <c r="Q29" s="1419" t="s">
        <v>57</v>
      </c>
      <c r="R29" s="1420"/>
      <c r="S29" s="131"/>
      <c r="T29" s="37"/>
      <c r="U29" s="138"/>
    </row>
    <row r="30" spans="1:21">
      <c r="A30" s="615"/>
      <c r="B30" s="611" t="s">
        <v>18</v>
      </c>
      <c r="C30" s="23" t="s">
        <v>60</v>
      </c>
      <c r="D30" s="23" t="s">
        <v>62</v>
      </c>
      <c r="E30" s="9"/>
      <c r="F30" s="72"/>
      <c r="G30" s="72"/>
      <c r="H30" s="72"/>
      <c r="I30" s="37"/>
      <c r="J30" s="261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37"/>
      <c r="U30" s="138"/>
    </row>
    <row r="31" spans="1:21" ht="13.5" thickBot="1">
      <c r="A31" s="615"/>
      <c r="B31" s="361"/>
      <c r="C31" s="353">
        <f>VLOOKUP(C$2,Monitor_Costs,4,FALSE)</f>
        <v>750</v>
      </c>
      <c r="D31" s="34">
        <f>VLOOKUP(C$2,Monitor_Costs,5,FALSE)</f>
        <v>2013</v>
      </c>
      <c r="E31" s="4"/>
      <c r="F31" s="12"/>
      <c r="G31" s="4"/>
      <c r="H31" s="361"/>
      <c r="I31" s="363"/>
      <c r="J31" s="355">
        <f>HLOOKUP($D$31,InflationTable,2)*$C$31</f>
        <v>898.5</v>
      </c>
      <c r="K31" s="355">
        <f>J31*$L$4</f>
        <v>74575.5</v>
      </c>
      <c r="L31" s="308">
        <f>K31</f>
        <v>74575.5</v>
      </c>
      <c r="M31" s="171">
        <f>HLOOKUP($D$31,InflationTable,3)*$C$31</f>
        <v>917.25000000000011</v>
      </c>
      <c r="N31" s="357">
        <f>M31*$O$4</f>
        <v>76131.750000000015</v>
      </c>
      <c r="O31" s="95">
        <f>N31</f>
        <v>76131.750000000015</v>
      </c>
      <c r="P31" s="355">
        <f>HLOOKUP($D$31,InflationTable,4)*$C$31</f>
        <v>935.25000000000011</v>
      </c>
      <c r="Q31" s="355">
        <f>P31*$R$4</f>
        <v>77625.750000000015</v>
      </c>
      <c r="R31" s="308">
        <f>Q31</f>
        <v>77625.750000000015</v>
      </c>
      <c r="S31" s="359" t="s">
        <v>12</v>
      </c>
      <c r="T31" s="360">
        <f>AVERAGE(L31,O31,R31)</f>
        <v>76111</v>
      </c>
      <c r="U31" s="142" t="s">
        <v>12</v>
      </c>
    </row>
    <row r="32" spans="1:21">
      <c r="A32" s="615"/>
      <c r="B32" s="465" t="s">
        <v>23</v>
      </c>
      <c r="C32" s="107" t="s">
        <v>45</v>
      </c>
      <c r="D32" s="108" t="s">
        <v>46</v>
      </c>
      <c r="E32" s="107" t="s">
        <v>47</v>
      </c>
      <c r="F32" s="107" t="s">
        <v>48</v>
      </c>
      <c r="G32" s="107" t="s">
        <v>49</v>
      </c>
      <c r="H32" s="107" t="s">
        <v>50</v>
      </c>
      <c r="I32" s="350" t="s">
        <v>74</v>
      </c>
      <c r="J32" s="352"/>
      <c r="K32" s="352"/>
      <c r="L32" s="356"/>
      <c r="M32" s="110"/>
      <c r="N32" s="108"/>
      <c r="O32" s="111"/>
      <c r="P32" s="352"/>
      <c r="Q32" s="352"/>
      <c r="R32" s="356"/>
      <c r="S32" s="123"/>
      <c r="T32" s="37"/>
      <c r="U32" s="138"/>
    </row>
    <row r="33" spans="1:21">
      <c r="A33" s="615"/>
      <c r="B33" s="614" t="s">
        <v>4</v>
      </c>
      <c r="C33" s="21">
        <v>0</v>
      </c>
      <c r="D33" s="21">
        <v>60</v>
      </c>
      <c r="E33" s="21">
        <v>60</v>
      </c>
      <c r="F33" s="21">
        <v>0</v>
      </c>
      <c r="G33" s="21">
        <v>0</v>
      </c>
      <c r="H33" s="21">
        <v>0</v>
      </c>
      <c r="I33" s="48">
        <f>SUM(C33:H33)</f>
        <v>120</v>
      </c>
      <c r="J33" s="299" t="s">
        <v>12</v>
      </c>
      <c r="K33" s="281">
        <f>I33*$L$4</f>
        <v>9960</v>
      </c>
      <c r="L33" s="289">
        <f>K33</f>
        <v>9960</v>
      </c>
      <c r="M33" s="58" t="s">
        <v>12</v>
      </c>
      <c r="N33" s="69">
        <f>$I$33*$O$4</f>
        <v>9960</v>
      </c>
      <c r="O33" s="68">
        <f>N33</f>
        <v>9960</v>
      </c>
      <c r="P33" s="299" t="s">
        <v>12</v>
      </c>
      <c r="Q33" s="281">
        <f>$I$33*$R$4</f>
        <v>9960</v>
      </c>
      <c r="R33" s="289">
        <f>Q33</f>
        <v>9960</v>
      </c>
      <c r="S33" s="121">
        <f>AVERAGE(L33,O33,R33)</f>
        <v>9960</v>
      </c>
      <c r="T33" s="119" t="s">
        <v>12</v>
      </c>
      <c r="U33" s="140" t="s">
        <v>12</v>
      </c>
    </row>
    <row r="34" spans="1:21" s="1" customFormat="1" ht="13.5" thickBot="1">
      <c r="A34" s="616"/>
      <c r="B34" s="604" t="s">
        <v>8</v>
      </c>
      <c r="C34" s="373">
        <f>ROUND(C33*Labor!$D$3,0)</f>
        <v>0</v>
      </c>
      <c r="D34" s="374">
        <f>ROUND(D33*Labor!$D$4,0)</f>
        <v>2451</v>
      </c>
      <c r="E34" s="374">
        <f>ROUND(E33*Labor!$D$5,0)</f>
        <v>2647</v>
      </c>
      <c r="F34" s="374">
        <f>ROUND(F33*Labor!$D$6,0)</f>
        <v>0</v>
      </c>
      <c r="G34" s="374">
        <f>ROUND(G33*Labor!$D$7,0)</f>
        <v>0</v>
      </c>
      <c r="H34" s="374">
        <f>ROUND(H33*Labor!$D$8,0)</f>
        <v>0</v>
      </c>
      <c r="I34" s="375">
        <f>SUM(C34:H34)</f>
        <v>5098</v>
      </c>
      <c r="J34" s="296">
        <f>HLOOKUP(Labor!$B$11,InflationTable,2)*I34</f>
        <v>6107.4039999999995</v>
      </c>
      <c r="K34" s="296">
        <f>J34*$L$4</f>
        <v>506914.53199999995</v>
      </c>
      <c r="L34" s="390">
        <f>K34</f>
        <v>506914.53199999995</v>
      </c>
      <c r="M34" s="376">
        <f>HLOOKUP(Labor!$B$11,InflationTable,3)*I34</f>
        <v>6234.8540000000003</v>
      </c>
      <c r="N34" s="377">
        <f>M34*$O$4</f>
        <v>517492.88200000004</v>
      </c>
      <c r="O34" s="378">
        <f>N34</f>
        <v>517492.88200000004</v>
      </c>
      <c r="P34" s="296">
        <f>HLOOKUP(Labor!$B$11,InflationTable,4)*$I$34</f>
        <v>6357.2060000000001</v>
      </c>
      <c r="Q34" s="296">
        <f>P34*$R$4</f>
        <v>527648.098</v>
      </c>
      <c r="R34" s="390">
        <f>Q34</f>
        <v>527648.098</v>
      </c>
      <c r="S34" s="211">
        <f>AVERAGE(L34,O34,R34)</f>
        <v>517351.83733333339</v>
      </c>
      <c r="T34" s="393" t="s">
        <v>12</v>
      </c>
      <c r="U34" s="392" t="s">
        <v>12</v>
      </c>
    </row>
    <row r="35" spans="1:21">
      <c r="A35" s="615"/>
      <c r="B35" s="605" t="s">
        <v>66</v>
      </c>
      <c r="C35" s="36">
        <f t="shared" ref="C35:I35" si="7">C33</f>
        <v>0</v>
      </c>
      <c r="D35" s="36">
        <f t="shared" si="7"/>
        <v>60</v>
      </c>
      <c r="E35" s="36">
        <f t="shared" si="7"/>
        <v>60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51">
        <f t="shared" si="7"/>
        <v>120</v>
      </c>
      <c r="J35" s="307" t="s">
        <v>12</v>
      </c>
      <c r="K35" s="302">
        <f>K33</f>
        <v>9960</v>
      </c>
      <c r="L35" s="303">
        <f>L33</f>
        <v>9960</v>
      </c>
      <c r="M35" s="85" t="s">
        <v>12</v>
      </c>
      <c r="N35" s="82">
        <f>N33</f>
        <v>9960</v>
      </c>
      <c r="O35" s="96">
        <f>O33</f>
        <v>9960</v>
      </c>
      <c r="P35" s="301" t="s">
        <v>12</v>
      </c>
      <c r="Q35" s="302">
        <f>Q33</f>
        <v>9960</v>
      </c>
      <c r="R35" s="303">
        <f>R33</f>
        <v>9960</v>
      </c>
      <c r="S35" s="96">
        <f>S33</f>
        <v>9960</v>
      </c>
      <c r="T35" s="136" t="s">
        <v>12</v>
      </c>
      <c r="U35" s="147" t="s">
        <v>12</v>
      </c>
    </row>
    <row r="36" spans="1:21" ht="13.5" thickBot="1">
      <c r="A36" s="615"/>
      <c r="B36" s="606" t="s">
        <v>67</v>
      </c>
      <c r="C36" s="240">
        <f>C34</f>
        <v>0</v>
      </c>
      <c r="D36" s="240">
        <f>D34</f>
        <v>2451</v>
      </c>
      <c r="E36" s="240">
        <f>E34</f>
        <v>2647</v>
      </c>
      <c r="F36" s="240">
        <f>F34</f>
        <v>0</v>
      </c>
      <c r="G36" s="240">
        <f>G34</f>
        <v>0</v>
      </c>
      <c r="H36" s="240">
        <f t="shared" ref="H36" si="8">H35</f>
        <v>0</v>
      </c>
      <c r="I36" s="251">
        <f>I34+C31</f>
        <v>5848</v>
      </c>
      <c r="J36" s="305">
        <f t="shared" ref="J36:R36" si="9">J34+J31</f>
        <v>7005.9039999999995</v>
      </c>
      <c r="K36" s="305">
        <f t="shared" si="9"/>
        <v>581490.03199999989</v>
      </c>
      <c r="L36" s="306">
        <f t="shared" si="9"/>
        <v>581490.03199999989</v>
      </c>
      <c r="M36" s="252">
        <f t="shared" si="9"/>
        <v>7152.1040000000003</v>
      </c>
      <c r="N36" s="253">
        <f t="shared" si="9"/>
        <v>593624.6320000001</v>
      </c>
      <c r="O36" s="254">
        <f t="shared" si="9"/>
        <v>593624.6320000001</v>
      </c>
      <c r="P36" s="304">
        <f t="shared" si="9"/>
        <v>7292.4560000000001</v>
      </c>
      <c r="Q36" s="305">
        <f t="shared" si="9"/>
        <v>605273.848</v>
      </c>
      <c r="R36" s="306">
        <f t="shared" si="9"/>
        <v>605273.848</v>
      </c>
      <c r="S36" s="255">
        <f>AVERAGE(L36,O36,R36)</f>
        <v>593462.83733333333</v>
      </c>
      <c r="T36" s="251">
        <f>T31</f>
        <v>76111</v>
      </c>
      <c r="U36" s="224" t="s">
        <v>12</v>
      </c>
    </row>
    <row r="37" spans="1:21" ht="14.25" thickTop="1" thickBot="1">
      <c r="A37" s="615"/>
      <c r="B37" s="617"/>
      <c r="C37" s="618"/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7"/>
      <c r="O37" s="618"/>
      <c r="P37" s="618"/>
      <c r="Q37" s="618"/>
      <c r="R37" s="618"/>
      <c r="S37" s="618"/>
      <c r="T37" s="618"/>
      <c r="U37" s="620"/>
    </row>
    <row r="38" spans="1:21" ht="16.5" thickTop="1">
      <c r="A38" s="615"/>
      <c r="B38" s="80" t="s">
        <v>24</v>
      </c>
      <c r="C38" s="5"/>
      <c r="D38" s="5"/>
      <c r="E38" s="5"/>
      <c r="F38" s="112" t="s">
        <v>6</v>
      </c>
      <c r="G38" s="1412"/>
      <c r="H38" s="1413"/>
      <c r="I38" s="1414"/>
      <c r="J38" s="181" t="s">
        <v>24</v>
      </c>
      <c r="K38" s="426"/>
      <c r="L38" s="180"/>
      <c r="M38" s="181" t="s">
        <v>24</v>
      </c>
      <c r="N38" s="319"/>
      <c r="O38" s="67"/>
      <c r="P38" s="181" t="s">
        <v>24</v>
      </c>
      <c r="Q38" s="426"/>
      <c r="R38" s="67"/>
      <c r="S38" s="225"/>
      <c r="T38" s="37"/>
      <c r="U38" s="138"/>
    </row>
    <row r="39" spans="1:21">
      <c r="A39" s="615"/>
      <c r="B39" s="5"/>
      <c r="C39" s="5"/>
      <c r="D39" s="5"/>
      <c r="E39" s="5"/>
      <c r="F39" s="112"/>
      <c r="G39" s="1415"/>
      <c r="H39" s="1415"/>
      <c r="I39" s="1416"/>
      <c r="J39" s="277" t="s">
        <v>61</v>
      </c>
      <c r="K39" s="1419" t="s">
        <v>57</v>
      </c>
      <c r="L39" s="1420"/>
      <c r="M39" s="57" t="s">
        <v>61</v>
      </c>
      <c r="N39" s="1429" t="s">
        <v>57</v>
      </c>
      <c r="O39" s="1430"/>
      <c r="P39" s="277" t="s">
        <v>61</v>
      </c>
      <c r="Q39" s="1419" t="s">
        <v>57</v>
      </c>
      <c r="R39" s="1420"/>
      <c r="S39" s="131"/>
      <c r="T39" s="37"/>
      <c r="U39" s="138"/>
    </row>
    <row r="40" spans="1:21">
      <c r="A40" s="615"/>
      <c r="B40" s="611" t="s">
        <v>19</v>
      </c>
      <c r="C40" s="23" t="s">
        <v>60</v>
      </c>
      <c r="D40" s="23" t="s">
        <v>62</v>
      </c>
      <c r="E40" s="9"/>
      <c r="F40" s="72"/>
      <c r="G40" s="72"/>
      <c r="H40" s="72"/>
      <c r="I40" s="73"/>
      <c r="J40" s="260" t="s">
        <v>56</v>
      </c>
      <c r="K40" s="261" t="s">
        <v>13</v>
      </c>
      <c r="L40" s="262" t="s">
        <v>68</v>
      </c>
      <c r="M40" s="77" t="s">
        <v>56</v>
      </c>
      <c r="N40" s="24" t="s">
        <v>13</v>
      </c>
      <c r="O40" s="38" t="s">
        <v>68</v>
      </c>
      <c r="P40" s="260" t="s">
        <v>56</v>
      </c>
      <c r="Q40" s="261" t="s">
        <v>13</v>
      </c>
      <c r="R40" s="262" t="s">
        <v>68</v>
      </c>
      <c r="S40" s="123"/>
      <c r="T40" s="73"/>
      <c r="U40" s="138"/>
    </row>
    <row r="41" spans="1:21" ht="13.5" thickBot="1">
      <c r="A41" s="615"/>
      <c r="B41" s="361"/>
      <c r="C41" s="353">
        <f>VLOOKUP(C$2,Monitor_Costs,6,FALSE)</f>
        <v>2000</v>
      </c>
      <c r="D41" s="34">
        <f>VLOOKUP(C$2,Monitor_Costs,7,FALSE)</f>
        <v>2013</v>
      </c>
      <c r="E41" s="354"/>
      <c r="F41" s="71"/>
      <c r="G41" s="56"/>
      <c r="H41" s="56"/>
      <c r="I41" s="54"/>
      <c r="J41" s="355">
        <f>HLOOKUP(D41,InflationTable,2)*C41</f>
        <v>2396</v>
      </c>
      <c r="K41" s="355">
        <f>J41*$L$4</f>
        <v>198868</v>
      </c>
      <c r="L41" s="308">
        <f>K41</f>
        <v>198868</v>
      </c>
      <c r="M41" s="357">
        <f>HLOOKUP($D$41,InflationTable,3)*$C$41</f>
        <v>2446</v>
      </c>
      <c r="N41" s="357">
        <f>M41*$O$4</f>
        <v>203018</v>
      </c>
      <c r="O41" s="95">
        <f>N41</f>
        <v>203018</v>
      </c>
      <c r="P41" s="358">
        <f>HLOOKUP($D$41,InflationTable,4)*$C$41</f>
        <v>2494</v>
      </c>
      <c r="Q41" s="355">
        <f>P41*$R$4</f>
        <v>207002</v>
      </c>
      <c r="R41" s="308">
        <f>Q41</f>
        <v>207002</v>
      </c>
      <c r="S41" s="359" t="s">
        <v>12</v>
      </c>
      <c r="T41" s="360">
        <f>AVERAGE(L41,O41,R41)</f>
        <v>202962.66666666666</v>
      </c>
      <c r="U41" s="142" t="s">
        <v>12</v>
      </c>
    </row>
    <row r="42" spans="1:21">
      <c r="A42" s="615"/>
      <c r="B42" s="465" t="s">
        <v>25</v>
      </c>
      <c r="C42" s="107" t="s">
        <v>45</v>
      </c>
      <c r="D42" s="108" t="s">
        <v>46</v>
      </c>
      <c r="E42" s="107" t="s">
        <v>47</v>
      </c>
      <c r="F42" s="107" t="s">
        <v>48</v>
      </c>
      <c r="G42" s="107" t="s">
        <v>49</v>
      </c>
      <c r="H42" s="107" t="s">
        <v>50</v>
      </c>
      <c r="I42" s="350" t="s">
        <v>74</v>
      </c>
      <c r="J42" s="351"/>
      <c r="K42" s="352"/>
      <c r="L42" s="356"/>
      <c r="M42" s="110"/>
      <c r="N42" s="108"/>
      <c r="O42" s="111"/>
      <c r="P42" s="351"/>
      <c r="Q42" s="352"/>
      <c r="R42" s="356"/>
      <c r="S42" s="134"/>
      <c r="T42" s="136"/>
      <c r="U42" s="138"/>
    </row>
    <row r="43" spans="1:21">
      <c r="B43" s="566" t="s">
        <v>4</v>
      </c>
      <c r="C43" s="21">
        <v>0</v>
      </c>
      <c r="D43" s="21">
        <v>0</v>
      </c>
      <c r="E43" s="21">
        <v>8</v>
      </c>
      <c r="F43" s="21">
        <v>8</v>
      </c>
      <c r="G43" s="21">
        <v>0</v>
      </c>
      <c r="H43" s="21">
        <v>0</v>
      </c>
      <c r="I43" s="52">
        <f>SUM(C43:H43)</f>
        <v>16</v>
      </c>
      <c r="J43" s="263" t="s">
        <v>12</v>
      </c>
      <c r="K43" s="281">
        <f>I43*$L$4</f>
        <v>1328</v>
      </c>
      <c r="L43" s="289">
        <f>K43</f>
        <v>1328</v>
      </c>
      <c r="M43" s="58" t="s">
        <v>12</v>
      </c>
      <c r="N43" s="69">
        <f>$I$43*$O$4</f>
        <v>1328</v>
      </c>
      <c r="O43" s="68">
        <f>N43</f>
        <v>1328</v>
      </c>
      <c r="P43" s="263" t="s">
        <v>12</v>
      </c>
      <c r="Q43" s="281">
        <f>$I$43*$R$4</f>
        <v>1328</v>
      </c>
      <c r="R43" s="289">
        <f>Q43</f>
        <v>1328</v>
      </c>
      <c r="S43" s="121">
        <f>AVERAGE(L43,O43,R43)</f>
        <v>1328</v>
      </c>
      <c r="T43" s="119" t="s">
        <v>12</v>
      </c>
      <c r="U43" s="140" t="s">
        <v>12</v>
      </c>
    </row>
    <row r="44" spans="1:21" ht="13.5" thickBot="1">
      <c r="B44" s="567" t="s">
        <v>8</v>
      </c>
      <c r="C44" s="34">
        <f>ROUND(C43*Labor!$D$3,0)</f>
        <v>0</v>
      </c>
      <c r="D44" s="35">
        <f>ROUND(D43*Labor!$D$4,0)</f>
        <v>0</v>
      </c>
      <c r="E44" s="35">
        <f>ROUND(E43*Labor!$D$5,0)</f>
        <v>353</v>
      </c>
      <c r="F44" s="35">
        <f>ROUND(F43*Labor!$D$6,0)</f>
        <v>394</v>
      </c>
      <c r="G44" s="35">
        <f>ROUND(G43*Labor!$D$7,0)</f>
        <v>0</v>
      </c>
      <c r="H44" s="35">
        <f>ROUND(H43*Labor!$D$8,0)</f>
        <v>0</v>
      </c>
      <c r="I44" s="39">
        <f>SUM(C44:H44)</f>
        <v>747</v>
      </c>
      <c r="J44" s="292">
        <f>HLOOKUP(Labor!$B$11,InflationTable,2)*I44</f>
        <v>894.90599999999995</v>
      </c>
      <c r="K44" s="269">
        <f>J44*$L$4</f>
        <v>74277.197999999989</v>
      </c>
      <c r="L44" s="308">
        <f>K44</f>
        <v>74277.197999999989</v>
      </c>
      <c r="M44" s="84">
        <f>HLOOKUP(Labor!$B$11,InflationTable,3)*$I$44</f>
        <v>913.58100000000002</v>
      </c>
      <c r="N44" s="63">
        <f>M44*$O$4</f>
        <v>75827.222999999998</v>
      </c>
      <c r="O44" s="95">
        <f>N44</f>
        <v>75827.222999999998</v>
      </c>
      <c r="P44" s="268">
        <f>HLOOKUP(Labor!$B$11,InflationTable,4)*$I$44</f>
        <v>931.50900000000013</v>
      </c>
      <c r="Q44" s="269">
        <f>P44*$O$4</f>
        <v>77315.247000000018</v>
      </c>
      <c r="R44" s="308">
        <f>Q44</f>
        <v>77315.247000000018</v>
      </c>
      <c r="S44" s="128">
        <f>AVERAGE(L44,O44,R44)</f>
        <v>75806.555999999997</v>
      </c>
      <c r="T44" s="149" t="s">
        <v>12</v>
      </c>
      <c r="U44" s="142" t="s">
        <v>12</v>
      </c>
    </row>
    <row r="45" spans="1:21">
      <c r="B45" s="565" t="s">
        <v>117</v>
      </c>
      <c r="C45" s="346">
        <v>0</v>
      </c>
      <c r="D45" s="346">
        <v>0</v>
      </c>
      <c r="E45" s="346">
        <v>30</v>
      </c>
      <c r="F45" s="346">
        <v>40</v>
      </c>
      <c r="G45" s="346">
        <v>0</v>
      </c>
      <c r="H45" s="346">
        <v>0</v>
      </c>
      <c r="I45" s="347">
        <f>SUM(C45:H45)</f>
        <v>70</v>
      </c>
      <c r="J45" s="293" t="s">
        <v>12</v>
      </c>
      <c r="K45" s="327">
        <f>I45*$L$4</f>
        <v>5810</v>
      </c>
      <c r="L45" s="328">
        <f>K45</f>
        <v>5810</v>
      </c>
      <c r="M45" s="61" t="s">
        <v>12</v>
      </c>
      <c r="N45" s="348">
        <f>$I$45*$O$4</f>
        <v>5810</v>
      </c>
      <c r="O45" s="349">
        <f>N45</f>
        <v>5810</v>
      </c>
      <c r="P45" s="293" t="s">
        <v>12</v>
      </c>
      <c r="Q45" s="327">
        <f>$I$45*$R$4</f>
        <v>5810</v>
      </c>
      <c r="R45" s="328">
        <f>Q45</f>
        <v>5810</v>
      </c>
      <c r="S45" s="129">
        <f>AVERAGE(L45,O45,R45)</f>
        <v>5810</v>
      </c>
      <c r="T45" s="119" t="s">
        <v>12</v>
      </c>
      <c r="U45" s="140" t="s">
        <v>12</v>
      </c>
    </row>
    <row r="46" spans="1:21" ht="13.5" thickBot="1">
      <c r="B46" s="568" t="s">
        <v>8</v>
      </c>
      <c r="C46" s="34">
        <f>ROUND(C45*Labor!$D$3,0)</f>
        <v>0</v>
      </c>
      <c r="D46" s="35">
        <f>ROUND(D45*Labor!$D$4,0)</f>
        <v>0</v>
      </c>
      <c r="E46" s="35">
        <f>ROUND(E45*Labor!$D$5,0)</f>
        <v>1324</v>
      </c>
      <c r="F46" s="35">
        <f>ROUND(F45*Labor!$D$6,0)</f>
        <v>1971</v>
      </c>
      <c r="G46" s="35">
        <f>ROUND(G45*Labor!$D$7,0)</f>
        <v>0</v>
      </c>
      <c r="H46" s="35">
        <f>ROUND(H45*Labor!$D$8,0)</f>
        <v>0</v>
      </c>
      <c r="I46" s="39">
        <f>SUM(C46:H46)</f>
        <v>3295</v>
      </c>
      <c r="J46" s="268">
        <f>HLOOKUP(Labor!$B$11,InflationTable,2)*$I$46</f>
        <v>3947.41</v>
      </c>
      <c r="K46" s="269">
        <f>J46*$L$4</f>
        <v>327635.02999999997</v>
      </c>
      <c r="L46" s="308">
        <f>K46</f>
        <v>327635.02999999997</v>
      </c>
      <c r="M46" s="84">
        <f>HLOOKUP(Labor!$B$11,InflationTable,3)*$I$46</f>
        <v>4029.7850000000003</v>
      </c>
      <c r="N46" s="63">
        <f>M46*$O$4</f>
        <v>334472.15500000003</v>
      </c>
      <c r="O46" s="95">
        <f>N46</f>
        <v>334472.15500000003</v>
      </c>
      <c r="P46" s="268">
        <f>HLOOKUP(Labor!$B$11,InflationTable,4)*$I$46</f>
        <v>4108.8650000000007</v>
      </c>
      <c r="Q46" s="269">
        <f>P46*$R$4</f>
        <v>341035.79500000004</v>
      </c>
      <c r="R46" s="308">
        <f>Q46</f>
        <v>341035.79500000004</v>
      </c>
      <c r="S46" s="132">
        <f>AVERAGE(L46,O46,R46)</f>
        <v>334380.99333333335</v>
      </c>
      <c r="T46" s="149" t="s">
        <v>12</v>
      </c>
      <c r="U46" s="142" t="s">
        <v>12</v>
      </c>
    </row>
    <row r="47" spans="1:21">
      <c r="B47" s="560" t="s">
        <v>66</v>
      </c>
      <c r="C47" s="36">
        <f t="shared" ref="C47:I47" si="10">C43+C45</f>
        <v>0</v>
      </c>
      <c r="D47" s="36">
        <f t="shared" si="10"/>
        <v>0</v>
      </c>
      <c r="E47" s="36">
        <f t="shared" si="10"/>
        <v>38</v>
      </c>
      <c r="F47" s="36">
        <f t="shared" si="10"/>
        <v>48</v>
      </c>
      <c r="G47" s="36">
        <f t="shared" si="10"/>
        <v>0</v>
      </c>
      <c r="H47" s="36">
        <f t="shared" si="10"/>
        <v>0</v>
      </c>
      <c r="I47" s="46">
        <f t="shared" si="10"/>
        <v>86</v>
      </c>
      <c r="J47" s="301" t="s">
        <v>12</v>
      </c>
      <c r="K47" s="309">
        <f>K43+K45</f>
        <v>7138</v>
      </c>
      <c r="L47" s="310">
        <f>L43+L45</f>
        <v>7138</v>
      </c>
      <c r="M47" s="85" t="s">
        <v>12</v>
      </c>
      <c r="N47" s="86">
        <f>N43+N45</f>
        <v>7138</v>
      </c>
      <c r="O47" s="97">
        <f>O43+O45</f>
        <v>7138</v>
      </c>
      <c r="P47" s="301" t="s">
        <v>12</v>
      </c>
      <c r="Q47" s="309">
        <f>Q43+Q45</f>
        <v>7138</v>
      </c>
      <c r="R47" s="310">
        <f>R43+R45</f>
        <v>7138</v>
      </c>
      <c r="S47" s="121">
        <f>AVERAGE(L47,O47,R47)</f>
        <v>7138</v>
      </c>
      <c r="T47" s="136" t="s">
        <v>12</v>
      </c>
      <c r="U47" s="148" t="s">
        <v>12</v>
      </c>
    </row>
    <row r="48" spans="1:21" ht="13.5" thickBot="1">
      <c r="B48" s="561" t="s">
        <v>67</v>
      </c>
      <c r="C48" s="240">
        <f t="shared" ref="C48:H48" si="11">C44+C46</f>
        <v>0</v>
      </c>
      <c r="D48" s="240">
        <f t="shared" si="11"/>
        <v>0</v>
      </c>
      <c r="E48" s="240">
        <f t="shared" si="11"/>
        <v>1677</v>
      </c>
      <c r="F48" s="240">
        <f t="shared" si="11"/>
        <v>2365</v>
      </c>
      <c r="G48" s="240">
        <f t="shared" si="11"/>
        <v>0</v>
      </c>
      <c r="H48" s="240">
        <f t="shared" si="11"/>
        <v>0</v>
      </c>
      <c r="I48" s="222">
        <f>I46+I44+C41</f>
        <v>6042</v>
      </c>
      <c r="J48" s="311">
        <f t="shared" ref="J48:R48" si="12">J46+J44+J41</f>
        <v>7238.3159999999998</v>
      </c>
      <c r="K48" s="305">
        <f t="shared" si="12"/>
        <v>600780.22799999989</v>
      </c>
      <c r="L48" s="306">
        <f t="shared" si="12"/>
        <v>600780.22799999989</v>
      </c>
      <c r="M48" s="252">
        <f t="shared" si="12"/>
        <v>7389.366</v>
      </c>
      <c r="N48" s="253">
        <f t="shared" si="12"/>
        <v>613317.37800000003</v>
      </c>
      <c r="O48" s="254">
        <f t="shared" si="12"/>
        <v>613317.37800000003</v>
      </c>
      <c r="P48" s="311">
        <f t="shared" si="12"/>
        <v>7534.3740000000007</v>
      </c>
      <c r="Q48" s="305">
        <f t="shared" si="12"/>
        <v>625353.04200000013</v>
      </c>
      <c r="R48" s="306">
        <f t="shared" si="12"/>
        <v>625353.04200000013</v>
      </c>
      <c r="S48" s="248">
        <f>S46+S44</f>
        <v>410187.54933333333</v>
      </c>
      <c r="T48" s="251">
        <f>T41</f>
        <v>202962.66666666666</v>
      </c>
      <c r="U48" s="224" t="s">
        <v>12</v>
      </c>
    </row>
    <row r="49" spans="2:22" ht="14.25" thickTop="1" thickBot="1">
      <c r="B49" s="555"/>
      <c r="C49" s="618"/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20"/>
    </row>
    <row r="50" spans="2:22" ht="16.5" thickTop="1">
      <c r="B50" s="564" t="s">
        <v>26</v>
      </c>
      <c r="C50" s="5"/>
      <c r="D50" s="5"/>
      <c r="E50" s="5"/>
      <c r="F50" s="112" t="s">
        <v>6</v>
      </c>
      <c r="G50" s="1412"/>
      <c r="H50" s="1413"/>
      <c r="I50" s="1414"/>
      <c r="J50" s="181" t="s">
        <v>26</v>
      </c>
      <c r="K50" s="426"/>
      <c r="L50" s="67"/>
      <c r="M50" s="245" t="s">
        <v>26</v>
      </c>
      <c r="N50" s="426"/>
      <c r="O50" s="426"/>
      <c r="P50" s="245" t="s">
        <v>26</v>
      </c>
      <c r="Q50" s="426"/>
      <c r="R50" s="67"/>
      <c r="S50" s="225"/>
      <c r="T50" s="37"/>
      <c r="U50" s="138"/>
    </row>
    <row r="51" spans="2:22">
      <c r="B51" s="555"/>
      <c r="C51" s="5"/>
      <c r="D51" s="5"/>
      <c r="E51" s="5"/>
      <c r="F51" s="7"/>
      <c r="G51" s="5"/>
      <c r="H51" s="5"/>
      <c r="I51" s="45" t="s">
        <v>61</v>
      </c>
      <c r="J51" s="277" t="s">
        <v>61</v>
      </c>
      <c r="K51" s="1419" t="s">
        <v>57</v>
      </c>
      <c r="L51" s="1420"/>
      <c r="M51" s="57" t="s">
        <v>61</v>
      </c>
      <c r="N51" s="1429" t="s">
        <v>57</v>
      </c>
      <c r="O51" s="1430"/>
      <c r="P51" s="277" t="s">
        <v>61</v>
      </c>
      <c r="Q51" s="1419" t="s">
        <v>57</v>
      </c>
      <c r="R51" s="1420"/>
      <c r="S51" s="131"/>
      <c r="T51" s="37"/>
      <c r="U51" s="138"/>
    </row>
    <row r="52" spans="2:22">
      <c r="B52" s="563" t="s">
        <v>27</v>
      </c>
      <c r="C52" s="23" t="s">
        <v>45</v>
      </c>
      <c r="D52" s="24" t="s">
        <v>46</v>
      </c>
      <c r="E52" s="23" t="s">
        <v>47</v>
      </c>
      <c r="F52" s="23" t="s">
        <v>48</v>
      </c>
      <c r="G52" s="23" t="s">
        <v>49</v>
      </c>
      <c r="H52" s="23" t="s">
        <v>50</v>
      </c>
      <c r="I52" s="45" t="s">
        <v>13</v>
      </c>
      <c r="J52" s="260" t="s">
        <v>56</v>
      </c>
      <c r="K52" s="261" t="s">
        <v>13</v>
      </c>
      <c r="L52" s="262" t="s">
        <v>68</v>
      </c>
      <c r="M52" s="77" t="s">
        <v>56</v>
      </c>
      <c r="N52" s="24" t="s">
        <v>13</v>
      </c>
      <c r="O52" s="38" t="s">
        <v>68</v>
      </c>
      <c r="P52" s="260" t="s">
        <v>56</v>
      </c>
      <c r="Q52" s="261" t="s">
        <v>13</v>
      </c>
      <c r="R52" s="262" t="s">
        <v>68</v>
      </c>
      <c r="S52" s="123"/>
      <c r="T52" s="37"/>
      <c r="U52" s="138"/>
    </row>
    <row r="53" spans="2:22">
      <c r="B53" s="566" t="s">
        <v>4</v>
      </c>
      <c r="C53" s="21">
        <v>0</v>
      </c>
      <c r="D53" s="21">
        <v>0</v>
      </c>
      <c r="E53" s="21">
        <v>8</v>
      </c>
      <c r="F53" s="21">
        <v>8</v>
      </c>
      <c r="G53" s="21">
        <v>4</v>
      </c>
      <c r="H53" s="21">
        <v>0</v>
      </c>
      <c r="I53" s="52">
        <f t="shared" ref="I53:I60" si="13">SUM(C53:H53)</f>
        <v>20</v>
      </c>
      <c r="J53" s="263" t="s">
        <v>12</v>
      </c>
      <c r="K53" s="281">
        <f>I53*$L$4</f>
        <v>1660</v>
      </c>
      <c r="L53" s="289">
        <f t="shared" ref="L53:L60" si="14">K53</f>
        <v>1660</v>
      </c>
      <c r="M53" s="58" t="s">
        <v>12</v>
      </c>
      <c r="N53" s="69">
        <f>$I$53*$O$4</f>
        <v>1660</v>
      </c>
      <c r="O53" s="68">
        <f t="shared" ref="O53:O60" si="15">N53</f>
        <v>1660</v>
      </c>
      <c r="P53" s="263" t="s">
        <v>12</v>
      </c>
      <c r="Q53" s="281">
        <f>$I$53*$R$4</f>
        <v>1660</v>
      </c>
      <c r="R53" s="289">
        <f t="shared" ref="R53:R60" si="16">Q53</f>
        <v>1660</v>
      </c>
      <c r="S53" s="121">
        <f t="shared" ref="S53:S62" si="17">AVERAGE(L53,O53,R53)</f>
        <v>1660</v>
      </c>
      <c r="T53" s="119" t="s">
        <v>12</v>
      </c>
      <c r="U53" s="140" t="s">
        <v>12</v>
      </c>
    </row>
    <row r="54" spans="2:22" ht="13.5" thickBot="1">
      <c r="B54" s="567" t="s">
        <v>8</v>
      </c>
      <c r="C54" s="34">
        <f>ROUND(C53*Labor!$D$3,0)</f>
        <v>0</v>
      </c>
      <c r="D54" s="35">
        <f>ROUND(D53*Labor!$D$4,0)</f>
        <v>0</v>
      </c>
      <c r="E54" s="35">
        <f>ROUND(E53*Labor!$D$5,0)</f>
        <v>353</v>
      </c>
      <c r="F54" s="35">
        <f>ROUND(F53*Labor!$D$6,0)</f>
        <v>394</v>
      </c>
      <c r="G54" s="35">
        <f>ROUND(G53*Labor!$D$7,0)</f>
        <v>222</v>
      </c>
      <c r="H54" s="35">
        <f>ROUND(H53*Labor!$D$8,0)</f>
        <v>0</v>
      </c>
      <c r="I54" s="39">
        <f t="shared" si="13"/>
        <v>969</v>
      </c>
      <c r="J54" s="268">
        <f>HLOOKUP(Labor!$B$11,InflationTable,2)*I54</f>
        <v>1160.8619999999999</v>
      </c>
      <c r="K54" s="269">
        <f>J54*$L$4</f>
        <v>96351.545999999988</v>
      </c>
      <c r="L54" s="308">
        <f t="shared" si="14"/>
        <v>96351.545999999988</v>
      </c>
      <c r="M54" s="84">
        <f>HLOOKUP(Labor!$B$11,InflationTable,3)*$I$54</f>
        <v>1185.087</v>
      </c>
      <c r="N54" s="63">
        <f>M54*$L$4</f>
        <v>98362.221000000005</v>
      </c>
      <c r="O54" s="95">
        <f t="shared" si="15"/>
        <v>98362.221000000005</v>
      </c>
      <c r="P54" s="268">
        <f>HLOOKUP(Labor!$B$11,InflationTable,4)*$I$54</f>
        <v>1208.3430000000001</v>
      </c>
      <c r="Q54" s="269">
        <f>P54*$R$4</f>
        <v>100292.46900000001</v>
      </c>
      <c r="R54" s="308">
        <f t="shared" si="16"/>
        <v>100292.46900000001</v>
      </c>
      <c r="S54" s="128">
        <f t="shared" si="17"/>
        <v>98335.412000000011</v>
      </c>
      <c r="T54" s="149" t="s">
        <v>12</v>
      </c>
      <c r="U54" s="142" t="s">
        <v>12</v>
      </c>
    </row>
    <row r="55" spans="2:22">
      <c r="B55" s="559" t="s">
        <v>114</v>
      </c>
      <c r="C55" s="346">
        <v>0</v>
      </c>
      <c r="D55" s="346">
        <v>0</v>
      </c>
      <c r="E55" s="346">
        <v>3</v>
      </c>
      <c r="F55" s="346">
        <v>4</v>
      </c>
      <c r="G55" s="346">
        <v>3</v>
      </c>
      <c r="H55" s="346">
        <v>0</v>
      </c>
      <c r="I55" s="347">
        <f t="shared" si="13"/>
        <v>10</v>
      </c>
      <c r="J55" s="293" t="s">
        <v>12</v>
      </c>
      <c r="K55" s="327">
        <f>I55*$L$4</f>
        <v>830</v>
      </c>
      <c r="L55" s="328">
        <f t="shared" si="14"/>
        <v>830</v>
      </c>
      <c r="M55" s="61" t="s">
        <v>12</v>
      </c>
      <c r="N55" s="348">
        <f>$I$55*$O$4</f>
        <v>830</v>
      </c>
      <c r="O55" s="349">
        <f t="shared" si="15"/>
        <v>830</v>
      </c>
      <c r="P55" s="293" t="s">
        <v>12</v>
      </c>
      <c r="Q55" s="327">
        <f>$I$55*$R$4</f>
        <v>830</v>
      </c>
      <c r="R55" s="328">
        <f t="shared" si="16"/>
        <v>830</v>
      </c>
      <c r="S55" s="129">
        <f t="shared" si="17"/>
        <v>830</v>
      </c>
      <c r="T55" s="136" t="s">
        <v>12</v>
      </c>
      <c r="U55" s="147" t="s">
        <v>12</v>
      </c>
    </row>
    <row r="56" spans="2:22" ht="13.5" thickBot="1">
      <c r="B56" s="567" t="s">
        <v>8</v>
      </c>
      <c r="C56" s="34">
        <f>ROUND(C55*Labor!$D$3,0)</f>
        <v>0</v>
      </c>
      <c r="D56" s="35">
        <f>ROUND(D55*Labor!$D$4,0)</f>
        <v>0</v>
      </c>
      <c r="E56" s="35">
        <f>ROUND(E55*Labor!$D$5,0)</f>
        <v>132</v>
      </c>
      <c r="F56" s="35">
        <f>ROUND(F55*Labor!$D$6,0)</f>
        <v>197</v>
      </c>
      <c r="G56" s="35">
        <f>ROUND(G55*Labor!$D$7,0)</f>
        <v>166</v>
      </c>
      <c r="H56" s="35">
        <f>ROUND(H55*Labor!$D$8,0)</f>
        <v>0</v>
      </c>
      <c r="I56" s="39">
        <f t="shared" si="13"/>
        <v>495</v>
      </c>
      <c r="J56" s="292">
        <f>HLOOKUP(Labor!$B$11,InflationTable,2)*I56</f>
        <v>593.01</v>
      </c>
      <c r="K56" s="269">
        <f>J56*$L$4</f>
        <v>49219.83</v>
      </c>
      <c r="L56" s="308">
        <f t="shared" si="14"/>
        <v>49219.83</v>
      </c>
      <c r="M56" s="362">
        <f>HLOOKUP(Labor!$B$11,InflationTable,3)*I56</f>
        <v>605.38499999999999</v>
      </c>
      <c r="N56" s="63">
        <f>M56*$O$4</f>
        <v>50246.955000000002</v>
      </c>
      <c r="O56" s="95">
        <f t="shared" si="15"/>
        <v>50246.955000000002</v>
      </c>
      <c r="P56" s="268">
        <f>HLOOKUP(Labor!$B$11,InflationTable,4)*$I$56</f>
        <v>617.2650000000001</v>
      </c>
      <c r="Q56" s="269">
        <f>P56*$R$4</f>
        <v>51232.99500000001</v>
      </c>
      <c r="R56" s="308">
        <f t="shared" si="16"/>
        <v>51232.99500000001</v>
      </c>
      <c r="S56" s="128">
        <f t="shared" si="17"/>
        <v>50233.260000000009</v>
      </c>
      <c r="T56" s="149" t="s">
        <v>12</v>
      </c>
      <c r="U56" s="142" t="s">
        <v>12</v>
      </c>
    </row>
    <row r="57" spans="2:22">
      <c r="B57" s="559" t="s">
        <v>115</v>
      </c>
      <c r="C57" s="346">
        <v>0</v>
      </c>
      <c r="D57" s="346">
        <v>0</v>
      </c>
      <c r="E57" s="346">
        <v>5</v>
      </c>
      <c r="F57" s="346">
        <v>10</v>
      </c>
      <c r="G57" s="346">
        <v>0</v>
      </c>
      <c r="H57" s="346">
        <v>0</v>
      </c>
      <c r="I57" s="347">
        <f t="shared" si="13"/>
        <v>15</v>
      </c>
      <c r="J57" s="293" t="s">
        <v>12</v>
      </c>
      <c r="K57" s="327">
        <f>I57*$L$4</f>
        <v>1245</v>
      </c>
      <c r="L57" s="328">
        <f t="shared" si="14"/>
        <v>1245</v>
      </c>
      <c r="M57" s="61" t="s">
        <v>12</v>
      </c>
      <c r="N57" s="348">
        <f>$I$57*$O$4</f>
        <v>1245</v>
      </c>
      <c r="O57" s="349">
        <f t="shared" si="15"/>
        <v>1245</v>
      </c>
      <c r="P57" s="293" t="s">
        <v>12</v>
      </c>
      <c r="Q57" s="327">
        <f>$I$57*$R$4</f>
        <v>1245</v>
      </c>
      <c r="R57" s="328">
        <f t="shared" si="16"/>
        <v>1245</v>
      </c>
      <c r="S57" s="129">
        <f t="shared" si="17"/>
        <v>1245</v>
      </c>
      <c r="T57" s="136" t="s">
        <v>12</v>
      </c>
      <c r="U57" s="147" t="s">
        <v>12</v>
      </c>
    </row>
    <row r="58" spans="2:22" ht="13.5" thickBot="1">
      <c r="B58" s="567" t="s">
        <v>8</v>
      </c>
      <c r="C58" s="34">
        <f>ROUND(C57*Labor!$D$3,0)</f>
        <v>0</v>
      </c>
      <c r="D58" s="35">
        <f>ROUND(D57*Labor!$D$4,0)</f>
        <v>0</v>
      </c>
      <c r="E58" s="35">
        <f>ROUND(E57*Labor!$D$5,0)</f>
        <v>221</v>
      </c>
      <c r="F58" s="35">
        <f>ROUND(F57*Labor!$D$6,0)</f>
        <v>493</v>
      </c>
      <c r="G58" s="35">
        <f>ROUND(G57*Labor!$D$7,0)</f>
        <v>0</v>
      </c>
      <c r="H58" s="35">
        <f>ROUND(H57*Labor!$D$8,0)</f>
        <v>0</v>
      </c>
      <c r="I58" s="39">
        <f t="shared" si="13"/>
        <v>714</v>
      </c>
      <c r="J58" s="292">
        <f>HLOOKUP(Labor!$B$11,InflationTable,2)*I58</f>
        <v>855.37199999999996</v>
      </c>
      <c r="K58" s="269">
        <f>J58*$L$4</f>
        <v>70995.875999999989</v>
      </c>
      <c r="L58" s="308">
        <f t="shared" si="14"/>
        <v>70995.875999999989</v>
      </c>
      <c r="M58" s="84">
        <f>HLOOKUP(Labor!$B$11,InflationTable,3)*$I$58</f>
        <v>873.22200000000009</v>
      </c>
      <c r="N58" s="63">
        <f>M58*$O$4</f>
        <v>72477.426000000007</v>
      </c>
      <c r="O58" s="95">
        <f t="shared" si="15"/>
        <v>72477.426000000007</v>
      </c>
      <c r="P58" s="268">
        <f>HLOOKUP(Labor!$B$11,InflationTable,4)*$I$58</f>
        <v>890.35800000000006</v>
      </c>
      <c r="Q58" s="269">
        <f>P58*$R$4</f>
        <v>73899.714000000007</v>
      </c>
      <c r="R58" s="308">
        <f t="shared" si="16"/>
        <v>73899.714000000007</v>
      </c>
      <c r="S58" s="128">
        <f t="shared" si="17"/>
        <v>72457.672000000006</v>
      </c>
      <c r="T58" s="149" t="s">
        <v>12</v>
      </c>
      <c r="U58" s="142" t="s">
        <v>12</v>
      </c>
    </row>
    <row r="59" spans="2:22">
      <c r="B59" s="559" t="s">
        <v>116</v>
      </c>
      <c r="C59" s="346">
        <v>0</v>
      </c>
      <c r="D59" s="346">
        <v>0</v>
      </c>
      <c r="E59" s="346">
        <v>2</v>
      </c>
      <c r="F59" s="346">
        <v>3</v>
      </c>
      <c r="G59" s="346">
        <v>0</v>
      </c>
      <c r="H59" s="346">
        <v>0</v>
      </c>
      <c r="I59" s="347">
        <f t="shared" si="13"/>
        <v>5</v>
      </c>
      <c r="J59" s="293" t="s">
        <v>12</v>
      </c>
      <c r="K59" s="327">
        <f>I59*$L$4</f>
        <v>415</v>
      </c>
      <c r="L59" s="328">
        <f t="shared" si="14"/>
        <v>415</v>
      </c>
      <c r="M59" s="61" t="s">
        <v>12</v>
      </c>
      <c r="N59" s="348">
        <f>$I$59*$O$4</f>
        <v>415</v>
      </c>
      <c r="O59" s="349">
        <f t="shared" si="15"/>
        <v>415</v>
      </c>
      <c r="P59" s="293" t="s">
        <v>12</v>
      </c>
      <c r="Q59" s="327">
        <f>$I$59*$R$4</f>
        <v>415</v>
      </c>
      <c r="R59" s="328">
        <f t="shared" si="16"/>
        <v>415</v>
      </c>
      <c r="S59" s="129">
        <f t="shared" si="17"/>
        <v>415</v>
      </c>
      <c r="T59" s="136" t="s">
        <v>12</v>
      </c>
      <c r="U59" s="147" t="s">
        <v>12</v>
      </c>
    </row>
    <row r="60" spans="2:22" ht="13.5" thickBot="1">
      <c r="B60" s="567" t="s">
        <v>8</v>
      </c>
      <c r="C60" s="34">
        <f>ROUND(C59*Labor!$D$3,0)</f>
        <v>0</v>
      </c>
      <c r="D60" s="35">
        <f>ROUND(D59*Labor!$D$4,0)</f>
        <v>0</v>
      </c>
      <c r="E60" s="35">
        <f>ROUND(E59*Labor!$D$5,0)</f>
        <v>88</v>
      </c>
      <c r="F60" s="35">
        <f>ROUND(F59*Labor!$D$6,0)</f>
        <v>148</v>
      </c>
      <c r="G60" s="35">
        <f>ROUND(G59*Labor!$D$7,0)</f>
        <v>0</v>
      </c>
      <c r="H60" s="35">
        <f>ROUND(H59*Labor!$D$8,0)</f>
        <v>0</v>
      </c>
      <c r="I60" s="39">
        <f t="shared" si="13"/>
        <v>236</v>
      </c>
      <c r="J60" s="268">
        <f>HLOOKUP(Labor!$B$11,InflationTable,2)*I60</f>
        <v>282.72800000000001</v>
      </c>
      <c r="K60" s="269">
        <f>J60*$L$4</f>
        <v>23466.423999999999</v>
      </c>
      <c r="L60" s="300">
        <f t="shared" si="14"/>
        <v>23466.423999999999</v>
      </c>
      <c r="M60" s="84">
        <f>HLOOKUP(Labor!$B$11,InflationTable,3)*$I$60</f>
        <v>288.62800000000004</v>
      </c>
      <c r="N60" s="63">
        <f>M60*$O$4</f>
        <v>23956.124000000003</v>
      </c>
      <c r="O60" s="98">
        <f t="shared" si="15"/>
        <v>23956.124000000003</v>
      </c>
      <c r="P60" s="268">
        <f>HLOOKUP(Labor!$B$11,InflationTable,4)*$I$60</f>
        <v>294.29200000000003</v>
      </c>
      <c r="Q60" s="269">
        <f>P60*$R$4</f>
        <v>24426.236000000001</v>
      </c>
      <c r="R60" s="300">
        <f t="shared" si="16"/>
        <v>24426.236000000001</v>
      </c>
      <c r="S60" s="128">
        <f t="shared" si="17"/>
        <v>23949.594666666668</v>
      </c>
      <c r="T60" s="137" t="s">
        <v>12</v>
      </c>
      <c r="U60" s="142" t="s">
        <v>12</v>
      </c>
    </row>
    <row r="61" spans="2:22">
      <c r="B61" s="560" t="s">
        <v>66</v>
      </c>
      <c r="C61" s="36">
        <f t="shared" ref="C61:I62" si="18">C53+C55+C57+C59</f>
        <v>0</v>
      </c>
      <c r="D61" s="36">
        <f t="shared" si="18"/>
        <v>0</v>
      </c>
      <c r="E61" s="36">
        <f t="shared" si="18"/>
        <v>18</v>
      </c>
      <c r="F61" s="36">
        <f t="shared" si="18"/>
        <v>25</v>
      </c>
      <c r="G61" s="36">
        <f t="shared" si="18"/>
        <v>7</v>
      </c>
      <c r="H61" s="36">
        <f t="shared" si="18"/>
        <v>0</v>
      </c>
      <c r="I61" s="46">
        <f t="shared" si="18"/>
        <v>50</v>
      </c>
      <c r="J61" s="301" t="s">
        <v>12</v>
      </c>
      <c r="K61" s="285">
        <f>K53+K55+K57+K59</f>
        <v>4150</v>
      </c>
      <c r="L61" s="312">
        <f>L53+L55+L57+L59</f>
        <v>4150</v>
      </c>
      <c r="M61" s="85" t="s">
        <v>12</v>
      </c>
      <c r="N61" s="33">
        <f>N53+N55+N57+N59</f>
        <v>4150</v>
      </c>
      <c r="O61" s="99">
        <f>O53+O55+O57+O59</f>
        <v>4150</v>
      </c>
      <c r="P61" s="301" t="s">
        <v>12</v>
      </c>
      <c r="Q61" s="285">
        <f>Q53+Q55+Q57+Q59</f>
        <v>4150</v>
      </c>
      <c r="R61" s="312">
        <f>R53+R55+R57+R59</f>
        <v>4150</v>
      </c>
      <c r="S61" s="129">
        <f t="shared" si="17"/>
        <v>4150</v>
      </c>
      <c r="T61" s="136" t="s">
        <v>12</v>
      </c>
      <c r="U61" s="147" t="s">
        <v>12</v>
      </c>
    </row>
    <row r="62" spans="2:22" ht="13.5" thickBot="1">
      <c r="B62" s="561" t="s">
        <v>67</v>
      </c>
      <c r="C62" s="240">
        <f t="shared" si="18"/>
        <v>0</v>
      </c>
      <c r="D62" s="240">
        <f t="shared" si="18"/>
        <v>0</v>
      </c>
      <c r="E62" s="240">
        <f t="shared" si="18"/>
        <v>794</v>
      </c>
      <c r="F62" s="240">
        <f t="shared" si="18"/>
        <v>1232</v>
      </c>
      <c r="G62" s="240">
        <f t="shared" si="18"/>
        <v>388</v>
      </c>
      <c r="H62" s="240">
        <f t="shared" si="18"/>
        <v>0</v>
      </c>
      <c r="I62" s="243">
        <f t="shared" si="18"/>
        <v>2414</v>
      </c>
      <c r="J62" s="313">
        <f>J54+J56+J58+J60</f>
        <v>2891.9719999999998</v>
      </c>
      <c r="K62" s="275">
        <f>K54+K56+K58+K60</f>
        <v>240033.67599999998</v>
      </c>
      <c r="L62" s="276">
        <f>L54+L56+L58+L60</f>
        <v>240033.67599999998</v>
      </c>
      <c r="M62" s="242">
        <f>M54+M56+M58+M60</f>
        <v>2952.3220000000001</v>
      </c>
      <c r="N62" s="240">
        <f>N54+N56+N58+N60</f>
        <v>245042.72600000002</v>
      </c>
      <c r="O62" s="243">
        <f>O54+O56+O58+O60</f>
        <v>245042.72600000002</v>
      </c>
      <c r="P62" s="313">
        <f>P54+P56+P58+P60</f>
        <v>3010.2580000000003</v>
      </c>
      <c r="Q62" s="275">
        <f>Q54+Q56+Q58+Q60</f>
        <v>249851.41400000005</v>
      </c>
      <c r="R62" s="276">
        <f>R54+R56+R58+R60</f>
        <v>249851.41400000005</v>
      </c>
      <c r="S62" s="255">
        <f t="shared" si="17"/>
        <v>244975.93866666671</v>
      </c>
      <c r="T62" s="249" t="s">
        <v>12</v>
      </c>
      <c r="U62" s="224" t="s">
        <v>12</v>
      </c>
    </row>
    <row r="63" spans="2:22" ht="13.5" thickTop="1">
      <c r="B63" s="624"/>
      <c r="C63" s="621"/>
      <c r="D63" s="621"/>
      <c r="E63" s="621"/>
      <c r="F63" s="621"/>
      <c r="G63" s="621"/>
      <c r="H63" s="621"/>
      <c r="I63" s="622"/>
      <c r="J63" s="622"/>
      <c r="K63" s="622"/>
      <c r="L63" s="622"/>
      <c r="M63" s="622"/>
      <c r="N63" s="622"/>
      <c r="O63" s="622"/>
      <c r="P63" s="622"/>
      <c r="Q63" s="622"/>
      <c r="R63" s="622"/>
      <c r="S63" s="625"/>
      <c r="T63" s="626"/>
      <c r="U63" s="627"/>
      <c r="V63" s="5"/>
    </row>
    <row r="64" spans="2:22" ht="13.5" thickBot="1">
      <c r="B64" s="410"/>
      <c r="C64" s="410"/>
      <c r="D64" s="410"/>
      <c r="E64" s="410"/>
      <c r="F64" s="410"/>
      <c r="G64" s="410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  <c r="T64" s="410"/>
      <c r="U64" s="410"/>
      <c r="V64" s="5"/>
    </row>
    <row r="65" spans="2:21" ht="27.75" thickTop="1" thickBot="1">
      <c r="B65" s="564" t="s">
        <v>28</v>
      </c>
      <c r="C65" s="5"/>
      <c r="D65" s="5"/>
      <c r="E65" s="5"/>
      <c r="F65" s="112" t="s">
        <v>6</v>
      </c>
      <c r="G65" s="1412"/>
      <c r="H65" s="1413"/>
      <c r="I65" s="1414"/>
      <c r="J65" s="181" t="s">
        <v>28</v>
      </c>
      <c r="K65" s="426"/>
      <c r="L65" s="67"/>
      <c r="M65" s="181" t="s">
        <v>28</v>
      </c>
      <c r="N65" s="426"/>
      <c r="O65" s="67"/>
      <c r="P65" s="181" t="s">
        <v>28</v>
      </c>
      <c r="Q65" s="426"/>
      <c r="R65" s="67"/>
      <c r="S65" s="546" t="s">
        <v>17</v>
      </c>
      <c r="T65" s="547" t="s">
        <v>103</v>
      </c>
      <c r="U65" s="628" t="s">
        <v>79</v>
      </c>
    </row>
    <row r="66" spans="2:21">
      <c r="B66" s="555"/>
      <c r="C66" s="5"/>
      <c r="D66" s="5"/>
      <c r="E66" s="5"/>
      <c r="F66" s="7"/>
      <c r="G66" s="5"/>
      <c r="H66" s="5"/>
      <c r="I66" s="45" t="s">
        <v>61</v>
      </c>
      <c r="J66" s="277" t="s">
        <v>61</v>
      </c>
      <c r="K66" s="1419" t="s">
        <v>57</v>
      </c>
      <c r="L66" s="1420"/>
      <c r="M66" s="57" t="s">
        <v>61</v>
      </c>
      <c r="N66" s="1429" t="s">
        <v>57</v>
      </c>
      <c r="O66" s="1433"/>
      <c r="P66" s="318" t="s">
        <v>61</v>
      </c>
      <c r="Q66" s="1419" t="s">
        <v>57</v>
      </c>
      <c r="R66" s="1420"/>
      <c r="S66" s="170"/>
      <c r="T66" s="133"/>
      <c r="U66" s="37"/>
    </row>
    <row r="67" spans="2:21">
      <c r="B67" s="557"/>
      <c r="C67" s="23" t="s">
        <v>45</v>
      </c>
      <c r="D67" s="24" t="s">
        <v>46</v>
      </c>
      <c r="E67" s="23" t="s">
        <v>47</v>
      </c>
      <c r="F67" s="23" t="s">
        <v>48</v>
      </c>
      <c r="G67" s="23" t="s">
        <v>49</v>
      </c>
      <c r="H67" s="23" t="s">
        <v>50</v>
      </c>
      <c r="I67" s="45" t="s">
        <v>13</v>
      </c>
      <c r="J67" s="260" t="s">
        <v>56</v>
      </c>
      <c r="K67" s="261" t="s">
        <v>13</v>
      </c>
      <c r="L67" s="262" t="s">
        <v>68</v>
      </c>
      <c r="M67" s="77" t="s">
        <v>56</v>
      </c>
      <c r="N67" s="24" t="s">
        <v>13</v>
      </c>
      <c r="O67" s="38" t="s">
        <v>68</v>
      </c>
      <c r="P67" s="260" t="s">
        <v>56</v>
      </c>
      <c r="Q67" s="261" t="s">
        <v>13</v>
      </c>
      <c r="R67" s="262" t="s">
        <v>68</v>
      </c>
      <c r="S67" s="120"/>
      <c r="T67" s="133"/>
      <c r="U67" s="37"/>
    </row>
    <row r="68" spans="2:21">
      <c r="B68" s="557" t="s">
        <v>111</v>
      </c>
      <c r="C68" s="21">
        <v>0</v>
      </c>
      <c r="D68" s="21">
        <v>0</v>
      </c>
      <c r="E68" s="21">
        <v>0</v>
      </c>
      <c r="F68" s="21">
        <v>36</v>
      </c>
      <c r="G68" s="21">
        <v>36</v>
      </c>
      <c r="H68" s="21">
        <v>0</v>
      </c>
      <c r="I68" s="52">
        <f>SUM(C68:H68)</f>
        <v>72</v>
      </c>
      <c r="J68" s="263" t="s">
        <v>12</v>
      </c>
      <c r="K68" s="281">
        <f>I68*$L$4</f>
        <v>5976</v>
      </c>
      <c r="L68" s="289">
        <f>K68</f>
        <v>5976</v>
      </c>
      <c r="M68" s="58" t="s">
        <v>12</v>
      </c>
      <c r="N68" s="69">
        <f>$I$68*$O$4</f>
        <v>5976</v>
      </c>
      <c r="O68" s="68">
        <f>N68</f>
        <v>5976</v>
      </c>
      <c r="P68" s="263" t="s">
        <v>12</v>
      </c>
      <c r="Q68" s="281">
        <f>$I$68*$O$4</f>
        <v>5976</v>
      </c>
      <c r="R68" s="289">
        <f>Q68</f>
        <v>5976</v>
      </c>
      <c r="S68" s="121">
        <f>AVERAGE(L68,O68,R68)</f>
        <v>5976</v>
      </c>
      <c r="T68" s="135" t="s">
        <v>12</v>
      </c>
      <c r="U68" s="136" t="s">
        <v>12</v>
      </c>
    </row>
    <row r="69" spans="2:21" ht="13.5" thickBot="1">
      <c r="B69" s="568" t="s">
        <v>8</v>
      </c>
      <c r="C69" s="34">
        <f>ROUND(C68*Labor!$D$3,0)</f>
        <v>0</v>
      </c>
      <c r="D69" s="35">
        <f>ROUND(D68*Labor!$D$4,0)</f>
        <v>0</v>
      </c>
      <c r="E69" s="35">
        <f>ROUND(E68*Labor!$D$5,0)</f>
        <v>0</v>
      </c>
      <c r="F69" s="35">
        <f>ROUND(F68*Labor!$D$6,0)</f>
        <v>1773</v>
      </c>
      <c r="G69" s="35">
        <f>ROUND(G68*Labor!$D$7,0)</f>
        <v>1997</v>
      </c>
      <c r="H69" s="35">
        <f>ROUND(H68*Labor!$D$8,0)</f>
        <v>0</v>
      </c>
      <c r="I69" s="39">
        <f>SUM(C69:H69)</f>
        <v>3770</v>
      </c>
      <c r="J69" s="268">
        <f>HLOOKUP(Labor!$B$11,InflationTable,2)*I69</f>
        <v>4516.46</v>
      </c>
      <c r="K69" s="269">
        <f>J69*$L$4</f>
        <v>374866.18</v>
      </c>
      <c r="L69" s="308">
        <f>K69</f>
        <v>374866.18</v>
      </c>
      <c r="M69" s="362">
        <f>HLOOKUP(Labor!$B$11,InflationTable,3)*$I$69</f>
        <v>4610.71</v>
      </c>
      <c r="N69" s="63">
        <f>M69*$O$4</f>
        <v>382688.93</v>
      </c>
      <c r="O69" s="95">
        <f>N69</f>
        <v>382688.93</v>
      </c>
      <c r="P69" s="268">
        <f>HLOOKUP(Labor!$B$11,InflationTable,4)*$I69</f>
        <v>4701.1900000000005</v>
      </c>
      <c r="Q69" s="269">
        <f>P69*$R$4</f>
        <v>390198.77</v>
      </c>
      <c r="R69" s="308">
        <f>Q69</f>
        <v>390198.77</v>
      </c>
      <c r="S69" s="128">
        <f>AVERAGE(L69,O69,R69)</f>
        <v>382584.62666666665</v>
      </c>
      <c r="T69" s="137" t="s">
        <v>12</v>
      </c>
      <c r="U69" s="149" t="s">
        <v>12</v>
      </c>
    </row>
    <row r="70" spans="2:21">
      <c r="B70" s="559" t="s">
        <v>110</v>
      </c>
      <c r="C70" s="346">
        <v>0</v>
      </c>
      <c r="D70" s="346">
        <v>24</v>
      </c>
      <c r="E70" s="346">
        <v>24</v>
      </c>
      <c r="F70" s="346">
        <v>0</v>
      </c>
      <c r="G70" s="346">
        <v>0</v>
      </c>
      <c r="H70" s="346">
        <v>0</v>
      </c>
      <c r="I70" s="347">
        <f>SUM(C70:H70)</f>
        <v>48</v>
      </c>
      <c r="J70" s="293" t="s">
        <v>12</v>
      </c>
      <c r="K70" s="327">
        <f>I70*$L$4</f>
        <v>3984</v>
      </c>
      <c r="L70" s="328">
        <f>K70</f>
        <v>3984</v>
      </c>
      <c r="M70" s="61" t="s">
        <v>12</v>
      </c>
      <c r="N70" s="348">
        <f>$I$70*$O$4</f>
        <v>3984</v>
      </c>
      <c r="O70" s="349">
        <f>N70</f>
        <v>3984</v>
      </c>
      <c r="P70" s="293" t="s">
        <v>12</v>
      </c>
      <c r="Q70" s="327">
        <f>$I$70*$O$4</f>
        <v>3984</v>
      </c>
      <c r="R70" s="328">
        <f>Q70</f>
        <v>3984</v>
      </c>
      <c r="S70" s="129">
        <f>AVERAGE(L70,O70,R70)</f>
        <v>3984</v>
      </c>
      <c r="T70" s="135" t="s">
        <v>12</v>
      </c>
      <c r="U70" s="136" t="s">
        <v>12</v>
      </c>
    </row>
    <row r="71" spans="2:21" ht="13.5" thickBot="1">
      <c r="B71" s="568" t="s">
        <v>8</v>
      </c>
      <c r="C71" s="34">
        <f>ROUND(C70*Labor!$D$3,0)</f>
        <v>0</v>
      </c>
      <c r="D71" s="35">
        <f>ROUND(D70*Labor!$D$4,0)</f>
        <v>981</v>
      </c>
      <c r="E71" s="35">
        <f>ROUND(E70*Labor!$D$5,0)</f>
        <v>1059</v>
      </c>
      <c r="F71" s="35">
        <f>ROUND(F70*Labor!$D$6,0)</f>
        <v>0</v>
      </c>
      <c r="G71" s="35">
        <f>ROUND(G70*Labor!$D$7,0)</f>
        <v>0</v>
      </c>
      <c r="H71" s="35">
        <f>ROUND(H70*Labor!$D$8,0)</f>
        <v>0</v>
      </c>
      <c r="I71" s="39">
        <f>SUM(C71:H71)</f>
        <v>2040</v>
      </c>
      <c r="J71" s="268">
        <f>HLOOKUP(Labor!$B$11,InflationTable,2)*I71</f>
        <v>2443.92</v>
      </c>
      <c r="K71" s="269">
        <f>J71*$L$4</f>
        <v>202845.36000000002</v>
      </c>
      <c r="L71" s="308">
        <f>K71</f>
        <v>202845.36000000002</v>
      </c>
      <c r="M71" s="362">
        <f>HLOOKUP(Labor!$B$11,InflationTable,3)*$I$71</f>
        <v>2494.92</v>
      </c>
      <c r="N71" s="63">
        <f>M71*$O$4</f>
        <v>207078.36000000002</v>
      </c>
      <c r="O71" s="95">
        <f>N71</f>
        <v>207078.36000000002</v>
      </c>
      <c r="P71" s="268">
        <f>HLOOKUP(Labor!$B$11,InflationTable,4)*$I71</f>
        <v>2543.88</v>
      </c>
      <c r="Q71" s="269">
        <f>P71*$R$4</f>
        <v>211142.04</v>
      </c>
      <c r="R71" s="308">
        <f>Q71</f>
        <v>211142.04</v>
      </c>
      <c r="S71" s="128">
        <f>AVERAGE(L71,O71,R71)</f>
        <v>207021.92</v>
      </c>
      <c r="T71" s="137" t="s">
        <v>12</v>
      </c>
      <c r="U71" s="149" t="s">
        <v>12</v>
      </c>
    </row>
    <row r="72" spans="2:21">
      <c r="B72" s="559" t="s">
        <v>20</v>
      </c>
      <c r="C72" s="107" t="s">
        <v>45</v>
      </c>
      <c r="D72" s="108" t="s">
        <v>46</v>
      </c>
      <c r="E72" s="107" t="s">
        <v>47</v>
      </c>
      <c r="F72" s="107" t="s">
        <v>48</v>
      </c>
      <c r="G72" s="107" t="s">
        <v>49</v>
      </c>
      <c r="H72" s="107" t="s">
        <v>50</v>
      </c>
      <c r="I72" s="109" t="s">
        <v>13</v>
      </c>
      <c r="J72" s="351"/>
      <c r="K72" s="352"/>
      <c r="L72" s="356"/>
      <c r="M72" s="110" t="s">
        <v>56</v>
      </c>
      <c r="N72" s="108" t="s">
        <v>13</v>
      </c>
      <c r="O72" s="111" t="s">
        <v>68</v>
      </c>
      <c r="P72" s="351" t="s">
        <v>56</v>
      </c>
      <c r="Q72" s="352" t="s">
        <v>13</v>
      </c>
      <c r="R72" s="356" t="s">
        <v>68</v>
      </c>
      <c r="S72" s="123"/>
      <c r="T72" s="133"/>
      <c r="U72" s="37"/>
    </row>
    <row r="73" spans="2:21">
      <c r="B73" s="558" t="s">
        <v>4</v>
      </c>
      <c r="C73" s="21">
        <v>0</v>
      </c>
      <c r="D73" s="21">
        <v>0</v>
      </c>
      <c r="E73" s="21">
        <v>0</v>
      </c>
      <c r="F73" s="21">
        <v>2</v>
      </c>
      <c r="G73" s="21">
        <v>2</v>
      </c>
      <c r="H73" s="21">
        <v>0</v>
      </c>
      <c r="I73" s="52">
        <f t="shared" ref="I73:I78" si="19">SUM(C73:H73)</f>
        <v>4</v>
      </c>
      <c r="J73" s="263" t="s">
        <v>12</v>
      </c>
      <c r="K73" s="281">
        <f>I73*$L$4</f>
        <v>332</v>
      </c>
      <c r="L73" s="289">
        <f t="shared" ref="L73:L78" si="20">K73</f>
        <v>332</v>
      </c>
      <c r="M73" s="58" t="s">
        <v>12</v>
      </c>
      <c r="N73" s="69">
        <f>$I73*$O$4</f>
        <v>332</v>
      </c>
      <c r="O73" s="68">
        <f t="shared" ref="O73:O78" si="21">N73</f>
        <v>332</v>
      </c>
      <c r="P73" s="263" t="s">
        <v>12</v>
      </c>
      <c r="Q73" s="281">
        <f>$I73*$O$4</f>
        <v>332</v>
      </c>
      <c r="R73" s="289">
        <f t="shared" ref="R73:R78" si="22">Q73</f>
        <v>332</v>
      </c>
      <c r="S73" s="121">
        <f t="shared" ref="S73:S78" si="23">AVERAGE(L73,O73,R73)</f>
        <v>332</v>
      </c>
      <c r="T73" s="135" t="s">
        <v>12</v>
      </c>
      <c r="U73" s="136" t="s">
        <v>12</v>
      </c>
    </row>
    <row r="74" spans="2:21" ht="13.5" thickBot="1">
      <c r="B74" s="568" t="s">
        <v>8</v>
      </c>
      <c r="C74" s="34">
        <f>ROUND(C73*Labor!$D$3,0)</f>
        <v>0</v>
      </c>
      <c r="D74" s="35">
        <f>ROUND(D73*Labor!$D$4,0)</f>
        <v>0</v>
      </c>
      <c r="E74" s="35">
        <f>ROUND(E73*Labor!$D$5,0)</f>
        <v>0</v>
      </c>
      <c r="F74" s="35">
        <f>ROUND(F73*Labor!$D$6,0)</f>
        <v>99</v>
      </c>
      <c r="G74" s="35">
        <f>ROUND(G73*Labor!$D$7,0)</f>
        <v>111</v>
      </c>
      <c r="H74" s="35">
        <f>ROUND(H73*Labor!$D$8,0)</f>
        <v>0</v>
      </c>
      <c r="I74" s="39">
        <f t="shared" si="19"/>
        <v>210</v>
      </c>
      <c r="J74" s="268">
        <f>HLOOKUP(Labor!$B$11,InflationTable,2)*I74</f>
        <v>251.57999999999998</v>
      </c>
      <c r="K74" s="269">
        <f>J74*$L$4</f>
        <v>20881.14</v>
      </c>
      <c r="L74" s="308">
        <f t="shared" si="20"/>
        <v>20881.14</v>
      </c>
      <c r="M74" s="362">
        <f>HLOOKUP(Labor!$B$11,InflationTable,3)*$I74</f>
        <v>256.83000000000004</v>
      </c>
      <c r="N74" s="63">
        <f>M74*$O$4</f>
        <v>21316.890000000003</v>
      </c>
      <c r="O74" s="95">
        <f t="shared" si="21"/>
        <v>21316.890000000003</v>
      </c>
      <c r="P74" s="268">
        <f>HLOOKUP(Labor!$B$11,InflationTable,4)*$I74</f>
        <v>261.87</v>
      </c>
      <c r="Q74" s="269">
        <f>P74*$R$4</f>
        <v>21735.21</v>
      </c>
      <c r="R74" s="308">
        <f t="shared" si="22"/>
        <v>21735.21</v>
      </c>
      <c r="S74" s="128">
        <f t="shared" si="23"/>
        <v>21311.079999999998</v>
      </c>
      <c r="T74" s="137" t="s">
        <v>12</v>
      </c>
      <c r="U74" s="149" t="s">
        <v>12</v>
      </c>
    </row>
    <row r="75" spans="2:21">
      <c r="B75" s="559" t="s">
        <v>109</v>
      </c>
      <c r="C75" s="346">
        <v>0</v>
      </c>
      <c r="D75" s="346">
        <v>1</v>
      </c>
      <c r="E75" s="346">
        <v>1</v>
      </c>
      <c r="F75" s="346">
        <v>2</v>
      </c>
      <c r="G75" s="346">
        <v>1</v>
      </c>
      <c r="H75" s="346">
        <v>0</v>
      </c>
      <c r="I75" s="347">
        <f t="shared" si="19"/>
        <v>5</v>
      </c>
      <c r="J75" s="293" t="s">
        <v>12</v>
      </c>
      <c r="K75" s="327">
        <f>I75*$L$4</f>
        <v>415</v>
      </c>
      <c r="L75" s="328">
        <f t="shared" si="20"/>
        <v>415</v>
      </c>
      <c r="M75" s="61" t="s">
        <v>12</v>
      </c>
      <c r="N75" s="348">
        <f>$I75*$O$4</f>
        <v>415</v>
      </c>
      <c r="O75" s="349">
        <f t="shared" si="21"/>
        <v>415</v>
      </c>
      <c r="P75" s="293" t="s">
        <v>12</v>
      </c>
      <c r="Q75" s="327">
        <f>$I75*$O$4</f>
        <v>415</v>
      </c>
      <c r="R75" s="328">
        <f t="shared" si="22"/>
        <v>415</v>
      </c>
      <c r="S75" s="129">
        <f t="shared" si="23"/>
        <v>415</v>
      </c>
      <c r="T75" s="135" t="s">
        <v>12</v>
      </c>
      <c r="U75" s="136" t="s">
        <v>12</v>
      </c>
    </row>
    <row r="76" spans="2:21" ht="13.5" thickBot="1">
      <c r="B76" s="568" t="s">
        <v>8</v>
      </c>
      <c r="C76" s="34">
        <f>ROUND(C75*Labor!$D$3,0)</f>
        <v>0</v>
      </c>
      <c r="D76" s="35">
        <f>ROUND(D75*Labor!$D$4,0)</f>
        <v>41</v>
      </c>
      <c r="E76" s="35">
        <f>ROUND(E75*Labor!$D$5,0)</f>
        <v>44</v>
      </c>
      <c r="F76" s="35">
        <f>ROUND(F75*Labor!$D$6,0)</f>
        <v>99</v>
      </c>
      <c r="G76" s="35">
        <f>ROUND(G75*Labor!$D$7,0)</f>
        <v>55</v>
      </c>
      <c r="H76" s="35">
        <f>ROUND(H75*Labor!$D$8,0)</f>
        <v>0</v>
      </c>
      <c r="I76" s="39">
        <f t="shared" si="19"/>
        <v>239</v>
      </c>
      <c r="J76" s="268">
        <f>HLOOKUP(Labor!$B$11,InflationTable,2)*I76</f>
        <v>286.322</v>
      </c>
      <c r="K76" s="269">
        <f>J76*$L$4</f>
        <v>23764.725999999999</v>
      </c>
      <c r="L76" s="308">
        <f t="shared" si="20"/>
        <v>23764.725999999999</v>
      </c>
      <c r="M76" s="362">
        <f>HLOOKUP(Labor!$B$11,InflationTable,3)*$I76</f>
        <v>292.29700000000003</v>
      </c>
      <c r="N76" s="63">
        <f>M76*$O$4</f>
        <v>24260.651000000002</v>
      </c>
      <c r="O76" s="95">
        <f t="shared" si="21"/>
        <v>24260.651000000002</v>
      </c>
      <c r="P76" s="268">
        <f>HLOOKUP(Labor!$B$11,InflationTable,4)*$I76</f>
        <v>298.03300000000002</v>
      </c>
      <c r="Q76" s="269">
        <f>P76*$R$4</f>
        <v>24736.739000000001</v>
      </c>
      <c r="R76" s="308">
        <f t="shared" si="22"/>
        <v>24736.739000000001</v>
      </c>
      <c r="S76" s="172">
        <f t="shared" si="23"/>
        <v>24254.038666666671</v>
      </c>
      <c r="T76" s="118" t="s">
        <v>12</v>
      </c>
      <c r="U76" s="119" t="s">
        <v>12</v>
      </c>
    </row>
    <row r="77" spans="2:21">
      <c r="B77" s="559" t="s">
        <v>108</v>
      </c>
      <c r="C77" s="346">
        <v>0</v>
      </c>
      <c r="D77" s="346">
        <v>0</v>
      </c>
      <c r="E77" s="346">
        <v>0</v>
      </c>
      <c r="F77" s="346">
        <v>3</v>
      </c>
      <c r="G77" s="346">
        <v>3</v>
      </c>
      <c r="H77" s="346">
        <v>0</v>
      </c>
      <c r="I77" s="347">
        <f t="shared" si="19"/>
        <v>6</v>
      </c>
      <c r="J77" s="293" t="s">
        <v>12</v>
      </c>
      <c r="K77" s="327">
        <f>I77*$L$4</f>
        <v>498</v>
      </c>
      <c r="L77" s="328">
        <f t="shared" si="20"/>
        <v>498</v>
      </c>
      <c r="M77" s="61" t="s">
        <v>12</v>
      </c>
      <c r="N77" s="348">
        <f>$I77*$O$4</f>
        <v>498</v>
      </c>
      <c r="O77" s="349">
        <f t="shared" si="21"/>
        <v>498</v>
      </c>
      <c r="P77" s="293" t="s">
        <v>12</v>
      </c>
      <c r="Q77" s="327">
        <f>$I77*$O$4</f>
        <v>498</v>
      </c>
      <c r="R77" s="328">
        <f t="shared" si="22"/>
        <v>498</v>
      </c>
      <c r="S77" s="121">
        <f t="shared" si="23"/>
        <v>498</v>
      </c>
      <c r="T77" s="135" t="s">
        <v>12</v>
      </c>
      <c r="U77" s="136" t="s">
        <v>12</v>
      </c>
    </row>
    <row r="78" spans="2:21" ht="13.5" thickBot="1">
      <c r="B78" s="568" t="s">
        <v>8</v>
      </c>
      <c r="C78" s="34">
        <f>ROUND(C77*Labor!$D$3,0)</f>
        <v>0</v>
      </c>
      <c r="D78" s="35">
        <f>ROUND(D77*Labor!$D$4,0)</f>
        <v>0</v>
      </c>
      <c r="E78" s="35">
        <f>ROUND(E77*Labor!$D$5,0)</f>
        <v>0</v>
      </c>
      <c r="F78" s="35">
        <f>ROUND(F77*Labor!$D$6,0)</f>
        <v>148</v>
      </c>
      <c r="G78" s="35">
        <f>ROUND(G77*Labor!$D$7,0)</f>
        <v>166</v>
      </c>
      <c r="H78" s="35">
        <f>ROUND(H77*Labor!$D$8,0)</f>
        <v>0</v>
      </c>
      <c r="I78" s="39">
        <f t="shared" si="19"/>
        <v>314</v>
      </c>
      <c r="J78" s="268">
        <f>HLOOKUP(Labor!$B$11,InflationTable,2)*I78</f>
        <v>376.17199999999997</v>
      </c>
      <c r="K78" s="269">
        <f>J78*$L$4</f>
        <v>31222.275999999998</v>
      </c>
      <c r="L78" s="308">
        <f t="shared" si="20"/>
        <v>31222.275999999998</v>
      </c>
      <c r="M78" s="362">
        <f>HLOOKUP(Labor!$B$11,InflationTable,3)*$I78</f>
        <v>384.02200000000005</v>
      </c>
      <c r="N78" s="63">
        <f>M78*$O$4</f>
        <v>31873.826000000005</v>
      </c>
      <c r="O78" s="95">
        <f t="shared" si="21"/>
        <v>31873.826000000005</v>
      </c>
      <c r="P78" s="268">
        <f>HLOOKUP(Labor!$B$11,InflationTable,4)*$I78</f>
        <v>391.55800000000005</v>
      </c>
      <c r="Q78" s="269">
        <f>P78*$R$4</f>
        <v>32499.314000000006</v>
      </c>
      <c r="R78" s="308">
        <f t="shared" si="22"/>
        <v>32499.314000000006</v>
      </c>
      <c r="S78" s="128">
        <f t="shared" si="23"/>
        <v>31865.138666666666</v>
      </c>
      <c r="T78" s="137" t="s">
        <v>12</v>
      </c>
      <c r="U78" s="149" t="s">
        <v>12</v>
      </c>
    </row>
    <row r="79" spans="2:21">
      <c r="B79" s="565" t="s">
        <v>29</v>
      </c>
      <c r="C79" s="107" t="s">
        <v>45</v>
      </c>
      <c r="D79" s="108" t="s">
        <v>46</v>
      </c>
      <c r="E79" s="107" t="s">
        <v>47</v>
      </c>
      <c r="F79" s="107" t="s">
        <v>48</v>
      </c>
      <c r="G79" s="107" t="s">
        <v>49</v>
      </c>
      <c r="H79" s="107" t="s">
        <v>50</v>
      </c>
      <c r="I79" s="109" t="s">
        <v>112</v>
      </c>
      <c r="J79" s="351"/>
      <c r="K79" s="352"/>
      <c r="L79" s="356"/>
      <c r="M79" s="110" t="s">
        <v>113</v>
      </c>
      <c r="N79" s="108" t="s">
        <v>13</v>
      </c>
      <c r="O79" s="111" t="s">
        <v>68</v>
      </c>
      <c r="P79" s="351" t="s">
        <v>113</v>
      </c>
      <c r="Q79" s="352" t="s">
        <v>13</v>
      </c>
      <c r="R79" s="356" t="s">
        <v>68</v>
      </c>
      <c r="S79" s="123"/>
      <c r="T79" s="133"/>
      <c r="U79" s="37"/>
    </row>
    <row r="80" spans="2:21">
      <c r="B80" s="569" t="s">
        <v>51</v>
      </c>
      <c r="C80" s="21">
        <v>0</v>
      </c>
      <c r="D80" s="21">
        <v>0</v>
      </c>
      <c r="E80" s="21">
        <v>0.2</v>
      </c>
      <c r="F80" s="21">
        <v>0.3</v>
      </c>
      <c r="G80" s="21">
        <v>0</v>
      </c>
      <c r="H80" s="21">
        <v>0</v>
      </c>
      <c r="I80" s="52">
        <f>SUM(C80:H80)</f>
        <v>0.5</v>
      </c>
      <c r="J80" s="263" t="s">
        <v>12</v>
      </c>
      <c r="K80" s="314">
        <f>I80*$J$5</f>
        <v>9</v>
      </c>
      <c r="L80" s="289">
        <f>K80</f>
        <v>9</v>
      </c>
      <c r="M80" s="58" t="s">
        <v>12</v>
      </c>
      <c r="N80" s="89">
        <f>$I80*M$5</f>
        <v>9</v>
      </c>
      <c r="O80" s="68">
        <f>N80</f>
        <v>9</v>
      </c>
      <c r="P80" s="263" t="s">
        <v>12</v>
      </c>
      <c r="Q80" s="314">
        <f>$I80*P$5</f>
        <v>9</v>
      </c>
      <c r="R80" s="289">
        <f>Q80</f>
        <v>9</v>
      </c>
      <c r="S80" s="121">
        <f>AVERAGE(L80,O80,R80)</f>
        <v>9</v>
      </c>
      <c r="T80" s="135" t="s">
        <v>12</v>
      </c>
      <c r="U80" s="136" t="s">
        <v>12</v>
      </c>
    </row>
    <row r="81" spans="2:21" ht="13.5" thickBot="1">
      <c r="B81" s="567" t="s">
        <v>107</v>
      </c>
      <c r="C81" s="34">
        <f>ROUND(C80*Labor!$D$3,0)</f>
        <v>0</v>
      </c>
      <c r="D81" s="35">
        <f>ROUND(D80*Labor!$D$4,0)</f>
        <v>0</v>
      </c>
      <c r="E81" s="35">
        <f>ROUND(E80*Labor!$D$5,0)</f>
        <v>9</v>
      </c>
      <c r="F81" s="35">
        <f>ROUND(F80*Labor!$D$6,0)</f>
        <v>15</v>
      </c>
      <c r="G81" s="35">
        <f>ROUND(G80*Labor!$D$7,0)</f>
        <v>0</v>
      </c>
      <c r="H81" s="35">
        <f>ROUND(H80*Labor!$D$8,0)</f>
        <v>0</v>
      </c>
      <c r="I81" s="39">
        <f>SUM(C81:H81)</f>
        <v>24</v>
      </c>
      <c r="J81" s="268">
        <f>HLOOKUP(Labor!$B$11,InflationTable,2)*I81</f>
        <v>28.751999999999999</v>
      </c>
      <c r="K81" s="269">
        <f>J81*$J$5</f>
        <v>517.53599999999994</v>
      </c>
      <c r="L81" s="308">
        <f>K81</f>
        <v>517.53599999999994</v>
      </c>
      <c r="M81" s="362">
        <f>HLOOKUP(Labor!$B$11,InflationTable,3)*$I81</f>
        <v>29.352000000000004</v>
      </c>
      <c r="N81" s="63">
        <f>M81*$M$5</f>
        <v>528.33600000000001</v>
      </c>
      <c r="O81" s="95">
        <f>N81</f>
        <v>528.33600000000001</v>
      </c>
      <c r="P81" s="268">
        <f>HLOOKUP(Labor!$B$11,InflationTable,4)*$I81</f>
        <v>29.928000000000004</v>
      </c>
      <c r="Q81" s="269">
        <f>P81*$P$5</f>
        <v>538.70400000000006</v>
      </c>
      <c r="R81" s="308">
        <f>Q81</f>
        <v>538.70400000000006</v>
      </c>
      <c r="S81" s="132">
        <f>AVERAGE(L81,O81,R81)</f>
        <v>528.19200000000001</v>
      </c>
      <c r="T81" s="137" t="s">
        <v>12</v>
      </c>
      <c r="U81" s="149" t="s">
        <v>12</v>
      </c>
    </row>
    <row r="82" spans="2:21">
      <c r="B82" s="565" t="s">
        <v>106</v>
      </c>
      <c r="C82" s="32"/>
      <c r="D82" s="431" t="s">
        <v>54</v>
      </c>
      <c r="E82" s="28">
        <v>5</v>
      </c>
      <c r="F82" s="7"/>
      <c r="G82" s="5"/>
      <c r="H82" s="5"/>
      <c r="I82" s="109" t="s">
        <v>55</v>
      </c>
      <c r="J82" s="259"/>
      <c r="K82" s="542"/>
      <c r="L82" s="543"/>
      <c r="M82" s="364" t="s">
        <v>55</v>
      </c>
      <c r="N82" s="1431" t="s">
        <v>57</v>
      </c>
      <c r="O82" s="1432"/>
      <c r="P82" s="259" t="s">
        <v>55</v>
      </c>
      <c r="Q82" s="1428" t="s">
        <v>57</v>
      </c>
      <c r="R82" s="1436"/>
      <c r="S82" s="170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</v>
      </c>
      <c r="F83" s="21">
        <v>5</v>
      </c>
      <c r="G83" s="21">
        <v>5</v>
      </c>
      <c r="H83" s="21">
        <v>5</v>
      </c>
      <c r="I83" s="52">
        <f>SUM(C83:H83)</f>
        <v>15</v>
      </c>
      <c r="J83" s="263" t="s">
        <v>12</v>
      </c>
      <c r="K83" s="283">
        <f>I83*$J$5</f>
        <v>270</v>
      </c>
      <c r="L83" s="282">
        <f>K83/$E$82</f>
        <v>54</v>
      </c>
      <c r="M83" s="58" t="s">
        <v>12</v>
      </c>
      <c r="N83" s="60">
        <f>$I$83*$M$5</f>
        <v>270</v>
      </c>
      <c r="O83" s="59">
        <f>N83/$E$82</f>
        <v>54</v>
      </c>
      <c r="P83" s="263" t="s">
        <v>12</v>
      </c>
      <c r="Q83" s="283">
        <f>$I$83*$P$5</f>
        <v>270</v>
      </c>
      <c r="R83" s="282">
        <f>Q83/$E$82</f>
        <v>54</v>
      </c>
      <c r="S83" s="121">
        <f>AVERAGE(L83,O83,R83)</f>
        <v>54</v>
      </c>
      <c r="T83" s="135" t="s">
        <v>12</v>
      </c>
      <c r="U83" s="136" t="s">
        <v>12</v>
      </c>
    </row>
    <row r="84" spans="2:21" ht="13.5" thickBot="1">
      <c r="B84" s="567" t="s">
        <v>105</v>
      </c>
      <c r="C84" s="34">
        <f>ROUND(C83*Labor!$D$3,0)</f>
        <v>0</v>
      </c>
      <c r="D84" s="35">
        <f>ROUND(D83*Labor!$D$4,0)</f>
        <v>0</v>
      </c>
      <c r="E84" s="35">
        <f>ROUND(E83*Labor!$D$5,0)</f>
        <v>0</v>
      </c>
      <c r="F84" s="35">
        <f>ROUND(F83*Labor!$D$6,0)</f>
        <v>246</v>
      </c>
      <c r="G84" s="35">
        <f>ROUND(G83*Labor!$D$7,0)</f>
        <v>277</v>
      </c>
      <c r="H84" s="35">
        <f>ROUND(H83*Labor!$D$8,0)</f>
        <v>293</v>
      </c>
      <c r="I84" s="39">
        <f>SUM(C84:H84)</f>
        <v>816</v>
      </c>
      <c r="J84" s="268">
        <f>HLOOKUP(Labor!$B$11,InflationTable,2)*I84</f>
        <v>977.56799999999998</v>
      </c>
      <c r="K84" s="269">
        <f>J84*$J$5</f>
        <v>17596.223999999998</v>
      </c>
      <c r="L84" s="270">
        <f>K84/$E$82</f>
        <v>3519.2447999999995</v>
      </c>
      <c r="M84" s="91">
        <f>HLOOKUP(Labor!$B$11,InflationTable,3)*$I84</f>
        <v>997.96800000000007</v>
      </c>
      <c r="N84" s="63">
        <f>M84*$M$5</f>
        <v>17963.424000000003</v>
      </c>
      <c r="O84" s="64">
        <f>N84/$E$82</f>
        <v>3592.6848000000005</v>
      </c>
      <c r="P84" s="292">
        <f>HLOOKUP(Labor!$B$11,InflationTable,4)*$I84</f>
        <v>1017.5520000000001</v>
      </c>
      <c r="Q84" s="269">
        <f>P84*$P$5</f>
        <v>18315.936000000002</v>
      </c>
      <c r="R84" s="270">
        <f>Q84/$E$82</f>
        <v>3663.1872000000003</v>
      </c>
      <c r="S84" s="128">
        <f>AVERAGE(L84,O84,R84)</f>
        <v>3591.7055999999998</v>
      </c>
      <c r="T84" s="137" t="s">
        <v>12</v>
      </c>
      <c r="U84" s="149" t="s">
        <v>12</v>
      </c>
    </row>
    <row r="85" spans="2:21">
      <c r="B85" s="560" t="s">
        <v>66</v>
      </c>
      <c r="C85" s="42">
        <f t="shared" ref="C85:I86" si="24">C68+C70+C73+C75+C77+C80+C83</f>
        <v>0</v>
      </c>
      <c r="D85" s="42">
        <f t="shared" si="24"/>
        <v>25</v>
      </c>
      <c r="E85" s="42">
        <f t="shared" si="24"/>
        <v>25.2</v>
      </c>
      <c r="F85" s="42">
        <f t="shared" si="24"/>
        <v>48.3</v>
      </c>
      <c r="G85" s="42">
        <f t="shared" si="24"/>
        <v>47</v>
      </c>
      <c r="H85" s="42">
        <f t="shared" si="24"/>
        <v>5</v>
      </c>
      <c r="I85" s="53">
        <f t="shared" si="24"/>
        <v>150.5</v>
      </c>
      <c r="J85" s="293" t="s">
        <v>12</v>
      </c>
      <c r="K85" s="315" t="s">
        <v>12</v>
      </c>
      <c r="L85" s="316">
        <f>L83+K80+K77+K75+K73+K70+K68</f>
        <v>11268</v>
      </c>
      <c r="M85" s="92" t="s">
        <v>12</v>
      </c>
      <c r="N85" s="42" t="s">
        <v>12</v>
      </c>
      <c r="O85" s="90">
        <f>O83+N80+N77+N75+N73+N70+N68</f>
        <v>11268</v>
      </c>
      <c r="P85" s="293" t="s">
        <v>12</v>
      </c>
      <c r="Q85" s="315" t="s">
        <v>12</v>
      </c>
      <c r="R85" s="316">
        <f>R83+Q80+Q77+Q75+Q73+Q70+Q68</f>
        <v>11268</v>
      </c>
      <c r="S85" s="150">
        <f>AVERAGE(L85,O85,R85)</f>
        <v>11268</v>
      </c>
      <c r="T85" s="133"/>
      <c r="U85" s="37"/>
    </row>
    <row r="86" spans="2:21" ht="13.5" thickBot="1">
      <c r="B86" s="561" t="s">
        <v>67</v>
      </c>
      <c r="C86" s="240">
        <f t="shared" si="24"/>
        <v>0</v>
      </c>
      <c r="D86" s="240">
        <f t="shared" si="24"/>
        <v>1022</v>
      </c>
      <c r="E86" s="240">
        <f t="shared" si="24"/>
        <v>1112</v>
      </c>
      <c r="F86" s="240">
        <f t="shared" si="24"/>
        <v>2380</v>
      </c>
      <c r="G86" s="240">
        <f t="shared" si="24"/>
        <v>2606</v>
      </c>
      <c r="H86" s="240">
        <f t="shared" si="24"/>
        <v>293</v>
      </c>
      <c r="I86" s="243">
        <f t="shared" si="24"/>
        <v>7413</v>
      </c>
      <c r="J86" s="274">
        <f>J69+J71+J74+J76+J78+J81+J84</f>
        <v>8880.7739999999994</v>
      </c>
      <c r="K86" s="317" t="s">
        <v>12</v>
      </c>
      <c r="L86" s="306">
        <f>L84+K81+K78+K76+K74+K71+K69</f>
        <v>657616.4628000001</v>
      </c>
      <c r="M86" s="242">
        <f>M69+M71+M74+M76+M78+M81+M84</f>
        <v>9066.0990000000002</v>
      </c>
      <c r="N86" s="256" t="s">
        <v>12</v>
      </c>
      <c r="O86" s="254">
        <f>O84+N81+N78+N76+N74+N71+N69</f>
        <v>671339.67779999995</v>
      </c>
      <c r="P86" s="274">
        <f>P69+P71+P74+P76+P78+P81+P84</f>
        <v>9244.0110000000004</v>
      </c>
      <c r="Q86" s="317" t="s">
        <v>12</v>
      </c>
      <c r="R86" s="306">
        <f>R84+Q81+Q78+Q76+Q74+Q71+Q69</f>
        <v>684513.96420000005</v>
      </c>
      <c r="S86" s="248">
        <f>AVERAGE(L86,O86,R86)</f>
        <v>671156.70160000003</v>
      </c>
      <c r="T86" s="246"/>
      <c r="U86" s="236"/>
    </row>
    <row r="87" spans="2:21" ht="14.25" thickTop="1" thickBot="1">
      <c r="B87" s="619"/>
      <c r="C87" s="618"/>
      <c r="D87" s="618"/>
      <c r="E87" s="618"/>
      <c r="F87" s="618"/>
      <c r="G87" s="618"/>
      <c r="H87" s="618"/>
      <c r="I87" s="618"/>
      <c r="J87" s="618"/>
      <c r="K87" s="618"/>
      <c r="L87" s="618"/>
      <c r="M87" s="618"/>
      <c r="N87" s="618"/>
      <c r="O87" s="618"/>
      <c r="P87" s="618"/>
      <c r="Q87" s="618"/>
      <c r="R87" s="618"/>
      <c r="S87" s="618"/>
      <c r="T87" s="618"/>
      <c r="U87" s="620"/>
    </row>
    <row r="88" spans="2:21" ht="16.5" thickTop="1">
      <c r="B88" s="562" t="s">
        <v>30</v>
      </c>
      <c r="C88" s="5"/>
      <c r="D88" s="5"/>
      <c r="E88" s="5"/>
      <c r="F88" s="112" t="s">
        <v>6</v>
      </c>
      <c r="G88" s="1412"/>
      <c r="H88" s="1413"/>
      <c r="I88" s="1414"/>
      <c r="J88" s="181" t="s">
        <v>30</v>
      </c>
      <c r="K88" s="426"/>
      <c r="L88" s="67"/>
      <c r="M88" s="181" t="s">
        <v>30</v>
      </c>
      <c r="N88" s="426"/>
      <c r="O88" s="67"/>
      <c r="P88" s="181" t="s">
        <v>30</v>
      </c>
      <c r="Q88" s="319"/>
      <c r="R88" s="180"/>
      <c r="S88" s="225"/>
      <c r="T88" s="133"/>
      <c r="U88" s="37"/>
    </row>
    <row r="89" spans="2:21">
      <c r="B89" s="555"/>
      <c r="C89" s="5"/>
      <c r="D89" s="5"/>
      <c r="E89" s="5"/>
      <c r="F89" s="7"/>
      <c r="G89" s="5"/>
      <c r="H89" s="5"/>
      <c r="I89" s="45" t="s">
        <v>61</v>
      </c>
      <c r="J89" s="277" t="s">
        <v>61</v>
      </c>
      <c r="K89" s="1419" t="s">
        <v>57</v>
      </c>
      <c r="L89" s="1420"/>
      <c r="M89" s="57" t="s">
        <v>61</v>
      </c>
      <c r="N89" s="1429" t="s">
        <v>57</v>
      </c>
      <c r="O89" s="1433"/>
      <c r="P89" s="318" t="s">
        <v>61</v>
      </c>
      <c r="Q89" s="1428" t="s">
        <v>57</v>
      </c>
      <c r="R89" s="1436"/>
      <c r="S89" s="131"/>
      <c r="T89" s="133"/>
      <c r="U89" s="37"/>
    </row>
    <row r="90" spans="2:21">
      <c r="B90" s="563" t="s">
        <v>21</v>
      </c>
      <c r="C90" s="23" t="s">
        <v>45</v>
      </c>
      <c r="D90" s="24" t="s">
        <v>46</v>
      </c>
      <c r="E90" s="23" t="s">
        <v>47</v>
      </c>
      <c r="F90" s="23" t="s">
        <v>48</v>
      </c>
      <c r="G90" s="23" t="s">
        <v>49</v>
      </c>
      <c r="H90" s="23" t="s">
        <v>50</v>
      </c>
      <c r="I90" s="45" t="s">
        <v>13</v>
      </c>
      <c r="J90" s="260" t="s">
        <v>56</v>
      </c>
      <c r="K90" s="261" t="s">
        <v>13</v>
      </c>
      <c r="L90" s="262" t="s">
        <v>68</v>
      </c>
      <c r="M90" s="77" t="s">
        <v>56</v>
      </c>
      <c r="N90" s="24" t="s">
        <v>13</v>
      </c>
      <c r="O90" s="38" t="s">
        <v>68</v>
      </c>
      <c r="P90" s="260" t="s">
        <v>56</v>
      </c>
      <c r="Q90" s="261" t="s">
        <v>13</v>
      </c>
      <c r="R90" s="262" t="s">
        <v>68</v>
      </c>
      <c r="S90" s="123"/>
      <c r="T90" s="133"/>
      <c r="U90" s="37"/>
    </row>
    <row r="91" spans="2:21">
      <c r="B91" s="566" t="s">
        <v>4</v>
      </c>
      <c r="C91" s="21">
        <v>0</v>
      </c>
      <c r="D91" s="21">
        <v>0</v>
      </c>
      <c r="E91" s="21">
        <v>0</v>
      </c>
      <c r="F91" s="21">
        <v>0</v>
      </c>
      <c r="G91" s="21">
        <v>8</v>
      </c>
      <c r="H91" s="21">
        <v>4</v>
      </c>
      <c r="I91" s="52">
        <f>SUM(C91:H91)</f>
        <v>12</v>
      </c>
      <c r="J91" s="263" t="s">
        <v>12</v>
      </c>
      <c r="K91" s="281">
        <f>I91*$L$4</f>
        <v>996</v>
      </c>
      <c r="L91" s="289">
        <f>K91</f>
        <v>996</v>
      </c>
      <c r="M91" s="58" t="s">
        <v>12</v>
      </c>
      <c r="N91" s="69">
        <f>$I91*O$4</f>
        <v>996</v>
      </c>
      <c r="O91" s="59">
        <f>N91</f>
        <v>996</v>
      </c>
      <c r="P91" s="263" t="s">
        <v>12</v>
      </c>
      <c r="Q91" s="281">
        <f>$I91*R$4</f>
        <v>996</v>
      </c>
      <c r="R91" s="289">
        <f>Q91</f>
        <v>996</v>
      </c>
      <c r="S91" s="173">
        <f t="shared" ref="S91:S96" si="25">AVERAGE(L91,O91,R91)</f>
        <v>996</v>
      </c>
      <c r="T91" s="135" t="s">
        <v>12</v>
      </c>
      <c r="U91" s="136" t="s">
        <v>12</v>
      </c>
    </row>
    <row r="92" spans="2:21" ht="13.5" thickBot="1">
      <c r="B92" s="567" t="s">
        <v>8</v>
      </c>
      <c r="C92" s="34">
        <f>ROUND(C91*Labor!$D$3,0)</f>
        <v>0</v>
      </c>
      <c r="D92" s="35">
        <f>ROUND(D91*Labor!$D$4,0)</f>
        <v>0</v>
      </c>
      <c r="E92" s="35">
        <f>ROUND(E91*Labor!$D$5,0)</f>
        <v>0</v>
      </c>
      <c r="F92" s="35">
        <f>ROUND(F91*Labor!$D$6,0)</f>
        <v>0</v>
      </c>
      <c r="G92" s="35">
        <f>ROUND(G91*Labor!$D$7,0)</f>
        <v>444</v>
      </c>
      <c r="H92" s="35">
        <f>ROUND(H91*Labor!$D$8,0)</f>
        <v>234</v>
      </c>
      <c r="I92" s="39">
        <f>SUM(C92:H92)</f>
        <v>678</v>
      </c>
      <c r="J92" s="268">
        <f>HLOOKUP(Labor!$B$11,InflationTable,2)*I92</f>
        <v>812.24399999999991</v>
      </c>
      <c r="K92" s="269">
        <f>J92*$L$4</f>
        <v>67416.251999999993</v>
      </c>
      <c r="L92" s="308">
        <f>K92</f>
        <v>67416.251999999993</v>
      </c>
      <c r="M92" s="84">
        <f>HLOOKUP(Labor!$B$11,InflationTable,3)*$I92</f>
        <v>829.19400000000007</v>
      </c>
      <c r="N92" s="63">
        <f>M92*O$4</f>
        <v>68823.101999999999</v>
      </c>
      <c r="O92" s="64">
        <f>N92</f>
        <v>68823.101999999999</v>
      </c>
      <c r="P92" s="268">
        <f>HLOOKUP(Labor!$B$11,InflationTable,4)*$I92</f>
        <v>845.46600000000012</v>
      </c>
      <c r="Q92" s="269">
        <f>P92*R$4</f>
        <v>70173.678000000014</v>
      </c>
      <c r="R92" s="308">
        <f>Q92</f>
        <v>70173.678000000014</v>
      </c>
      <c r="S92" s="171">
        <f t="shared" si="25"/>
        <v>68804.343999999997</v>
      </c>
      <c r="T92" s="137" t="s">
        <v>12</v>
      </c>
      <c r="U92" s="149" t="s">
        <v>12</v>
      </c>
    </row>
    <row r="93" spans="2:21">
      <c r="B93" s="559" t="s">
        <v>104</v>
      </c>
      <c r="C93" s="346">
        <v>0</v>
      </c>
      <c r="D93" s="346">
        <v>0</v>
      </c>
      <c r="E93" s="346">
        <v>16</v>
      </c>
      <c r="F93" s="346">
        <v>8</v>
      </c>
      <c r="G93" s="346">
        <v>4</v>
      </c>
      <c r="H93" s="346">
        <v>2</v>
      </c>
      <c r="I93" s="347">
        <f>SUM(C93:H93)</f>
        <v>30</v>
      </c>
      <c r="J93" s="293" t="s">
        <v>12</v>
      </c>
      <c r="K93" s="327">
        <f>I93*$L$4</f>
        <v>2490</v>
      </c>
      <c r="L93" s="328">
        <f>K93</f>
        <v>2490</v>
      </c>
      <c r="M93" s="61" t="s">
        <v>12</v>
      </c>
      <c r="N93" s="348">
        <f>$I93*O$4</f>
        <v>2490</v>
      </c>
      <c r="O93" s="349">
        <f>N93</f>
        <v>2490</v>
      </c>
      <c r="P93" s="293" t="s">
        <v>12</v>
      </c>
      <c r="Q93" s="327">
        <f>$I93*R$4</f>
        <v>2490</v>
      </c>
      <c r="R93" s="328">
        <f>Q93</f>
        <v>2490</v>
      </c>
      <c r="S93" s="173">
        <f t="shared" si="25"/>
        <v>2490</v>
      </c>
      <c r="T93" s="135" t="s">
        <v>12</v>
      </c>
      <c r="U93" s="136" t="s">
        <v>12</v>
      </c>
    </row>
    <row r="94" spans="2:21" ht="13.5" thickBot="1">
      <c r="B94" s="568" t="s">
        <v>8</v>
      </c>
      <c r="C94" s="34">
        <f>ROUND(C93*Labor!$D$3,0)</f>
        <v>0</v>
      </c>
      <c r="D94" s="35">
        <f>ROUND(D93*Labor!$D$4,0)</f>
        <v>0</v>
      </c>
      <c r="E94" s="35">
        <f>ROUND(E93*Labor!$D$5,0)</f>
        <v>706</v>
      </c>
      <c r="F94" s="35">
        <f>ROUND(F93*Labor!$D$6,0)</f>
        <v>394</v>
      </c>
      <c r="G94" s="35">
        <f>ROUND(G93*Labor!$D$7,0)</f>
        <v>222</v>
      </c>
      <c r="H94" s="35">
        <f>ROUND(H93*Labor!$D$8,0)</f>
        <v>117</v>
      </c>
      <c r="I94" s="39">
        <f>SUM(C94:H94)</f>
        <v>1439</v>
      </c>
      <c r="J94" s="268">
        <f>HLOOKUP(Labor!$B$11,InflationTable,2)*I94</f>
        <v>1723.922</v>
      </c>
      <c r="K94" s="269">
        <f>J94*$L$4</f>
        <v>143085.52600000001</v>
      </c>
      <c r="L94" s="300">
        <f>K94</f>
        <v>143085.52600000001</v>
      </c>
      <c r="M94" s="84">
        <f>HLOOKUP(Labor!$B$11,InflationTable,3)*$I94</f>
        <v>1759.8970000000002</v>
      </c>
      <c r="N94" s="63">
        <f>M94*O$4</f>
        <v>146071.451</v>
      </c>
      <c r="O94" s="64">
        <f>N94</f>
        <v>146071.451</v>
      </c>
      <c r="P94" s="292">
        <f>HLOOKUP(Labor!$B$11,InflationTable,4)*$I94</f>
        <v>1794.4330000000002</v>
      </c>
      <c r="Q94" s="269">
        <f>P94*R$4</f>
        <v>148937.93900000001</v>
      </c>
      <c r="R94" s="300">
        <f>Q94</f>
        <v>148937.93900000001</v>
      </c>
      <c r="S94" s="128">
        <f t="shared" si="25"/>
        <v>146031.63866666667</v>
      </c>
      <c r="T94" s="137" t="s">
        <v>12</v>
      </c>
      <c r="U94" s="149" t="s">
        <v>12</v>
      </c>
    </row>
    <row r="95" spans="2:21">
      <c r="B95" s="560" t="s">
        <v>66</v>
      </c>
      <c r="C95" s="36">
        <f t="shared" ref="C95:I96" si="26">C91+C93</f>
        <v>0</v>
      </c>
      <c r="D95" s="36">
        <f t="shared" si="26"/>
        <v>0</v>
      </c>
      <c r="E95" s="36">
        <f t="shared" si="26"/>
        <v>16</v>
      </c>
      <c r="F95" s="36">
        <f t="shared" si="26"/>
        <v>8</v>
      </c>
      <c r="G95" s="36">
        <f t="shared" si="26"/>
        <v>12</v>
      </c>
      <c r="H95" s="36">
        <f t="shared" si="26"/>
        <v>6</v>
      </c>
      <c r="I95" s="46">
        <f t="shared" si="26"/>
        <v>42</v>
      </c>
      <c r="J95" s="301" t="s">
        <v>12</v>
      </c>
      <c r="K95" s="320">
        <f>K91+K93</f>
        <v>3486</v>
      </c>
      <c r="L95" s="321">
        <f>L91+L93</f>
        <v>3486</v>
      </c>
      <c r="M95" s="85" t="s">
        <v>12</v>
      </c>
      <c r="N95" s="36">
        <f>N91+N93</f>
        <v>3486</v>
      </c>
      <c r="O95" s="100">
        <f>O91+O93</f>
        <v>3486</v>
      </c>
      <c r="P95" s="301" t="s">
        <v>12</v>
      </c>
      <c r="Q95" s="320">
        <f>Q91+Q93</f>
        <v>3486</v>
      </c>
      <c r="R95" s="322">
        <f>R91+R93</f>
        <v>3486</v>
      </c>
      <c r="S95" s="121">
        <f t="shared" si="25"/>
        <v>3486</v>
      </c>
      <c r="T95" s="135" t="s">
        <v>12</v>
      </c>
      <c r="U95" s="136" t="s">
        <v>12</v>
      </c>
    </row>
    <row r="96" spans="2:21" ht="13.5" thickBot="1">
      <c r="B96" s="561" t="s">
        <v>67</v>
      </c>
      <c r="C96" s="240">
        <f t="shared" si="26"/>
        <v>0</v>
      </c>
      <c r="D96" s="240">
        <f t="shared" si="26"/>
        <v>0</v>
      </c>
      <c r="E96" s="240">
        <f t="shared" si="26"/>
        <v>706</v>
      </c>
      <c r="F96" s="240">
        <f t="shared" si="26"/>
        <v>394</v>
      </c>
      <c r="G96" s="240">
        <f t="shared" si="26"/>
        <v>666</v>
      </c>
      <c r="H96" s="240">
        <f t="shared" si="26"/>
        <v>351</v>
      </c>
      <c r="I96" s="243">
        <f t="shared" si="26"/>
        <v>2117</v>
      </c>
      <c r="J96" s="274">
        <f>J92+J94</f>
        <v>2536.1660000000002</v>
      </c>
      <c r="K96" s="275">
        <f>K92+K94</f>
        <v>210501.77799999999</v>
      </c>
      <c r="L96" s="276">
        <f>L92+L94</f>
        <v>210501.77799999999</v>
      </c>
      <c r="M96" s="242">
        <f>M92+M94</f>
        <v>2589.0910000000003</v>
      </c>
      <c r="N96" s="240">
        <f>N92+N94</f>
        <v>214894.55300000001</v>
      </c>
      <c r="O96" s="243">
        <f>O92+O94</f>
        <v>214894.55300000001</v>
      </c>
      <c r="P96" s="313">
        <f>P92+P94</f>
        <v>2639.8990000000003</v>
      </c>
      <c r="Q96" s="275">
        <f>Q92+Q94</f>
        <v>219111.61700000003</v>
      </c>
      <c r="R96" s="276">
        <f>R92+R94</f>
        <v>219111.61700000003</v>
      </c>
      <c r="S96" s="257">
        <f t="shared" si="25"/>
        <v>214835.98266666671</v>
      </c>
      <c r="T96" s="258" t="s">
        <v>12</v>
      </c>
      <c r="U96" s="249" t="s">
        <v>12</v>
      </c>
    </row>
    <row r="97" spans="2:22" ht="14.25" thickTop="1" thickBot="1">
      <c r="B97" s="555"/>
      <c r="C97" s="5"/>
      <c r="D97" s="618"/>
      <c r="E97" s="618"/>
      <c r="F97" s="618"/>
      <c r="G97" s="618"/>
      <c r="H97" s="618"/>
      <c r="I97" s="618"/>
      <c r="J97" s="618"/>
      <c r="K97" s="618"/>
      <c r="L97" s="618"/>
      <c r="M97" s="618"/>
      <c r="N97" s="618"/>
      <c r="O97" s="618"/>
      <c r="P97" s="618"/>
      <c r="Q97" s="618"/>
      <c r="R97" s="618"/>
      <c r="S97" s="618"/>
      <c r="T97" s="618"/>
      <c r="U97" s="620"/>
    </row>
    <row r="98" spans="2:22" ht="19.5" thickTop="1" thickBot="1">
      <c r="B98" s="556" t="s">
        <v>121</v>
      </c>
      <c r="C98" s="234" t="str">
        <f>C2</f>
        <v>PAMSSurfMet</v>
      </c>
      <c r="D98" s="5"/>
      <c r="E98" s="4"/>
      <c r="F98" s="12"/>
      <c r="G98" s="4"/>
      <c r="H98" s="4"/>
      <c r="I98" s="41"/>
      <c r="J98" s="233" t="str">
        <f>J2</f>
        <v>Year 1</v>
      </c>
      <c r="K98" s="233">
        <f>K2</f>
        <v>2013</v>
      </c>
      <c r="L98" s="83"/>
      <c r="M98" s="79" t="str">
        <f>M2</f>
        <v>Year 2</v>
      </c>
      <c r="N98" s="79">
        <f>N2</f>
        <v>2014</v>
      </c>
      <c r="O98" s="41"/>
      <c r="P98" s="233" t="str">
        <f>P2</f>
        <v>Year 3</v>
      </c>
      <c r="Q98" s="233">
        <f>Q2</f>
        <v>2015</v>
      </c>
      <c r="R98" s="83"/>
      <c r="S98" s="152"/>
      <c r="T98" s="130"/>
      <c r="U98" s="570"/>
    </row>
    <row r="99" spans="2:22" ht="13.5" thickBot="1">
      <c r="B99" s="555"/>
      <c r="C99" s="194" t="s">
        <v>45</v>
      </c>
      <c r="D99" s="190" t="s">
        <v>46</v>
      </c>
      <c r="E99" s="187" t="s">
        <v>47</v>
      </c>
      <c r="F99" s="202" t="s">
        <v>48</v>
      </c>
      <c r="G99" s="201" t="s">
        <v>49</v>
      </c>
      <c r="H99" s="187" t="s">
        <v>50</v>
      </c>
      <c r="I99" s="188" t="s">
        <v>13</v>
      </c>
      <c r="J99" s="323" t="s">
        <v>56</v>
      </c>
      <c r="K99" s="324" t="s">
        <v>13</v>
      </c>
      <c r="L99" s="325" t="s">
        <v>68</v>
      </c>
      <c r="M99" s="189" t="s">
        <v>56</v>
      </c>
      <c r="N99" s="190" t="s">
        <v>13</v>
      </c>
      <c r="O99" s="191" t="s">
        <v>68</v>
      </c>
      <c r="P99" s="323" t="s">
        <v>56</v>
      </c>
      <c r="Q99" s="324" t="s">
        <v>13</v>
      </c>
      <c r="R99" s="325" t="s">
        <v>68</v>
      </c>
      <c r="S99" s="192"/>
      <c r="T99" s="193"/>
      <c r="U99" s="571"/>
      <c r="V99" s="5"/>
    </row>
    <row r="100" spans="2:22">
      <c r="B100" s="572" t="s">
        <v>97</v>
      </c>
      <c r="C100" s="196">
        <f t="shared" ref="C100:S100" si="27">C12</f>
        <v>0</v>
      </c>
      <c r="D100" s="184">
        <f t="shared" si="27"/>
        <v>0</v>
      </c>
      <c r="E100" s="184">
        <f t="shared" si="27"/>
        <v>0</v>
      </c>
      <c r="F100" s="184">
        <f t="shared" si="27"/>
        <v>5</v>
      </c>
      <c r="G100" s="184">
        <f t="shared" si="27"/>
        <v>12</v>
      </c>
      <c r="H100" s="184">
        <f t="shared" si="27"/>
        <v>2</v>
      </c>
      <c r="I100" s="185">
        <f t="shared" si="27"/>
        <v>19</v>
      </c>
      <c r="J100" s="326" t="str">
        <f t="shared" si="27"/>
        <v>NA</v>
      </c>
      <c r="K100" s="327">
        <f t="shared" si="27"/>
        <v>342</v>
      </c>
      <c r="L100" s="328">
        <f t="shared" si="27"/>
        <v>68.400000000000006</v>
      </c>
      <c r="M100" s="186" t="str">
        <f t="shared" si="27"/>
        <v>NA</v>
      </c>
      <c r="N100" s="184">
        <f t="shared" si="27"/>
        <v>342</v>
      </c>
      <c r="O100" s="185">
        <f t="shared" si="27"/>
        <v>68.400000000000006</v>
      </c>
      <c r="P100" s="326" t="str">
        <f t="shared" si="27"/>
        <v>NA</v>
      </c>
      <c r="Q100" s="327">
        <f t="shared" si="27"/>
        <v>342</v>
      </c>
      <c r="R100" s="328">
        <f t="shared" si="27"/>
        <v>68.400000000000006</v>
      </c>
      <c r="S100" s="185">
        <f t="shared" si="27"/>
        <v>68.400000000000006</v>
      </c>
      <c r="T100" s="37"/>
      <c r="U100" s="138"/>
    </row>
    <row r="101" spans="2:22" ht="13.5" thickBot="1">
      <c r="B101" s="573" t="s">
        <v>76</v>
      </c>
      <c r="C101" s="203">
        <f t="shared" ref="C101:S101" si="28">C13</f>
        <v>0</v>
      </c>
      <c r="D101" s="204">
        <f t="shared" si="28"/>
        <v>0</v>
      </c>
      <c r="E101" s="204">
        <f t="shared" si="28"/>
        <v>0</v>
      </c>
      <c r="F101" s="204">
        <f t="shared" si="28"/>
        <v>246</v>
      </c>
      <c r="G101" s="204">
        <f t="shared" si="28"/>
        <v>666</v>
      </c>
      <c r="H101" s="204">
        <f t="shared" si="28"/>
        <v>117</v>
      </c>
      <c r="I101" s="205">
        <f t="shared" si="28"/>
        <v>1029</v>
      </c>
      <c r="J101" s="329">
        <f t="shared" si="28"/>
        <v>1232.742</v>
      </c>
      <c r="K101" s="330">
        <f t="shared" si="28"/>
        <v>22189.356</v>
      </c>
      <c r="L101" s="331">
        <f t="shared" si="28"/>
        <v>4437.8711999999996</v>
      </c>
      <c r="M101" s="203">
        <f t="shared" si="28"/>
        <v>1258.4670000000001</v>
      </c>
      <c r="N101" s="204">
        <f t="shared" si="28"/>
        <v>22652.406000000003</v>
      </c>
      <c r="O101" s="205">
        <f t="shared" si="28"/>
        <v>4530.4812000000002</v>
      </c>
      <c r="P101" s="329">
        <f t="shared" si="28"/>
        <v>1283.163</v>
      </c>
      <c r="Q101" s="330">
        <f t="shared" si="28"/>
        <v>23096.934000000001</v>
      </c>
      <c r="R101" s="331">
        <f t="shared" si="28"/>
        <v>4619.3868000000002</v>
      </c>
      <c r="S101" s="205">
        <f t="shared" si="28"/>
        <v>4529.2464</v>
      </c>
      <c r="T101" s="206" t="str">
        <f>T13</f>
        <v>NA</v>
      </c>
      <c r="U101" s="392" t="s">
        <v>12</v>
      </c>
    </row>
    <row r="102" spans="2:22">
      <c r="B102" s="574" t="s">
        <v>98</v>
      </c>
      <c r="C102" s="196">
        <f t="shared" ref="C102:S102" si="29">C25</f>
        <v>0</v>
      </c>
      <c r="D102" s="184">
        <f t="shared" si="29"/>
        <v>8</v>
      </c>
      <c r="E102" s="184">
        <f t="shared" si="29"/>
        <v>8</v>
      </c>
      <c r="F102" s="184">
        <f t="shared" si="29"/>
        <v>4</v>
      </c>
      <c r="G102" s="184">
        <f t="shared" si="29"/>
        <v>4</v>
      </c>
      <c r="H102" s="184">
        <f t="shared" si="29"/>
        <v>0</v>
      </c>
      <c r="I102" s="185">
        <f t="shared" si="29"/>
        <v>24</v>
      </c>
      <c r="J102" s="326" t="str">
        <f t="shared" si="29"/>
        <v>NA</v>
      </c>
      <c r="K102" s="327">
        <f t="shared" si="29"/>
        <v>2025.2</v>
      </c>
      <c r="L102" s="328">
        <f t="shared" si="29"/>
        <v>405.04</v>
      </c>
      <c r="M102" s="186" t="str">
        <f t="shared" si="29"/>
        <v>NA</v>
      </c>
      <c r="N102" s="184">
        <f t="shared" si="29"/>
        <v>2025.2</v>
      </c>
      <c r="O102" s="185">
        <f t="shared" si="29"/>
        <v>405.04</v>
      </c>
      <c r="P102" s="326" t="str">
        <f t="shared" si="29"/>
        <v>NA</v>
      </c>
      <c r="Q102" s="327">
        <f t="shared" si="29"/>
        <v>2025.2</v>
      </c>
      <c r="R102" s="328">
        <f t="shared" si="29"/>
        <v>405.04</v>
      </c>
      <c r="S102" s="185">
        <f t="shared" si="29"/>
        <v>405.04</v>
      </c>
      <c r="T102" s="37"/>
      <c r="U102" s="138"/>
    </row>
    <row r="103" spans="2:22" ht="13.5" thickBot="1">
      <c r="B103" s="573" t="s">
        <v>76</v>
      </c>
      <c r="C103" s="207">
        <f t="shared" ref="C103:S103" si="30">C26</f>
        <v>0</v>
      </c>
      <c r="D103" s="208">
        <f t="shared" si="30"/>
        <v>327</v>
      </c>
      <c r="E103" s="208">
        <f t="shared" si="30"/>
        <v>353</v>
      </c>
      <c r="F103" s="208">
        <f t="shared" si="30"/>
        <v>197</v>
      </c>
      <c r="G103" s="208">
        <f t="shared" si="30"/>
        <v>222</v>
      </c>
      <c r="H103" s="208">
        <f t="shared" si="30"/>
        <v>0</v>
      </c>
      <c r="I103" s="209">
        <f t="shared" si="30"/>
        <v>1099</v>
      </c>
      <c r="J103" s="332">
        <f t="shared" si="30"/>
        <v>1316.6019999999999</v>
      </c>
      <c r="K103" s="296">
        <f t="shared" si="30"/>
        <v>0</v>
      </c>
      <c r="L103" s="297">
        <f t="shared" si="30"/>
        <v>383202.72655999998</v>
      </c>
      <c r="M103" s="207">
        <f t="shared" si="30"/>
        <v>1344.0770000000002</v>
      </c>
      <c r="N103" s="208">
        <f t="shared" si="30"/>
        <v>0</v>
      </c>
      <c r="O103" s="209">
        <f t="shared" si="30"/>
        <v>390774.12185</v>
      </c>
      <c r="P103" s="332">
        <f t="shared" si="30"/>
        <v>1370.453</v>
      </c>
      <c r="Q103" s="296">
        <f t="shared" si="30"/>
        <v>0</v>
      </c>
      <c r="R103" s="297">
        <f t="shared" si="30"/>
        <v>398442.62465000007</v>
      </c>
      <c r="S103" s="209">
        <f t="shared" si="30"/>
        <v>22444.47322</v>
      </c>
      <c r="T103" s="210" t="str">
        <f>T26</f>
        <v>NA</v>
      </c>
      <c r="U103" s="575">
        <f>U26</f>
        <v>368362.01780000003</v>
      </c>
    </row>
    <row r="104" spans="2:22">
      <c r="B104" s="574" t="s">
        <v>96</v>
      </c>
      <c r="C104" s="197">
        <f t="shared" ref="C104:S104" si="31">C35</f>
        <v>0</v>
      </c>
      <c r="D104" s="25">
        <f t="shared" si="31"/>
        <v>60</v>
      </c>
      <c r="E104" s="25">
        <f t="shared" si="31"/>
        <v>60</v>
      </c>
      <c r="F104" s="25">
        <f t="shared" si="31"/>
        <v>0</v>
      </c>
      <c r="G104" s="25">
        <f t="shared" si="31"/>
        <v>0</v>
      </c>
      <c r="H104" s="25">
        <f t="shared" si="31"/>
        <v>0</v>
      </c>
      <c r="I104" s="198">
        <f t="shared" si="31"/>
        <v>120</v>
      </c>
      <c r="J104" s="333" t="str">
        <f t="shared" si="31"/>
        <v>NA</v>
      </c>
      <c r="K104" s="334">
        <f t="shared" si="31"/>
        <v>9960</v>
      </c>
      <c r="L104" s="335">
        <f t="shared" si="31"/>
        <v>9960</v>
      </c>
      <c r="M104" s="199" t="str">
        <f t="shared" si="31"/>
        <v>NA</v>
      </c>
      <c r="N104" s="25">
        <f t="shared" si="31"/>
        <v>9960</v>
      </c>
      <c r="O104" s="198">
        <f t="shared" si="31"/>
        <v>9960</v>
      </c>
      <c r="P104" s="333" t="str">
        <f t="shared" si="31"/>
        <v>NA</v>
      </c>
      <c r="Q104" s="334">
        <f t="shared" si="31"/>
        <v>9960</v>
      </c>
      <c r="R104" s="335">
        <f t="shared" si="31"/>
        <v>9960</v>
      </c>
      <c r="S104" s="198">
        <f t="shared" si="31"/>
        <v>9960</v>
      </c>
      <c r="T104" s="200" t="str">
        <f>T18</f>
        <v>NA</v>
      </c>
      <c r="U104" s="147" t="s">
        <v>12</v>
      </c>
    </row>
    <row r="105" spans="2:22" ht="13.5" thickBot="1">
      <c r="B105" s="573" t="s">
        <v>76</v>
      </c>
      <c r="C105" s="211">
        <f t="shared" ref="C105:S105" si="32">C36</f>
        <v>0</v>
      </c>
      <c r="D105" s="208">
        <f t="shared" si="32"/>
        <v>2451</v>
      </c>
      <c r="E105" s="208">
        <f t="shared" si="32"/>
        <v>2647</v>
      </c>
      <c r="F105" s="208">
        <f t="shared" si="32"/>
        <v>0</v>
      </c>
      <c r="G105" s="208">
        <f t="shared" si="32"/>
        <v>0</v>
      </c>
      <c r="H105" s="208">
        <f t="shared" si="32"/>
        <v>0</v>
      </c>
      <c r="I105" s="209">
        <f t="shared" si="32"/>
        <v>5848</v>
      </c>
      <c r="J105" s="332">
        <f t="shared" si="32"/>
        <v>7005.9039999999995</v>
      </c>
      <c r="K105" s="296">
        <f t="shared" si="32"/>
        <v>581490.03199999989</v>
      </c>
      <c r="L105" s="297">
        <f t="shared" si="32"/>
        <v>581490.03199999989</v>
      </c>
      <c r="M105" s="207">
        <f t="shared" si="32"/>
        <v>7152.1040000000003</v>
      </c>
      <c r="N105" s="208">
        <f t="shared" si="32"/>
        <v>593624.6320000001</v>
      </c>
      <c r="O105" s="209">
        <f t="shared" si="32"/>
        <v>593624.6320000001</v>
      </c>
      <c r="P105" s="332">
        <f t="shared" si="32"/>
        <v>7292.4560000000001</v>
      </c>
      <c r="Q105" s="296">
        <f t="shared" si="32"/>
        <v>605273.848</v>
      </c>
      <c r="R105" s="297">
        <f t="shared" si="32"/>
        <v>605273.848</v>
      </c>
      <c r="S105" s="209">
        <f t="shared" si="32"/>
        <v>593462.83733333333</v>
      </c>
      <c r="T105" s="209">
        <f>T36</f>
        <v>76111</v>
      </c>
      <c r="U105" s="392" t="s">
        <v>12</v>
      </c>
    </row>
    <row r="106" spans="2:22">
      <c r="B106" s="574" t="s">
        <v>99</v>
      </c>
      <c r="C106" s="197">
        <f t="shared" ref="C106:S106" si="33">C47</f>
        <v>0</v>
      </c>
      <c r="D106" s="25">
        <f t="shared" si="33"/>
        <v>0</v>
      </c>
      <c r="E106" s="25">
        <f t="shared" si="33"/>
        <v>38</v>
      </c>
      <c r="F106" s="25">
        <f t="shared" si="33"/>
        <v>48</v>
      </c>
      <c r="G106" s="25">
        <f t="shared" si="33"/>
        <v>0</v>
      </c>
      <c r="H106" s="25">
        <f t="shared" si="33"/>
        <v>0</v>
      </c>
      <c r="I106" s="198">
        <f t="shared" si="33"/>
        <v>86</v>
      </c>
      <c r="J106" s="333" t="str">
        <f t="shared" si="33"/>
        <v>NA</v>
      </c>
      <c r="K106" s="334">
        <f t="shared" si="33"/>
        <v>7138</v>
      </c>
      <c r="L106" s="335">
        <f t="shared" si="33"/>
        <v>7138</v>
      </c>
      <c r="M106" s="199" t="str">
        <f t="shared" si="33"/>
        <v>NA</v>
      </c>
      <c r="N106" s="25">
        <f t="shared" si="33"/>
        <v>7138</v>
      </c>
      <c r="O106" s="198">
        <f t="shared" si="33"/>
        <v>7138</v>
      </c>
      <c r="P106" s="333" t="str">
        <f t="shared" si="33"/>
        <v>NA</v>
      </c>
      <c r="Q106" s="334">
        <f t="shared" si="33"/>
        <v>7138</v>
      </c>
      <c r="R106" s="335">
        <f t="shared" si="33"/>
        <v>7138</v>
      </c>
      <c r="S106" s="198">
        <f t="shared" si="33"/>
        <v>7138</v>
      </c>
      <c r="T106" s="37"/>
      <c r="U106" s="138"/>
    </row>
    <row r="107" spans="2:22" ht="13.5" thickBot="1">
      <c r="B107" s="573" t="s">
        <v>76</v>
      </c>
      <c r="C107" s="207">
        <f t="shared" ref="C107:S107" si="34">C48</f>
        <v>0</v>
      </c>
      <c r="D107" s="208">
        <f t="shared" si="34"/>
        <v>0</v>
      </c>
      <c r="E107" s="208">
        <f t="shared" si="34"/>
        <v>1677</v>
      </c>
      <c r="F107" s="208">
        <f t="shared" si="34"/>
        <v>2365</v>
      </c>
      <c r="G107" s="208">
        <f t="shared" si="34"/>
        <v>0</v>
      </c>
      <c r="H107" s="208">
        <f t="shared" si="34"/>
        <v>0</v>
      </c>
      <c r="I107" s="209">
        <f t="shared" si="34"/>
        <v>6042</v>
      </c>
      <c r="J107" s="332">
        <f t="shared" si="34"/>
        <v>7238.3159999999998</v>
      </c>
      <c r="K107" s="296">
        <f t="shared" si="34"/>
        <v>600780.22799999989</v>
      </c>
      <c r="L107" s="297">
        <f t="shared" si="34"/>
        <v>600780.22799999989</v>
      </c>
      <c r="M107" s="211">
        <f t="shared" si="34"/>
        <v>7389.366</v>
      </c>
      <c r="N107" s="208">
        <f t="shared" si="34"/>
        <v>613317.37800000003</v>
      </c>
      <c r="O107" s="209">
        <f t="shared" si="34"/>
        <v>613317.37800000003</v>
      </c>
      <c r="P107" s="332">
        <f t="shared" si="34"/>
        <v>7534.3740000000007</v>
      </c>
      <c r="Q107" s="296">
        <f t="shared" si="34"/>
        <v>625353.04200000013</v>
      </c>
      <c r="R107" s="297">
        <f t="shared" si="34"/>
        <v>625353.04200000013</v>
      </c>
      <c r="S107" s="209">
        <f t="shared" si="34"/>
        <v>410187.54933333333</v>
      </c>
      <c r="T107" s="209">
        <f>T48</f>
        <v>202962.66666666666</v>
      </c>
      <c r="U107" s="576" t="s">
        <v>12</v>
      </c>
    </row>
    <row r="108" spans="2:22">
      <c r="B108" s="574" t="s">
        <v>100</v>
      </c>
      <c r="C108" s="197">
        <f t="shared" ref="C108:U108" si="35">C61</f>
        <v>0</v>
      </c>
      <c r="D108" s="25">
        <f t="shared" si="35"/>
        <v>0</v>
      </c>
      <c r="E108" s="25">
        <f t="shared" si="35"/>
        <v>18</v>
      </c>
      <c r="F108" s="25">
        <f t="shared" si="35"/>
        <v>25</v>
      </c>
      <c r="G108" s="25">
        <f t="shared" si="35"/>
        <v>7</v>
      </c>
      <c r="H108" s="25">
        <f t="shared" si="35"/>
        <v>0</v>
      </c>
      <c r="I108" s="198">
        <f t="shared" si="35"/>
        <v>50</v>
      </c>
      <c r="J108" s="333" t="str">
        <f t="shared" si="35"/>
        <v>NA</v>
      </c>
      <c r="K108" s="334">
        <f t="shared" si="35"/>
        <v>4150</v>
      </c>
      <c r="L108" s="335">
        <f t="shared" si="35"/>
        <v>4150</v>
      </c>
      <c r="M108" s="199" t="str">
        <f t="shared" si="35"/>
        <v>NA</v>
      </c>
      <c r="N108" s="25">
        <f t="shared" si="35"/>
        <v>4150</v>
      </c>
      <c r="O108" s="198">
        <f t="shared" si="35"/>
        <v>4150</v>
      </c>
      <c r="P108" s="333" t="str">
        <f t="shared" si="35"/>
        <v>NA</v>
      </c>
      <c r="Q108" s="334">
        <f t="shared" si="35"/>
        <v>4150</v>
      </c>
      <c r="R108" s="335">
        <f t="shared" si="35"/>
        <v>4150</v>
      </c>
      <c r="S108" s="198">
        <f t="shared" si="35"/>
        <v>4150</v>
      </c>
      <c r="T108" s="212" t="str">
        <f t="shared" si="35"/>
        <v>NA</v>
      </c>
      <c r="U108" s="577" t="str">
        <f t="shared" si="35"/>
        <v>NA</v>
      </c>
    </row>
    <row r="109" spans="2:22" ht="13.5" thickBot="1">
      <c r="B109" s="573" t="s">
        <v>76</v>
      </c>
      <c r="C109" s="207">
        <f t="shared" ref="C109:T109" si="36">C62</f>
        <v>0</v>
      </c>
      <c r="D109" s="208">
        <f t="shared" si="36"/>
        <v>0</v>
      </c>
      <c r="E109" s="208">
        <f t="shared" si="36"/>
        <v>794</v>
      </c>
      <c r="F109" s="208">
        <f t="shared" si="36"/>
        <v>1232</v>
      </c>
      <c r="G109" s="208">
        <f t="shared" si="36"/>
        <v>388</v>
      </c>
      <c r="H109" s="208">
        <f t="shared" si="36"/>
        <v>0</v>
      </c>
      <c r="I109" s="209">
        <f t="shared" si="36"/>
        <v>2414</v>
      </c>
      <c r="J109" s="332">
        <f t="shared" si="36"/>
        <v>2891.9719999999998</v>
      </c>
      <c r="K109" s="296">
        <f t="shared" si="36"/>
        <v>240033.67599999998</v>
      </c>
      <c r="L109" s="297">
        <f t="shared" si="36"/>
        <v>240033.67599999998</v>
      </c>
      <c r="M109" s="207">
        <f t="shared" si="36"/>
        <v>2952.3220000000001</v>
      </c>
      <c r="N109" s="208">
        <f t="shared" si="36"/>
        <v>245042.72600000002</v>
      </c>
      <c r="O109" s="209">
        <f t="shared" si="36"/>
        <v>245042.72600000002</v>
      </c>
      <c r="P109" s="339">
        <f t="shared" si="36"/>
        <v>3010.2580000000003</v>
      </c>
      <c r="Q109" s="296">
        <f t="shared" si="36"/>
        <v>249851.41400000005</v>
      </c>
      <c r="R109" s="297">
        <f t="shared" si="36"/>
        <v>249851.41400000005</v>
      </c>
      <c r="S109" s="209">
        <f t="shared" si="36"/>
        <v>244975.93866666671</v>
      </c>
      <c r="T109" s="210" t="str">
        <f t="shared" si="36"/>
        <v>NA</v>
      </c>
      <c r="U109" s="392" t="s">
        <v>12</v>
      </c>
    </row>
    <row r="110" spans="2:22">
      <c r="B110" s="574" t="s">
        <v>101</v>
      </c>
      <c r="C110" s="213">
        <f t="shared" ref="C110:S110" si="37">C85</f>
        <v>0</v>
      </c>
      <c r="D110" s="214">
        <f t="shared" si="37"/>
        <v>25</v>
      </c>
      <c r="E110" s="214">
        <f t="shared" si="37"/>
        <v>25.2</v>
      </c>
      <c r="F110" s="214">
        <f t="shared" si="37"/>
        <v>48.3</v>
      </c>
      <c r="G110" s="214">
        <f t="shared" si="37"/>
        <v>47</v>
      </c>
      <c r="H110" s="214">
        <f t="shared" si="37"/>
        <v>5</v>
      </c>
      <c r="I110" s="215">
        <f t="shared" si="37"/>
        <v>150.5</v>
      </c>
      <c r="J110" s="336" t="str">
        <f t="shared" si="37"/>
        <v>NA</v>
      </c>
      <c r="K110" s="337" t="str">
        <f t="shared" si="37"/>
        <v>NA</v>
      </c>
      <c r="L110" s="294">
        <f t="shared" si="37"/>
        <v>11268</v>
      </c>
      <c r="M110" s="216" t="str">
        <f t="shared" si="37"/>
        <v>NA</v>
      </c>
      <c r="N110" s="217" t="str">
        <f t="shared" si="37"/>
        <v>NA</v>
      </c>
      <c r="O110" s="215">
        <f t="shared" si="37"/>
        <v>11268</v>
      </c>
      <c r="P110" s="336" t="str">
        <f t="shared" si="37"/>
        <v>NA</v>
      </c>
      <c r="Q110" s="337" t="str">
        <f t="shared" si="37"/>
        <v>NA</v>
      </c>
      <c r="R110" s="294">
        <f t="shared" si="37"/>
        <v>11268</v>
      </c>
      <c r="S110" s="215">
        <f t="shared" si="37"/>
        <v>11268</v>
      </c>
      <c r="T110" s="136" t="s">
        <v>12</v>
      </c>
      <c r="U110" s="147" t="s">
        <v>12</v>
      </c>
    </row>
    <row r="111" spans="2:22" ht="13.5" thickBot="1">
      <c r="B111" s="573" t="s">
        <v>76</v>
      </c>
      <c r="C111" s="207">
        <f t="shared" ref="C111:S111" si="38">C86</f>
        <v>0</v>
      </c>
      <c r="D111" s="208">
        <f t="shared" si="38"/>
        <v>1022</v>
      </c>
      <c r="E111" s="208">
        <f t="shared" si="38"/>
        <v>1112</v>
      </c>
      <c r="F111" s="208">
        <f t="shared" si="38"/>
        <v>2380</v>
      </c>
      <c r="G111" s="208">
        <f t="shared" si="38"/>
        <v>2606</v>
      </c>
      <c r="H111" s="208">
        <f t="shared" si="38"/>
        <v>293</v>
      </c>
      <c r="I111" s="209">
        <f t="shared" si="38"/>
        <v>7413</v>
      </c>
      <c r="J111" s="332">
        <f t="shared" si="38"/>
        <v>8880.7739999999994</v>
      </c>
      <c r="K111" s="338" t="str">
        <f t="shared" si="38"/>
        <v>NA</v>
      </c>
      <c r="L111" s="297">
        <f t="shared" si="38"/>
        <v>657616.4628000001</v>
      </c>
      <c r="M111" s="211">
        <f t="shared" si="38"/>
        <v>9066.0990000000002</v>
      </c>
      <c r="N111" s="219" t="str">
        <f t="shared" si="38"/>
        <v>NA</v>
      </c>
      <c r="O111" s="209">
        <f t="shared" si="38"/>
        <v>671339.67779999995</v>
      </c>
      <c r="P111" s="332">
        <f t="shared" si="38"/>
        <v>9244.0110000000004</v>
      </c>
      <c r="Q111" s="338" t="str">
        <f t="shared" si="38"/>
        <v>NA</v>
      </c>
      <c r="R111" s="297">
        <f t="shared" si="38"/>
        <v>684513.96420000005</v>
      </c>
      <c r="S111" s="209">
        <f t="shared" si="38"/>
        <v>671156.70160000003</v>
      </c>
      <c r="T111" s="209">
        <f>T86</f>
        <v>0</v>
      </c>
      <c r="U111" s="392" t="s">
        <v>12</v>
      </c>
    </row>
    <row r="112" spans="2:22">
      <c r="B112" s="574" t="s">
        <v>102</v>
      </c>
      <c r="C112" s="197">
        <f t="shared" ref="C112:S112" si="39">C95</f>
        <v>0</v>
      </c>
      <c r="D112" s="25">
        <f t="shared" si="39"/>
        <v>0</v>
      </c>
      <c r="E112" s="25">
        <f t="shared" si="39"/>
        <v>16</v>
      </c>
      <c r="F112" s="25">
        <f t="shared" si="39"/>
        <v>8</v>
      </c>
      <c r="G112" s="25">
        <f t="shared" si="39"/>
        <v>12</v>
      </c>
      <c r="H112" s="25">
        <f t="shared" si="39"/>
        <v>6</v>
      </c>
      <c r="I112" s="198">
        <f t="shared" si="39"/>
        <v>42</v>
      </c>
      <c r="J112" s="333" t="str">
        <f t="shared" si="39"/>
        <v>NA</v>
      </c>
      <c r="K112" s="334">
        <f t="shared" si="39"/>
        <v>3486</v>
      </c>
      <c r="L112" s="335">
        <f t="shared" si="39"/>
        <v>3486</v>
      </c>
      <c r="M112" s="199" t="str">
        <f t="shared" si="39"/>
        <v>NA</v>
      </c>
      <c r="N112" s="25">
        <f t="shared" si="39"/>
        <v>3486</v>
      </c>
      <c r="O112" s="198">
        <f t="shared" si="39"/>
        <v>3486</v>
      </c>
      <c r="P112" s="333" t="str">
        <f t="shared" si="39"/>
        <v>NA</v>
      </c>
      <c r="Q112" s="334">
        <f t="shared" si="39"/>
        <v>3486</v>
      </c>
      <c r="R112" s="335">
        <f t="shared" si="39"/>
        <v>3486</v>
      </c>
      <c r="S112" s="198">
        <f t="shared" si="39"/>
        <v>3486</v>
      </c>
      <c r="T112" s="136" t="s">
        <v>12</v>
      </c>
      <c r="U112" s="147" t="s">
        <v>12</v>
      </c>
    </row>
    <row r="113" spans="2:21" ht="13.5" thickBot="1">
      <c r="B113" s="578" t="s">
        <v>76</v>
      </c>
      <c r="C113" s="220">
        <f t="shared" ref="C113:S113" si="40">C96</f>
        <v>0</v>
      </c>
      <c r="D113" s="221">
        <f t="shared" si="40"/>
        <v>0</v>
      </c>
      <c r="E113" s="221">
        <f t="shared" si="40"/>
        <v>706</v>
      </c>
      <c r="F113" s="221">
        <f t="shared" si="40"/>
        <v>394</v>
      </c>
      <c r="G113" s="221">
        <f t="shared" si="40"/>
        <v>666</v>
      </c>
      <c r="H113" s="221">
        <f t="shared" si="40"/>
        <v>351</v>
      </c>
      <c r="I113" s="222">
        <f t="shared" si="40"/>
        <v>2117</v>
      </c>
      <c r="J113" s="304">
        <f t="shared" si="40"/>
        <v>2536.1660000000002</v>
      </c>
      <c r="K113" s="305">
        <f t="shared" si="40"/>
        <v>210501.77799999999</v>
      </c>
      <c r="L113" s="306">
        <f t="shared" si="40"/>
        <v>210501.77799999999</v>
      </c>
      <c r="M113" s="220">
        <f t="shared" si="40"/>
        <v>2589.0910000000003</v>
      </c>
      <c r="N113" s="221">
        <f t="shared" si="40"/>
        <v>214894.55300000001</v>
      </c>
      <c r="O113" s="222">
        <f t="shared" si="40"/>
        <v>214894.55300000001</v>
      </c>
      <c r="P113" s="311">
        <f t="shared" si="40"/>
        <v>2639.8990000000003</v>
      </c>
      <c r="Q113" s="305">
        <f t="shared" si="40"/>
        <v>219111.61700000003</v>
      </c>
      <c r="R113" s="306">
        <f t="shared" si="40"/>
        <v>219111.61700000003</v>
      </c>
      <c r="S113" s="222">
        <f t="shared" si="40"/>
        <v>214835.98266666671</v>
      </c>
      <c r="T113" s="223" t="str">
        <f>T96</f>
        <v>NA</v>
      </c>
      <c r="U113" s="224" t="s">
        <v>12</v>
      </c>
    </row>
    <row r="114" spans="2:21" ht="18.75" thickTop="1">
      <c r="B114" s="579" t="s">
        <v>13</v>
      </c>
      <c r="C114" s="183" t="s">
        <v>45</v>
      </c>
      <c r="D114" s="108" t="s">
        <v>46</v>
      </c>
      <c r="E114" s="107" t="s">
        <v>47</v>
      </c>
      <c r="F114" s="107" t="s">
        <v>48</v>
      </c>
      <c r="G114" s="107" t="s">
        <v>49</v>
      </c>
      <c r="H114" s="107" t="s">
        <v>50</v>
      </c>
      <c r="I114" s="109" t="s">
        <v>13</v>
      </c>
      <c r="J114" s="110" t="s">
        <v>56</v>
      </c>
      <c r="K114" s="108" t="s">
        <v>13</v>
      </c>
      <c r="L114" s="111" t="s">
        <v>68</v>
      </c>
      <c r="M114" s="110" t="s">
        <v>56</v>
      </c>
      <c r="N114" s="108" t="s">
        <v>13</v>
      </c>
      <c r="O114" s="111" t="s">
        <v>68</v>
      </c>
      <c r="P114" s="110" t="s">
        <v>56</v>
      </c>
      <c r="Q114" s="108" t="s">
        <v>13</v>
      </c>
      <c r="R114" s="111" t="s">
        <v>68</v>
      </c>
      <c r="S114" s="111"/>
      <c r="T114" s="37"/>
      <c r="U114" s="138"/>
    </row>
    <row r="115" spans="2:21">
      <c r="B115" s="580" t="s">
        <v>75</v>
      </c>
      <c r="C115" s="195">
        <f t="shared" ref="C115:I116" si="41">C100+C102+C104+C106+C108+C110+C112</f>
        <v>0</v>
      </c>
      <c r="D115" s="101">
        <f t="shared" si="41"/>
        <v>93</v>
      </c>
      <c r="E115" s="101">
        <f t="shared" si="41"/>
        <v>165.2</v>
      </c>
      <c r="F115" s="101">
        <f t="shared" si="41"/>
        <v>138.30000000000001</v>
      </c>
      <c r="G115" s="101">
        <f t="shared" si="41"/>
        <v>82</v>
      </c>
      <c r="H115" s="101">
        <f t="shared" si="41"/>
        <v>13</v>
      </c>
      <c r="I115" s="102">
        <f t="shared" si="41"/>
        <v>491.5</v>
      </c>
      <c r="J115" s="340" t="s">
        <v>12</v>
      </c>
      <c r="K115" s="281">
        <f>K100+K102+K104+K106+K108+K112</f>
        <v>27101.200000000001</v>
      </c>
      <c r="L115" s="289">
        <f>L100+L102+L104+L106+L108+L110+L112</f>
        <v>36475.440000000002</v>
      </c>
      <c r="M115" s="103" t="s">
        <v>12</v>
      </c>
      <c r="N115" s="101">
        <f>N100+N102+N104+N106+N108+N112</f>
        <v>27101.200000000001</v>
      </c>
      <c r="O115" s="102">
        <f>O100+O102+O104+O106+O108+O110+O112</f>
        <v>36475.440000000002</v>
      </c>
      <c r="P115" s="340" t="s">
        <v>12</v>
      </c>
      <c r="Q115" s="281">
        <f>Q100+Q102+Q104+Q106+Q108+Q112</f>
        <v>27101.200000000001</v>
      </c>
      <c r="R115" s="289">
        <f>R100+R102+R104+R106+R108+R110+R112</f>
        <v>36475.440000000002</v>
      </c>
      <c r="S115" s="174">
        <f>S100+S102+S104+S106+S108+S110+S112</f>
        <v>36475.440000000002</v>
      </c>
      <c r="T115" s="102"/>
      <c r="U115" s="140" t="s">
        <v>12</v>
      </c>
    </row>
    <row r="116" spans="2:21" s="235" customFormat="1" ht="16.5" thickBot="1">
      <c r="B116" s="581" t="s">
        <v>76</v>
      </c>
      <c r="C116" s="582">
        <f t="shared" si="41"/>
        <v>0</v>
      </c>
      <c r="D116" s="583">
        <f t="shared" si="41"/>
        <v>3800</v>
      </c>
      <c r="E116" s="583">
        <f t="shared" si="41"/>
        <v>7289</v>
      </c>
      <c r="F116" s="583">
        <f t="shared" si="41"/>
        <v>6814</v>
      </c>
      <c r="G116" s="583">
        <f t="shared" si="41"/>
        <v>4548</v>
      </c>
      <c r="H116" s="583">
        <f t="shared" si="41"/>
        <v>761</v>
      </c>
      <c r="I116" s="584">
        <f t="shared" si="41"/>
        <v>25962</v>
      </c>
      <c r="J116" s="585">
        <f>J101+J103+J105+J107+J109+J111+J113</f>
        <v>31102.475999999999</v>
      </c>
      <c r="K116" s="586">
        <f>K101+K103+K105+K107+K109+K113</f>
        <v>1654995.0699999998</v>
      </c>
      <c r="L116" s="587">
        <f>L101+L103+L105+L107+L109+L111+L113</f>
        <v>2678062.7745599998</v>
      </c>
      <c r="M116" s="582">
        <f>M101+M103+M105+M107+M109+M111+M113</f>
        <v>31751.526000000005</v>
      </c>
      <c r="N116" s="588">
        <f>N101+N103+N105+N107+N109+N113</f>
        <v>1689531.6950000003</v>
      </c>
      <c r="O116" s="584">
        <f>O101+O103+O105+O107+O109+O111+O113</f>
        <v>2733523.5698500001</v>
      </c>
      <c r="P116" s="589">
        <f>P101+P103+P105+P107+P109+P111+P113</f>
        <v>32374.614000000005</v>
      </c>
      <c r="Q116" s="586">
        <f>Q101+Q103+Q105+Q107+Q109+Q113</f>
        <v>1722686.8550000002</v>
      </c>
      <c r="R116" s="587">
        <f>R101+R103+R105+R107+R109+R111+R113</f>
        <v>2787165.8966500005</v>
      </c>
      <c r="S116" s="590">
        <f>S101+S103+S105+S107+S109+S111+S113</f>
        <v>2161592.7292200001</v>
      </c>
      <c r="T116" s="584">
        <f>SUM(T101,T103,T105,T107,T109,T111,T113)</f>
        <v>279073.66666666663</v>
      </c>
      <c r="U116" s="591">
        <f>SUM(U101,U103,U105,U107,U109,U111,U113)</f>
        <v>368362.01780000003</v>
      </c>
    </row>
  </sheetData>
  <mergeCells count="35">
    <mergeCell ref="Q89:R89"/>
    <mergeCell ref="Q29:R29"/>
    <mergeCell ref="Q39:R39"/>
    <mergeCell ref="Q51:R51"/>
    <mergeCell ref="Q82:R82"/>
    <mergeCell ref="Q66:R66"/>
    <mergeCell ref="G65:I65"/>
    <mergeCell ref="N82:O82"/>
    <mergeCell ref="K89:L89"/>
    <mergeCell ref="N29:O29"/>
    <mergeCell ref="N39:O39"/>
    <mergeCell ref="N66:O66"/>
    <mergeCell ref="N89:O89"/>
    <mergeCell ref="N51:O51"/>
    <mergeCell ref="K29:L29"/>
    <mergeCell ref="G88:I88"/>
    <mergeCell ref="K66:L66"/>
    <mergeCell ref="K51:L51"/>
    <mergeCell ref="G50:I50"/>
    <mergeCell ref="G29:I29"/>
    <mergeCell ref="K39:L39"/>
    <mergeCell ref="G15:I15"/>
    <mergeCell ref="G28:I28"/>
    <mergeCell ref="G39:I39"/>
    <mergeCell ref="G38:I38"/>
    <mergeCell ref="S2:T2"/>
    <mergeCell ref="Q16:R16"/>
    <mergeCell ref="G7:I7"/>
    <mergeCell ref="K16:L16"/>
    <mergeCell ref="F2:G2"/>
    <mergeCell ref="C5:I5"/>
    <mergeCell ref="Q8:R8"/>
    <mergeCell ref="K8:L8"/>
    <mergeCell ref="N8:O8"/>
    <mergeCell ref="N16:O16"/>
  </mergeCells>
  <phoneticPr fontId="2" type="noConversion"/>
  <dataValidations disablePrompts="1" count="1">
    <dataValidation allowBlank="1" showInputMessage="1" showErrorMessage="1" sqref="D31 D18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W117"/>
  <sheetViews>
    <sheetView topLeftCell="A67" zoomScaleNormal="100" workbookViewId="0">
      <selection activeCell="C78" sqref="C7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1" customWidth="1"/>
    <col min="10" max="10" width="13.28515625" customWidth="1"/>
    <col min="11" max="11" width="15" customWidth="1"/>
    <col min="12" max="12" width="14.42578125" customWidth="1"/>
    <col min="13" max="13" width="14.28515625" bestFit="1" customWidth="1"/>
    <col min="14" max="14" width="15.5703125" customWidth="1"/>
    <col min="15" max="15" width="14.5703125" customWidth="1"/>
    <col min="16" max="16" width="14.42578125" customWidth="1"/>
    <col min="17" max="17" width="15" customWidth="1"/>
    <col min="18" max="18" width="13.85546875" customWidth="1"/>
    <col min="19" max="19" width="14" customWidth="1"/>
    <col min="20" max="20" width="14.5703125" customWidth="1"/>
    <col min="21" max="21" width="14" customWidth="1"/>
    <col min="22" max="22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</row>
    <row r="2" spans="1:22" ht="18.75" thickTop="1">
      <c r="A2" s="615"/>
      <c r="B2" s="596" t="s">
        <v>0</v>
      </c>
      <c r="C2" s="645" t="s">
        <v>179</v>
      </c>
      <c r="D2" s="5"/>
      <c r="E2" s="396" t="s">
        <v>31</v>
      </c>
      <c r="F2" s="1424">
        <v>41306</v>
      </c>
      <c r="G2" s="1425"/>
      <c r="H2" s="5"/>
      <c r="I2" s="5"/>
      <c r="J2" s="5"/>
      <c r="K2" s="594" t="s">
        <v>5</v>
      </c>
      <c r="L2" s="595">
        <v>2013</v>
      </c>
      <c r="M2" s="426"/>
      <c r="N2" s="592" t="s">
        <v>10</v>
      </c>
      <c r="O2" s="550">
        <f>L2+1</f>
        <v>2014</v>
      </c>
      <c r="P2" s="549"/>
      <c r="Q2" s="551" t="s">
        <v>11</v>
      </c>
      <c r="R2" s="552">
        <f>O2+1</f>
        <v>2015</v>
      </c>
      <c r="S2" s="553"/>
      <c r="T2" s="1417" t="s">
        <v>77</v>
      </c>
      <c r="U2" s="1418"/>
      <c r="V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5"/>
      <c r="J3" s="396" t="s">
        <v>59</v>
      </c>
      <c r="K3" s="177"/>
      <c r="L3" s="426"/>
      <c r="M3" s="178"/>
      <c r="N3" s="5"/>
      <c r="O3" s="5"/>
      <c r="P3" s="37"/>
      <c r="Q3" s="426"/>
      <c r="R3" s="426"/>
      <c r="S3" s="67"/>
      <c r="T3" s="115" t="s">
        <v>71</v>
      </c>
      <c r="U3" s="116">
        <f>AVERAGE(K5,N5,Q5)</f>
        <v>6</v>
      </c>
      <c r="V3" s="37"/>
    </row>
    <row r="4" spans="1:22">
      <c r="A4" s="615"/>
      <c r="B4" s="5"/>
      <c r="C4" s="5"/>
      <c r="D4" s="5"/>
      <c r="E4" s="5"/>
      <c r="F4" s="7"/>
      <c r="G4" s="5"/>
      <c r="H4" s="5"/>
      <c r="I4" s="5"/>
      <c r="J4" s="50">
        <v>0</v>
      </c>
      <c r="K4" s="425" t="s">
        <v>71</v>
      </c>
      <c r="L4" s="429" t="s">
        <v>72</v>
      </c>
      <c r="M4" s="20">
        <v>14</v>
      </c>
      <c r="N4" s="396" t="s">
        <v>71</v>
      </c>
      <c r="O4" s="431" t="s">
        <v>69</v>
      </c>
      <c r="P4" s="20">
        <v>14</v>
      </c>
      <c r="Q4" s="425" t="s">
        <v>71</v>
      </c>
      <c r="R4" s="429" t="s">
        <v>69</v>
      </c>
      <c r="S4" s="20">
        <v>14</v>
      </c>
      <c r="T4" s="115" t="s">
        <v>69</v>
      </c>
      <c r="U4" s="106">
        <f>AVERAGE(M4,P4,S4)</f>
        <v>14</v>
      </c>
      <c r="V4" s="37"/>
    </row>
    <row r="5" spans="1:22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1427"/>
      <c r="K5" s="341">
        <v>6</v>
      </c>
      <c r="L5" s="342" t="s">
        <v>70</v>
      </c>
      <c r="M5" s="343">
        <f>M4*$J$4</f>
        <v>0</v>
      </c>
      <c r="N5" s="632">
        <v>6</v>
      </c>
      <c r="O5" s="344" t="s">
        <v>70</v>
      </c>
      <c r="P5" s="345">
        <f>P4*$J$4</f>
        <v>0</v>
      </c>
      <c r="Q5" s="631">
        <v>6</v>
      </c>
      <c r="R5" s="342" t="s">
        <v>70</v>
      </c>
      <c r="S5" s="343">
        <f>S4*$J$4</f>
        <v>0</v>
      </c>
      <c r="T5" s="237" t="s">
        <v>70</v>
      </c>
      <c r="U5" s="238">
        <f>AVERAGE(M5,P5,S5)</f>
        <v>0</v>
      </c>
      <c r="V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4"/>
      <c r="K6" s="544"/>
      <c r="L6" s="87"/>
      <c r="M6" s="87"/>
      <c r="N6" s="545"/>
      <c r="O6" s="4"/>
      <c r="P6" s="4"/>
      <c r="Q6" s="544"/>
      <c r="R6" s="87"/>
      <c r="S6" s="87"/>
      <c r="T6" s="546" t="s">
        <v>17</v>
      </c>
      <c r="U6" s="547" t="s">
        <v>103</v>
      </c>
      <c r="V6" s="548"/>
    </row>
    <row r="7" spans="1:22" ht="15.75">
      <c r="A7" s="615"/>
      <c r="B7" s="599" t="s">
        <v>3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2"/>
      <c r="J7" s="1423"/>
      <c r="K7" s="88" t="s">
        <v>3</v>
      </c>
      <c r="L7" s="179"/>
      <c r="M7" s="180"/>
      <c r="N7" s="55" t="s">
        <v>3</v>
      </c>
      <c r="O7" s="426"/>
      <c r="P7" s="67"/>
      <c r="Q7" s="55" t="s">
        <v>3</v>
      </c>
      <c r="R7" s="426"/>
      <c r="S7" s="67"/>
      <c r="T7" s="124"/>
      <c r="U7" s="117"/>
      <c r="V7" s="141"/>
    </row>
    <row r="8" spans="1:22">
      <c r="A8" s="615"/>
      <c r="B8" s="600" t="s">
        <v>180</v>
      </c>
      <c r="C8" s="6"/>
      <c r="D8" s="6"/>
      <c r="E8" s="6"/>
      <c r="F8" s="11"/>
      <c r="G8" s="6"/>
      <c r="H8" s="6"/>
      <c r="I8" s="6"/>
      <c r="J8" s="47" t="s">
        <v>55</v>
      </c>
      <c r="K8" s="259" t="s">
        <v>55</v>
      </c>
      <c r="L8" s="1428" t="s">
        <v>57</v>
      </c>
      <c r="M8" s="1420"/>
      <c r="N8" s="57" t="s">
        <v>55</v>
      </c>
      <c r="O8" s="1429" t="s">
        <v>57</v>
      </c>
      <c r="P8" s="1430"/>
      <c r="Q8" s="277" t="s">
        <v>55</v>
      </c>
      <c r="R8" s="1419" t="s">
        <v>57</v>
      </c>
      <c r="S8" s="1420"/>
      <c r="T8" s="125"/>
      <c r="U8" s="145"/>
      <c r="V8" s="143"/>
    </row>
    <row r="9" spans="1:22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93"/>
      <c r="J9" s="47" t="s">
        <v>13</v>
      </c>
      <c r="K9" s="260" t="s">
        <v>56</v>
      </c>
      <c r="L9" s="261" t="s">
        <v>13</v>
      </c>
      <c r="M9" s="262" t="s">
        <v>68</v>
      </c>
      <c r="N9" s="77" t="s">
        <v>56</v>
      </c>
      <c r="O9" s="24" t="s">
        <v>13</v>
      </c>
      <c r="P9" s="38" t="s">
        <v>68</v>
      </c>
      <c r="Q9" s="261" t="s">
        <v>56</v>
      </c>
      <c r="R9" s="261" t="s">
        <v>13</v>
      </c>
      <c r="S9" s="262" t="s">
        <v>68</v>
      </c>
      <c r="T9" s="123"/>
      <c r="U9" s="146"/>
      <c r="V9" s="144"/>
    </row>
    <row r="10" spans="1:22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5</v>
      </c>
      <c r="G10" s="21">
        <v>12</v>
      </c>
      <c r="H10" s="21">
        <v>2</v>
      </c>
      <c r="I10" s="688"/>
      <c r="J10" s="48">
        <f>SUM(C10:H10)</f>
        <v>19</v>
      </c>
      <c r="K10" s="263" t="s">
        <v>12</v>
      </c>
      <c r="L10" s="264">
        <f>J10*$K$5</f>
        <v>114</v>
      </c>
      <c r="M10" s="265">
        <f>L10/$E$7</f>
        <v>22.8</v>
      </c>
      <c r="N10" s="58" t="s">
        <v>12</v>
      </c>
      <c r="O10" s="432">
        <f>J10*$N$5</f>
        <v>114</v>
      </c>
      <c r="P10" s="68">
        <f>O10/$E$7</f>
        <v>22.8</v>
      </c>
      <c r="Q10" s="263" t="s">
        <v>12</v>
      </c>
      <c r="R10" s="433">
        <f>$J10*$N$5</f>
        <v>114</v>
      </c>
      <c r="S10" s="289">
        <f>R10/$E$7</f>
        <v>22.8</v>
      </c>
      <c r="T10" s="121">
        <f>AVERAGE(M10,P10,S10)</f>
        <v>22.8</v>
      </c>
      <c r="U10" s="119" t="s">
        <v>12</v>
      </c>
      <c r="V10" s="119" t="s">
        <v>12</v>
      </c>
    </row>
    <row r="11" spans="1:22" s="1" customFormat="1" ht="13.5" thickBot="1">
      <c r="A11" s="616"/>
      <c r="B11" s="678" t="s">
        <v>52</v>
      </c>
      <c r="C11" s="373">
        <f>ROUND(C10*Labor!$D$3,0)</f>
        <v>0</v>
      </c>
      <c r="D11" s="374">
        <f>ROUND(D10*Labor!$D$4,0)</f>
        <v>0</v>
      </c>
      <c r="E11" s="374">
        <f>ROUND(E10*Labor!$D$5,0)</f>
        <v>0</v>
      </c>
      <c r="F11" s="374">
        <f>ROUND(F10*Labor!$D$6,0)</f>
        <v>246</v>
      </c>
      <c r="G11" s="374">
        <f>ROUND(G10*Labor!$D$7,0)</f>
        <v>666</v>
      </c>
      <c r="H11" s="374">
        <f>ROUND(H10*Labor!$D$8,0)</f>
        <v>117</v>
      </c>
      <c r="I11" s="470"/>
      <c r="J11" s="375">
        <f>SUM(C11:H11)</f>
        <v>1029</v>
      </c>
      <c r="K11" s="332">
        <f>HLOOKUP(Labor!$B$11,InflationTable,2)*$J11</f>
        <v>1232.742</v>
      </c>
      <c r="L11" s="296">
        <f>K11*$K$5</f>
        <v>7396.4519999999993</v>
      </c>
      <c r="M11" s="297">
        <f>L11/$E$7</f>
        <v>1479.2903999999999</v>
      </c>
      <c r="N11" s="376">
        <f>HLOOKUP(Labor!$B$11,InflationTable,3)*$J11</f>
        <v>1258.4670000000001</v>
      </c>
      <c r="O11" s="377">
        <f>N11*$K$5</f>
        <v>7550.8020000000006</v>
      </c>
      <c r="P11" s="378">
        <f>O11/$E$7</f>
        <v>1510.1604000000002</v>
      </c>
      <c r="Q11" s="332">
        <f>HLOOKUP(Labor!$B$11,InflationTable,4)*$J11</f>
        <v>1283.163</v>
      </c>
      <c r="R11" s="296">
        <f>Q11*$K$5</f>
        <v>7698.9780000000001</v>
      </c>
      <c r="S11" s="297">
        <f>R11/$E$7</f>
        <v>1539.7955999999999</v>
      </c>
      <c r="T11" s="211">
        <f>AVERAGE(M11,P11,S11)</f>
        <v>1509.7488000000001</v>
      </c>
      <c r="U11" s="218" t="s">
        <v>12</v>
      </c>
      <c r="V11" s="218" t="s">
        <v>12</v>
      </c>
    </row>
    <row r="12" spans="1:22">
      <c r="A12" s="615"/>
      <c r="B12" s="605" t="s">
        <v>66</v>
      </c>
      <c r="C12" s="33">
        <f>C10</f>
        <v>0</v>
      </c>
      <c r="D12" s="33">
        <f t="shared" ref="D12:S12" si="0">D10</f>
        <v>0</v>
      </c>
      <c r="E12" s="33">
        <f t="shared" si="0"/>
        <v>0</v>
      </c>
      <c r="F12" s="33">
        <f t="shared" si="0"/>
        <v>5</v>
      </c>
      <c r="G12" s="33">
        <f t="shared" si="0"/>
        <v>12</v>
      </c>
      <c r="H12" s="33">
        <f t="shared" si="0"/>
        <v>2</v>
      </c>
      <c r="I12" s="689"/>
      <c r="J12" s="40">
        <f t="shared" si="0"/>
        <v>19</v>
      </c>
      <c r="K12" s="284" t="str">
        <f t="shared" si="0"/>
        <v>NA</v>
      </c>
      <c r="L12" s="285">
        <f t="shared" si="0"/>
        <v>114</v>
      </c>
      <c r="M12" s="286">
        <f t="shared" si="0"/>
        <v>22.8</v>
      </c>
      <c r="N12" s="44" t="str">
        <f t="shared" si="0"/>
        <v>NA</v>
      </c>
      <c r="O12" s="33">
        <f t="shared" si="0"/>
        <v>114</v>
      </c>
      <c r="P12" s="40">
        <f t="shared" si="0"/>
        <v>22.8</v>
      </c>
      <c r="Q12" s="284" t="str">
        <f t="shared" si="0"/>
        <v>NA</v>
      </c>
      <c r="R12" s="285">
        <f t="shared" si="0"/>
        <v>114</v>
      </c>
      <c r="S12" s="285">
        <f t="shared" si="0"/>
        <v>22.8</v>
      </c>
      <c r="T12" s="129">
        <f>AVERAGE(M12,P12,S12)</f>
        <v>22.8</v>
      </c>
      <c r="U12" s="136" t="s">
        <v>12</v>
      </c>
      <c r="V12" s="136" t="s">
        <v>12</v>
      </c>
    </row>
    <row r="13" spans="1:22" ht="13.5" thickBot="1">
      <c r="A13" s="615"/>
      <c r="B13" s="606" t="s">
        <v>67</v>
      </c>
      <c r="C13" s="240">
        <f>C11</f>
        <v>0</v>
      </c>
      <c r="D13" s="240">
        <f t="shared" ref="D13:S13" si="1">D11</f>
        <v>0</v>
      </c>
      <c r="E13" s="240">
        <f t="shared" si="1"/>
        <v>0</v>
      </c>
      <c r="F13" s="240">
        <f t="shared" si="1"/>
        <v>246</v>
      </c>
      <c r="G13" s="240">
        <f t="shared" si="1"/>
        <v>666</v>
      </c>
      <c r="H13" s="240">
        <f t="shared" si="1"/>
        <v>117</v>
      </c>
      <c r="I13" s="247"/>
      <c r="J13" s="243">
        <f t="shared" si="1"/>
        <v>1029</v>
      </c>
      <c r="K13" s="274">
        <f t="shared" si="1"/>
        <v>1232.742</v>
      </c>
      <c r="L13" s="275">
        <f t="shared" si="1"/>
        <v>7396.4519999999993</v>
      </c>
      <c r="M13" s="276">
        <f t="shared" si="1"/>
        <v>1479.2903999999999</v>
      </c>
      <c r="N13" s="242">
        <f t="shared" si="1"/>
        <v>1258.4670000000001</v>
      </c>
      <c r="O13" s="240">
        <f t="shared" si="1"/>
        <v>7550.8020000000006</v>
      </c>
      <c r="P13" s="243">
        <f t="shared" si="1"/>
        <v>1510.1604000000002</v>
      </c>
      <c r="Q13" s="274">
        <f t="shared" si="1"/>
        <v>1283.163</v>
      </c>
      <c r="R13" s="275">
        <f t="shared" si="1"/>
        <v>7698.9780000000001</v>
      </c>
      <c r="S13" s="275">
        <f t="shared" si="1"/>
        <v>1539.7955999999999</v>
      </c>
      <c r="T13" s="211">
        <f>AVERAGE(M13,P13,S13)</f>
        <v>1509.7488000000001</v>
      </c>
      <c r="U13" s="218" t="s">
        <v>12</v>
      </c>
      <c r="V13" s="218" t="s">
        <v>12</v>
      </c>
    </row>
    <row r="14" spans="1:22" ht="14.25" thickTop="1" thickBot="1">
      <c r="A14" s="615"/>
      <c r="B14" s="617"/>
      <c r="C14" s="618"/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410"/>
      <c r="P14" s="410"/>
      <c r="Q14" s="410"/>
      <c r="R14" s="410"/>
      <c r="S14" s="410"/>
      <c r="T14" s="410"/>
      <c r="U14" s="410"/>
      <c r="V14" s="236"/>
    </row>
    <row r="15" spans="1:22" ht="16.5" thickTop="1">
      <c r="A15" s="615"/>
      <c r="B15" s="181" t="s">
        <v>16</v>
      </c>
      <c r="C15" s="72"/>
      <c r="D15" s="431" t="s">
        <v>54</v>
      </c>
      <c r="E15" s="70">
        <v>5</v>
      </c>
      <c r="F15" s="112" t="s">
        <v>6</v>
      </c>
      <c r="G15" s="1412"/>
      <c r="H15" s="1413"/>
      <c r="I15" s="1413"/>
      <c r="J15" s="1414"/>
      <c r="K15" s="181" t="s">
        <v>16</v>
      </c>
      <c r="L15" s="426"/>
      <c r="M15" s="180"/>
      <c r="N15" s="181" t="s">
        <v>16</v>
      </c>
      <c r="O15" s="426"/>
      <c r="P15" s="67"/>
      <c r="Q15" s="181" t="s">
        <v>16</v>
      </c>
      <c r="R15" s="426"/>
      <c r="S15" s="180"/>
      <c r="T15" s="225"/>
      <c r="U15" s="37"/>
      <c r="V15" s="138"/>
    </row>
    <row r="16" spans="1:22">
      <c r="A16" s="615"/>
      <c r="B16" s="5"/>
      <c r="C16" s="107" t="s">
        <v>60</v>
      </c>
      <c r="D16" s="23" t="s">
        <v>62</v>
      </c>
      <c r="E16" s="5"/>
      <c r="F16" s="5"/>
      <c r="G16" s="5"/>
      <c r="H16" s="6"/>
      <c r="I16" s="6"/>
      <c r="J16" s="43"/>
      <c r="K16" s="277" t="s">
        <v>61</v>
      </c>
      <c r="L16" s="1419" t="s">
        <v>57</v>
      </c>
      <c r="M16" s="1420"/>
      <c r="N16" s="93" t="s">
        <v>61</v>
      </c>
      <c r="O16" s="1429" t="s">
        <v>57</v>
      </c>
      <c r="P16" s="1430"/>
      <c r="Q16" s="262" t="s">
        <v>61</v>
      </c>
      <c r="R16" s="1419" t="s">
        <v>57</v>
      </c>
      <c r="S16" s="1420"/>
      <c r="T16" s="131"/>
      <c r="U16" s="37"/>
      <c r="V16" s="138"/>
    </row>
    <row r="17" spans="1:22">
      <c r="A17" s="615"/>
      <c r="B17" s="607" t="s">
        <v>58</v>
      </c>
      <c r="C17" s="23"/>
      <c r="D17" s="23"/>
      <c r="E17" s="680" t="s">
        <v>69</v>
      </c>
      <c r="F17" s="5"/>
      <c r="G17" s="5"/>
      <c r="H17" s="5"/>
      <c r="I17" s="5"/>
      <c r="J17" s="37"/>
      <c r="K17" s="260" t="s">
        <v>56</v>
      </c>
      <c r="L17" s="261" t="s">
        <v>13</v>
      </c>
      <c r="M17" s="262" t="s">
        <v>68</v>
      </c>
      <c r="N17" s="77" t="s">
        <v>56</v>
      </c>
      <c r="O17" s="24" t="s">
        <v>13</v>
      </c>
      <c r="P17" s="38" t="s">
        <v>68</v>
      </c>
      <c r="Q17" s="260" t="s">
        <v>56</v>
      </c>
      <c r="R17" s="261" t="s">
        <v>13</v>
      </c>
      <c r="S17" s="262" t="s">
        <v>68</v>
      </c>
      <c r="T17" s="123"/>
      <c r="U17" s="37"/>
      <c r="V17" s="138"/>
    </row>
    <row r="18" spans="1:22">
      <c r="A18" s="615"/>
      <c r="B18" s="681" t="str">
        <f>VLOOKUP($C$2,Monitor_Costs,10,FALSE)</f>
        <v>LAP/RASS</v>
      </c>
      <c r="C18" s="458">
        <f>VLOOKUP($C$2,Monitor_Costs,11,FALSE)</f>
        <v>125000</v>
      </c>
      <c r="D18" s="22">
        <f>VLOOKUP(C$2,Monitor_Costs,12,FALSE)</f>
        <v>2013</v>
      </c>
      <c r="E18" s="21">
        <v>5</v>
      </c>
      <c r="F18" s="7"/>
      <c r="G18" s="5"/>
      <c r="H18" s="5"/>
      <c r="I18" s="5"/>
      <c r="J18" s="37"/>
      <c r="K18" s="279">
        <f>HLOOKUP(D18,InflationTable,2)*$C18</f>
        <v>149750</v>
      </c>
      <c r="L18" s="279">
        <f>K18*$E18</f>
        <v>748750</v>
      </c>
      <c r="M18" s="280">
        <f t="shared" ref="M18:M23" si="2">L18/$E$15</f>
        <v>149750</v>
      </c>
      <c r="N18" s="706">
        <f>HLOOKUP($D$18,InflationTable,3)*$C18</f>
        <v>152875</v>
      </c>
      <c r="O18" s="707">
        <f>N18*$E18</f>
        <v>764375</v>
      </c>
      <c r="P18" s="98">
        <f t="shared" ref="P18:P23" si="3">O18/$E$15</f>
        <v>152875</v>
      </c>
      <c r="Q18" s="298">
        <f>HLOOKUP($D$18,InflationTable,4)*$C18</f>
        <v>155875</v>
      </c>
      <c r="R18" s="279">
        <f>Q18*$E18</f>
        <v>779375</v>
      </c>
      <c r="S18" s="280">
        <f t="shared" ref="S18:S23" si="4">R18/$E$15</f>
        <v>155875</v>
      </c>
      <c r="T18" s="127" t="s">
        <v>12</v>
      </c>
      <c r="U18" s="119" t="s">
        <v>12</v>
      </c>
      <c r="V18" s="139">
        <f t="shared" ref="V18:V24" si="5">AVERAGE(M18,P18,S18)</f>
        <v>152833.33333333334</v>
      </c>
    </row>
    <row r="19" spans="1:22">
      <c r="A19" s="615"/>
      <c r="B19" s="681" t="str">
        <f>VLOOKUP($C$2,Monitor_Costs,13,FALSE)</f>
        <v>Radar profiler</v>
      </c>
      <c r="C19" s="458">
        <f>VLOOKUP($C$2,Monitor_Costs,14,FALSE)</f>
        <v>125000</v>
      </c>
      <c r="D19" s="22">
        <f>VLOOKUP(C$2,Monitor_Costs,15,FALSE)</f>
        <v>2013</v>
      </c>
      <c r="E19" s="21">
        <v>7</v>
      </c>
      <c r="F19" s="705"/>
      <c r="G19" s="5"/>
      <c r="H19" s="5"/>
      <c r="I19" s="5"/>
      <c r="J19" s="37"/>
      <c r="K19" s="279">
        <f>HLOOKUP($D$19,InflationTable,2)*$C19</f>
        <v>149750</v>
      </c>
      <c r="L19" s="279">
        <f>K19*$E19</f>
        <v>1048250</v>
      </c>
      <c r="M19" s="280">
        <f t="shared" si="2"/>
        <v>209650</v>
      </c>
      <c r="N19" s="707">
        <f>HLOOKUP($D$19,InflationTable,3)*$C19</f>
        <v>152875</v>
      </c>
      <c r="O19" s="707">
        <f>N19*$E19</f>
        <v>1070125</v>
      </c>
      <c r="P19" s="708">
        <f t="shared" si="3"/>
        <v>214025</v>
      </c>
      <c r="Q19" s="279">
        <f>HLOOKUP($D$19,InflationTable,4)*$C19</f>
        <v>155875</v>
      </c>
      <c r="R19" s="279">
        <f>Q19*$E19</f>
        <v>1091125</v>
      </c>
      <c r="S19" s="280">
        <f t="shared" si="4"/>
        <v>218225</v>
      </c>
      <c r="T19" s="127" t="s">
        <v>12</v>
      </c>
      <c r="U19" s="119" t="s">
        <v>12</v>
      </c>
      <c r="V19" s="139">
        <f t="shared" si="5"/>
        <v>213966.66666666666</v>
      </c>
    </row>
    <row r="20" spans="1:22">
      <c r="A20" s="615"/>
      <c r="B20" s="681" t="str">
        <f>VLOOKUP($C$2,Monitor_Costs,16,FALSE)</f>
        <v>Rawindsondes</v>
      </c>
      <c r="C20" s="458">
        <f>VLOOKUP($C$2,Monitor_Costs,17,FALSE)</f>
        <v>45000</v>
      </c>
      <c r="D20" s="22">
        <f>VLOOKUP(C$2,Monitor_Costs,18,FALSE)</f>
        <v>2013</v>
      </c>
      <c r="E20" s="21">
        <v>1</v>
      </c>
      <c r="F20" s="7"/>
      <c r="G20" s="5"/>
      <c r="H20" s="5"/>
      <c r="I20" s="5"/>
      <c r="J20" s="37"/>
      <c r="K20" s="279">
        <f>HLOOKUP($D$19,InflationTable,2)*$C20</f>
        <v>53910</v>
      </c>
      <c r="L20" s="279">
        <f>K20*$E20</f>
        <v>53910</v>
      </c>
      <c r="M20" s="280">
        <f t="shared" si="2"/>
        <v>10782</v>
      </c>
      <c r="N20" s="707">
        <f>HLOOKUP($D$19,InflationTable,3)*$C20</f>
        <v>55035.000000000007</v>
      </c>
      <c r="O20" s="707">
        <f>N20*$E20</f>
        <v>55035.000000000007</v>
      </c>
      <c r="P20" s="708">
        <f t="shared" si="3"/>
        <v>11007.000000000002</v>
      </c>
      <c r="Q20" s="279">
        <f>HLOOKUP($D$19,InflationTable,4)*$C20</f>
        <v>56115.000000000007</v>
      </c>
      <c r="R20" s="279">
        <f>Q20*$E20</f>
        <v>56115.000000000007</v>
      </c>
      <c r="S20" s="280">
        <f t="shared" si="4"/>
        <v>11223.000000000002</v>
      </c>
      <c r="T20" s="127" t="s">
        <v>12</v>
      </c>
      <c r="U20" s="119" t="s">
        <v>12</v>
      </c>
      <c r="V20" s="139">
        <f t="shared" si="5"/>
        <v>11004</v>
      </c>
    </row>
    <row r="21" spans="1:22">
      <c r="A21" s="615"/>
      <c r="B21" s="681" t="str">
        <f>VLOOKUP($C$2,Monitor_Costs,19,FALSE)</f>
        <v>SODAR</v>
      </c>
      <c r="C21" s="458">
        <f>VLOOKUP($C$2,Monitor_Costs,20,FALSE)</f>
        <v>65000</v>
      </c>
      <c r="D21" s="22">
        <f>VLOOKUP(C$2,Monitor_Costs,21,FALSE)</f>
        <v>2013</v>
      </c>
      <c r="E21" s="21">
        <v>1</v>
      </c>
      <c r="F21" s="7"/>
      <c r="G21" s="5"/>
      <c r="H21" s="5"/>
      <c r="I21" s="5"/>
      <c r="J21" s="37"/>
      <c r="K21" s="279">
        <f>HLOOKUP($D$19,InflationTable,2)*$C21</f>
        <v>77870</v>
      </c>
      <c r="L21" s="279">
        <f>K21*$E21</f>
        <v>77870</v>
      </c>
      <c r="M21" s="280">
        <f t="shared" si="2"/>
        <v>15574</v>
      </c>
      <c r="N21" s="707">
        <f>HLOOKUP($D$19,InflationTable,3)*$C21</f>
        <v>79495</v>
      </c>
      <c r="O21" s="707">
        <f>N21*$E21</f>
        <v>79495</v>
      </c>
      <c r="P21" s="708">
        <f t="shared" si="3"/>
        <v>15899</v>
      </c>
      <c r="Q21" s="279">
        <f>HLOOKUP($D$19,InflationTable,4)*$C21</f>
        <v>81055</v>
      </c>
      <c r="R21" s="279">
        <f>Q21*$E21</f>
        <v>81055</v>
      </c>
      <c r="S21" s="280">
        <f t="shared" si="4"/>
        <v>16211</v>
      </c>
      <c r="T21" s="127" t="s">
        <v>12</v>
      </c>
      <c r="U21" s="119" t="s">
        <v>12</v>
      </c>
      <c r="V21" s="139">
        <f t="shared" si="5"/>
        <v>15894.666666666666</v>
      </c>
    </row>
    <row r="22" spans="1:22">
      <c r="A22" s="615"/>
      <c r="B22" s="681" t="str">
        <f>VLOOKUP($C$2,Monitor_Costs,22,FALSE)</f>
        <v>LAP/RASS +NEXRAD</v>
      </c>
      <c r="C22" s="458">
        <f>VLOOKUP($C$2,Monitor_Costs,23,FALSE)</f>
        <v>125000</v>
      </c>
      <c r="D22" s="22">
        <f>VLOOKUP(C$2,Monitor_Costs,24,FALSE)</f>
        <v>2013</v>
      </c>
      <c r="E22" s="21">
        <v>0</v>
      </c>
      <c r="F22" s="7"/>
      <c r="G22" s="5"/>
      <c r="H22" s="5"/>
      <c r="I22" s="5"/>
      <c r="J22" s="37"/>
      <c r="K22" s="279">
        <f>HLOOKUP($D$19,InflationTable,2)*$C22</f>
        <v>149750</v>
      </c>
      <c r="L22" s="279">
        <f>K22*$E22</f>
        <v>0</v>
      </c>
      <c r="M22" s="280">
        <f t="shared" si="2"/>
        <v>0</v>
      </c>
      <c r="N22" s="707">
        <f>HLOOKUP($D$19,InflationTable,3)*$C22</f>
        <v>152875</v>
      </c>
      <c r="O22" s="707">
        <f>N22*$E22</f>
        <v>0</v>
      </c>
      <c r="P22" s="708">
        <f t="shared" si="3"/>
        <v>0</v>
      </c>
      <c r="Q22" s="279">
        <f>HLOOKUP($D$19,InflationTable,4)*$C22</f>
        <v>155875</v>
      </c>
      <c r="R22" s="279">
        <f>Q22*$E22</f>
        <v>0</v>
      </c>
      <c r="S22" s="280">
        <f t="shared" si="4"/>
        <v>0</v>
      </c>
      <c r="T22" s="127" t="s">
        <v>12</v>
      </c>
      <c r="U22" s="119" t="s">
        <v>12</v>
      </c>
      <c r="V22" s="139">
        <f t="shared" si="5"/>
        <v>0</v>
      </c>
    </row>
    <row r="23" spans="1:22">
      <c r="A23" s="615"/>
      <c r="B23" s="681" t="str">
        <f>VLOOKUP($C$2,Monitor_Costs,25,FALSE)</f>
        <v>Computer hardware &amp; software</v>
      </c>
      <c r="C23" s="458">
        <f>VLOOKUP($C$2,Monitor_Costs,26,FALSE)</f>
        <v>8000</v>
      </c>
      <c r="D23" s="22">
        <f>VLOOKUP(C$2,Monitor_Costs,27,FALSE)</f>
        <v>2013</v>
      </c>
      <c r="E23" s="5"/>
      <c r="F23" s="7"/>
      <c r="G23" s="5"/>
      <c r="H23" s="5"/>
      <c r="I23" s="5"/>
      <c r="J23" s="37"/>
      <c r="K23" s="279">
        <f>HLOOKUP(D23,InflationTable,2)*$C23</f>
        <v>9584</v>
      </c>
      <c r="L23" s="279">
        <f>K23*$M$4</f>
        <v>134176</v>
      </c>
      <c r="M23" s="280">
        <f t="shared" si="2"/>
        <v>26835.200000000001</v>
      </c>
      <c r="N23" s="706">
        <f>HLOOKUP($D$18,InflationTable,3)*$C23</f>
        <v>9784</v>
      </c>
      <c r="O23" s="707">
        <f>N23*$M$4</f>
        <v>136976</v>
      </c>
      <c r="P23" s="98">
        <f t="shared" si="3"/>
        <v>27395.200000000001</v>
      </c>
      <c r="Q23" s="298">
        <f>HLOOKUP($D$18,InflationTable,4)*$C23</f>
        <v>9976</v>
      </c>
      <c r="R23" s="279">
        <f>Q23*$M$4</f>
        <v>139664</v>
      </c>
      <c r="S23" s="280">
        <f t="shared" si="4"/>
        <v>27932.799999999999</v>
      </c>
      <c r="T23" s="127" t="s">
        <v>12</v>
      </c>
      <c r="U23" s="119" t="s">
        <v>12</v>
      </c>
      <c r="V23" s="139">
        <f t="shared" si="5"/>
        <v>27387.733333333334</v>
      </c>
    </row>
    <row r="24" spans="1:22" s="1" customFormat="1" ht="13.5" thickBot="1">
      <c r="A24" s="616"/>
      <c r="B24" s="671" t="s">
        <v>13</v>
      </c>
      <c r="C24" s="458"/>
      <c r="D24" s="381"/>
      <c r="E24" s="674"/>
      <c r="F24" s="675"/>
      <c r="G24" s="674"/>
      <c r="H24" s="674"/>
      <c r="I24" s="674"/>
      <c r="J24" s="640"/>
      <c r="K24" s="369"/>
      <c r="L24" s="296">
        <f>SUM(L18:L23)</f>
        <v>2062956</v>
      </c>
      <c r="M24" s="296">
        <f>SUM(M18:M23)</f>
        <v>412591.2</v>
      </c>
      <c r="N24" s="709"/>
      <c r="O24" s="377">
        <f>SUM(O18:O23)</f>
        <v>2106006</v>
      </c>
      <c r="P24" s="377">
        <f>SUM(P18:P23)</f>
        <v>421201.2</v>
      </c>
      <c r="Q24" s="677"/>
      <c r="R24" s="296">
        <f>SUM(R18:R23)</f>
        <v>2147334</v>
      </c>
      <c r="S24" s="296">
        <f>SUM(S18:S23)</f>
        <v>429466.8</v>
      </c>
      <c r="T24" s="472" t="s">
        <v>12</v>
      </c>
      <c r="U24" s="218" t="s">
        <v>12</v>
      </c>
      <c r="V24" s="575">
        <f t="shared" si="5"/>
        <v>421086.39999999997</v>
      </c>
    </row>
    <row r="25" spans="1:22">
      <c r="A25" s="615"/>
      <c r="B25" s="610" t="s">
        <v>17</v>
      </c>
      <c r="C25" s="107" t="s">
        <v>45</v>
      </c>
      <c r="D25" s="108" t="s">
        <v>46</v>
      </c>
      <c r="E25" s="107" t="s">
        <v>47</v>
      </c>
      <c r="F25" s="107" t="s">
        <v>48</v>
      </c>
      <c r="G25" s="107" t="s">
        <v>49</v>
      </c>
      <c r="H25" s="107" t="s">
        <v>50</v>
      </c>
      <c r="I25" s="159" t="s">
        <v>191</v>
      </c>
      <c r="J25" s="350" t="s">
        <v>74</v>
      </c>
      <c r="K25" s="351"/>
      <c r="L25" s="352"/>
      <c r="M25" s="356"/>
      <c r="N25" s="110"/>
      <c r="O25" s="108"/>
      <c r="P25" s="111"/>
      <c r="Q25" s="352"/>
      <c r="R25" s="352"/>
      <c r="S25" s="356"/>
      <c r="T25" s="125"/>
      <c r="U25" s="37"/>
      <c r="V25" s="138"/>
    </row>
    <row r="26" spans="1:22">
      <c r="A26" s="615"/>
      <c r="B26" s="611" t="s">
        <v>190</v>
      </c>
      <c r="C26" s="31">
        <v>0</v>
      </c>
      <c r="D26" s="21">
        <v>24</v>
      </c>
      <c r="E26" s="21">
        <v>0</v>
      </c>
      <c r="F26" s="21">
        <v>24</v>
      </c>
      <c r="G26" s="21">
        <v>0</v>
      </c>
      <c r="H26" s="21">
        <v>0</v>
      </c>
      <c r="I26" s="688">
        <v>12</v>
      </c>
      <c r="J26" s="48">
        <f t="shared" ref="J26:J31" si="6">SUM(C26:I26)</f>
        <v>60</v>
      </c>
      <c r="K26" s="263" t="s">
        <v>12</v>
      </c>
      <c r="L26" s="281">
        <f>J26*($M$4+$M$5)</f>
        <v>840</v>
      </c>
      <c r="M26" s="282">
        <f t="shared" ref="M26:M31" si="7">L26/$E$15</f>
        <v>168</v>
      </c>
      <c r="N26" s="58" t="s">
        <v>12</v>
      </c>
      <c r="O26" s="69">
        <f>$J26*(P$4+P$5)</f>
        <v>840</v>
      </c>
      <c r="P26" s="59">
        <f t="shared" ref="P26:P31" si="8">O26/$E$15</f>
        <v>168</v>
      </c>
      <c r="Q26" s="263" t="s">
        <v>12</v>
      </c>
      <c r="R26" s="281">
        <f>$J26*(S$4+S$5)</f>
        <v>840</v>
      </c>
      <c r="S26" s="282">
        <f t="shared" ref="S26:S31" si="9">R26/$E$15</f>
        <v>168</v>
      </c>
      <c r="T26" s="151">
        <f t="shared" ref="T26:T32" si="10">AVERAGE(M26,P26,S26)</f>
        <v>168</v>
      </c>
      <c r="U26" s="119" t="s">
        <v>12</v>
      </c>
      <c r="V26" s="140" t="s">
        <v>12</v>
      </c>
    </row>
    <row r="27" spans="1:22" s="1" customFormat="1" ht="13.5" thickBot="1">
      <c r="A27" s="616"/>
      <c r="B27" s="604" t="s">
        <v>8</v>
      </c>
      <c r="C27" s="718">
        <f>ROUND(C26*Labor!$D$3,0)</f>
        <v>0</v>
      </c>
      <c r="D27" s="219">
        <f>ROUND(D26*Labor!$D$4,0)</f>
        <v>981</v>
      </c>
      <c r="E27" s="219">
        <f>ROUND(E26*Labor!$D$5,0)</f>
        <v>0</v>
      </c>
      <c r="F27" s="219">
        <f>ROUND(F26*Labor!$D$6,0)</f>
        <v>1182</v>
      </c>
      <c r="G27" s="219">
        <f>ROUND(G26*Labor!$D$7,0)</f>
        <v>0</v>
      </c>
      <c r="H27" s="219">
        <f>ROUND(H26*Labor!$D$8,0)</f>
        <v>0</v>
      </c>
      <c r="I27" s="219">
        <f>ROUND(I26*Labor!$D$9,0)</f>
        <v>300</v>
      </c>
      <c r="J27" s="375">
        <f t="shared" si="6"/>
        <v>2463</v>
      </c>
      <c r="K27" s="332">
        <f>HLOOKUP(Labor!$B$11,InflationTable,2)*J27</f>
        <v>2950.674</v>
      </c>
      <c r="L27" s="296">
        <f>K27*($M$4+$M$5)</f>
        <v>41309.436000000002</v>
      </c>
      <c r="M27" s="297">
        <f t="shared" si="7"/>
        <v>8261.887200000001</v>
      </c>
      <c r="N27" s="376">
        <f>HLOOKUP(Labor!$B$11,InflationTable,3)*$J27</f>
        <v>3012.2490000000003</v>
      </c>
      <c r="O27" s="377">
        <f>N27*P$4</f>
        <v>42171.486000000004</v>
      </c>
      <c r="P27" s="378">
        <f t="shared" si="8"/>
        <v>8434.2972000000009</v>
      </c>
      <c r="Q27" s="332">
        <f>HLOOKUP(Labor!$B$11,InflationTable,4)*$J27</f>
        <v>3071.3610000000003</v>
      </c>
      <c r="R27" s="296">
        <f>Q27*S$4</f>
        <v>42999.054000000004</v>
      </c>
      <c r="S27" s="297">
        <f t="shared" si="9"/>
        <v>8599.8108000000011</v>
      </c>
      <c r="T27" s="391">
        <f t="shared" si="10"/>
        <v>8431.9984000000022</v>
      </c>
      <c r="U27" s="218" t="s">
        <v>12</v>
      </c>
      <c r="V27" s="392" t="s">
        <v>12</v>
      </c>
    </row>
    <row r="28" spans="1:22">
      <c r="A28" s="615"/>
      <c r="B28" s="611" t="s">
        <v>119</v>
      </c>
      <c r="C28" s="31">
        <v>0</v>
      </c>
      <c r="D28" s="21">
        <v>0</v>
      </c>
      <c r="E28" s="21">
        <v>0</v>
      </c>
      <c r="F28" s="21">
        <v>8</v>
      </c>
      <c r="G28" s="21">
        <v>8</v>
      </c>
      <c r="H28" s="21">
        <v>0</v>
      </c>
      <c r="I28" s="688">
        <v>0</v>
      </c>
      <c r="J28" s="48">
        <f t="shared" si="6"/>
        <v>16</v>
      </c>
      <c r="K28" s="263" t="s">
        <v>12</v>
      </c>
      <c r="L28" s="281">
        <f>J28*($M$4+$M$5)</f>
        <v>224</v>
      </c>
      <c r="M28" s="282">
        <f t="shared" si="7"/>
        <v>44.8</v>
      </c>
      <c r="N28" s="58" t="s">
        <v>12</v>
      </c>
      <c r="O28" s="69">
        <f>$J28*(P$4+P$5)</f>
        <v>224</v>
      </c>
      <c r="P28" s="59">
        <f t="shared" si="8"/>
        <v>44.8</v>
      </c>
      <c r="Q28" s="263" t="s">
        <v>12</v>
      </c>
      <c r="R28" s="281">
        <f>$J28*(S$4+S$5)</f>
        <v>224</v>
      </c>
      <c r="S28" s="282">
        <f t="shared" si="9"/>
        <v>44.8</v>
      </c>
      <c r="T28" s="151">
        <f t="shared" si="10"/>
        <v>44.79999999999999</v>
      </c>
      <c r="U28" s="119" t="s">
        <v>12</v>
      </c>
      <c r="V28" s="140" t="s">
        <v>12</v>
      </c>
    </row>
    <row r="29" spans="1:22" s="1" customFormat="1" ht="13.5" thickBot="1">
      <c r="A29" s="616"/>
      <c r="B29" s="604" t="s">
        <v>8</v>
      </c>
      <c r="C29" s="718">
        <f>ROUND(C28*Labor!$D$3,0)</f>
        <v>0</v>
      </c>
      <c r="D29" s="219">
        <f>ROUND(D28*Labor!$D$4,0)</f>
        <v>0</v>
      </c>
      <c r="E29" s="219">
        <f>ROUND(E28*Labor!$D$5,0)</f>
        <v>0</v>
      </c>
      <c r="F29" s="219">
        <f>ROUND(F28*Labor!$D$6,0)</f>
        <v>394</v>
      </c>
      <c r="G29" s="219">
        <f>ROUND(G28*Labor!$D$7,0)</f>
        <v>444</v>
      </c>
      <c r="H29" s="219">
        <f>ROUND(H28*Labor!$D$8,0)</f>
        <v>0</v>
      </c>
      <c r="I29" s="219">
        <f>ROUND(I28*Labor!$D$9,0)</f>
        <v>0</v>
      </c>
      <c r="J29" s="375">
        <f t="shared" si="6"/>
        <v>838</v>
      </c>
      <c r="K29" s="332">
        <f>HLOOKUP(Labor!$B$11,InflationTable,2)*J29</f>
        <v>1003.924</v>
      </c>
      <c r="L29" s="296">
        <f>K29*($M$4+$M$5)</f>
        <v>14054.936</v>
      </c>
      <c r="M29" s="297">
        <f t="shared" si="7"/>
        <v>2810.9872</v>
      </c>
      <c r="N29" s="376">
        <f>HLOOKUP(Labor!$B$11,InflationTable,3)*$J29</f>
        <v>1024.874</v>
      </c>
      <c r="O29" s="377">
        <f>N29*$P$4</f>
        <v>14348.236000000001</v>
      </c>
      <c r="P29" s="378">
        <f t="shared" si="8"/>
        <v>2869.6472000000003</v>
      </c>
      <c r="Q29" s="332">
        <f>HLOOKUP(Labor!$B$11,InflationTable,4)*$J29</f>
        <v>1044.9860000000001</v>
      </c>
      <c r="R29" s="296">
        <f>Q29*$P$4</f>
        <v>14629.804000000002</v>
      </c>
      <c r="S29" s="297">
        <f t="shared" si="9"/>
        <v>2925.9608000000003</v>
      </c>
      <c r="T29" s="391">
        <f t="shared" si="10"/>
        <v>2868.8650666666672</v>
      </c>
      <c r="U29" s="218" t="s">
        <v>12</v>
      </c>
      <c r="V29" s="392" t="s">
        <v>12</v>
      </c>
    </row>
    <row r="30" spans="1:22">
      <c r="A30" s="615"/>
      <c r="B30" s="112" t="s">
        <v>118</v>
      </c>
      <c r="C30" s="346">
        <v>0</v>
      </c>
      <c r="D30" s="365">
        <v>0</v>
      </c>
      <c r="E30" s="365">
        <v>0</v>
      </c>
      <c r="F30" s="365">
        <v>10</v>
      </c>
      <c r="G30" s="365">
        <v>5</v>
      </c>
      <c r="H30" s="365">
        <v>0</v>
      </c>
      <c r="I30" s="690">
        <v>0</v>
      </c>
      <c r="J30" s="366">
        <f t="shared" si="6"/>
        <v>15</v>
      </c>
      <c r="K30" s="293" t="s">
        <v>12</v>
      </c>
      <c r="L30" s="334">
        <f>J30*$M$4</f>
        <v>210</v>
      </c>
      <c r="M30" s="294">
        <f t="shared" si="7"/>
        <v>42</v>
      </c>
      <c r="N30" s="61" t="s">
        <v>12</v>
      </c>
      <c r="O30" s="69">
        <f>$J30*(P$4+P$5)</f>
        <v>210</v>
      </c>
      <c r="P30" s="62">
        <f t="shared" si="8"/>
        <v>42</v>
      </c>
      <c r="Q30" s="293" t="s">
        <v>12</v>
      </c>
      <c r="R30" s="281">
        <f>$J30*(S$4+S$5)</f>
        <v>210</v>
      </c>
      <c r="S30" s="294">
        <f t="shared" si="9"/>
        <v>42</v>
      </c>
      <c r="T30" s="129">
        <f t="shared" si="10"/>
        <v>42</v>
      </c>
      <c r="U30" s="136" t="s">
        <v>12</v>
      </c>
      <c r="V30" s="147" t="s">
        <v>12</v>
      </c>
    </row>
    <row r="31" spans="1:22" s="1" customFormat="1" ht="13.5" thickBot="1">
      <c r="A31" s="616"/>
      <c r="B31" s="612" t="s">
        <v>8</v>
      </c>
      <c r="C31" s="713">
        <f>ROUND(C30*Labor!$D$3,0)</f>
        <v>0</v>
      </c>
      <c r="D31" s="219">
        <f>ROUND(D30*Labor!$D$4,0)</f>
        <v>0</v>
      </c>
      <c r="E31" s="219">
        <f>ROUND(E30*Labor!$D$5,0)</f>
        <v>0</v>
      </c>
      <c r="F31" s="219">
        <f>ROUND(F30*Labor!$D$6,0)</f>
        <v>493</v>
      </c>
      <c r="G31" s="219">
        <f>ROUND(G30*Labor!$D$7,0)</f>
        <v>277</v>
      </c>
      <c r="H31" s="219">
        <f>ROUND(H30*Labor!$D$8,0)</f>
        <v>0</v>
      </c>
      <c r="I31" s="219">
        <f>ROUND(I30*Labor!$D$9,0)</f>
        <v>0</v>
      </c>
      <c r="J31" s="375">
        <f t="shared" si="6"/>
        <v>770</v>
      </c>
      <c r="K31" s="332">
        <f>HLOOKUP(Labor!$B$11,InflationTable,2)*J31</f>
        <v>922.45999999999992</v>
      </c>
      <c r="L31" s="296">
        <f>K31*$M$4</f>
        <v>12914.439999999999</v>
      </c>
      <c r="M31" s="297">
        <f t="shared" si="7"/>
        <v>2582.8879999999999</v>
      </c>
      <c r="N31" s="376">
        <f>HLOOKUP(Labor!$B$11,InflationTable,3)*$J31</f>
        <v>941.71</v>
      </c>
      <c r="O31" s="377">
        <f>N31*$P$4</f>
        <v>13183.94</v>
      </c>
      <c r="P31" s="378">
        <f t="shared" si="8"/>
        <v>2636.788</v>
      </c>
      <c r="Q31" s="339">
        <f>HLOOKUP(Labor!$B$11,InflationTable,4)*$J31</f>
        <v>960.19</v>
      </c>
      <c r="R31" s="296">
        <f>Q31*$P$4</f>
        <v>13442.66</v>
      </c>
      <c r="S31" s="297">
        <f t="shared" si="9"/>
        <v>2688.5320000000002</v>
      </c>
      <c r="T31" s="211">
        <f t="shared" si="10"/>
        <v>2636.0693333333334</v>
      </c>
      <c r="U31" s="393" t="s">
        <v>12</v>
      </c>
      <c r="V31" s="392" t="s">
        <v>12</v>
      </c>
    </row>
    <row r="32" spans="1:22">
      <c r="A32" s="615"/>
      <c r="B32" s="605" t="s">
        <v>66</v>
      </c>
      <c r="C32" s="33">
        <f t="shared" ref="C32:J32" si="11">C28+C30</f>
        <v>0</v>
      </c>
      <c r="D32" s="33">
        <f t="shared" si="11"/>
        <v>0</v>
      </c>
      <c r="E32" s="33">
        <f t="shared" si="11"/>
        <v>0</v>
      </c>
      <c r="F32" s="33">
        <f t="shared" si="11"/>
        <v>18</v>
      </c>
      <c r="G32" s="33">
        <f t="shared" si="11"/>
        <v>13</v>
      </c>
      <c r="H32" s="33">
        <f t="shared" si="11"/>
        <v>0</v>
      </c>
      <c r="I32" s="691"/>
      <c r="J32" s="49">
        <f t="shared" si="11"/>
        <v>31</v>
      </c>
      <c r="K32" s="284" t="s">
        <v>12</v>
      </c>
      <c r="L32" s="285">
        <f>L26+L28+L30</f>
        <v>1274</v>
      </c>
      <c r="M32" s="285">
        <f>M26+M28+M30</f>
        <v>254.8</v>
      </c>
      <c r="N32" s="44" t="s">
        <v>12</v>
      </c>
      <c r="O32" s="33">
        <f>O26+O28+O30</f>
        <v>1274</v>
      </c>
      <c r="P32" s="33">
        <f>P26+P28+P30</f>
        <v>254.8</v>
      </c>
      <c r="Q32" s="284" t="s">
        <v>12</v>
      </c>
      <c r="R32" s="285">
        <f>R26+R28+R30</f>
        <v>1274</v>
      </c>
      <c r="S32" s="285">
        <f>S26+S28+S30</f>
        <v>254.8</v>
      </c>
      <c r="T32" s="175">
        <f t="shared" si="10"/>
        <v>254.80000000000004</v>
      </c>
      <c r="U32" s="136" t="s">
        <v>12</v>
      </c>
      <c r="V32" s="147" t="s">
        <v>12</v>
      </c>
    </row>
    <row r="33" spans="1:22" ht="13.5" thickBot="1">
      <c r="A33" s="615"/>
      <c r="B33" s="606" t="s">
        <v>67</v>
      </c>
      <c r="C33" s="240">
        <f t="shared" ref="C33:J33" si="12">C31+C29</f>
        <v>0</v>
      </c>
      <c r="D33" s="240">
        <f t="shared" si="12"/>
        <v>0</v>
      </c>
      <c r="E33" s="240">
        <f t="shared" si="12"/>
        <v>0</v>
      </c>
      <c r="F33" s="240">
        <f t="shared" si="12"/>
        <v>887</v>
      </c>
      <c r="G33" s="240">
        <f t="shared" si="12"/>
        <v>721</v>
      </c>
      <c r="H33" s="240">
        <f t="shared" si="12"/>
        <v>0</v>
      </c>
      <c r="I33" s="692"/>
      <c r="J33" s="241">
        <f t="shared" si="12"/>
        <v>1608</v>
      </c>
      <c r="K33" s="274"/>
      <c r="L33" s="287"/>
      <c r="M33" s="276">
        <f>M24+M27+M29+M31</f>
        <v>426246.96239999996</v>
      </c>
      <c r="N33" s="242"/>
      <c r="O33" s="247"/>
      <c r="P33" s="243">
        <f>P24+P27+P29+P31</f>
        <v>435141.93239999999</v>
      </c>
      <c r="Q33" s="274"/>
      <c r="R33" s="287"/>
      <c r="S33" s="276">
        <f>S24+S27+S29+S31</f>
        <v>443681.10359999997</v>
      </c>
      <c r="T33" s="248">
        <f>T31+T29+T27</f>
        <v>13936.932800000002</v>
      </c>
      <c r="U33" s="249" t="s">
        <v>12</v>
      </c>
      <c r="V33" s="250">
        <f>V24</f>
        <v>421086.39999999997</v>
      </c>
    </row>
    <row r="34" spans="1:22" ht="14.25" thickTop="1" thickBot="1">
      <c r="A34" s="615"/>
      <c r="B34" s="5"/>
      <c r="C34" s="618"/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20"/>
    </row>
    <row r="35" spans="1:22" ht="16.5" thickTop="1">
      <c r="A35" s="615"/>
      <c r="B35" s="710" t="s">
        <v>22</v>
      </c>
      <c r="C35" s="5"/>
      <c r="D35" s="5"/>
      <c r="E35" s="5"/>
      <c r="F35" s="112" t="s">
        <v>6</v>
      </c>
      <c r="G35" s="1412"/>
      <c r="H35" s="1413"/>
      <c r="I35" s="1413"/>
      <c r="J35" s="1414"/>
      <c r="K35" s="244" t="s">
        <v>22</v>
      </c>
      <c r="L35" s="426"/>
      <c r="M35" s="180"/>
      <c r="N35" s="244" t="s">
        <v>22</v>
      </c>
      <c r="O35" s="426"/>
      <c r="P35" s="67"/>
      <c r="Q35" s="244" t="s">
        <v>22</v>
      </c>
      <c r="R35" s="426"/>
      <c r="S35" s="67"/>
      <c r="T35" s="225"/>
      <c r="U35" s="37"/>
      <c r="V35" s="138"/>
    </row>
    <row r="36" spans="1:22">
      <c r="A36" s="615"/>
      <c r="B36" s="5"/>
      <c r="C36" s="5"/>
      <c r="D36" s="5"/>
      <c r="E36" s="5"/>
      <c r="F36" s="112"/>
      <c r="G36" s="1415"/>
      <c r="H36" s="1415"/>
      <c r="I36" s="1415"/>
      <c r="J36" s="1416"/>
      <c r="K36" s="277" t="s">
        <v>61</v>
      </c>
      <c r="L36" s="1434" t="s">
        <v>57</v>
      </c>
      <c r="M36" s="1435"/>
      <c r="N36" s="57" t="s">
        <v>61</v>
      </c>
      <c r="O36" s="1429" t="s">
        <v>57</v>
      </c>
      <c r="P36" s="1430"/>
      <c r="Q36" s="277" t="s">
        <v>61</v>
      </c>
      <c r="R36" s="1419" t="s">
        <v>57</v>
      </c>
      <c r="S36" s="1420"/>
      <c r="T36" s="131"/>
      <c r="U36" s="37"/>
      <c r="V36" s="138"/>
    </row>
    <row r="37" spans="1:22">
      <c r="A37" s="615"/>
      <c r="B37" s="611" t="s">
        <v>18</v>
      </c>
      <c r="C37" s="23" t="s">
        <v>60</v>
      </c>
      <c r="D37" s="23" t="s">
        <v>62</v>
      </c>
      <c r="E37" s="9"/>
      <c r="F37" s="72"/>
      <c r="G37" s="72"/>
      <c r="H37" s="72"/>
      <c r="I37" s="5"/>
      <c r="J37" s="37"/>
      <c r="K37" s="261" t="s">
        <v>56</v>
      </c>
      <c r="L37" s="261" t="s">
        <v>13</v>
      </c>
      <c r="M37" s="262" t="s">
        <v>68</v>
      </c>
      <c r="N37" s="77" t="s">
        <v>56</v>
      </c>
      <c r="O37" s="24" t="s">
        <v>13</v>
      </c>
      <c r="P37" s="38" t="s">
        <v>68</v>
      </c>
      <c r="Q37" s="260" t="s">
        <v>56</v>
      </c>
      <c r="R37" s="261" t="s">
        <v>13</v>
      </c>
      <c r="S37" s="262" t="s">
        <v>68</v>
      </c>
      <c r="T37" s="123"/>
      <c r="U37" s="37"/>
      <c r="V37" s="138"/>
    </row>
    <row r="38" spans="1:22" ht="13.5" thickBot="1">
      <c r="A38" s="615"/>
      <c r="B38" s="361"/>
      <c r="C38" s="353">
        <f>VLOOKUP(C$2,Monitor_Costs,4,FALSE)</f>
        <v>1000</v>
      </c>
      <c r="D38" s="34">
        <f>VLOOKUP(C$2,Monitor_Costs,5,FALSE)</f>
        <v>2013</v>
      </c>
      <c r="E38" s="4"/>
      <c r="F38" s="12"/>
      <c r="G38" s="4"/>
      <c r="H38" s="361"/>
      <c r="I38" s="4"/>
      <c r="J38" s="363"/>
      <c r="K38" s="355">
        <f>HLOOKUP($D$38,InflationTable,2)*$C$38</f>
        <v>1198</v>
      </c>
      <c r="L38" s="355">
        <f>K38*$M$4</f>
        <v>16772</v>
      </c>
      <c r="M38" s="308">
        <f>L38</f>
        <v>16772</v>
      </c>
      <c r="N38" s="171">
        <f>HLOOKUP($D$38,InflationTable,3)*$C$38</f>
        <v>1223</v>
      </c>
      <c r="O38" s="357">
        <f>N38*$P$4</f>
        <v>17122</v>
      </c>
      <c r="P38" s="95">
        <f>O38</f>
        <v>17122</v>
      </c>
      <c r="Q38" s="355">
        <f>HLOOKUP($D$38,InflationTable,4)*$C$38</f>
        <v>1247</v>
      </c>
      <c r="R38" s="355">
        <f>Q38*$S$4</f>
        <v>17458</v>
      </c>
      <c r="S38" s="308">
        <f>R38</f>
        <v>17458</v>
      </c>
      <c r="T38" s="359" t="s">
        <v>12</v>
      </c>
      <c r="U38" s="360">
        <f>AVERAGE(M38,P38,S38)</f>
        <v>17117.333333333332</v>
      </c>
      <c r="V38" s="142" t="s">
        <v>12</v>
      </c>
    </row>
    <row r="39" spans="1:22">
      <c r="A39" s="615"/>
      <c r="B39" s="465" t="s">
        <v>192</v>
      </c>
      <c r="C39" s="107" t="s">
        <v>45</v>
      </c>
      <c r="D39" s="108" t="s">
        <v>46</v>
      </c>
      <c r="E39" s="107" t="s">
        <v>47</v>
      </c>
      <c r="F39" s="107" t="s">
        <v>48</v>
      </c>
      <c r="G39" s="107" t="s">
        <v>49</v>
      </c>
      <c r="H39" s="107" t="s">
        <v>50</v>
      </c>
      <c r="I39" s="159" t="s">
        <v>191</v>
      </c>
      <c r="J39" s="350" t="s">
        <v>74</v>
      </c>
      <c r="K39" s="352"/>
      <c r="L39" s="352"/>
      <c r="M39" s="356"/>
      <c r="N39" s="110"/>
      <c r="O39" s="108"/>
      <c r="P39" s="111"/>
      <c r="Q39" s="352"/>
      <c r="R39" s="352"/>
      <c r="S39" s="356"/>
      <c r="T39" s="123"/>
      <c r="U39" s="37"/>
      <c r="V39" s="138"/>
    </row>
    <row r="40" spans="1:22">
      <c r="A40" s="615"/>
      <c r="B40" s="614" t="s">
        <v>4</v>
      </c>
      <c r="C40" s="21">
        <v>0</v>
      </c>
      <c r="D40" s="21">
        <v>0</v>
      </c>
      <c r="E40" s="21">
        <v>0</v>
      </c>
      <c r="F40" s="21">
        <v>16</v>
      </c>
      <c r="G40" s="21">
        <v>0</v>
      </c>
      <c r="H40" s="21">
        <v>0</v>
      </c>
      <c r="I40" s="688"/>
      <c r="J40" s="48">
        <f>SUM(C40:I40)</f>
        <v>16</v>
      </c>
      <c r="K40" s="299" t="s">
        <v>12</v>
      </c>
      <c r="L40" s="281">
        <f>J40*$M$4</f>
        <v>224</v>
      </c>
      <c r="M40" s="289">
        <f>L40</f>
        <v>224</v>
      </c>
      <c r="N40" s="58" t="s">
        <v>12</v>
      </c>
      <c r="O40" s="69">
        <f>$J$40*$P$4</f>
        <v>224</v>
      </c>
      <c r="P40" s="68">
        <f>O40</f>
        <v>224</v>
      </c>
      <c r="Q40" s="299" t="s">
        <v>12</v>
      </c>
      <c r="R40" s="281">
        <f>$J$40*$S$4</f>
        <v>224</v>
      </c>
      <c r="S40" s="289">
        <f>R40</f>
        <v>224</v>
      </c>
      <c r="T40" s="121">
        <f>AVERAGE(M40,P40,S40)</f>
        <v>224</v>
      </c>
      <c r="U40" s="119" t="s">
        <v>12</v>
      </c>
      <c r="V40" s="140" t="s">
        <v>12</v>
      </c>
    </row>
    <row r="41" spans="1:22" s="1" customFormat="1" ht="13.5" thickBot="1">
      <c r="A41" s="616"/>
      <c r="B41" s="604" t="s">
        <v>8</v>
      </c>
      <c r="C41" s="713">
        <f>ROUND(C40*Labor!$D$3,0)</f>
        <v>0</v>
      </c>
      <c r="D41" s="219">
        <f>ROUND(D40*Labor!$D$4,0)</f>
        <v>0</v>
      </c>
      <c r="E41" s="219">
        <f>ROUND(E40*Labor!$D$5,0)</f>
        <v>0</v>
      </c>
      <c r="F41" s="219">
        <f>ROUND(F40*Labor!$D$6,0)</f>
        <v>788</v>
      </c>
      <c r="G41" s="219">
        <f>ROUND(G40*Labor!$D$7,0)</f>
        <v>0</v>
      </c>
      <c r="H41" s="219">
        <f>ROUND(H40*Labor!$D$8,0)</f>
        <v>0</v>
      </c>
      <c r="I41" s="717"/>
      <c r="J41" s="375">
        <f>SUM(C41:I41)</f>
        <v>788</v>
      </c>
      <c r="K41" s="296">
        <f>HLOOKUP(Labor!$B$11,InflationTable,2)*J41</f>
        <v>944.024</v>
      </c>
      <c r="L41" s="296">
        <f>K41*$M$4</f>
        <v>13216.335999999999</v>
      </c>
      <c r="M41" s="390">
        <f>L41</f>
        <v>13216.335999999999</v>
      </c>
      <c r="N41" s="376">
        <f>HLOOKUP(Labor!$B$11,InflationTable,3)*J41</f>
        <v>963.72400000000005</v>
      </c>
      <c r="O41" s="377">
        <f>N41*$P$4</f>
        <v>13492.136</v>
      </c>
      <c r="P41" s="378">
        <f>O41</f>
        <v>13492.136</v>
      </c>
      <c r="Q41" s="296">
        <f>HLOOKUP(Labor!$B$11,InflationTable,4)*$J$41</f>
        <v>982.63600000000008</v>
      </c>
      <c r="R41" s="296">
        <f>Q41*$S$4</f>
        <v>13756.904</v>
      </c>
      <c r="S41" s="390">
        <f>R41</f>
        <v>13756.904</v>
      </c>
      <c r="T41" s="211">
        <f>AVERAGE(M41,P41,S41)</f>
        <v>13488.458666666667</v>
      </c>
      <c r="U41" s="393" t="s">
        <v>12</v>
      </c>
      <c r="V41" s="392" t="s">
        <v>12</v>
      </c>
    </row>
    <row r="42" spans="1:22">
      <c r="A42" s="615"/>
      <c r="B42" s="605" t="s">
        <v>66</v>
      </c>
      <c r="C42" s="36">
        <f t="shared" ref="C42:J42" si="13">C40</f>
        <v>0</v>
      </c>
      <c r="D42" s="36">
        <f t="shared" si="13"/>
        <v>0</v>
      </c>
      <c r="E42" s="36">
        <f t="shared" si="13"/>
        <v>0</v>
      </c>
      <c r="F42" s="36">
        <f t="shared" si="13"/>
        <v>16</v>
      </c>
      <c r="G42" s="36">
        <f t="shared" si="13"/>
        <v>0</v>
      </c>
      <c r="H42" s="36">
        <f t="shared" si="13"/>
        <v>0</v>
      </c>
      <c r="I42" s="693"/>
      <c r="J42" s="51">
        <f t="shared" si="13"/>
        <v>16</v>
      </c>
      <c r="K42" s="307" t="s">
        <v>12</v>
      </c>
      <c r="L42" s="302">
        <f>L40</f>
        <v>224</v>
      </c>
      <c r="M42" s="303">
        <f>M40</f>
        <v>224</v>
      </c>
      <c r="N42" s="85" t="s">
        <v>12</v>
      </c>
      <c r="O42" s="82">
        <f>O40</f>
        <v>224</v>
      </c>
      <c r="P42" s="96">
        <f>P40</f>
        <v>224</v>
      </c>
      <c r="Q42" s="301" t="s">
        <v>12</v>
      </c>
      <c r="R42" s="302">
        <f>R40</f>
        <v>224</v>
      </c>
      <c r="S42" s="303">
        <f>S40</f>
        <v>224</v>
      </c>
      <c r="T42" s="96">
        <f>T40</f>
        <v>224</v>
      </c>
      <c r="U42" s="136" t="s">
        <v>12</v>
      </c>
      <c r="V42" s="147" t="s">
        <v>12</v>
      </c>
    </row>
    <row r="43" spans="1:22" ht="13.5" thickBot="1">
      <c r="A43" s="615"/>
      <c r="B43" s="606" t="s">
        <v>67</v>
      </c>
      <c r="C43" s="240">
        <f t="shared" ref="C43:H43" si="14">C42</f>
        <v>0</v>
      </c>
      <c r="D43" s="240">
        <f t="shared" si="14"/>
        <v>0</v>
      </c>
      <c r="E43" s="240">
        <f t="shared" si="14"/>
        <v>0</v>
      </c>
      <c r="F43" s="240">
        <f t="shared" si="14"/>
        <v>16</v>
      </c>
      <c r="G43" s="240">
        <f t="shared" si="14"/>
        <v>0</v>
      </c>
      <c r="H43" s="240">
        <f t="shared" si="14"/>
        <v>0</v>
      </c>
      <c r="I43" s="692"/>
      <c r="J43" s="251">
        <f>J41+C38</f>
        <v>1788</v>
      </c>
      <c r="K43" s="305">
        <f t="shared" ref="K43:S43" si="15">K41+K38</f>
        <v>2142.0239999999999</v>
      </c>
      <c r="L43" s="305">
        <f t="shared" si="15"/>
        <v>29988.335999999999</v>
      </c>
      <c r="M43" s="306">
        <f t="shared" si="15"/>
        <v>29988.335999999999</v>
      </c>
      <c r="N43" s="252">
        <f t="shared" si="15"/>
        <v>2186.7240000000002</v>
      </c>
      <c r="O43" s="253">
        <f t="shared" si="15"/>
        <v>30614.135999999999</v>
      </c>
      <c r="P43" s="254">
        <f t="shared" si="15"/>
        <v>30614.135999999999</v>
      </c>
      <c r="Q43" s="304">
        <f t="shared" si="15"/>
        <v>2229.636</v>
      </c>
      <c r="R43" s="305">
        <f t="shared" si="15"/>
        <v>31214.904000000002</v>
      </c>
      <c r="S43" s="306">
        <f t="shared" si="15"/>
        <v>31214.904000000002</v>
      </c>
      <c r="T43" s="255">
        <f>AVERAGE(M43,P43,S43)</f>
        <v>30605.791999999998</v>
      </c>
      <c r="U43" s="251">
        <f>U38</f>
        <v>17117.333333333332</v>
      </c>
      <c r="V43" s="224" t="s">
        <v>12</v>
      </c>
    </row>
    <row r="44" spans="1:22" ht="14.25" thickTop="1" thickBot="1">
      <c r="A44" s="615"/>
      <c r="B44" s="617"/>
      <c r="C44" s="618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7"/>
      <c r="P44" s="618"/>
      <c r="Q44" s="618"/>
      <c r="R44" s="618"/>
      <c r="S44" s="618"/>
      <c r="T44" s="618"/>
      <c r="U44" s="618"/>
      <c r="V44" s="620"/>
    </row>
    <row r="45" spans="1:22" ht="16.5" thickTop="1">
      <c r="A45" s="615"/>
      <c r="B45" s="181" t="s">
        <v>24</v>
      </c>
      <c r="C45" s="5"/>
      <c r="D45" s="5"/>
      <c r="E45" s="5"/>
      <c r="F45" s="112" t="s">
        <v>6</v>
      </c>
      <c r="G45" s="1412"/>
      <c r="H45" s="1413"/>
      <c r="I45" s="1413"/>
      <c r="J45" s="1414"/>
      <c r="K45" s="181" t="s">
        <v>24</v>
      </c>
      <c r="L45" s="426"/>
      <c r="M45" s="180"/>
      <c r="N45" s="181" t="s">
        <v>24</v>
      </c>
      <c r="O45" s="319"/>
      <c r="P45" s="67"/>
      <c r="Q45" s="181" t="s">
        <v>24</v>
      </c>
      <c r="R45" s="426"/>
      <c r="S45" s="67"/>
      <c r="T45" s="225"/>
      <c r="U45" s="37"/>
      <c r="V45" s="138"/>
    </row>
    <row r="46" spans="1:22">
      <c r="A46" s="615"/>
      <c r="B46" s="5"/>
      <c r="C46" s="5"/>
      <c r="D46" s="5"/>
      <c r="E46" s="5"/>
      <c r="F46" s="112"/>
      <c r="G46" s="1415"/>
      <c r="H46" s="1415"/>
      <c r="I46" s="1415"/>
      <c r="J46" s="1416"/>
      <c r="K46" s="277" t="s">
        <v>61</v>
      </c>
      <c r="L46" s="1419" t="s">
        <v>57</v>
      </c>
      <c r="M46" s="1420"/>
      <c r="N46" s="57" t="s">
        <v>61</v>
      </c>
      <c r="O46" s="1429" t="s">
        <v>57</v>
      </c>
      <c r="P46" s="1430"/>
      <c r="Q46" s="277" t="s">
        <v>61</v>
      </c>
      <c r="R46" s="1419" t="s">
        <v>57</v>
      </c>
      <c r="S46" s="1420"/>
      <c r="T46" s="131"/>
      <c r="U46" s="37"/>
      <c r="V46" s="138"/>
    </row>
    <row r="47" spans="1:22">
      <c r="A47" s="615"/>
      <c r="B47" s="611" t="s">
        <v>19</v>
      </c>
      <c r="C47" s="23" t="s">
        <v>60</v>
      </c>
      <c r="D47" s="23" t="s">
        <v>62</v>
      </c>
      <c r="E47" s="9"/>
      <c r="F47" s="72"/>
      <c r="G47" s="72"/>
      <c r="H47" s="72"/>
      <c r="I47" s="72"/>
      <c r="J47" s="73"/>
      <c r="K47" s="260" t="s">
        <v>56</v>
      </c>
      <c r="L47" s="261" t="s">
        <v>13</v>
      </c>
      <c r="M47" s="262" t="s">
        <v>68</v>
      </c>
      <c r="N47" s="77" t="s">
        <v>56</v>
      </c>
      <c r="O47" s="24" t="s">
        <v>13</v>
      </c>
      <c r="P47" s="38" t="s">
        <v>68</v>
      </c>
      <c r="Q47" s="260" t="s">
        <v>56</v>
      </c>
      <c r="R47" s="261" t="s">
        <v>13</v>
      </c>
      <c r="S47" s="262" t="s">
        <v>68</v>
      </c>
      <c r="T47" s="123"/>
      <c r="U47" s="73"/>
      <c r="V47" s="138"/>
    </row>
    <row r="48" spans="1:22" ht="13.5" thickBot="1">
      <c r="A48" s="615"/>
      <c r="B48" s="361"/>
      <c r="C48" s="353">
        <f>VLOOKUP(C$2,Monitor_Costs,6,FALSE)</f>
        <v>2000</v>
      </c>
      <c r="D48" s="34">
        <f>VLOOKUP(C$2,Monitor_Costs,7,FALSE)</f>
        <v>2013</v>
      </c>
      <c r="E48" s="354"/>
      <c r="F48" s="71"/>
      <c r="G48" s="56"/>
      <c r="H48" s="56"/>
      <c r="I48" s="56"/>
      <c r="J48" s="54"/>
      <c r="K48" s="355">
        <f>HLOOKUP(D48,InflationTable,2)*C48</f>
        <v>2396</v>
      </c>
      <c r="L48" s="355">
        <f>K48*$M$4</f>
        <v>33544</v>
      </c>
      <c r="M48" s="308">
        <f>L48</f>
        <v>33544</v>
      </c>
      <c r="N48" s="357">
        <f>HLOOKUP($D$48,InflationTable,3)*$C$48</f>
        <v>2446</v>
      </c>
      <c r="O48" s="357">
        <f>N48*$P$4</f>
        <v>34244</v>
      </c>
      <c r="P48" s="95">
        <f>O48</f>
        <v>34244</v>
      </c>
      <c r="Q48" s="358">
        <f>HLOOKUP($D$48,InflationTable,4)*$C$48</f>
        <v>2494</v>
      </c>
      <c r="R48" s="355">
        <f>Q48*$S$4</f>
        <v>34916</v>
      </c>
      <c r="S48" s="308">
        <f>R48</f>
        <v>34916</v>
      </c>
      <c r="T48" s="359" t="s">
        <v>12</v>
      </c>
      <c r="U48" s="360">
        <f>AVERAGE(M48,P48,S48)</f>
        <v>34234.666666666664</v>
      </c>
      <c r="V48" s="142" t="s">
        <v>12</v>
      </c>
    </row>
    <row r="49" spans="1:23">
      <c r="A49" s="615"/>
      <c r="B49" s="465" t="s">
        <v>193</v>
      </c>
      <c r="C49" s="107" t="s">
        <v>45</v>
      </c>
      <c r="D49" s="108" t="s">
        <v>46</v>
      </c>
      <c r="E49" s="107" t="s">
        <v>47</v>
      </c>
      <c r="F49" s="107" t="s">
        <v>48</v>
      </c>
      <c r="G49" s="107" t="s">
        <v>49</v>
      </c>
      <c r="H49" s="107" t="s">
        <v>50</v>
      </c>
      <c r="I49" s="159" t="s">
        <v>191</v>
      </c>
      <c r="J49" s="350" t="s">
        <v>74</v>
      </c>
      <c r="K49" s="351"/>
      <c r="L49" s="352"/>
      <c r="M49" s="356"/>
      <c r="N49" s="110"/>
      <c r="O49" s="108"/>
      <c r="P49" s="111"/>
      <c r="Q49" s="351"/>
      <c r="R49" s="352"/>
      <c r="S49" s="356"/>
      <c r="T49" s="134"/>
      <c r="U49" s="136"/>
      <c r="V49" s="138"/>
    </row>
    <row r="50" spans="1:23">
      <c r="B50" s="566" t="s">
        <v>4</v>
      </c>
      <c r="C50" s="21">
        <v>0</v>
      </c>
      <c r="D50" s="21">
        <v>0</v>
      </c>
      <c r="E50" s="21">
        <v>0</v>
      </c>
      <c r="F50" s="21">
        <v>5</v>
      </c>
      <c r="G50" s="21">
        <v>0</v>
      </c>
      <c r="H50" s="21">
        <v>0</v>
      </c>
      <c r="I50" s="694"/>
      <c r="J50" s="52">
        <f>SUM(C50:I50)</f>
        <v>5</v>
      </c>
      <c r="K50" s="263" t="s">
        <v>12</v>
      </c>
      <c r="L50" s="281">
        <f>J50*$M$4</f>
        <v>70</v>
      </c>
      <c r="M50" s="289">
        <f>L50</f>
        <v>70</v>
      </c>
      <c r="N50" s="58" t="s">
        <v>12</v>
      </c>
      <c r="O50" s="69">
        <f>$J$50*$P$4</f>
        <v>70</v>
      </c>
      <c r="P50" s="68">
        <f>O50</f>
        <v>70</v>
      </c>
      <c r="Q50" s="263" t="s">
        <v>12</v>
      </c>
      <c r="R50" s="281">
        <f>$J$50*$S$4</f>
        <v>70</v>
      </c>
      <c r="S50" s="289">
        <f>R50</f>
        <v>70</v>
      </c>
      <c r="T50" s="121">
        <f>AVERAGE(M50,P50,S50)</f>
        <v>70</v>
      </c>
      <c r="U50" s="119" t="s">
        <v>12</v>
      </c>
      <c r="V50" s="140" t="s">
        <v>12</v>
      </c>
    </row>
    <row r="51" spans="1:23" s="1" customFormat="1" ht="13.5" thickBot="1">
      <c r="B51" s="716" t="s">
        <v>8</v>
      </c>
      <c r="C51" s="713">
        <f>ROUND(C50*Labor!$D$3,0)</f>
        <v>0</v>
      </c>
      <c r="D51" s="219">
        <f>ROUND(D50*Labor!$D$4,0)</f>
        <v>0</v>
      </c>
      <c r="E51" s="219">
        <f>ROUND(E50*Labor!$D$5,0)</f>
        <v>0</v>
      </c>
      <c r="F51" s="219">
        <f>ROUND(F50*Labor!$D$6,0)</f>
        <v>246</v>
      </c>
      <c r="G51" s="219">
        <f>ROUND(G50*Labor!$D$7,0)</f>
        <v>0</v>
      </c>
      <c r="H51" s="219">
        <f>ROUND(H50*Labor!$D$8,0)</f>
        <v>0</v>
      </c>
      <c r="I51" s="714"/>
      <c r="J51" s="209">
        <f>SUM(C51:I51)</f>
        <v>246</v>
      </c>
      <c r="K51" s="339">
        <f>HLOOKUP(Labor!$B$11,InflationTable,2)*J51</f>
        <v>294.70799999999997</v>
      </c>
      <c r="L51" s="296">
        <f>K51*$M$4</f>
        <v>4125.9119999999994</v>
      </c>
      <c r="M51" s="297">
        <f>L51</f>
        <v>4125.9119999999994</v>
      </c>
      <c r="N51" s="376">
        <f>HLOOKUP(Labor!$B$11,InflationTable,3)*$J$51</f>
        <v>300.858</v>
      </c>
      <c r="O51" s="377">
        <f>N51*$P$4</f>
        <v>4212.0119999999997</v>
      </c>
      <c r="P51" s="378">
        <f>O51</f>
        <v>4212.0119999999997</v>
      </c>
      <c r="Q51" s="332">
        <f>HLOOKUP(Labor!$B$11,InflationTable,4)*$J$51</f>
        <v>306.762</v>
      </c>
      <c r="R51" s="296">
        <f>Q51*$P$4</f>
        <v>4294.6679999999997</v>
      </c>
      <c r="S51" s="297">
        <f>R51</f>
        <v>4294.6679999999997</v>
      </c>
      <c r="T51" s="211">
        <f>AVERAGE(M51,P51,S51)</f>
        <v>4210.8639999999996</v>
      </c>
      <c r="U51" s="218" t="s">
        <v>12</v>
      </c>
      <c r="V51" s="392" t="s">
        <v>12</v>
      </c>
    </row>
    <row r="52" spans="1:23">
      <c r="B52" s="560" t="s">
        <v>66</v>
      </c>
      <c r="C52" s="36">
        <f>C50</f>
        <v>0</v>
      </c>
      <c r="D52" s="36">
        <f t="shared" ref="D52:J52" si="16">D50</f>
        <v>0</v>
      </c>
      <c r="E52" s="36">
        <f t="shared" si="16"/>
        <v>0</v>
      </c>
      <c r="F52" s="36">
        <f t="shared" si="16"/>
        <v>5</v>
      </c>
      <c r="G52" s="36">
        <f t="shared" si="16"/>
        <v>0</v>
      </c>
      <c r="H52" s="36">
        <f t="shared" si="16"/>
        <v>0</v>
      </c>
      <c r="I52" s="36">
        <f t="shared" si="16"/>
        <v>0</v>
      </c>
      <c r="J52" s="36">
        <f t="shared" si="16"/>
        <v>5</v>
      </c>
      <c r="K52" s="36" t="str">
        <f t="shared" ref="K52:S52" si="17">K50</f>
        <v>NA</v>
      </c>
      <c r="L52" s="36">
        <f t="shared" si="17"/>
        <v>70</v>
      </c>
      <c r="M52" s="36">
        <f t="shared" si="17"/>
        <v>70</v>
      </c>
      <c r="N52" s="36" t="str">
        <f t="shared" si="17"/>
        <v>NA</v>
      </c>
      <c r="O52" s="36">
        <f t="shared" si="17"/>
        <v>70</v>
      </c>
      <c r="P52" s="36">
        <f t="shared" si="17"/>
        <v>70</v>
      </c>
      <c r="Q52" s="36" t="str">
        <f t="shared" si="17"/>
        <v>NA</v>
      </c>
      <c r="R52" s="36">
        <f t="shared" si="17"/>
        <v>70</v>
      </c>
      <c r="S52" s="36">
        <f t="shared" si="17"/>
        <v>70</v>
      </c>
      <c r="T52" s="121">
        <f>AVERAGE(M52,P52,S52)</f>
        <v>70</v>
      </c>
      <c r="U52" s="136" t="s">
        <v>12</v>
      </c>
      <c r="V52" s="148" t="s">
        <v>12</v>
      </c>
    </row>
    <row r="53" spans="1:23" ht="13.5" thickBot="1">
      <c r="B53" s="561" t="s">
        <v>67</v>
      </c>
      <c r="C53" s="240">
        <f>C51</f>
        <v>0</v>
      </c>
      <c r="D53" s="240">
        <f t="shared" ref="D53:J53" si="18">D51</f>
        <v>0</v>
      </c>
      <c r="E53" s="240">
        <f t="shared" si="18"/>
        <v>0</v>
      </c>
      <c r="F53" s="240">
        <f t="shared" si="18"/>
        <v>246</v>
      </c>
      <c r="G53" s="240">
        <f t="shared" si="18"/>
        <v>0</v>
      </c>
      <c r="H53" s="240">
        <f t="shared" si="18"/>
        <v>0</v>
      </c>
      <c r="I53" s="240">
        <f t="shared" si="18"/>
        <v>0</v>
      </c>
      <c r="J53" s="240">
        <f t="shared" si="18"/>
        <v>246</v>
      </c>
      <c r="K53" s="240">
        <f t="shared" ref="K53:S53" si="19">K51</f>
        <v>294.70799999999997</v>
      </c>
      <c r="L53" s="240">
        <f t="shared" si="19"/>
        <v>4125.9119999999994</v>
      </c>
      <c r="M53" s="240">
        <f t="shared" si="19"/>
        <v>4125.9119999999994</v>
      </c>
      <c r="N53" s="240">
        <f t="shared" si="19"/>
        <v>300.858</v>
      </c>
      <c r="O53" s="240">
        <f t="shared" si="19"/>
        <v>4212.0119999999997</v>
      </c>
      <c r="P53" s="240">
        <f t="shared" si="19"/>
        <v>4212.0119999999997</v>
      </c>
      <c r="Q53" s="240">
        <f t="shared" si="19"/>
        <v>306.762</v>
      </c>
      <c r="R53" s="240">
        <f t="shared" si="19"/>
        <v>4294.6679999999997</v>
      </c>
      <c r="S53" s="240">
        <f t="shared" si="19"/>
        <v>4294.6679999999997</v>
      </c>
      <c r="T53" s="257">
        <f>T51</f>
        <v>4210.8639999999996</v>
      </c>
      <c r="U53" s="251">
        <f>U48</f>
        <v>34234.666666666664</v>
      </c>
      <c r="V53" s="224" t="s">
        <v>12</v>
      </c>
    </row>
    <row r="54" spans="1:23" ht="14.25" thickTop="1" thickBot="1">
      <c r="B54" s="555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20"/>
    </row>
    <row r="55" spans="1:23" ht="16.5" thickTop="1">
      <c r="B55" s="653" t="s">
        <v>26</v>
      </c>
      <c r="C55" s="5"/>
      <c r="D55" s="5"/>
      <c r="E55" s="5"/>
      <c r="F55" s="112" t="s">
        <v>6</v>
      </c>
      <c r="G55" s="1412"/>
      <c r="H55" s="1413"/>
      <c r="I55" s="1413"/>
      <c r="J55" s="1414"/>
      <c r="K55" s="181" t="s">
        <v>26</v>
      </c>
      <c r="L55" s="426"/>
      <c r="M55" s="67"/>
      <c r="N55" s="245" t="s">
        <v>26</v>
      </c>
      <c r="O55" s="426"/>
      <c r="P55" s="426"/>
      <c r="Q55" s="245" t="s">
        <v>26</v>
      </c>
      <c r="R55" s="426"/>
      <c r="S55" s="67"/>
      <c r="T55" s="225"/>
      <c r="U55" s="37"/>
      <c r="V55" s="138"/>
    </row>
    <row r="56" spans="1:23">
      <c r="B56" s="555"/>
      <c r="C56" s="5"/>
      <c r="D56" s="5"/>
      <c r="E56" s="5"/>
      <c r="F56" s="7"/>
      <c r="G56" s="5"/>
      <c r="H56" s="5"/>
      <c r="I56" s="5"/>
      <c r="J56" s="45" t="s">
        <v>61</v>
      </c>
      <c r="K56" s="277" t="s">
        <v>61</v>
      </c>
      <c r="L56" s="1419" t="s">
        <v>57</v>
      </c>
      <c r="M56" s="1420"/>
      <c r="N56" s="57" t="s">
        <v>61</v>
      </c>
      <c r="O56" s="1429" t="s">
        <v>57</v>
      </c>
      <c r="P56" s="1430"/>
      <c r="Q56" s="277" t="s">
        <v>61</v>
      </c>
      <c r="R56" s="1419" t="s">
        <v>57</v>
      </c>
      <c r="S56" s="1420"/>
      <c r="T56" s="131"/>
      <c r="U56" s="37"/>
      <c r="V56" s="138"/>
    </row>
    <row r="57" spans="1:23">
      <c r="B57" s="563" t="s">
        <v>194</v>
      </c>
      <c r="C57" s="23" t="s">
        <v>45</v>
      </c>
      <c r="D57" s="24" t="s">
        <v>46</v>
      </c>
      <c r="E57" s="23" t="s">
        <v>47</v>
      </c>
      <c r="F57" s="23" t="s">
        <v>48</v>
      </c>
      <c r="G57" s="23" t="s">
        <v>49</v>
      </c>
      <c r="H57" s="23" t="s">
        <v>50</v>
      </c>
      <c r="I57" s="23" t="s">
        <v>191</v>
      </c>
      <c r="J57" s="45" t="s">
        <v>13</v>
      </c>
      <c r="K57" s="260" t="s">
        <v>56</v>
      </c>
      <c r="L57" s="261" t="s">
        <v>13</v>
      </c>
      <c r="M57" s="262" t="s">
        <v>68</v>
      </c>
      <c r="N57" s="77" t="s">
        <v>56</v>
      </c>
      <c r="O57" s="24" t="s">
        <v>13</v>
      </c>
      <c r="P57" s="38" t="s">
        <v>68</v>
      </c>
      <c r="Q57" s="260" t="s">
        <v>56</v>
      </c>
      <c r="R57" s="261" t="s">
        <v>13</v>
      </c>
      <c r="S57" s="262" t="s">
        <v>68</v>
      </c>
      <c r="T57" s="123"/>
      <c r="U57" s="37"/>
      <c r="V57" s="138"/>
    </row>
    <row r="58" spans="1:23">
      <c r="B58" s="566" t="s">
        <v>4</v>
      </c>
      <c r="C58" s="21">
        <v>0</v>
      </c>
      <c r="D58" s="21">
        <v>0</v>
      </c>
      <c r="E58" s="21">
        <v>3</v>
      </c>
      <c r="F58" s="21">
        <v>3</v>
      </c>
      <c r="G58" s="21">
        <v>0</v>
      </c>
      <c r="H58" s="21">
        <v>0</v>
      </c>
      <c r="I58" s="694"/>
      <c r="J58" s="52">
        <f>SUM(C58:H58)</f>
        <v>6</v>
      </c>
      <c r="K58" s="263" t="s">
        <v>12</v>
      </c>
      <c r="L58" s="281">
        <f>J58*$M$4</f>
        <v>84</v>
      </c>
      <c r="M58" s="289">
        <f>L58</f>
        <v>84</v>
      </c>
      <c r="N58" s="58" t="s">
        <v>12</v>
      </c>
      <c r="O58" s="69">
        <f>$J$58*$P$4</f>
        <v>84</v>
      </c>
      <c r="P58" s="68">
        <f>O58</f>
        <v>84</v>
      </c>
      <c r="Q58" s="263" t="s">
        <v>12</v>
      </c>
      <c r="R58" s="281">
        <f>$J$58*$S$4</f>
        <v>84</v>
      </c>
      <c r="S58" s="289">
        <f>R58</f>
        <v>84</v>
      </c>
      <c r="T58" s="121">
        <f t="shared" ref="T58:T63" si="20">AVERAGE(M58,P58,S58)</f>
        <v>84</v>
      </c>
      <c r="U58" s="119" t="s">
        <v>12</v>
      </c>
      <c r="V58" s="140" t="s">
        <v>12</v>
      </c>
    </row>
    <row r="59" spans="1:23" s="1" customFormat="1" ht="13.5" thickBot="1">
      <c r="B59" s="716" t="s">
        <v>8</v>
      </c>
      <c r="C59" s="713">
        <f>ROUND(C58*Labor!$D$3,0)</f>
        <v>0</v>
      </c>
      <c r="D59" s="219">
        <f>ROUND(D58*Labor!$D$4,0)</f>
        <v>0</v>
      </c>
      <c r="E59" s="219">
        <f>ROUND(E58*Labor!$D$5,0)</f>
        <v>132</v>
      </c>
      <c r="F59" s="219">
        <f>ROUND(F58*Labor!$D$6,0)</f>
        <v>148</v>
      </c>
      <c r="G59" s="219">
        <f>ROUND(G58*Labor!$D$7,0)</f>
        <v>0</v>
      </c>
      <c r="H59" s="219">
        <f>ROUND(H58*Labor!$D$8,0)</f>
        <v>0</v>
      </c>
      <c r="I59" s="714"/>
      <c r="J59" s="209">
        <f>SUM(C59:H59)</f>
        <v>280</v>
      </c>
      <c r="K59" s="332">
        <f>HLOOKUP(Labor!$B$11,InflationTable,2)*J59</f>
        <v>335.44</v>
      </c>
      <c r="L59" s="296">
        <f>K59*$M$4</f>
        <v>4696.16</v>
      </c>
      <c r="M59" s="297">
        <f>L59</f>
        <v>4696.16</v>
      </c>
      <c r="N59" s="376">
        <f>HLOOKUP(Labor!$B$11,InflationTable,3)*$J$59</f>
        <v>342.44</v>
      </c>
      <c r="O59" s="377">
        <f>N59*$M$4</f>
        <v>4794.16</v>
      </c>
      <c r="P59" s="378">
        <f>O59</f>
        <v>4794.16</v>
      </c>
      <c r="Q59" s="332">
        <f>HLOOKUP(Labor!$B$11,InflationTable,4)*$J$59</f>
        <v>349.16</v>
      </c>
      <c r="R59" s="296">
        <f>Q59*$S$4</f>
        <v>4888.2400000000007</v>
      </c>
      <c r="S59" s="297">
        <f>R59</f>
        <v>4888.2400000000007</v>
      </c>
      <c r="T59" s="211">
        <f t="shared" si="20"/>
        <v>4792.8533333333335</v>
      </c>
      <c r="U59" s="218" t="s">
        <v>12</v>
      </c>
      <c r="V59" s="392" t="s">
        <v>12</v>
      </c>
    </row>
    <row r="60" spans="1:23">
      <c r="B60" s="559" t="s">
        <v>115</v>
      </c>
      <c r="C60" s="346">
        <v>0</v>
      </c>
      <c r="D60" s="346">
        <v>0</v>
      </c>
      <c r="E60" s="346">
        <v>0</v>
      </c>
      <c r="F60" s="346">
        <v>4</v>
      </c>
      <c r="G60" s="346">
        <v>0</v>
      </c>
      <c r="H60" s="346">
        <v>0</v>
      </c>
      <c r="I60" s="695"/>
      <c r="J60" s="347">
        <f>SUM(C60:H60)</f>
        <v>4</v>
      </c>
      <c r="K60" s="293" t="s">
        <v>12</v>
      </c>
      <c r="L60" s="327">
        <f>J60*$M$4</f>
        <v>56</v>
      </c>
      <c r="M60" s="328">
        <f>L60</f>
        <v>56</v>
      </c>
      <c r="N60" s="61" t="s">
        <v>12</v>
      </c>
      <c r="O60" s="348">
        <f>$J$60*$P$4</f>
        <v>56</v>
      </c>
      <c r="P60" s="349">
        <f>O60</f>
        <v>56</v>
      </c>
      <c r="Q60" s="293" t="s">
        <v>12</v>
      </c>
      <c r="R60" s="327">
        <f>$J$60*$S$4</f>
        <v>56</v>
      </c>
      <c r="S60" s="328">
        <f>R60</f>
        <v>56</v>
      </c>
      <c r="T60" s="129">
        <f t="shared" si="20"/>
        <v>56</v>
      </c>
      <c r="U60" s="136" t="s">
        <v>12</v>
      </c>
      <c r="V60" s="147" t="s">
        <v>12</v>
      </c>
    </row>
    <row r="61" spans="1:23" s="1" customFormat="1" ht="13.5" thickBot="1">
      <c r="B61" s="716" t="s">
        <v>8</v>
      </c>
      <c r="C61" s="713">
        <f>ROUND(C60*Labor!$D$3,0)</f>
        <v>0</v>
      </c>
      <c r="D61" s="219">
        <f>ROUND(D60*Labor!$D$4,0)</f>
        <v>0</v>
      </c>
      <c r="E61" s="219">
        <f>ROUND(E60*Labor!$D$5,0)</f>
        <v>0</v>
      </c>
      <c r="F61" s="219">
        <f>ROUND(F60*Labor!$D$6,0)</f>
        <v>197</v>
      </c>
      <c r="G61" s="219">
        <f>ROUND(G60*Labor!$D$7,0)</f>
        <v>0</v>
      </c>
      <c r="H61" s="219">
        <f>ROUND(H60*Labor!$D$8,0)</f>
        <v>0</v>
      </c>
      <c r="I61" s="714"/>
      <c r="J61" s="209">
        <f>SUM(C61:H61)</f>
        <v>197</v>
      </c>
      <c r="K61" s="339">
        <f>HLOOKUP(Labor!$B$11,InflationTable,2)*J61</f>
        <v>236.006</v>
      </c>
      <c r="L61" s="296">
        <f>K61*$M$4</f>
        <v>3304.0839999999998</v>
      </c>
      <c r="M61" s="297">
        <f>L61</f>
        <v>3304.0839999999998</v>
      </c>
      <c r="N61" s="376">
        <f>HLOOKUP(Labor!$B$11,InflationTable,3)*$J$61</f>
        <v>240.93100000000001</v>
      </c>
      <c r="O61" s="377">
        <f>N61*$P$4</f>
        <v>3373.0340000000001</v>
      </c>
      <c r="P61" s="378">
        <f>O61</f>
        <v>3373.0340000000001</v>
      </c>
      <c r="Q61" s="332">
        <f>HLOOKUP(Labor!$B$11,InflationTable,4)*$J$61</f>
        <v>245.65900000000002</v>
      </c>
      <c r="R61" s="296">
        <f>Q61*$S$4</f>
        <v>3439.2260000000001</v>
      </c>
      <c r="S61" s="297">
        <f>R61</f>
        <v>3439.2260000000001</v>
      </c>
      <c r="T61" s="211">
        <f t="shared" si="20"/>
        <v>3372.1146666666668</v>
      </c>
      <c r="U61" s="218" t="s">
        <v>12</v>
      </c>
      <c r="V61" s="392" t="s">
        <v>12</v>
      </c>
    </row>
    <row r="62" spans="1:23">
      <c r="B62" s="560" t="s">
        <v>66</v>
      </c>
      <c r="C62" s="36">
        <f>C58+C60</f>
        <v>0</v>
      </c>
      <c r="D62" s="36">
        <f t="shared" ref="D62:I62" si="21">D58+D60</f>
        <v>0</v>
      </c>
      <c r="E62" s="36">
        <f t="shared" si="21"/>
        <v>3</v>
      </c>
      <c r="F62" s="36">
        <f t="shared" si="21"/>
        <v>7</v>
      </c>
      <c r="G62" s="36">
        <f t="shared" si="21"/>
        <v>0</v>
      </c>
      <c r="H62" s="36">
        <f t="shared" si="21"/>
        <v>0</v>
      </c>
      <c r="I62" s="36">
        <f t="shared" si="21"/>
        <v>0</v>
      </c>
      <c r="J62" s="36">
        <f>J58+J60</f>
        <v>10</v>
      </c>
      <c r="K62" s="293" t="s">
        <v>12</v>
      </c>
      <c r="L62" s="320">
        <f>L58+L60</f>
        <v>140</v>
      </c>
      <c r="M62" s="320">
        <f>M58+M60</f>
        <v>140</v>
      </c>
      <c r="N62" s="61" t="s">
        <v>12</v>
      </c>
      <c r="O62" s="36">
        <f>O58+O60</f>
        <v>140</v>
      </c>
      <c r="P62" s="36">
        <f>P58+P60</f>
        <v>140</v>
      </c>
      <c r="Q62" s="293" t="s">
        <v>12</v>
      </c>
      <c r="R62" s="320">
        <f>R58+R60</f>
        <v>140</v>
      </c>
      <c r="S62" s="320">
        <f>S58+S60</f>
        <v>140</v>
      </c>
      <c r="T62" s="129">
        <f t="shared" si="20"/>
        <v>140</v>
      </c>
      <c r="U62" s="136" t="s">
        <v>12</v>
      </c>
      <c r="V62" s="147" t="s">
        <v>12</v>
      </c>
    </row>
    <row r="63" spans="1:23" ht="13.5" thickBot="1">
      <c r="B63" s="561" t="s">
        <v>67</v>
      </c>
      <c r="C63" s="711">
        <f>C59+C61</f>
        <v>0</v>
      </c>
      <c r="D63" s="711">
        <f t="shared" ref="D63:I63" si="22">D59+D61</f>
        <v>0</v>
      </c>
      <c r="E63" s="711">
        <f t="shared" si="22"/>
        <v>132</v>
      </c>
      <c r="F63" s="711">
        <f t="shared" si="22"/>
        <v>345</v>
      </c>
      <c r="G63" s="711">
        <f t="shared" si="22"/>
        <v>0</v>
      </c>
      <c r="H63" s="711">
        <f t="shared" si="22"/>
        <v>0</v>
      </c>
      <c r="I63" s="240">
        <f t="shared" si="22"/>
        <v>0</v>
      </c>
      <c r="J63" s="240">
        <f>J59+J61</f>
        <v>477</v>
      </c>
      <c r="K63" s="275">
        <f>K59+K61</f>
        <v>571.44600000000003</v>
      </c>
      <c r="L63" s="275">
        <f>L59+L61</f>
        <v>8000.2439999999997</v>
      </c>
      <c r="M63" s="275">
        <f>M59+M61</f>
        <v>8000.2439999999997</v>
      </c>
      <c r="N63" s="240">
        <f>N59+N61</f>
        <v>583.37099999999998</v>
      </c>
      <c r="O63" s="240">
        <f>O59+O61</f>
        <v>8167.1939999999995</v>
      </c>
      <c r="P63" s="240">
        <f>P59+P61</f>
        <v>8167.1939999999995</v>
      </c>
      <c r="Q63" s="275">
        <f>Q59+Q61</f>
        <v>594.81900000000007</v>
      </c>
      <c r="R63" s="275">
        <f>R59+R61</f>
        <v>8327.4660000000003</v>
      </c>
      <c r="S63" s="712">
        <f>S59+S61</f>
        <v>8327.4660000000003</v>
      </c>
      <c r="T63" s="255">
        <f t="shared" si="20"/>
        <v>8164.9679999999998</v>
      </c>
      <c r="U63" s="249" t="s">
        <v>12</v>
      </c>
      <c r="V63" s="224" t="s">
        <v>12</v>
      </c>
    </row>
    <row r="64" spans="1:23" ht="13.5" thickTop="1">
      <c r="B64" s="624"/>
      <c r="C64" s="621"/>
      <c r="D64" s="621"/>
      <c r="E64" s="621"/>
      <c r="F64" s="621"/>
      <c r="G64" s="621"/>
      <c r="H64" s="621"/>
      <c r="I64" s="622"/>
      <c r="J64" s="622"/>
      <c r="K64" s="622"/>
      <c r="L64" s="622"/>
      <c r="M64" s="622"/>
      <c r="N64" s="622"/>
      <c r="O64" s="622"/>
      <c r="P64" s="622"/>
      <c r="Q64" s="622"/>
      <c r="R64" s="622"/>
      <c r="S64" s="621"/>
      <c r="T64" s="625"/>
      <c r="U64" s="626"/>
      <c r="V64" s="627"/>
      <c r="W64" s="5"/>
    </row>
    <row r="65" spans="2:23" ht="13.5" thickBot="1">
      <c r="B65" s="410"/>
      <c r="C65" s="410"/>
      <c r="D65" s="410"/>
      <c r="E65" s="410"/>
      <c r="F65" s="410"/>
      <c r="G65" s="410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5"/>
    </row>
    <row r="66" spans="2:23" ht="27.75" thickTop="1" thickBot="1">
      <c r="B66" s="653" t="s">
        <v>28</v>
      </c>
      <c r="C66" s="5"/>
      <c r="D66" s="5"/>
      <c r="E66" s="5"/>
      <c r="F66" s="112" t="s">
        <v>6</v>
      </c>
      <c r="G66" s="1412"/>
      <c r="H66" s="1413"/>
      <c r="I66" s="1413"/>
      <c r="J66" s="1414"/>
      <c r="K66" s="181" t="s">
        <v>28</v>
      </c>
      <c r="L66" s="426"/>
      <c r="M66" s="67"/>
      <c r="N66" s="181" t="s">
        <v>28</v>
      </c>
      <c r="O66" s="426"/>
      <c r="P66" s="67"/>
      <c r="Q66" s="181" t="s">
        <v>28</v>
      </c>
      <c r="R66" s="426"/>
      <c r="S66" s="67"/>
      <c r="T66" s="546" t="s">
        <v>17</v>
      </c>
      <c r="U66" s="547" t="s">
        <v>103</v>
      </c>
      <c r="V66" s="628" t="s">
        <v>79</v>
      </c>
    </row>
    <row r="67" spans="2:23">
      <c r="B67" s="555"/>
      <c r="C67" s="5"/>
      <c r="D67" s="5"/>
      <c r="E67" s="5"/>
      <c r="F67" s="7"/>
      <c r="G67" s="5"/>
      <c r="H67" s="5"/>
      <c r="I67" s="5"/>
      <c r="J67" s="45" t="s">
        <v>61</v>
      </c>
      <c r="K67" s="277" t="s">
        <v>61</v>
      </c>
      <c r="L67" s="1419" t="s">
        <v>57</v>
      </c>
      <c r="M67" s="1420"/>
      <c r="N67" s="57" t="s">
        <v>61</v>
      </c>
      <c r="O67" s="1429" t="s">
        <v>57</v>
      </c>
      <c r="P67" s="1433"/>
      <c r="Q67" s="318" t="s">
        <v>61</v>
      </c>
      <c r="R67" s="1419" t="s">
        <v>57</v>
      </c>
      <c r="S67" s="1420"/>
      <c r="T67" s="170"/>
      <c r="U67" s="133"/>
      <c r="V67" s="37"/>
    </row>
    <row r="68" spans="2:23">
      <c r="B68" s="557"/>
      <c r="C68" s="23" t="s">
        <v>45</v>
      </c>
      <c r="D68" s="24" t="s">
        <v>46</v>
      </c>
      <c r="E68" s="23" t="s">
        <v>47</v>
      </c>
      <c r="F68" s="23" t="s">
        <v>48</v>
      </c>
      <c r="G68" s="23" t="s">
        <v>49</v>
      </c>
      <c r="H68" s="23" t="s">
        <v>50</v>
      </c>
      <c r="I68" s="23" t="s">
        <v>191</v>
      </c>
      <c r="J68" s="45" t="s">
        <v>13</v>
      </c>
      <c r="K68" s="260" t="s">
        <v>56</v>
      </c>
      <c r="L68" s="261" t="s">
        <v>13</v>
      </c>
      <c r="M68" s="262" t="s">
        <v>68</v>
      </c>
      <c r="N68" s="77" t="s">
        <v>56</v>
      </c>
      <c r="O68" s="24" t="s">
        <v>13</v>
      </c>
      <c r="P68" s="38" t="s">
        <v>68</v>
      </c>
      <c r="Q68" s="260" t="s">
        <v>56</v>
      </c>
      <c r="R68" s="261" t="s">
        <v>13</v>
      </c>
      <c r="S68" s="262" t="s">
        <v>68</v>
      </c>
      <c r="T68" s="120"/>
      <c r="U68" s="133"/>
      <c r="V68" s="37"/>
    </row>
    <row r="69" spans="2:23">
      <c r="B69" s="557" t="s">
        <v>111</v>
      </c>
      <c r="C69" s="21">
        <v>0</v>
      </c>
      <c r="D69" s="21">
        <v>0</v>
      </c>
      <c r="E69" s="21">
        <v>0</v>
      </c>
      <c r="F69" s="21">
        <v>18</v>
      </c>
      <c r="G69" s="21">
        <v>18</v>
      </c>
      <c r="H69" s="21">
        <v>0</v>
      </c>
      <c r="I69" s="694"/>
      <c r="J69" s="52">
        <f>SUM(C69:H69)</f>
        <v>36</v>
      </c>
      <c r="K69" s="263" t="s">
        <v>12</v>
      </c>
      <c r="L69" s="281">
        <f>J69*$M$4</f>
        <v>504</v>
      </c>
      <c r="M69" s="289">
        <f>L69</f>
        <v>504</v>
      </c>
      <c r="N69" s="58" t="s">
        <v>12</v>
      </c>
      <c r="O69" s="69">
        <f>$J$69*$P$4</f>
        <v>504</v>
      </c>
      <c r="P69" s="68">
        <f>O69</f>
        <v>504</v>
      </c>
      <c r="Q69" s="263" t="s">
        <v>12</v>
      </c>
      <c r="R69" s="281">
        <f>$J$69*$P$4</f>
        <v>504</v>
      </c>
      <c r="S69" s="289">
        <f>R69</f>
        <v>504</v>
      </c>
      <c r="T69" s="121">
        <f>AVERAGE(M69,P69,S69)</f>
        <v>504</v>
      </c>
      <c r="U69" s="135" t="s">
        <v>12</v>
      </c>
      <c r="V69" s="136" t="s">
        <v>12</v>
      </c>
    </row>
    <row r="70" spans="2:23" s="1" customFormat="1" ht="13.5" thickBot="1">
      <c r="B70" s="715" t="s">
        <v>8</v>
      </c>
      <c r="C70" s="713">
        <f>ROUND(C69*Labor!$D$3,0)</f>
        <v>0</v>
      </c>
      <c r="D70" s="219">
        <f>ROUND(D69*Labor!$D$4,0)</f>
        <v>0</v>
      </c>
      <c r="E70" s="219">
        <f>ROUND(E69*Labor!$D$5,0)</f>
        <v>0</v>
      </c>
      <c r="F70" s="219">
        <f>ROUND(F69*Labor!$D$6,0)</f>
        <v>887</v>
      </c>
      <c r="G70" s="219">
        <f>ROUND(G69*Labor!$D$7,0)</f>
        <v>998</v>
      </c>
      <c r="H70" s="219">
        <f>ROUND(H69*Labor!$D$8,0)</f>
        <v>0</v>
      </c>
      <c r="I70" s="714"/>
      <c r="J70" s="209">
        <f>SUM(C70:H70)</f>
        <v>1885</v>
      </c>
      <c r="K70" s="332">
        <f>HLOOKUP(Labor!$B$11,InflationTable,2)*J70</f>
        <v>2258.23</v>
      </c>
      <c r="L70" s="296">
        <f>K70*$M$4</f>
        <v>31615.22</v>
      </c>
      <c r="M70" s="297">
        <f>L70</f>
        <v>31615.22</v>
      </c>
      <c r="N70" s="450">
        <f>HLOOKUP(Labor!$B$11,InflationTable,3)*$J$70</f>
        <v>2305.355</v>
      </c>
      <c r="O70" s="377">
        <f>N70*$P$4</f>
        <v>32274.97</v>
      </c>
      <c r="P70" s="378">
        <f>O70</f>
        <v>32274.97</v>
      </c>
      <c r="Q70" s="332">
        <f>HLOOKUP(Labor!$B$11,InflationTable,4)*$J70</f>
        <v>2350.5950000000003</v>
      </c>
      <c r="R70" s="296">
        <f>Q70*$S$4</f>
        <v>32908.33</v>
      </c>
      <c r="S70" s="297">
        <f>R70</f>
        <v>32908.33</v>
      </c>
      <c r="T70" s="211">
        <f>AVERAGE(M70,P70,S70)</f>
        <v>32266.173333333336</v>
      </c>
      <c r="U70" s="393" t="s">
        <v>12</v>
      </c>
      <c r="V70" s="218" t="s">
        <v>12</v>
      </c>
    </row>
    <row r="71" spans="2:23">
      <c r="B71" s="559" t="s">
        <v>110</v>
      </c>
      <c r="C71" s="346">
        <v>0</v>
      </c>
      <c r="D71" s="346">
        <v>0</v>
      </c>
      <c r="E71" s="346">
        <v>18</v>
      </c>
      <c r="F71" s="346">
        <v>12</v>
      </c>
      <c r="G71" s="346">
        <v>0</v>
      </c>
      <c r="H71" s="346">
        <v>0</v>
      </c>
      <c r="I71" s="695"/>
      <c r="J71" s="347">
        <f>SUM(C71:H71)</f>
        <v>30</v>
      </c>
      <c r="K71" s="293" t="s">
        <v>12</v>
      </c>
      <c r="L71" s="327">
        <f>J71*$M$4</f>
        <v>420</v>
      </c>
      <c r="M71" s="328">
        <f>L71</f>
        <v>420</v>
      </c>
      <c r="N71" s="61" t="s">
        <v>12</v>
      </c>
      <c r="O71" s="348">
        <f>$J$71*$P$4</f>
        <v>420</v>
      </c>
      <c r="P71" s="349">
        <f>O71</f>
        <v>420</v>
      </c>
      <c r="Q71" s="293" t="s">
        <v>12</v>
      </c>
      <c r="R71" s="327">
        <f>$J$71*$P$4</f>
        <v>420</v>
      </c>
      <c r="S71" s="328">
        <f>R71</f>
        <v>420</v>
      </c>
      <c r="T71" s="129">
        <f>AVERAGE(M71,P71,S71)</f>
        <v>420</v>
      </c>
      <c r="U71" s="135" t="s">
        <v>12</v>
      </c>
      <c r="V71" s="136" t="s">
        <v>12</v>
      </c>
    </row>
    <row r="72" spans="2:23" s="1" customFormat="1" ht="13.5" thickBot="1">
      <c r="B72" s="715" t="s">
        <v>8</v>
      </c>
      <c r="C72" s="713">
        <f>ROUND(C71*Labor!$D$3,0)</f>
        <v>0</v>
      </c>
      <c r="D72" s="219">
        <f>ROUND(D71*Labor!$D$4,0)</f>
        <v>0</v>
      </c>
      <c r="E72" s="219">
        <f>ROUND(E71*Labor!$D$5,0)</f>
        <v>794</v>
      </c>
      <c r="F72" s="219">
        <f>ROUND(F71*Labor!$D$6,0)</f>
        <v>591</v>
      </c>
      <c r="G72" s="219">
        <f>ROUND(G71*Labor!$D$7,0)</f>
        <v>0</v>
      </c>
      <c r="H72" s="219">
        <f>ROUND(H71*Labor!$D$8,0)</f>
        <v>0</v>
      </c>
      <c r="I72" s="714"/>
      <c r="J72" s="209">
        <f>SUM(C72:H72)</f>
        <v>1385</v>
      </c>
      <c r="K72" s="332">
        <f>HLOOKUP(Labor!$B$11,InflationTable,2)*J72</f>
        <v>1659.23</v>
      </c>
      <c r="L72" s="296">
        <f>K72*$M$4</f>
        <v>23229.22</v>
      </c>
      <c r="M72" s="297">
        <f>L72</f>
        <v>23229.22</v>
      </c>
      <c r="N72" s="450">
        <f>HLOOKUP(Labor!$B$11,InflationTable,3)*$J$72</f>
        <v>1693.855</v>
      </c>
      <c r="O72" s="377">
        <f>N72*$P$4</f>
        <v>23713.97</v>
      </c>
      <c r="P72" s="378">
        <f>O72</f>
        <v>23713.97</v>
      </c>
      <c r="Q72" s="332">
        <f>HLOOKUP(Labor!$B$11,InflationTable,4)*$J72</f>
        <v>1727.0950000000003</v>
      </c>
      <c r="R72" s="296">
        <f>Q72*$S$4</f>
        <v>24179.33</v>
      </c>
      <c r="S72" s="297">
        <f>R72</f>
        <v>24179.33</v>
      </c>
      <c r="T72" s="211">
        <f>AVERAGE(M72,P72,S72)</f>
        <v>23707.506666666668</v>
      </c>
      <c r="U72" s="393" t="s">
        <v>12</v>
      </c>
      <c r="V72" s="218" t="s">
        <v>12</v>
      </c>
    </row>
    <row r="73" spans="2:23">
      <c r="B73" s="559" t="s">
        <v>20</v>
      </c>
      <c r="C73" s="107" t="s">
        <v>45</v>
      </c>
      <c r="D73" s="108" t="s">
        <v>46</v>
      </c>
      <c r="E73" s="107" t="s">
        <v>47</v>
      </c>
      <c r="F73" s="107" t="s">
        <v>48</v>
      </c>
      <c r="G73" s="107" t="s">
        <v>49</v>
      </c>
      <c r="H73" s="107" t="s">
        <v>50</v>
      </c>
      <c r="I73" s="159" t="s">
        <v>191</v>
      </c>
      <c r="J73" s="109" t="s">
        <v>13</v>
      </c>
      <c r="K73" s="351"/>
      <c r="L73" s="352"/>
      <c r="M73" s="356"/>
      <c r="N73" s="110" t="s">
        <v>56</v>
      </c>
      <c r="O73" s="108" t="s">
        <v>13</v>
      </c>
      <c r="P73" s="111" t="s">
        <v>68</v>
      </c>
      <c r="Q73" s="351" t="s">
        <v>56</v>
      </c>
      <c r="R73" s="352" t="s">
        <v>13</v>
      </c>
      <c r="S73" s="356" t="s">
        <v>68</v>
      </c>
      <c r="T73" s="123"/>
      <c r="U73" s="133"/>
      <c r="V73" s="37"/>
    </row>
    <row r="74" spans="2:23">
      <c r="B74" s="558" t="s">
        <v>4</v>
      </c>
      <c r="C74" s="21">
        <v>0</v>
      </c>
      <c r="D74" s="21">
        <v>0</v>
      </c>
      <c r="E74" s="21">
        <v>0</v>
      </c>
      <c r="F74" s="21">
        <v>1</v>
      </c>
      <c r="G74" s="21">
        <v>1</v>
      </c>
      <c r="H74" s="21">
        <v>0</v>
      </c>
      <c r="I74" s="694"/>
      <c r="J74" s="52">
        <f t="shared" ref="J74:J79" si="23">SUM(C74:H74)</f>
        <v>2</v>
      </c>
      <c r="K74" s="263" t="s">
        <v>12</v>
      </c>
      <c r="L74" s="281">
        <f>J74*$M$4</f>
        <v>28</v>
      </c>
      <c r="M74" s="289">
        <f t="shared" ref="M74:M79" si="24">L74</f>
        <v>28</v>
      </c>
      <c r="N74" s="58" t="s">
        <v>12</v>
      </c>
      <c r="O74" s="69">
        <f>$J74*$P$4</f>
        <v>28</v>
      </c>
      <c r="P74" s="68">
        <f t="shared" ref="P74:P79" si="25">O74</f>
        <v>28</v>
      </c>
      <c r="Q74" s="263" t="s">
        <v>12</v>
      </c>
      <c r="R74" s="281">
        <f>$J74*$P$4</f>
        <v>28</v>
      </c>
      <c r="S74" s="289">
        <f t="shared" ref="S74:S79" si="26">R74</f>
        <v>28</v>
      </c>
      <c r="T74" s="121">
        <f t="shared" ref="T74:T79" si="27">AVERAGE(M74,P74,S74)</f>
        <v>28</v>
      </c>
      <c r="U74" s="135" t="s">
        <v>12</v>
      </c>
      <c r="V74" s="136" t="s">
        <v>12</v>
      </c>
    </row>
    <row r="75" spans="2:23" s="1" customFormat="1" ht="13.5" thickBot="1">
      <c r="B75" s="715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0</v>
      </c>
      <c r="F75" s="219">
        <f>ROUND(F74*Labor!$D$6,0)</f>
        <v>49</v>
      </c>
      <c r="G75" s="219">
        <f>ROUND(G74*Labor!$D$7,0)</f>
        <v>55</v>
      </c>
      <c r="H75" s="219">
        <f>ROUND(H74*Labor!$D$8,0)</f>
        <v>0</v>
      </c>
      <c r="I75" s="714"/>
      <c r="J75" s="209">
        <f t="shared" si="23"/>
        <v>104</v>
      </c>
      <c r="K75" s="332">
        <f>HLOOKUP(Labor!$B$11,InflationTable,2)*J75</f>
        <v>124.592</v>
      </c>
      <c r="L75" s="296">
        <f>K75*$M$4</f>
        <v>1744.288</v>
      </c>
      <c r="M75" s="297">
        <f t="shared" si="24"/>
        <v>1744.288</v>
      </c>
      <c r="N75" s="450">
        <f>HLOOKUP(Labor!$B$11,InflationTable,3)*$J75</f>
        <v>127.19200000000001</v>
      </c>
      <c r="O75" s="377">
        <f>N75*$P$4</f>
        <v>1780.6880000000001</v>
      </c>
      <c r="P75" s="378">
        <f t="shared" si="25"/>
        <v>1780.6880000000001</v>
      </c>
      <c r="Q75" s="332">
        <f>HLOOKUP(Labor!$B$11,InflationTable,4)*$J75</f>
        <v>129.68800000000002</v>
      </c>
      <c r="R75" s="296">
        <f>Q75*$S$4</f>
        <v>1815.6320000000003</v>
      </c>
      <c r="S75" s="297">
        <f t="shared" si="26"/>
        <v>1815.6320000000003</v>
      </c>
      <c r="T75" s="211">
        <f t="shared" si="27"/>
        <v>1780.2026666666668</v>
      </c>
      <c r="U75" s="393" t="s">
        <v>12</v>
      </c>
      <c r="V75" s="218" t="s">
        <v>12</v>
      </c>
    </row>
    <row r="76" spans="2:23">
      <c r="B76" s="559" t="s">
        <v>109</v>
      </c>
      <c r="C76" s="346">
        <v>0</v>
      </c>
      <c r="D76" s="346">
        <v>1</v>
      </c>
      <c r="E76" s="346">
        <v>1</v>
      </c>
      <c r="F76" s="346">
        <v>2</v>
      </c>
      <c r="G76" s="346">
        <v>1</v>
      </c>
      <c r="H76" s="346">
        <v>0</v>
      </c>
      <c r="I76" s="695"/>
      <c r="J76" s="347">
        <f t="shared" si="23"/>
        <v>5</v>
      </c>
      <c r="K76" s="293" t="s">
        <v>12</v>
      </c>
      <c r="L76" s="327">
        <f>J76*$M$4</f>
        <v>70</v>
      </c>
      <c r="M76" s="328">
        <f t="shared" si="24"/>
        <v>70</v>
      </c>
      <c r="N76" s="61" t="s">
        <v>12</v>
      </c>
      <c r="O76" s="348">
        <f>$J76*$P$4</f>
        <v>70</v>
      </c>
      <c r="P76" s="349">
        <f t="shared" si="25"/>
        <v>70</v>
      </c>
      <c r="Q76" s="293" t="s">
        <v>12</v>
      </c>
      <c r="R76" s="327">
        <f>$J76*$P$4</f>
        <v>70</v>
      </c>
      <c r="S76" s="328">
        <f t="shared" si="26"/>
        <v>70</v>
      </c>
      <c r="T76" s="129">
        <f t="shared" si="27"/>
        <v>70</v>
      </c>
      <c r="U76" s="135" t="s">
        <v>12</v>
      </c>
      <c r="V76" s="136" t="s">
        <v>12</v>
      </c>
    </row>
    <row r="77" spans="2:23" s="1" customFormat="1" ht="13.5" thickBot="1">
      <c r="B77" s="715" t="s">
        <v>8</v>
      </c>
      <c r="C77" s="713">
        <f>ROUND(C76*Labor!$D$3,0)</f>
        <v>0</v>
      </c>
      <c r="D77" s="219">
        <f>ROUND(D76*Labor!$D$4,0)</f>
        <v>41</v>
      </c>
      <c r="E77" s="219">
        <f>ROUND(E76*Labor!$D$5,0)</f>
        <v>44</v>
      </c>
      <c r="F77" s="219">
        <f>ROUND(F76*Labor!$D$6,0)</f>
        <v>99</v>
      </c>
      <c r="G77" s="219">
        <f>ROUND(G76*Labor!$D$7,0)</f>
        <v>55</v>
      </c>
      <c r="H77" s="219">
        <f>ROUND(H76*Labor!$D$8,0)</f>
        <v>0</v>
      </c>
      <c r="I77" s="714"/>
      <c r="J77" s="209">
        <f t="shared" si="23"/>
        <v>239</v>
      </c>
      <c r="K77" s="332">
        <f>HLOOKUP(Labor!$B$11,InflationTable,2)*J77</f>
        <v>286.322</v>
      </c>
      <c r="L77" s="296">
        <f>K77*$M$4</f>
        <v>4008.5079999999998</v>
      </c>
      <c r="M77" s="297">
        <f t="shared" si="24"/>
        <v>4008.5079999999998</v>
      </c>
      <c r="N77" s="450">
        <f>HLOOKUP(Labor!$B$11,InflationTable,3)*$J77</f>
        <v>292.29700000000003</v>
      </c>
      <c r="O77" s="377">
        <f>N77*$P$4</f>
        <v>4092.1580000000004</v>
      </c>
      <c r="P77" s="378">
        <f t="shared" si="25"/>
        <v>4092.1580000000004</v>
      </c>
      <c r="Q77" s="332">
        <f>HLOOKUP(Labor!$B$11,InflationTable,4)*$J77</f>
        <v>298.03300000000002</v>
      </c>
      <c r="R77" s="296">
        <f>Q77*$S$4</f>
        <v>4172.4620000000004</v>
      </c>
      <c r="S77" s="297">
        <f t="shared" si="26"/>
        <v>4172.4620000000004</v>
      </c>
      <c r="T77" s="446">
        <f t="shared" si="27"/>
        <v>4091.0426666666667</v>
      </c>
      <c r="U77" s="444" t="s">
        <v>12</v>
      </c>
      <c r="V77" s="380" t="s">
        <v>12</v>
      </c>
    </row>
    <row r="78" spans="2:23">
      <c r="B78" s="559" t="s">
        <v>108</v>
      </c>
      <c r="C78" s="346">
        <v>0</v>
      </c>
      <c r="D78" s="346">
        <v>0</v>
      </c>
      <c r="E78" s="346">
        <v>0</v>
      </c>
      <c r="F78" s="346">
        <v>3</v>
      </c>
      <c r="G78" s="346">
        <v>3</v>
      </c>
      <c r="H78" s="346">
        <v>0</v>
      </c>
      <c r="I78" s="695"/>
      <c r="J78" s="347">
        <f t="shared" si="23"/>
        <v>6</v>
      </c>
      <c r="K78" s="293" t="s">
        <v>12</v>
      </c>
      <c r="L78" s="327">
        <f>J78*$M$4</f>
        <v>84</v>
      </c>
      <c r="M78" s="328">
        <f t="shared" si="24"/>
        <v>84</v>
      </c>
      <c r="N78" s="61" t="s">
        <v>12</v>
      </c>
      <c r="O78" s="348">
        <f>$J78*$P$4</f>
        <v>84</v>
      </c>
      <c r="P78" s="349">
        <f t="shared" si="25"/>
        <v>84</v>
      </c>
      <c r="Q78" s="293" t="s">
        <v>12</v>
      </c>
      <c r="R78" s="327">
        <f>$J78*$P$4</f>
        <v>84</v>
      </c>
      <c r="S78" s="328">
        <f t="shared" si="26"/>
        <v>84</v>
      </c>
      <c r="T78" s="121">
        <f t="shared" si="27"/>
        <v>84</v>
      </c>
      <c r="U78" s="135" t="s">
        <v>12</v>
      </c>
      <c r="V78" s="136" t="s">
        <v>12</v>
      </c>
    </row>
    <row r="79" spans="2:23" s="1" customFormat="1" ht="13.5" thickBot="1">
      <c r="B79" s="715" t="s">
        <v>8</v>
      </c>
      <c r="C79" s="713">
        <f>ROUND(C78*Labor!$D$3,0)</f>
        <v>0</v>
      </c>
      <c r="D79" s="219">
        <f>ROUND(D78*Labor!$D$4,0)</f>
        <v>0</v>
      </c>
      <c r="E79" s="219">
        <f>ROUND(E78*Labor!$D$5,0)</f>
        <v>0</v>
      </c>
      <c r="F79" s="219">
        <f>ROUND(F78*Labor!$D$6,0)</f>
        <v>148</v>
      </c>
      <c r="G79" s="219">
        <f>ROUND(G78*Labor!$D$7,0)</f>
        <v>166</v>
      </c>
      <c r="H79" s="219">
        <f>ROUND(H78*Labor!$D$8,0)</f>
        <v>0</v>
      </c>
      <c r="I79" s="714"/>
      <c r="J79" s="209">
        <f t="shared" si="23"/>
        <v>314</v>
      </c>
      <c r="K79" s="332">
        <f>HLOOKUP(Labor!$B$11,InflationTable,2)*J79</f>
        <v>376.17199999999997</v>
      </c>
      <c r="L79" s="296">
        <f>K79*$M$4</f>
        <v>5266.4079999999994</v>
      </c>
      <c r="M79" s="297">
        <f t="shared" si="24"/>
        <v>5266.4079999999994</v>
      </c>
      <c r="N79" s="450">
        <f>HLOOKUP(Labor!$B$11,InflationTable,3)*$J79</f>
        <v>384.02200000000005</v>
      </c>
      <c r="O79" s="377">
        <f>N79*$P$4</f>
        <v>5376.3080000000009</v>
      </c>
      <c r="P79" s="378">
        <f t="shared" si="25"/>
        <v>5376.3080000000009</v>
      </c>
      <c r="Q79" s="332">
        <f>HLOOKUP(Labor!$B$11,InflationTable,4)*$J79</f>
        <v>391.55800000000005</v>
      </c>
      <c r="R79" s="296">
        <f>Q79*$S$4</f>
        <v>5481.8120000000008</v>
      </c>
      <c r="S79" s="297">
        <f t="shared" si="26"/>
        <v>5481.8120000000008</v>
      </c>
      <c r="T79" s="211">
        <f t="shared" si="27"/>
        <v>5374.8426666666674</v>
      </c>
      <c r="U79" s="393" t="s">
        <v>12</v>
      </c>
      <c r="V79" s="218" t="s">
        <v>12</v>
      </c>
    </row>
    <row r="80" spans="2:23">
      <c r="B80" s="565" t="s">
        <v>29</v>
      </c>
      <c r="C80" s="107" t="s">
        <v>45</v>
      </c>
      <c r="D80" s="108" t="s">
        <v>46</v>
      </c>
      <c r="E80" s="107" t="s">
        <v>47</v>
      </c>
      <c r="F80" s="107" t="s">
        <v>48</v>
      </c>
      <c r="G80" s="107" t="s">
        <v>49</v>
      </c>
      <c r="H80" s="107" t="s">
        <v>50</v>
      </c>
      <c r="I80" s="159" t="s">
        <v>191</v>
      </c>
      <c r="J80" s="109" t="s">
        <v>112</v>
      </c>
      <c r="K80" s="351"/>
      <c r="L80" s="352"/>
      <c r="M80" s="356"/>
      <c r="N80" s="110" t="s">
        <v>113</v>
      </c>
      <c r="O80" s="108" t="s">
        <v>13</v>
      </c>
      <c r="P80" s="111" t="s">
        <v>68</v>
      </c>
      <c r="Q80" s="351" t="s">
        <v>113</v>
      </c>
      <c r="R80" s="352" t="s">
        <v>13</v>
      </c>
      <c r="S80" s="356" t="s">
        <v>68</v>
      </c>
      <c r="T80" s="123"/>
      <c r="U80" s="133"/>
      <c r="V80" s="37"/>
    </row>
    <row r="81" spans="2:22">
      <c r="B81" s="569" t="s">
        <v>51</v>
      </c>
      <c r="C81" s="21">
        <v>0</v>
      </c>
      <c r="D81" s="21">
        <v>0</v>
      </c>
      <c r="E81" s="21">
        <v>0.2</v>
      </c>
      <c r="F81" s="21">
        <v>0.3</v>
      </c>
      <c r="G81" s="21">
        <v>0</v>
      </c>
      <c r="H81" s="21">
        <v>0</v>
      </c>
      <c r="I81" s="694"/>
      <c r="J81" s="52">
        <f>SUM(C81:H81)</f>
        <v>0.5</v>
      </c>
      <c r="K81" s="263" t="s">
        <v>12</v>
      </c>
      <c r="L81" s="314">
        <f>J81*$K$5</f>
        <v>3</v>
      </c>
      <c r="M81" s="289">
        <f>L81</f>
        <v>3</v>
      </c>
      <c r="N81" s="58" t="s">
        <v>12</v>
      </c>
      <c r="O81" s="89">
        <f>$J81*N$5</f>
        <v>3</v>
      </c>
      <c r="P81" s="68">
        <f>O81</f>
        <v>3</v>
      </c>
      <c r="Q81" s="263" t="s">
        <v>12</v>
      </c>
      <c r="R81" s="314">
        <f>$J81*Q$5</f>
        <v>3</v>
      </c>
      <c r="S81" s="289">
        <f>R81</f>
        <v>3</v>
      </c>
      <c r="T81" s="121">
        <f>AVERAGE(M81,P81,S81)</f>
        <v>3</v>
      </c>
      <c r="U81" s="135" t="s">
        <v>12</v>
      </c>
      <c r="V81" s="136" t="s">
        <v>12</v>
      </c>
    </row>
    <row r="82" spans="2:22" s="1" customFormat="1" ht="13.5" thickBot="1">
      <c r="B82" s="716" t="s">
        <v>107</v>
      </c>
      <c r="C82" s="713">
        <f>ROUND(C81*Labor!$D$3,0)</f>
        <v>0</v>
      </c>
      <c r="D82" s="219">
        <f>ROUND(D81*Labor!$D$4,0)</f>
        <v>0</v>
      </c>
      <c r="E82" s="219">
        <f>ROUND(E81*Labor!$D$5,0)</f>
        <v>9</v>
      </c>
      <c r="F82" s="219">
        <f>ROUND(F81*Labor!$D$6,0)</f>
        <v>15</v>
      </c>
      <c r="G82" s="219">
        <f>ROUND(G81*Labor!$D$7,0)</f>
        <v>0</v>
      </c>
      <c r="H82" s="219">
        <f>ROUND(H81*Labor!$D$8,0)</f>
        <v>0</v>
      </c>
      <c r="I82" s="714"/>
      <c r="J82" s="209">
        <f>SUM(C82:H82)</f>
        <v>24</v>
      </c>
      <c r="K82" s="332">
        <f>HLOOKUP(Labor!$B$11,InflationTable,2)*J82</f>
        <v>28.751999999999999</v>
      </c>
      <c r="L82" s="296">
        <f>K82*$K$5</f>
        <v>172.512</v>
      </c>
      <c r="M82" s="297">
        <f>L82</f>
        <v>172.512</v>
      </c>
      <c r="N82" s="450">
        <f>HLOOKUP(Labor!$B$11,InflationTable,3)*$J82</f>
        <v>29.352000000000004</v>
      </c>
      <c r="O82" s="377">
        <f>N82*$N$5</f>
        <v>176.11200000000002</v>
      </c>
      <c r="P82" s="378">
        <f>O82</f>
        <v>176.11200000000002</v>
      </c>
      <c r="Q82" s="332">
        <f>HLOOKUP(Labor!$B$11,InflationTable,4)*$J82</f>
        <v>29.928000000000004</v>
      </c>
      <c r="R82" s="296">
        <f>Q82*$Q$5</f>
        <v>179.56800000000004</v>
      </c>
      <c r="S82" s="297">
        <f>R82</f>
        <v>179.56800000000004</v>
      </c>
      <c r="T82" s="391">
        <f>AVERAGE(M82,P82,S82)</f>
        <v>176.06399999999999</v>
      </c>
      <c r="U82" s="393" t="s">
        <v>12</v>
      </c>
      <c r="V82" s="218" t="s">
        <v>12</v>
      </c>
    </row>
    <row r="83" spans="2:22">
      <c r="B83" s="565" t="s">
        <v>106</v>
      </c>
      <c r="C83" s="32"/>
      <c r="D83" s="431" t="s">
        <v>54</v>
      </c>
      <c r="E83" s="28">
        <v>5</v>
      </c>
      <c r="F83" s="7"/>
      <c r="G83" s="5"/>
      <c r="H83" s="5"/>
      <c r="I83" s="5"/>
      <c r="J83" s="109" t="s">
        <v>55</v>
      </c>
      <c r="K83" s="259"/>
      <c r="L83" s="542"/>
      <c r="M83" s="543"/>
      <c r="N83" s="364" t="s">
        <v>55</v>
      </c>
      <c r="O83" s="1431" t="s">
        <v>57</v>
      </c>
      <c r="P83" s="1432"/>
      <c r="Q83" s="259" t="s">
        <v>55</v>
      </c>
      <c r="R83" s="1428" t="s">
        <v>57</v>
      </c>
      <c r="S83" s="1436"/>
      <c r="T83" s="170"/>
      <c r="U83" s="133"/>
      <c r="V83" s="37"/>
    </row>
    <row r="84" spans="2:22">
      <c r="B84" s="569" t="s">
        <v>51</v>
      </c>
      <c r="C84" s="21">
        <v>0</v>
      </c>
      <c r="D84" s="21">
        <v>0</v>
      </c>
      <c r="E84" s="21">
        <v>0</v>
      </c>
      <c r="F84" s="21">
        <v>6</v>
      </c>
      <c r="G84" s="21">
        <v>18</v>
      </c>
      <c r="H84" s="21">
        <v>0</v>
      </c>
      <c r="I84" s="694"/>
      <c r="J84" s="52">
        <f>SUM(C84:H84)</f>
        <v>24</v>
      </c>
      <c r="K84" s="263" t="s">
        <v>12</v>
      </c>
      <c r="L84" s="283">
        <f>J84*$K$5</f>
        <v>144</v>
      </c>
      <c r="M84" s="282">
        <f>L84/$E$83</f>
        <v>28.8</v>
      </c>
      <c r="N84" s="58" t="s">
        <v>12</v>
      </c>
      <c r="O84" s="60">
        <f>$J$84*$N$5</f>
        <v>144</v>
      </c>
      <c r="P84" s="59">
        <f>O84/$E$83</f>
        <v>28.8</v>
      </c>
      <c r="Q84" s="263" t="s">
        <v>12</v>
      </c>
      <c r="R84" s="283">
        <f>$J$84*$Q$5</f>
        <v>144</v>
      </c>
      <c r="S84" s="282">
        <f>R84/$E$83</f>
        <v>28.8</v>
      </c>
      <c r="T84" s="121">
        <f>AVERAGE(M84,P84,S84)</f>
        <v>28.8</v>
      </c>
      <c r="U84" s="135" t="s">
        <v>12</v>
      </c>
      <c r="V84" s="136" t="s">
        <v>12</v>
      </c>
    </row>
    <row r="85" spans="2:22" s="1" customFormat="1" ht="13.5" thickBot="1">
      <c r="B85" s="716" t="s">
        <v>105</v>
      </c>
      <c r="C85" s="713">
        <f>ROUND(C84*Labor!$D$3,0)</f>
        <v>0</v>
      </c>
      <c r="D85" s="219">
        <f>ROUND(D84*Labor!$D$4,0)</f>
        <v>0</v>
      </c>
      <c r="E85" s="219">
        <f>ROUND(E84*Labor!$D$5,0)</f>
        <v>0</v>
      </c>
      <c r="F85" s="219">
        <f>ROUND(F84*Labor!$D$6,0)</f>
        <v>296</v>
      </c>
      <c r="G85" s="219">
        <f>ROUND(G84*Labor!$D$7,0)</f>
        <v>998</v>
      </c>
      <c r="H85" s="219">
        <f>ROUND(H84*Labor!$D$8,0)</f>
        <v>0</v>
      </c>
      <c r="I85" s="714"/>
      <c r="J85" s="209">
        <f>SUM(C85:H85)</f>
        <v>1294</v>
      </c>
      <c r="K85" s="332">
        <f>HLOOKUP(Labor!$B$11,InflationTable,2)*J85</f>
        <v>1550.212</v>
      </c>
      <c r="L85" s="296">
        <f>K85*$K$5</f>
        <v>9301.2720000000008</v>
      </c>
      <c r="M85" s="297">
        <f>L85/$E$83</f>
        <v>1860.2544000000003</v>
      </c>
      <c r="N85" s="445">
        <f>HLOOKUP(Labor!$B$11,InflationTable,3)*$J85</f>
        <v>1582.5620000000001</v>
      </c>
      <c r="O85" s="377">
        <f>N85*$N$5</f>
        <v>9495.3720000000012</v>
      </c>
      <c r="P85" s="378">
        <f>O85/$E$83</f>
        <v>1899.0744000000002</v>
      </c>
      <c r="Q85" s="339">
        <f>HLOOKUP(Labor!$B$11,InflationTable,4)*$J85</f>
        <v>1613.6180000000002</v>
      </c>
      <c r="R85" s="296">
        <f>Q85*$Q$5</f>
        <v>9681.7080000000005</v>
      </c>
      <c r="S85" s="297">
        <f>R85/$E$83</f>
        <v>1936.3416000000002</v>
      </c>
      <c r="T85" s="211">
        <f>AVERAGE(M85,P85,S85)</f>
        <v>1898.5568000000003</v>
      </c>
      <c r="U85" s="393" t="s">
        <v>12</v>
      </c>
      <c r="V85" s="218" t="s">
        <v>12</v>
      </c>
    </row>
    <row r="86" spans="2:22">
      <c r="B86" s="560" t="s">
        <v>66</v>
      </c>
      <c r="C86" s="42">
        <f t="shared" ref="C86:J87" si="28">C69+C71+C74+C76+C78+C81+C84</f>
        <v>0</v>
      </c>
      <c r="D86" s="42">
        <f t="shared" si="28"/>
        <v>1</v>
      </c>
      <c r="E86" s="42">
        <f t="shared" si="28"/>
        <v>19.2</v>
      </c>
      <c r="F86" s="42">
        <f t="shared" si="28"/>
        <v>42.3</v>
      </c>
      <c r="G86" s="42">
        <f t="shared" si="28"/>
        <v>41</v>
      </c>
      <c r="H86" s="42">
        <f t="shared" si="28"/>
        <v>0</v>
      </c>
      <c r="I86" s="697"/>
      <c r="J86" s="53">
        <f t="shared" si="28"/>
        <v>103.5</v>
      </c>
      <c r="K86" s="293" t="s">
        <v>12</v>
      </c>
      <c r="L86" s="315" t="s">
        <v>12</v>
      </c>
      <c r="M86" s="316">
        <f>M84+L81+L78+L76+L74+L71+L69</f>
        <v>1137.8</v>
      </c>
      <c r="N86" s="92" t="s">
        <v>12</v>
      </c>
      <c r="O86" s="42" t="s">
        <v>12</v>
      </c>
      <c r="P86" s="90">
        <f>P84+O81+O78+O76+O74+O71+O69</f>
        <v>1137.8</v>
      </c>
      <c r="Q86" s="293" t="s">
        <v>12</v>
      </c>
      <c r="R86" s="315" t="s">
        <v>12</v>
      </c>
      <c r="S86" s="316">
        <f>S84+R81+R78+R76+R74+R71+R69</f>
        <v>1137.8</v>
      </c>
      <c r="T86" s="150">
        <f>AVERAGE(M86,P86,S86)</f>
        <v>1137.8</v>
      </c>
      <c r="U86" s="133"/>
      <c r="V86" s="37"/>
    </row>
    <row r="87" spans="2:22" ht="13.5" thickBot="1">
      <c r="B87" s="561" t="s">
        <v>67</v>
      </c>
      <c r="C87" s="240">
        <f t="shared" si="28"/>
        <v>0</v>
      </c>
      <c r="D87" s="240">
        <f t="shared" si="28"/>
        <v>41</v>
      </c>
      <c r="E87" s="240">
        <f t="shared" si="28"/>
        <v>847</v>
      </c>
      <c r="F87" s="240">
        <f t="shared" si="28"/>
        <v>2085</v>
      </c>
      <c r="G87" s="240">
        <f t="shared" si="28"/>
        <v>2272</v>
      </c>
      <c r="H87" s="240">
        <f t="shared" si="28"/>
        <v>0</v>
      </c>
      <c r="I87" s="247"/>
      <c r="J87" s="243">
        <f t="shared" si="28"/>
        <v>5245</v>
      </c>
      <c r="K87" s="274">
        <f>K70+K72+K75+K77+K79+K82+K85</f>
        <v>6283.51</v>
      </c>
      <c r="L87" s="317" t="s">
        <v>12</v>
      </c>
      <c r="M87" s="306">
        <f>M85+L82+L79+L77+L75+L72+L70</f>
        <v>67896.410399999993</v>
      </c>
      <c r="N87" s="242">
        <f>N70+N72+N75+N77+N79+N82+N85</f>
        <v>6414.6350000000002</v>
      </c>
      <c r="O87" s="256" t="s">
        <v>12</v>
      </c>
      <c r="P87" s="254">
        <f>P85+O82+O79+O77+O75+O72+O70</f>
        <v>69313.280400000003</v>
      </c>
      <c r="Q87" s="274">
        <f>Q70+Q72+Q75+Q77+Q79+Q82+Q85</f>
        <v>6540.5150000000012</v>
      </c>
      <c r="R87" s="317" t="s">
        <v>12</v>
      </c>
      <c r="S87" s="306">
        <f>S85+R82+R79+R77+R75+R72+R70</f>
        <v>70673.475600000005</v>
      </c>
      <c r="T87" s="248">
        <f>AVERAGE(M87,P87,S87)</f>
        <v>69294.388800000001</v>
      </c>
      <c r="U87" s="246"/>
      <c r="V87" s="236"/>
    </row>
    <row r="88" spans="2:22" ht="14.25" thickTop="1" thickBot="1">
      <c r="B88" s="619"/>
      <c r="C88" s="618"/>
      <c r="D88" s="618"/>
      <c r="E88" s="618"/>
      <c r="F88" s="618"/>
      <c r="G88" s="618"/>
      <c r="H88" s="618"/>
      <c r="I88" s="618"/>
      <c r="J88" s="618"/>
      <c r="K88" s="618"/>
      <c r="L88" s="618"/>
      <c r="M88" s="618"/>
      <c r="N88" s="618"/>
      <c r="O88" s="618"/>
      <c r="P88" s="618"/>
      <c r="Q88" s="618"/>
      <c r="R88" s="618"/>
      <c r="S88" s="618"/>
      <c r="T88" s="618"/>
      <c r="U88" s="618"/>
      <c r="V88" s="620"/>
    </row>
    <row r="89" spans="2:22" ht="16.5" thickTop="1">
      <c r="B89" s="562" t="s">
        <v>30</v>
      </c>
      <c r="C89" s="5"/>
      <c r="D89" s="5"/>
      <c r="E89" s="5"/>
      <c r="F89" s="112" t="s">
        <v>6</v>
      </c>
      <c r="G89" s="1412"/>
      <c r="H89" s="1413"/>
      <c r="I89" s="1413"/>
      <c r="J89" s="1414"/>
      <c r="K89" s="181" t="s">
        <v>30</v>
      </c>
      <c r="L89" s="426"/>
      <c r="M89" s="67"/>
      <c r="N89" s="181" t="s">
        <v>30</v>
      </c>
      <c r="O89" s="426"/>
      <c r="P89" s="67"/>
      <c r="Q89" s="181" t="s">
        <v>30</v>
      </c>
      <c r="R89" s="319"/>
      <c r="S89" s="180"/>
      <c r="T89" s="225"/>
      <c r="U89" s="133"/>
      <c r="V89" s="37"/>
    </row>
    <row r="90" spans="2:22">
      <c r="B90" s="555"/>
      <c r="C90" s="5"/>
      <c r="D90" s="5"/>
      <c r="E90" s="5"/>
      <c r="F90" s="7"/>
      <c r="G90" s="5"/>
      <c r="H90" s="5"/>
      <c r="I90" s="5"/>
      <c r="J90" s="45" t="s">
        <v>61</v>
      </c>
      <c r="K90" s="277" t="s">
        <v>61</v>
      </c>
      <c r="L90" s="1419" t="s">
        <v>57</v>
      </c>
      <c r="M90" s="1420"/>
      <c r="N90" s="57" t="s">
        <v>61</v>
      </c>
      <c r="O90" s="1429" t="s">
        <v>57</v>
      </c>
      <c r="P90" s="1433"/>
      <c r="Q90" s="318" t="s">
        <v>61</v>
      </c>
      <c r="R90" s="1428" t="s">
        <v>57</v>
      </c>
      <c r="S90" s="1436"/>
      <c r="T90" s="131"/>
      <c r="U90" s="133"/>
      <c r="V90" s="37"/>
    </row>
    <row r="91" spans="2:22">
      <c r="B91" s="563" t="s">
        <v>21</v>
      </c>
      <c r="C91" s="23" t="s">
        <v>45</v>
      </c>
      <c r="D91" s="24" t="s">
        <v>46</v>
      </c>
      <c r="E91" s="23" t="s">
        <v>47</v>
      </c>
      <c r="F91" s="23" t="s">
        <v>48</v>
      </c>
      <c r="G91" s="23" t="s">
        <v>49</v>
      </c>
      <c r="H91" s="23" t="s">
        <v>50</v>
      </c>
      <c r="I91" s="23" t="s">
        <v>191</v>
      </c>
      <c r="J91" s="45" t="s">
        <v>13</v>
      </c>
      <c r="K91" s="260" t="s">
        <v>56</v>
      </c>
      <c r="L91" s="261" t="s">
        <v>13</v>
      </c>
      <c r="M91" s="262" t="s">
        <v>68</v>
      </c>
      <c r="N91" s="77" t="s">
        <v>56</v>
      </c>
      <c r="O91" s="24" t="s">
        <v>13</v>
      </c>
      <c r="P91" s="38" t="s">
        <v>68</v>
      </c>
      <c r="Q91" s="260" t="s">
        <v>56</v>
      </c>
      <c r="R91" s="261" t="s">
        <v>13</v>
      </c>
      <c r="S91" s="262" t="s">
        <v>68</v>
      </c>
      <c r="T91" s="123"/>
      <c r="U91" s="133"/>
      <c r="V91" s="37"/>
    </row>
    <row r="92" spans="2:22">
      <c r="B92" s="566" t="s">
        <v>4</v>
      </c>
      <c r="C92" s="21">
        <v>0</v>
      </c>
      <c r="D92" s="21">
        <v>0</v>
      </c>
      <c r="E92" s="21">
        <v>0</v>
      </c>
      <c r="F92" s="21">
        <v>0</v>
      </c>
      <c r="G92" s="21">
        <v>6</v>
      </c>
      <c r="H92" s="21">
        <v>6</v>
      </c>
      <c r="I92" s="694"/>
      <c r="J92" s="52">
        <f>SUM(C92:H92)</f>
        <v>12</v>
      </c>
      <c r="K92" s="263" t="s">
        <v>12</v>
      </c>
      <c r="L92" s="281">
        <f>J92*$M$4</f>
        <v>168</v>
      </c>
      <c r="M92" s="289">
        <f>L92</f>
        <v>168</v>
      </c>
      <c r="N92" s="58" t="s">
        <v>12</v>
      </c>
      <c r="O92" s="69">
        <f>$J92*P$4</f>
        <v>168</v>
      </c>
      <c r="P92" s="59">
        <f>O92</f>
        <v>168</v>
      </c>
      <c r="Q92" s="263" t="s">
        <v>12</v>
      </c>
      <c r="R92" s="281">
        <f>$J92*S$4</f>
        <v>168</v>
      </c>
      <c r="S92" s="289">
        <f>R92</f>
        <v>168</v>
      </c>
      <c r="T92" s="173">
        <f t="shared" ref="T92:T97" si="29">AVERAGE(M92,P92,S92)</f>
        <v>168</v>
      </c>
      <c r="U92" s="135" t="s">
        <v>12</v>
      </c>
      <c r="V92" s="136" t="s">
        <v>12</v>
      </c>
    </row>
    <row r="93" spans="2:22" s="1" customFormat="1" ht="13.5" thickBot="1">
      <c r="B93" s="716" t="s">
        <v>8</v>
      </c>
      <c r="C93" s="373">
        <f>ROUND(C92*Labor!$D$3,0)</f>
        <v>0</v>
      </c>
      <c r="D93" s="219">
        <f>ROUND(D92*Labor!$D$4,0)</f>
        <v>0</v>
      </c>
      <c r="E93" s="219">
        <f>ROUND(E92*Labor!$D$5,0)</f>
        <v>0</v>
      </c>
      <c r="F93" s="219">
        <f>ROUND(F92*Labor!$D$6,0)</f>
        <v>0</v>
      </c>
      <c r="G93" s="219">
        <f>ROUND(G92*Labor!$D$7,0)</f>
        <v>333</v>
      </c>
      <c r="H93" s="219">
        <f>ROUND(H92*Labor!$D$8,0)</f>
        <v>352</v>
      </c>
      <c r="I93" s="714"/>
      <c r="J93" s="209">
        <f>SUM(C93:H93)</f>
        <v>685</v>
      </c>
      <c r="K93" s="332">
        <f>HLOOKUP(Labor!$B$11,InflationTable,2)*J93</f>
        <v>820.63</v>
      </c>
      <c r="L93" s="296">
        <f>K93*$M$4</f>
        <v>11488.82</v>
      </c>
      <c r="M93" s="297">
        <f>L93</f>
        <v>11488.82</v>
      </c>
      <c r="N93" s="376">
        <f>HLOOKUP(Labor!$B$11,InflationTable,3)*$J93</f>
        <v>837.75500000000011</v>
      </c>
      <c r="O93" s="377">
        <f>N93*P$4</f>
        <v>11728.570000000002</v>
      </c>
      <c r="P93" s="378">
        <f>O93</f>
        <v>11728.570000000002</v>
      </c>
      <c r="Q93" s="332">
        <f>HLOOKUP(Labor!$B$11,InflationTable,4)*$J93</f>
        <v>854.19500000000005</v>
      </c>
      <c r="R93" s="296">
        <f>Q93*S$4</f>
        <v>11958.730000000001</v>
      </c>
      <c r="S93" s="297">
        <f>R93</f>
        <v>11958.730000000001</v>
      </c>
      <c r="T93" s="450">
        <f t="shared" si="29"/>
        <v>11725.373333333335</v>
      </c>
      <c r="U93" s="393" t="s">
        <v>12</v>
      </c>
      <c r="V93" s="218" t="s">
        <v>12</v>
      </c>
    </row>
    <row r="94" spans="2:22">
      <c r="B94" s="559" t="s">
        <v>104</v>
      </c>
      <c r="C94" s="346">
        <v>0</v>
      </c>
      <c r="D94" s="346">
        <v>0</v>
      </c>
      <c r="E94" s="346">
        <v>16</v>
      </c>
      <c r="F94" s="346">
        <v>8</v>
      </c>
      <c r="G94" s="346">
        <v>4</v>
      </c>
      <c r="H94" s="346">
        <v>2</v>
      </c>
      <c r="I94" s="695"/>
      <c r="J94" s="347">
        <f>SUM(C94:H94)</f>
        <v>30</v>
      </c>
      <c r="K94" s="293" t="s">
        <v>12</v>
      </c>
      <c r="L94" s="327">
        <f>J94*$M$4</f>
        <v>420</v>
      </c>
      <c r="M94" s="328">
        <f>L94</f>
        <v>420</v>
      </c>
      <c r="N94" s="61" t="s">
        <v>12</v>
      </c>
      <c r="O94" s="348">
        <f>$J94*P$4</f>
        <v>420</v>
      </c>
      <c r="P94" s="349">
        <f>O94</f>
        <v>420</v>
      </c>
      <c r="Q94" s="293" t="s">
        <v>12</v>
      </c>
      <c r="R94" s="327">
        <f>$J94*S$4</f>
        <v>420</v>
      </c>
      <c r="S94" s="328">
        <f>R94</f>
        <v>420</v>
      </c>
      <c r="T94" s="173">
        <f t="shared" si="29"/>
        <v>420</v>
      </c>
      <c r="U94" s="135" t="s">
        <v>12</v>
      </c>
      <c r="V94" s="136" t="s">
        <v>12</v>
      </c>
    </row>
    <row r="95" spans="2:22" s="1" customFormat="1" ht="13.5" thickBot="1">
      <c r="B95" s="715" t="s">
        <v>8</v>
      </c>
      <c r="C95" s="713">
        <f>ROUND(C94*Labor!$D$3,0)</f>
        <v>0</v>
      </c>
      <c r="D95" s="219">
        <f>ROUND(D94*Labor!$D$4,0)</f>
        <v>0</v>
      </c>
      <c r="E95" s="219">
        <f>ROUND(E94*Labor!$D$5,0)</f>
        <v>706</v>
      </c>
      <c r="F95" s="219">
        <f>ROUND(F94*Labor!$D$6,0)</f>
        <v>394</v>
      </c>
      <c r="G95" s="219">
        <f>ROUND(G94*Labor!$D$7,0)</f>
        <v>222</v>
      </c>
      <c r="H95" s="219">
        <f>ROUND(H94*Labor!$D$8,0)</f>
        <v>117</v>
      </c>
      <c r="I95" s="714"/>
      <c r="J95" s="209">
        <f>SUM(C95:H95)</f>
        <v>1439</v>
      </c>
      <c r="K95" s="332">
        <f>HLOOKUP(Labor!$B$11,InflationTable,2)*J95</f>
        <v>1723.922</v>
      </c>
      <c r="L95" s="296">
        <f>K95*$M$4</f>
        <v>24134.907999999999</v>
      </c>
      <c r="M95" s="390">
        <f>L95</f>
        <v>24134.907999999999</v>
      </c>
      <c r="N95" s="376">
        <f>HLOOKUP(Labor!$B$11,InflationTable,3)*$J95</f>
        <v>1759.8970000000002</v>
      </c>
      <c r="O95" s="377">
        <f>N95*P$4</f>
        <v>24638.558000000001</v>
      </c>
      <c r="P95" s="378">
        <f>O95</f>
        <v>24638.558000000001</v>
      </c>
      <c r="Q95" s="339">
        <f>HLOOKUP(Labor!$B$11,InflationTable,4)*$J95</f>
        <v>1794.4330000000002</v>
      </c>
      <c r="R95" s="296">
        <f>Q95*S$4</f>
        <v>25122.062000000002</v>
      </c>
      <c r="S95" s="390">
        <f>R95</f>
        <v>25122.062000000002</v>
      </c>
      <c r="T95" s="211">
        <f t="shared" si="29"/>
        <v>24631.842666666667</v>
      </c>
      <c r="U95" s="393" t="s">
        <v>12</v>
      </c>
      <c r="V95" s="218" t="s">
        <v>12</v>
      </c>
    </row>
    <row r="96" spans="2:22">
      <c r="B96" s="560" t="s">
        <v>66</v>
      </c>
      <c r="C96" s="36">
        <f t="shared" ref="C96:J97" si="30">C92+C94</f>
        <v>0</v>
      </c>
      <c r="D96" s="36">
        <f t="shared" si="30"/>
        <v>0</v>
      </c>
      <c r="E96" s="36">
        <f t="shared" si="30"/>
        <v>16</v>
      </c>
      <c r="F96" s="36">
        <f t="shared" si="30"/>
        <v>8</v>
      </c>
      <c r="G96" s="36">
        <f t="shared" si="30"/>
        <v>10</v>
      </c>
      <c r="H96" s="36">
        <f t="shared" si="30"/>
        <v>8</v>
      </c>
      <c r="I96" s="696"/>
      <c r="J96" s="46">
        <f t="shared" si="30"/>
        <v>42</v>
      </c>
      <c r="K96" s="301" t="s">
        <v>12</v>
      </c>
      <c r="L96" s="320">
        <f>L92+L94</f>
        <v>588</v>
      </c>
      <c r="M96" s="321">
        <f>M92+M94</f>
        <v>588</v>
      </c>
      <c r="N96" s="85" t="s">
        <v>12</v>
      </c>
      <c r="O96" s="36">
        <f>O92+O94</f>
        <v>588</v>
      </c>
      <c r="P96" s="100">
        <f>P92+P94</f>
        <v>588</v>
      </c>
      <c r="Q96" s="301" t="s">
        <v>12</v>
      </c>
      <c r="R96" s="320">
        <f>R92+R94</f>
        <v>588</v>
      </c>
      <c r="S96" s="322">
        <f>S92+S94</f>
        <v>588</v>
      </c>
      <c r="T96" s="121">
        <f t="shared" si="29"/>
        <v>588</v>
      </c>
      <c r="U96" s="135" t="s">
        <v>12</v>
      </c>
      <c r="V96" s="136" t="s">
        <v>12</v>
      </c>
    </row>
    <row r="97" spans="2:23" ht="13.5" thickBot="1">
      <c r="B97" s="561" t="s">
        <v>67</v>
      </c>
      <c r="C97" s="240">
        <f t="shared" si="30"/>
        <v>0</v>
      </c>
      <c r="D97" s="240">
        <f t="shared" si="30"/>
        <v>0</v>
      </c>
      <c r="E97" s="240">
        <f t="shared" si="30"/>
        <v>706</v>
      </c>
      <c r="F97" s="240">
        <f t="shared" si="30"/>
        <v>394</v>
      </c>
      <c r="G97" s="240">
        <f t="shared" si="30"/>
        <v>555</v>
      </c>
      <c r="H97" s="240">
        <f t="shared" si="30"/>
        <v>469</v>
      </c>
      <c r="I97" s="247"/>
      <c r="J97" s="243">
        <f t="shared" si="30"/>
        <v>2124</v>
      </c>
      <c r="K97" s="274">
        <f>K93+K95</f>
        <v>2544.5520000000001</v>
      </c>
      <c r="L97" s="275">
        <f>L93+L95</f>
        <v>35623.728000000003</v>
      </c>
      <c r="M97" s="276">
        <f>M93+M95</f>
        <v>35623.728000000003</v>
      </c>
      <c r="N97" s="242">
        <f>N93+N95</f>
        <v>2597.652</v>
      </c>
      <c r="O97" s="240">
        <f>O93+O95</f>
        <v>36367.128000000004</v>
      </c>
      <c r="P97" s="243">
        <f>P93+P95</f>
        <v>36367.128000000004</v>
      </c>
      <c r="Q97" s="313">
        <f>Q93+Q95</f>
        <v>2648.6280000000002</v>
      </c>
      <c r="R97" s="275">
        <f>R93+R95</f>
        <v>37080.792000000001</v>
      </c>
      <c r="S97" s="276">
        <f>S93+S95</f>
        <v>37080.792000000001</v>
      </c>
      <c r="T97" s="257">
        <f t="shared" si="29"/>
        <v>36357.216</v>
      </c>
      <c r="U97" s="258" t="s">
        <v>12</v>
      </c>
      <c r="V97" s="249" t="s">
        <v>12</v>
      </c>
    </row>
    <row r="98" spans="2:23" ht="14.25" thickTop="1" thickBot="1">
      <c r="B98" s="555"/>
      <c r="C98" s="5"/>
      <c r="D98" s="618"/>
      <c r="E98" s="618"/>
      <c r="F98" s="618"/>
      <c r="G98" s="618"/>
      <c r="H98" s="618"/>
      <c r="I98" s="618"/>
      <c r="J98" s="618"/>
      <c r="K98" s="618"/>
      <c r="L98" s="618"/>
      <c r="M98" s="618"/>
      <c r="N98" s="618"/>
      <c r="O98" s="618"/>
      <c r="P98" s="618"/>
      <c r="Q98" s="618"/>
      <c r="R98" s="618"/>
      <c r="S98" s="618"/>
      <c r="T98" s="618"/>
      <c r="U98" s="618"/>
      <c r="V98" s="620"/>
    </row>
    <row r="99" spans="2:23" ht="19.5" thickTop="1" thickBot="1">
      <c r="B99" s="556" t="s">
        <v>121</v>
      </c>
      <c r="C99" s="648" t="str">
        <f>C2</f>
        <v>PAMSUpperAir</v>
      </c>
      <c r="D99" s="5"/>
      <c r="E99" s="4"/>
      <c r="F99" s="12"/>
      <c r="G99" s="4"/>
      <c r="H99" s="4"/>
      <c r="I99" s="4"/>
      <c r="J99" s="41"/>
      <c r="K99" s="233" t="str">
        <f>K2</f>
        <v>Year 1</v>
      </c>
      <c r="L99" s="233">
        <f>L2</f>
        <v>2013</v>
      </c>
      <c r="M99" s="83"/>
      <c r="N99" s="79" t="str">
        <f>N2</f>
        <v>Year 2</v>
      </c>
      <c r="O99" s="79">
        <f>O2</f>
        <v>2014</v>
      </c>
      <c r="P99" s="41"/>
      <c r="Q99" s="233" t="str">
        <f>Q2</f>
        <v>Year 3</v>
      </c>
      <c r="R99" s="233">
        <f>R2</f>
        <v>2015</v>
      </c>
      <c r="S99" s="83"/>
      <c r="T99" s="152"/>
      <c r="U99" s="130"/>
      <c r="V99" s="570"/>
    </row>
    <row r="100" spans="2:23" ht="13.5" thickBot="1">
      <c r="B100" s="555"/>
      <c r="C100" s="194" t="s">
        <v>45</v>
      </c>
      <c r="D100" s="190" t="s">
        <v>46</v>
      </c>
      <c r="E100" s="187" t="s">
        <v>47</v>
      </c>
      <c r="F100" s="202" t="s">
        <v>48</v>
      </c>
      <c r="G100" s="201" t="s">
        <v>49</v>
      </c>
      <c r="H100" s="187" t="s">
        <v>50</v>
      </c>
      <c r="I100" s="202"/>
      <c r="J100" s="188" t="s">
        <v>13</v>
      </c>
      <c r="K100" s="323" t="s">
        <v>56</v>
      </c>
      <c r="L100" s="324" t="s">
        <v>13</v>
      </c>
      <c r="M100" s="325" t="s">
        <v>68</v>
      </c>
      <c r="N100" s="189" t="s">
        <v>56</v>
      </c>
      <c r="O100" s="190" t="s">
        <v>13</v>
      </c>
      <c r="P100" s="191" t="s">
        <v>68</v>
      </c>
      <c r="Q100" s="323" t="s">
        <v>56</v>
      </c>
      <c r="R100" s="324" t="s">
        <v>13</v>
      </c>
      <c r="S100" s="325" t="s">
        <v>68</v>
      </c>
      <c r="T100" s="192"/>
      <c r="U100" s="193"/>
      <c r="V100" s="571"/>
      <c r="W100" s="5"/>
    </row>
    <row r="101" spans="2:23">
      <c r="B101" s="572" t="s">
        <v>97</v>
      </c>
      <c r="C101" s="196">
        <f t="shared" ref="C101:T101" si="31">C12</f>
        <v>0</v>
      </c>
      <c r="D101" s="184">
        <f t="shared" si="31"/>
        <v>0</v>
      </c>
      <c r="E101" s="184">
        <f t="shared" si="31"/>
        <v>0</v>
      </c>
      <c r="F101" s="184">
        <f t="shared" si="31"/>
        <v>5</v>
      </c>
      <c r="G101" s="184">
        <f t="shared" si="31"/>
        <v>12</v>
      </c>
      <c r="H101" s="184">
        <f t="shared" si="31"/>
        <v>2</v>
      </c>
      <c r="I101" s="698"/>
      <c r="J101" s="185">
        <f t="shared" si="31"/>
        <v>19</v>
      </c>
      <c r="K101" s="326" t="str">
        <f t="shared" si="31"/>
        <v>NA</v>
      </c>
      <c r="L101" s="327">
        <f t="shared" si="31"/>
        <v>114</v>
      </c>
      <c r="M101" s="328">
        <f t="shared" si="31"/>
        <v>22.8</v>
      </c>
      <c r="N101" s="186" t="str">
        <f t="shared" si="31"/>
        <v>NA</v>
      </c>
      <c r="O101" s="184">
        <f t="shared" si="31"/>
        <v>114</v>
      </c>
      <c r="P101" s="185">
        <f t="shared" si="31"/>
        <v>22.8</v>
      </c>
      <c r="Q101" s="326" t="str">
        <f t="shared" si="31"/>
        <v>NA</v>
      </c>
      <c r="R101" s="327">
        <f t="shared" si="31"/>
        <v>114</v>
      </c>
      <c r="S101" s="328">
        <f t="shared" si="31"/>
        <v>22.8</v>
      </c>
      <c r="T101" s="185">
        <f t="shared" si="31"/>
        <v>22.8</v>
      </c>
      <c r="U101" s="37"/>
      <c r="V101" s="138"/>
    </row>
    <row r="102" spans="2:23" ht="13.5" thickBot="1">
      <c r="B102" s="573" t="s">
        <v>76</v>
      </c>
      <c r="C102" s="203">
        <f t="shared" ref="C102:T102" si="32">C13</f>
        <v>0</v>
      </c>
      <c r="D102" s="204">
        <f t="shared" si="32"/>
        <v>0</v>
      </c>
      <c r="E102" s="204">
        <f t="shared" si="32"/>
        <v>0</v>
      </c>
      <c r="F102" s="204">
        <f t="shared" si="32"/>
        <v>246</v>
      </c>
      <c r="G102" s="204">
        <f t="shared" si="32"/>
        <v>666</v>
      </c>
      <c r="H102" s="204">
        <f t="shared" si="32"/>
        <v>117</v>
      </c>
      <c r="I102" s="699"/>
      <c r="J102" s="205">
        <f t="shared" si="32"/>
        <v>1029</v>
      </c>
      <c r="K102" s="329">
        <f t="shared" si="32"/>
        <v>1232.742</v>
      </c>
      <c r="L102" s="330">
        <f t="shared" si="32"/>
        <v>7396.4519999999993</v>
      </c>
      <c r="M102" s="331">
        <f t="shared" si="32"/>
        <v>1479.2903999999999</v>
      </c>
      <c r="N102" s="203">
        <f t="shared" si="32"/>
        <v>1258.4670000000001</v>
      </c>
      <c r="O102" s="204">
        <f t="shared" si="32"/>
        <v>7550.8020000000006</v>
      </c>
      <c r="P102" s="205">
        <f t="shared" si="32"/>
        <v>1510.1604000000002</v>
      </c>
      <c r="Q102" s="329">
        <f t="shared" si="32"/>
        <v>1283.163</v>
      </c>
      <c r="R102" s="330">
        <f t="shared" si="32"/>
        <v>7698.9780000000001</v>
      </c>
      <c r="S102" s="331">
        <f t="shared" si="32"/>
        <v>1539.7955999999999</v>
      </c>
      <c r="T102" s="205">
        <f t="shared" si="32"/>
        <v>1509.7488000000001</v>
      </c>
      <c r="U102" s="206" t="str">
        <f>U13</f>
        <v>NA</v>
      </c>
      <c r="V102" s="392" t="s">
        <v>12</v>
      </c>
    </row>
    <row r="103" spans="2:23">
      <c r="B103" s="574" t="s">
        <v>98</v>
      </c>
      <c r="C103" s="196">
        <f t="shared" ref="C103:T103" si="33">C32</f>
        <v>0</v>
      </c>
      <c r="D103" s="184">
        <f t="shared" si="33"/>
        <v>0</v>
      </c>
      <c r="E103" s="184">
        <f t="shared" si="33"/>
        <v>0</v>
      </c>
      <c r="F103" s="184">
        <f t="shared" si="33"/>
        <v>18</v>
      </c>
      <c r="G103" s="184">
        <f t="shared" si="33"/>
        <v>13</v>
      </c>
      <c r="H103" s="184">
        <f t="shared" si="33"/>
        <v>0</v>
      </c>
      <c r="I103" s="698"/>
      <c r="J103" s="185">
        <f t="shared" si="33"/>
        <v>31</v>
      </c>
      <c r="K103" s="326" t="str">
        <f t="shared" si="33"/>
        <v>NA</v>
      </c>
      <c r="L103" s="327">
        <f t="shared" si="33"/>
        <v>1274</v>
      </c>
      <c r="M103" s="328">
        <f t="shared" si="33"/>
        <v>254.8</v>
      </c>
      <c r="N103" s="186" t="str">
        <f t="shared" si="33"/>
        <v>NA</v>
      </c>
      <c r="O103" s="184">
        <f t="shared" si="33"/>
        <v>1274</v>
      </c>
      <c r="P103" s="185">
        <f t="shared" si="33"/>
        <v>254.8</v>
      </c>
      <c r="Q103" s="326" t="str">
        <f t="shared" si="33"/>
        <v>NA</v>
      </c>
      <c r="R103" s="327">
        <f t="shared" si="33"/>
        <v>1274</v>
      </c>
      <c r="S103" s="328">
        <f t="shared" si="33"/>
        <v>254.8</v>
      </c>
      <c r="T103" s="185">
        <f t="shared" si="33"/>
        <v>254.80000000000004</v>
      </c>
      <c r="U103" s="37"/>
      <c r="V103" s="138"/>
    </row>
    <row r="104" spans="2:23" ht="13.5" thickBot="1">
      <c r="B104" s="573" t="s">
        <v>76</v>
      </c>
      <c r="C104" s="207">
        <f t="shared" ref="C104:T104" si="34">C33</f>
        <v>0</v>
      </c>
      <c r="D104" s="208">
        <f t="shared" si="34"/>
        <v>0</v>
      </c>
      <c r="E104" s="208">
        <f t="shared" si="34"/>
        <v>0</v>
      </c>
      <c r="F104" s="208">
        <f t="shared" si="34"/>
        <v>887</v>
      </c>
      <c r="G104" s="208">
        <f t="shared" si="34"/>
        <v>721</v>
      </c>
      <c r="H104" s="208">
        <f t="shared" si="34"/>
        <v>0</v>
      </c>
      <c r="I104" s="700"/>
      <c r="J104" s="209">
        <f t="shared" si="34"/>
        <v>1608</v>
      </c>
      <c r="K104" s="332">
        <f t="shared" si="34"/>
        <v>0</v>
      </c>
      <c r="L104" s="296">
        <f t="shared" si="34"/>
        <v>0</v>
      </c>
      <c r="M104" s="297">
        <f t="shared" si="34"/>
        <v>426246.96239999996</v>
      </c>
      <c r="N104" s="207">
        <f t="shared" si="34"/>
        <v>0</v>
      </c>
      <c r="O104" s="208">
        <f t="shared" si="34"/>
        <v>0</v>
      </c>
      <c r="P104" s="209">
        <f t="shared" si="34"/>
        <v>435141.93239999999</v>
      </c>
      <c r="Q104" s="332">
        <f t="shared" si="34"/>
        <v>0</v>
      </c>
      <c r="R104" s="296">
        <f t="shared" si="34"/>
        <v>0</v>
      </c>
      <c r="S104" s="297">
        <f t="shared" si="34"/>
        <v>443681.10359999997</v>
      </c>
      <c r="T104" s="209">
        <f t="shared" si="34"/>
        <v>13936.932800000002</v>
      </c>
      <c r="U104" s="210" t="str">
        <f>U33</f>
        <v>NA</v>
      </c>
      <c r="V104" s="575">
        <f>V33</f>
        <v>421086.39999999997</v>
      </c>
    </row>
    <row r="105" spans="2:23">
      <c r="B105" s="574" t="s">
        <v>96</v>
      </c>
      <c r="C105" s="197">
        <f t="shared" ref="C105:T105" si="35">C42</f>
        <v>0</v>
      </c>
      <c r="D105" s="25">
        <f t="shared" si="35"/>
        <v>0</v>
      </c>
      <c r="E105" s="25">
        <f t="shared" si="35"/>
        <v>0</v>
      </c>
      <c r="F105" s="25">
        <f t="shared" si="35"/>
        <v>16</v>
      </c>
      <c r="G105" s="25">
        <f t="shared" si="35"/>
        <v>0</v>
      </c>
      <c r="H105" s="25">
        <f t="shared" si="35"/>
        <v>0</v>
      </c>
      <c r="I105" s="9"/>
      <c r="J105" s="198">
        <f t="shared" si="35"/>
        <v>16</v>
      </c>
      <c r="K105" s="333" t="str">
        <f t="shared" si="35"/>
        <v>NA</v>
      </c>
      <c r="L105" s="334">
        <f t="shared" si="35"/>
        <v>224</v>
      </c>
      <c r="M105" s="335">
        <f t="shared" si="35"/>
        <v>224</v>
      </c>
      <c r="N105" s="199" t="str">
        <f t="shared" si="35"/>
        <v>NA</v>
      </c>
      <c r="O105" s="25">
        <f t="shared" si="35"/>
        <v>224</v>
      </c>
      <c r="P105" s="198">
        <f t="shared" si="35"/>
        <v>224</v>
      </c>
      <c r="Q105" s="333" t="str">
        <f t="shared" si="35"/>
        <v>NA</v>
      </c>
      <c r="R105" s="334">
        <f t="shared" si="35"/>
        <v>224</v>
      </c>
      <c r="S105" s="335">
        <f t="shared" si="35"/>
        <v>224</v>
      </c>
      <c r="T105" s="198">
        <f t="shared" si="35"/>
        <v>224</v>
      </c>
      <c r="U105" s="200" t="str">
        <f>U18</f>
        <v>NA</v>
      </c>
      <c r="V105" s="147" t="s">
        <v>12</v>
      </c>
    </row>
    <row r="106" spans="2:23" ht="13.5" thickBot="1">
      <c r="B106" s="573" t="s">
        <v>76</v>
      </c>
      <c r="C106" s="211">
        <f t="shared" ref="C106:T106" si="36">C43</f>
        <v>0</v>
      </c>
      <c r="D106" s="208">
        <f t="shared" si="36"/>
        <v>0</v>
      </c>
      <c r="E106" s="208">
        <f t="shared" si="36"/>
        <v>0</v>
      </c>
      <c r="F106" s="208">
        <f t="shared" si="36"/>
        <v>16</v>
      </c>
      <c r="G106" s="208">
        <f t="shared" si="36"/>
        <v>0</v>
      </c>
      <c r="H106" s="208">
        <f t="shared" si="36"/>
        <v>0</v>
      </c>
      <c r="I106" s="700"/>
      <c r="J106" s="209">
        <f t="shared" si="36"/>
        <v>1788</v>
      </c>
      <c r="K106" s="332">
        <f t="shared" si="36"/>
        <v>2142.0239999999999</v>
      </c>
      <c r="L106" s="296">
        <f t="shared" si="36"/>
        <v>29988.335999999999</v>
      </c>
      <c r="M106" s="297">
        <f t="shared" si="36"/>
        <v>29988.335999999999</v>
      </c>
      <c r="N106" s="207">
        <f t="shared" si="36"/>
        <v>2186.7240000000002</v>
      </c>
      <c r="O106" s="208">
        <f t="shared" si="36"/>
        <v>30614.135999999999</v>
      </c>
      <c r="P106" s="209">
        <f t="shared" si="36"/>
        <v>30614.135999999999</v>
      </c>
      <c r="Q106" s="332">
        <f t="shared" si="36"/>
        <v>2229.636</v>
      </c>
      <c r="R106" s="296">
        <f t="shared" si="36"/>
        <v>31214.904000000002</v>
      </c>
      <c r="S106" s="297">
        <f t="shared" si="36"/>
        <v>31214.904000000002</v>
      </c>
      <c r="T106" s="209">
        <f t="shared" si="36"/>
        <v>30605.791999999998</v>
      </c>
      <c r="U106" s="209">
        <f>U43</f>
        <v>17117.333333333332</v>
      </c>
      <c r="V106" s="392" t="s">
        <v>12</v>
      </c>
    </row>
    <row r="107" spans="2:23">
      <c r="B107" s="574" t="s">
        <v>99</v>
      </c>
      <c r="C107" s="197">
        <f t="shared" ref="C107:T107" si="37">C52</f>
        <v>0</v>
      </c>
      <c r="D107" s="25">
        <f t="shared" si="37"/>
        <v>0</v>
      </c>
      <c r="E107" s="25">
        <f t="shared" si="37"/>
        <v>0</v>
      </c>
      <c r="F107" s="25">
        <f t="shared" si="37"/>
        <v>5</v>
      </c>
      <c r="G107" s="25">
        <f t="shared" si="37"/>
        <v>0</v>
      </c>
      <c r="H107" s="25">
        <f t="shared" si="37"/>
        <v>0</v>
      </c>
      <c r="I107" s="9"/>
      <c r="J107" s="198">
        <f t="shared" si="37"/>
        <v>5</v>
      </c>
      <c r="K107" s="333" t="str">
        <f t="shared" si="37"/>
        <v>NA</v>
      </c>
      <c r="L107" s="334">
        <f t="shared" si="37"/>
        <v>70</v>
      </c>
      <c r="M107" s="335">
        <f t="shared" si="37"/>
        <v>70</v>
      </c>
      <c r="N107" s="199" t="str">
        <f t="shared" si="37"/>
        <v>NA</v>
      </c>
      <c r="O107" s="25">
        <f t="shared" si="37"/>
        <v>70</v>
      </c>
      <c r="P107" s="198">
        <f t="shared" si="37"/>
        <v>70</v>
      </c>
      <c r="Q107" s="333" t="str">
        <f t="shared" si="37"/>
        <v>NA</v>
      </c>
      <c r="R107" s="334">
        <f t="shared" si="37"/>
        <v>70</v>
      </c>
      <c r="S107" s="335">
        <f t="shared" si="37"/>
        <v>70</v>
      </c>
      <c r="T107" s="198">
        <f t="shared" si="37"/>
        <v>70</v>
      </c>
      <c r="U107" s="37"/>
      <c r="V107" s="138"/>
    </row>
    <row r="108" spans="2:23" ht="13.5" thickBot="1">
      <c r="B108" s="573" t="s">
        <v>76</v>
      </c>
      <c r="C108" s="207">
        <f t="shared" ref="C108:T108" si="38">C53</f>
        <v>0</v>
      </c>
      <c r="D108" s="208">
        <f t="shared" si="38"/>
        <v>0</v>
      </c>
      <c r="E108" s="208">
        <f t="shared" si="38"/>
        <v>0</v>
      </c>
      <c r="F108" s="208">
        <f t="shared" si="38"/>
        <v>246</v>
      </c>
      <c r="G108" s="208">
        <f t="shared" si="38"/>
        <v>0</v>
      </c>
      <c r="H108" s="208">
        <f t="shared" si="38"/>
        <v>0</v>
      </c>
      <c r="I108" s="700"/>
      <c r="J108" s="209">
        <f t="shared" si="38"/>
        <v>246</v>
      </c>
      <c r="K108" s="332">
        <f t="shared" si="38"/>
        <v>294.70799999999997</v>
      </c>
      <c r="L108" s="296">
        <f t="shared" si="38"/>
        <v>4125.9119999999994</v>
      </c>
      <c r="M108" s="297">
        <f t="shared" si="38"/>
        <v>4125.9119999999994</v>
      </c>
      <c r="N108" s="211">
        <f t="shared" si="38"/>
        <v>300.858</v>
      </c>
      <c r="O108" s="208">
        <f t="shared" si="38"/>
        <v>4212.0119999999997</v>
      </c>
      <c r="P108" s="209">
        <f t="shared" si="38"/>
        <v>4212.0119999999997</v>
      </c>
      <c r="Q108" s="332">
        <f t="shared" si="38"/>
        <v>306.762</v>
      </c>
      <c r="R108" s="296">
        <f t="shared" si="38"/>
        <v>4294.6679999999997</v>
      </c>
      <c r="S108" s="297">
        <f t="shared" si="38"/>
        <v>4294.6679999999997</v>
      </c>
      <c r="T108" s="209">
        <f t="shared" si="38"/>
        <v>4210.8639999999996</v>
      </c>
      <c r="U108" s="209">
        <f>U53</f>
        <v>34234.666666666664</v>
      </c>
      <c r="V108" s="576" t="s">
        <v>12</v>
      </c>
    </row>
    <row r="109" spans="2:23">
      <c r="B109" s="574" t="s">
        <v>100</v>
      </c>
      <c r="C109" s="197">
        <f t="shared" ref="C109:V109" si="39">C62</f>
        <v>0</v>
      </c>
      <c r="D109" s="25">
        <f t="shared" si="39"/>
        <v>0</v>
      </c>
      <c r="E109" s="25">
        <f t="shared" si="39"/>
        <v>3</v>
      </c>
      <c r="F109" s="25">
        <f t="shared" si="39"/>
        <v>7</v>
      </c>
      <c r="G109" s="25">
        <f t="shared" si="39"/>
        <v>0</v>
      </c>
      <c r="H109" s="25">
        <f t="shared" si="39"/>
        <v>0</v>
      </c>
      <c r="I109" s="9"/>
      <c r="J109" s="198">
        <f t="shared" si="39"/>
        <v>10</v>
      </c>
      <c r="K109" s="333" t="str">
        <f t="shared" si="39"/>
        <v>NA</v>
      </c>
      <c r="L109" s="334">
        <f t="shared" si="39"/>
        <v>140</v>
      </c>
      <c r="M109" s="335">
        <f t="shared" si="39"/>
        <v>140</v>
      </c>
      <c r="N109" s="199" t="str">
        <f t="shared" si="39"/>
        <v>NA</v>
      </c>
      <c r="O109" s="25">
        <f t="shared" si="39"/>
        <v>140</v>
      </c>
      <c r="P109" s="198">
        <f t="shared" si="39"/>
        <v>140</v>
      </c>
      <c r="Q109" s="333" t="str">
        <f t="shared" si="39"/>
        <v>NA</v>
      </c>
      <c r="R109" s="334">
        <f t="shared" si="39"/>
        <v>140</v>
      </c>
      <c r="S109" s="335">
        <f t="shared" si="39"/>
        <v>140</v>
      </c>
      <c r="T109" s="198">
        <f t="shared" si="39"/>
        <v>140</v>
      </c>
      <c r="U109" s="212" t="str">
        <f t="shared" si="39"/>
        <v>NA</v>
      </c>
      <c r="V109" s="577" t="str">
        <f t="shared" si="39"/>
        <v>NA</v>
      </c>
    </row>
    <row r="110" spans="2:23" ht="13.5" thickBot="1">
      <c r="B110" s="573" t="s">
        <v>76</v>
      </c>
      <c r="C110" s="207">
        <f t="shared" ref="C110:U110" si="40">C63</f>
        <v>0</v>
      </c>
      <c r="D110" s="208">
        <f t="shared" si="40"/>
        <v>0</v>
      </c>
      <c r="E110" s="208">
        <f t="shared" si="40"/>
        <v>132</v>
      </c>
      <c r="F110" s="208">
        <f t="shared" si="40"/>
        <v>345</v>
      </c>
      <c r="G110" s="208">
        <f t="shared" si="40"/>
        <v>0</v>
      </c>
      <c r="H110" s="208">
        <f t="shared" si="40"/>
        <v>0</v>
      </c>
      <c r="I110" s="700"/>
      <c r="J110" s="209">
        <f t="shared" si="40"/>
        <v>477</v>
      </c>
      <c r="K110" s="332">
        <f t="shared" si="40"/>
        <v>571.44600000000003</v>
      </c>
      <c r="L110" s="296">
        <f t="shared" si="40"/>
        <v>8000.2439999999997</v>
      </c>
      <c r="M110" s="297">
        <f t="shared" si="40"/>
        <v>8000.2439999999997</v>
      </c>
      <c r="N110" s="207">
        <f t="shared" si="40"/>
        <v>583.37099999999998</v>
      </c>
      <c r="O110" s="208">
        <f t="shared" si="40"/>
        <v>8167.1939999999995</v>
      </c>
      <c r="P110" s="209">
        <f t="shared" si="40"/>
        <v>8167.1939999999995</v>
      </c>
      <c r="Q110" s="339">
        <f t="shared" si="40"/>
        <v>594.81900000000007</v>
      </c>
      <c r="R110" s="296">
        <f t="shared" si="40"/>
        <v>8327.4660000000003</v>
      </c>
      <c r="S110" s="297">
        <f t="shared" si="40"/>
        <v>8327.4660000000003</v>
      </c>
      <c r="T110" s="209">
        <f t="shared" si="40"/>
        <v>8164.9679999999998</v>
      </c>
      <c r="U110" s="210" t="str">
        <f t="shared" si="40"/>
        <v>NA</v>
      </c>
      <c r="V110" s="392" t="s">
        <v>12</v>
      </c>
    </row>
    <row r="111" spans="2:23">
      <c r="B111" s="574" t="s">
        <v>101</v>
      </c>
      <c r="C111" s="213">
        <f t="shared" ref="C111:T111" si="41">C86</f>
        <v>0</v>
      </c>
      <c r="D111" s="214">
        <f t="shared" si="41"/>
        <v>1</v>
      </c>
      <c r="E111" s="214">
        <f t="shared" si="41"/>
        <v>19.2</v>
      </c>
      <c r="F111" s="214">
        <f t="shared" si="41"/>
        <v>42.3</v>
      </c>
      <c r="G111" s="214">
        <f t="shared" si="41"/>
        <v>41</v>
      </c>
      <c r="H111" s="214">
        <f t="shared" si="41"/>
        <v>0</v>
      </c>
      <c r="I111" s="701"/>
      <c r="J111" s="215">
        <f t="shared" si="41"/>
        <v>103.5</v>
      </c>
      <c r="K111" s="336" t="str">
        <f t="shared" si="41"/>
        <v>NA</v>
      </c>
      <c r="L111" s="337" t="str">
        <f t="shared" si="41"/>
        <v>NA</v>
      </c>
      <c r="M111" s="294">
        <f t="shared" si="41"/>
        <v>1137.8</v>
      </c>
      <c r="N111" s="216" t="str">
        <f t="shared" si="41"/>
        <v>NA</v>
      </c>
      <c r="O111" s="217" t="str">
        <f t="shared" si="41"/>
        <v>NA</v>
      </c>
      <c r="P111" s="215">
        <f t="shared" si="41"/>
        <v>1137.8</v>
      </c>
      <c r="Q111" s="336" t="str">
        <f t="shared" si="41"/>
        <v>NA</v>
      </c>
      <c r="R111" s="337" t="str">
        <f t="shared" si="41"/>
        <v>NA</v>
      </c>
      <c r="S111" s="294">
        <f t="shared" si="41"/>
        <v>1137.8</v>
      </c>
      <c r="T111" s="215">
        <f t="shared" si="41"/>
        <v>1137.8</v>
      </c>
      <c r="U111" s="136" t="s">
        <v>12</v>
      </c>
      <c r="V111" s="147" t="s">
        <v>12</v>
      </c>
    </row>
    <row r="112" spans="2:23" ht="13.5" thickBot="1">
      <c r="B112" s="573" t="s">
        <v>76</v>
      </c>
      <c r="C112" s="207">
        <f t="shared" ref="C112:T112" si="42">C87</f>
        <v>0</v>
      </c>
      <c r="D112" s="208">
        <f t="shared" si="42"/>
        <v>41</v>
      </c>
      <c r="E112" s="208">
        <f t="shared" si="42"/>
        <v>847</v>
      </c>
      <c r="F112" s="208">
        <f t="shared" si="42"/>
        <v>2085</v>
      </c>
      <c r="G112" s="208">
        <f t="shared" si="42"/>
        <v>2272</v>
      </c>
      <c r="H112" s="208">
        <f t="shared" si="42"/>
        <v>0</v>
      </c>
      <c r="I112" s="700"/>
      <c r="J112" s="209">
        <f t="shared" si="42"/>
        <v>5245</v>
      </c>
      <c r="K112" s="332">
        <f t="shared" si="42"/>
        <v>6283.51</v>
      </c>
      <c r="L112" s="338" t="str">
        <f t="shared" si="42"/>
        <v>NA</v>
      </c>
      <c r="M112" s="297">
        <f t="shared" si="42"/>
        <v>67896.410399999993</v>
      </c>
      <c r="N112" s="211">
        <f t="shared" si="42"/>
        <v>6414.6350000000002</v>
      </c>
      <c r="O112" s="219" t="str">
        <f t="shared" si="42"/>
        <v>NA</v>
      </c>
      <c r="P112" s="209">
        <f t="shared" si="42"/>
        <v>69313.280400000003</v>
      </c>
      <c r="Q112" s="332">
        <f t="shared" si="42"/>
        <v>6540.5150000000012</v>
      </c>
      <c r="R112" s="338" t="str">
        <f t="shared" si="42"/>
        <v>NA</v>
      </c>
      <c r="S112" s="297">
        <f t="shared" si="42"/>
        <v>70673.475600000005</v>
      </c>
      <c r="T112" s="209">
        <f t="shared" si="42"/>
        <v>69294.388800000001</v>
      </c>
      <c r="U112" s="209">
        <f>U87</f>
        <v>0</v>
      </c>
      <c r="V112" s="392" t="s">
        <v>12</v>
      </c>
    </row>
    <row r="113" spans="2:22">
      <c r="B113" s="574" t="s">
        <v>102</v>
      </c>
      <c r="C113" s="197">
        <f t="shared" ref="C113:T113" si="43">C96</f>
        <v>0</v>
      </c>
      <c r="D113" s="25">
        <f t="shared" si="43"/>
        <v>0</v>
      </c>
      <c r="E113" s="25">
        <f t="shared" si="43"/>
        <v>16</v>
      </c>
      <c r="F113" s="25">
        <f t="shared" si="43"/>
        <v>8</v>
      </c>
      <c r="G113" s="25">
        <f t="shared" si="43"/>
        <v>10</v>
      </c>
      <c r="H113" s="25">
        <f t="shared" si="43"/>
        <v>8</v>
      </c>
      <c r="I113" s="9"/>
      <c r="J113" s="198">
        <f t="shared" si="43"/>
        <v>42</v>
      </c>
      <c r="K113" s="333" t="str">
        <f t="shared" si="43"/>
        <v>NA</v>
      </c>
      <c r="L113" s="334">
        <f t="shared" si="43"/>
        <v>588</v>
      </c>
      <c r="M113" s="335">
        <f t="shared" si="43"/>
        <v>588</v>
      </c>
      <c r="N113" s="199" t="str">
        <f t="shared" si="43"/>
        <v>NA</v>
      </c>
      <c r="O113" s="25">
        <f t="shared" si="43"/>
        <v>588</v>
      </c>
      <c r="P113" s="198">
        <f t="shared" si="43"/>
        <v>588</v>
      </c>
      <c r="Q113" s="333" t="str">
        <f t="shared" si="43"/>
        <v>NA</v>
      </c>
      <c r="R113" s="334">
        <f t="shared" si="43"/>
        <v>588</v>
      </c>
      <c r="S113" s="335">
        <f t="shared" si="43"/>
        <v>588</v>
      </c>
      <c r="T113" s="198">
        <f t="shared" si="43"/>
        <v>588</v>
      </c>
      <c r="U113" s="136" t="s">
        <v>12</v>
      </c>
      <c r="V113" s="147" t="s">
        <v>12</v>
      </c>
    </row>
    <row r="114" spans="2:22" ht="13.5" thickBot="1">
      <c r="B114" s="578" t="s">
        <v>76</v>
      </c>
      <c r="C114" s="220">
        <f t="shared" ref="C114:T114" si="44">C97</f>
        <v>0</v>
      </c>
      <c r="D114" s="221">
        <f t="shared" si="44"/>
        <v>0</v>
      </c>
      <c r="E114" s="221">
        <f t="shared" si="44"/>
        <v>706</v>
      </c>
      <c r="F114" s="221">
        <f t="shared" si="44"/>
        <v>394</v>
      </c>
      <c r="G114" s="221">
        <f t="shared" si="44"/>
        <v>555</v>
      </c>
      <c r="H114" s="221">
        <f t="shared" si="44"/>
        <v>469</v>
      </c>
      <c r="I114" s="702"/>
      <c r="J114" s="222">
        <f t="shared" si="44"/>
        <v>2124</v>
      </c>
      <c r="K114" s="304">
        <f t="shared" si="44"/>
        <v>2544.5520000000001</v>
      </c>
      <c r="L114" s="305">
        <f t="shared" si="44"/>
        <v>35623.728000000003</v>
      </c>
      <c r="M114" s="306">
        <f t="shared" si="44"/>
        <v>35623.728000000003</v>
      </c>
      <c r="N114" s="220">
        <f t="shared" si="44"/>
        <v>2597.652</v>
      </c>
      <c r="O114" s="221">
        <f t="shared" si="44"/>
        <v>36367.128000000004</v>
      </c>
      <c r="P114" s="222">
        <f t="shared" si="44"/>
        <v>36367.128000000004</v>
      </c>
      <c r="Q114" s="311">
        <f t="shared" si="44"/>
        <v>2648.6280000000002</v>
      </c>
      <c r="R114" s="305">
        <f t="shared" si="44"/>
        <v>37080.792000000001</v>
      </c>
      <c r="S114" s="306">
        <f t="shared" si="44"/>
        <v>37080.792000000001</v>
      </c>
      <c r="T114" s="222">
        <f t="shared" si="44"/>
        <v>36357.216</v>
      </c>
      <c r="U114" s="223" t="str">
        <f>U97</f>
        <v>NA</v>
      </c>
      <c r="V114" s="224" t="s">
        <v>12</v>
      </c>
    </row>
    <row r="115" spans="2:22" ht="18.75" thickTop="1">
      <c r="B115" s="579" t="s">
        <v>13</v>
      </c>
      <c r="C115" s="183" t="s">
        <v>45</v>
      </c>
      <c r="D115" s="108" t="s">
        <v>46</v>
      </c>
      <c r="E115" s="107" t="s">
        <v>47</v>
      </c>
      <c r="F115" s="107" t="s">
        <v>48</v>
      </c>
      <c r="G115" s="107" t="s">
        <v>49</v>
      </c>
      <c r="H115" s="107" t="s">
        <v>50</v>
      </c>
      <c r="I115" s="680"/>
      <c r="J115" s="109" t="s">
        <v>13</v>
      </c>
      <c r="K115" s="110" t="s">
        <v>56</v>
      </c>
      <c r="L115" s="108" t="s">
        <v>13</v>
      </c>
      <c r="M115" s="111" t="s">
        <v>68</v>
      </c>
      <c r="N115" s="110" t="s">
        <v>56</v>
      </c>
      <c r="O115" s="108" t="s">
        <v>13</v>
      </c>
      <c r="P115" s="111" t="s">
        <v>68</v>
      </c>
      <c r="Q115" s="110" t="s">
        <v>56</v>
      </c>
      <c r="R115" s="108" t="s">
        <v>13</v>
      </c>
      <c r="S115" s="111" t="s">
        <v>68</v>
      </c>
      <c r="T115" s="111"/>
      <c r="U115" s="37"/>
      <c r="V115" s="138"/>
    </row>
    <row r="116" spans="2:22">
      <c r="B116" s="580" t="s">
        <v>75</v>
      </c>
      <c r="C116" s="195">
        <f t="shared" ref="C116:J117" si="45">C101+C103+C105+C107+C109+C111+C113</f>
        <v>0</v>
      </c>
      <c r="D116" s="101">
        <f t="shared" si="45"/>
        <v>1</v>
      </c>
      <c r="E116" s="101">
        <f t="shared" si="45"/>
        <v>38.200000000000003</v>
      </c>
      <c r="F116" s="101">
        <f t="shared" si="45"/>
        <v>101.3</v>
      </c>
      <c r="G116" s="101">
        <f t="shared" si="45"/>
        <v>76</v>
      </c>
      <c r="H116" s="101">
        <f t="shared" si="45"/>
        <v>10</v>
      </c>
      <c r="I116" s="703"/>
      <c r="J116" s="102">
        <f t="shared" si="45"/>
        <v>226.5</v>
      </c>
      <c r="K116" s="340" t="s">
        <v>12</v>
      </c>
      <c r="L116" s="281">
        <f>L101+L103+L105+L107+L109+L113</f>
        <v>2410</v>
      </c>
      <c r="M116" s="289">
        <f>M101+M103+M105+M107+M109+M111+M113</f>
        <v>2437.4</v>
      </c>
      <c r="N116" s="103" t="s">
        <v>12</v>
      </c>
      <c r="O116" s="101">
        <f>O101+O103+O105+O107+O109+O113</f>
        <v>2410</v>
      </c>
      <c r="P116" s="102">
        <f>P101+P103+P105+P107+P109+P111+P113</f>
        <v>2437.4</v>
      </c>
      <c r="Q116" s="340" t="s">
        <v>12</v>
      </c>
      <c r="R116" s="281">
        <f>R101+R103+R105+R107+R109+R113</f>
        <v>2410</v>
      </c>
      <c r="S116" s="289">
        <f>S101+S103+S105+S107+S109+S111+S113</f>
        <v>2437.4</v>
      </c>
      <c r="T116" s="174">
        <f>T101+T103+T105+T107+T109+T111+T113</f>
        <v>2437.4</v>
      </c>
      <c r="U116" s="102"/>
      <c r="V116" s="140" t="s">
        <v>12</v>
      </c>
    </row>
    <row r="117" spans="2:22" s="235" customFormat="1" ht="16.5" thickBot="1">
      <c r="B117" s="581" t="s">
        <v>76</v>
      </c>
      <c r="C117" s="582">
        <f t="shared" si="45"/>
        <v>0</v>
      </c>
      <c r="D117" s="583">
        <f t="shared" si="45"/>
        <v>41</v>
      </c>
      <c r="E117" s="583">
        <f t="shared" si="45"/>
        <v>1685</v>
      </c>
      <c r="F117" s="583">
        <f t="shared" si="45"/>
        <v>4219</v>
      </c>
      <c r="G117" s="583">
        <f t="shared" si="45"/>
        <v>4214</v>
      </c>
      <c r="H117" s="583">
        <f t="shared" si="45"/>
        <v>586</v>
      </c>
      <c r="I117" s="704"/>
      <c r="J117" s="584">
        <f t="shared" si="45"/>
        <v>12517</v>
      </c>
      <c r="K117" s="585">
        <f>K102+K104+K106+K108+K110+K112+K114</f>
        <v>13068.982</v>
      </c>
      <c r="L117" s="586">
        <f>L102+L104+L106+L108+L110+L114</f>
        <v>85134.671999999991</v>
      </c>
      <c r="M117" s="587">
        <f>M102+M104+M106+M108+M110+M112+M114</f>
        <v>573360.88319999992</v>
      </c>
      <c r="N117" s="582">
        <f>N102+N104+N106+N108+N110+N112+N114</f>
        <v>13341.707</v>
      </c>
      <c r="O117" s="588">
        <f>O102+O104+O106+O108+O110+O114</f>
        <v>86911.271999999997</v>
      </c>
      <c r="P117" s="584">
        <f>P102+P104+P106+P108+P110+P112+P114</f>
        <v>585325.8432</v>
      </c>
      <c r="Q117" s="589">
        <f>Q102+Q104+Q106+Q108+Q110+Q112+Q114</f>
        <v>13603.523000000001</v>
      </c>
      <c r="R117" s="586">
        <f>R102+R104+R106+R108+R110+R114</f>
        <v>88616.808000000005</v>
      </c>
      <c r="S117" s="587">
        <f>S102+S104+S106+S108+S110+S112+S114</f>
        <v>596812.20480000007</v>
      </c>
      <c r="T117" s="590">
        <f>T102+T104+T106+T108+T110+T112+T114</f>
        <v>164079.91039999999</v>
      </c>
      <c r="U117" s="584">
        <f>SUM(U102,U104,U106,U108,U110,U112,U114)</f>
        <v>51352</v>
      </c>
      <c r="V117" s="591">
        <f>SUM(V102,V104,V106,V108,V110,V112,V114)</f>
        <v>421086.39999999997</v>
      </c>
    </row>
  </sheetData>
  <mergeCells count="35">
    <mergeCell ref="R90:S90"/>
    <mergeCell ref="R36:S36"/>
    <mergeCell ref="R46:S46"/>
    <mergeCell ref="R56:S56"/>
    <mergeCell ref="R83:S83"/>
    <mergeCell ref="R67:S67"/>
    <mergeCell ref="G66:J66"/>
    <mergeCell ref="O83:P83"/>
    <mergeCell ref="L90:M90"/>
    <mergeCell ref="O36:P36"/>
    <mergeCell ref="O46:P46"/>
    <mergeCell ref="O67:P67"/>
    <mergeCell ref="O90:P90"/>
    <mergeCell ref="O56:P56"/>
    <mergeCell ref="L36:M36"/>
    <mergeCell ref="G89:J89"/>
    <mergeCell ref="L67:M67"/>
    <mergeCell ref="L56:M56"/>
    <mergeCell ref="G55:J55"/>
    <mergeCell ref="G36:J36"/>
    <mergeCell ref="L46:M46"/>
    <mergeCell ref="G15:J15"/>
    <mergeCell ref="G35:J35"/>
    <mergeCell ref="G46:J46"/>
    <mergeCell ref="G45:J45"/>
    <mergeCell ref="T2:U2"/>
    <mergeCell ref="R16:S16"/>
    <mergeCell ref="G7:J7"/>
    <mergeCell ref="L16:M16"/>
    <mergeCell ref="F2:G2"/>
    <mergeCell ref="C5:J5"/>
    <mergeCell ref="R8:S8"/>
    <mergeCell ref="L8:M8"/>
    <mergeCell ref="O8:P8"/>
    <mergeCell ref="O16:P16"/>
  </mergeCells>
  <phoneticPr fontId="2" type="noConversion"/>
  <dataValidations disablePrompts="1" count="1">
    <dataValidation allowBlank="1" showInputMessage="1" showErrorMessage="1" sqref="D38 D18:D24"/>
  </dataValidations>
  <pageMargins left="0.25" right="0.28000000000000003" top="0.64" bottom="0.47" header="0.5" footer="0.44"/>
  <pageSetup scale="43" fitToHeight="25" orientation="landscape" r:id="rId1"/>
  <headerFooter alignWithMargins="0"/>
  <rowBreaks count="1" manualBreakCount="1">
    <brk id="64" max="22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V124"/>
  <sheetViews>
    <sheetView topLeftCell="A2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195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</v>
      </c>
      <c r="M4" s="396" t="s">
        <v>71</v>
      </c>
      <c r="N4" s="431" t="s">
        <v>69</v>
      </c>
      <c r="O4" s="20">
        <v>2</v>
      </c>
      <c r="P4" s="425" t="s">
        <v>71</v>
      </c>
      <c r="Q4" s="429" t="s">
        <v>69</v>
      </c>
      <c r="R4" s="20">
        <v>2</v>
      </c>
      <c r="S4" s="115" t="s">
        <v>69</v>
      </c>
      <c r="T4" s="106">
        <f>AVERAGE(L4,O4,R4)</f>
        <v>2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1</v>
      </c>
      <c r="K5" s="342" t="s">
        <v>70</v>
      </c>
      <c r="L5" s="343">
        <f>L4*$I$4</f>
        <v>0</v>
      </c>
      <c r="M5" s="632">
        <v>1</v>
      </c>
      <c r="N5" s="344" t="s">
        <v>70</v>
      </c>
      <c r="O5" s="345">
        <f>O4*$I$4</f>
        <v>0</v>
      </c>
      <c r="P5" s="631">
        <v>1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38336</v>
      </c>
      <c r="L21" s="280">
        <f>K21/$E$18</f>
        <v>7667.2</v>
      </c>
      <c r="M21" s="78">
        <f>HLOOKUP($D$21,InflationTable,3)*$C$21</f>
        <v>19568</v>
      </c>
      <c r="N21" s="27">
        <f>M21*$L$4</f>
        <v>39136</v>
      </c>
      <c r="O21" s="182">
        <f>N21/$E$18</f>
        <v>7827.2</v>
      </c>
      <c r="P21" s="298">
        <f>HLOOKUP($D$21,InflationTable,4)*$C$21</f>
        <v>19952</v>
      </c>
      <c r="Q21" s="279">
        <f>P21*$L$4</f>
        <v>39904</v>
      </c>
      <c r="R21" s="280">
        <f>Q21/$E$18</f>
        <v>7980.8</v>
      </c>
      <c r="S21" s="127" t="s">
        <v>12</v>
      </c>
      <c r="T21" s="119" t="s">
        <v>12</v>
      </c>
      <c r="U21" s="139">
        <f>AVERAGE(L21,O21,R21)</f>
        <v>7825.0666666666666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16</v>
      </c>
      <c r="L24" s="282">
        <f>K24/$E$18</f>
        <v>3.2</v>
      </c>
      <c r="M24" s="58" t="s">
        <v>12</v>
      </c>
      <c r="N24" s="69">
        <f>$I$24*($O$4+$O$5)</f>
        <v>16</v>
      </c>
      <c r="O24" s="59">
        <f>N24/$E$18</f>
        <v>3.2</v>
      </c>
      <c r="P24" s="263" t="s">
        <v>12</v>
      </c>
      <c r="Q24" s="281">
        <f>$I$24*($R$4+$R$5)</f>
        <v>16</v>
      </c>
      <c r="R24" s="282">
        <f>Q24/$E$18</f>
        <v>3.2</v>
      </c>
      <c r="S24" s="151">
        <f>AVERAGE(L24,O24,R24)</f>
        <v>3.2000000000000006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944.024</v>
      </c>
      <c r="L25" s="297">
        <f>K25/$E$18</f>
        <v>188.8048</v>
      </c>
      <c r="M25" s="376">
        <f>HLOOKUP(Labor!$B$11,InflationTable,3)*$I25</f>
        <v>481.86200000000002</v>
      </c>
      <c r="N25" s="377">
        <f>M25*$L$4</f>
        <v>963.72400000000005</v>
      </c>
      <c r="O25" s="378">
        <f>N25/$E$18</f>
        <v>192.7448</v>
      </c>
      <c r="P25" s="332">
        <f>HLOOKUP(Labor!$B$11,InflationTable,4)*$I25</f>
        <v>491.31800000000004</v>
      </c>
      <c r="Q25" s="296">
        <f>P25*$L$4</f>
        <v>982.63600000000008</v>
      </c>
      <c r="R25" s="390">
        <f>Q25/$E$18</f>
        <v>196.52720000000002</v>
      </c>
      <c r="S25" s="391">
        <f>AVERAGE(L25,O25,R25)</f>
        <v>192.69226666666668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12</v>
      </c>
      <c r="L26" s="294">
        <f>K26/$E$18</f>
        <v>2.4</v>
      </c>
      <c r="M26" s="61" t="s">
        <v>12</v>
      </c>
      <c r="N26" s="348">
        <f>I26*$O$4</f>
        <v>12</v>
      </c>
      <c r="O26" s="62">
        <f>N26/$E$18</f>
        <v>2.4</v>
      </c>
      <c r="P26" s="293" t="s">
        <v>12</v>
      </c>
      <c r="Q26" s="327">
        <f>$I26*$O$4</f>
        <v>12</v>
      </c>
      <c r="R26" s="367">
        <f>Q26/$E$18</f>
        <v>2.4</v>
      </c>
      <c r="S26" s="129">
        <f>AVERAGE(L26,O26,R26)</f>
        <v>2.4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587.02</v>
      </c>
      <c r="L27" s="297">
        <f>K27/$E$18</f>
        <v>117.404</v>
      </c>
      <c r="M27" s="376">
        <f>HLOOKUP(Labor!$B$11,InflationTable,3)*$I27</f>
        <v>299.63500000000005</v>
      </c>
      <c r="N27" s="377">
        <f>M27*$O$4</f>
        <v>599.2700000000001</v>
      </c>
      <c r="O27" s="378">
        <f>N27/$E$18</f>
        <v>119.85400000000001</v>
      </c>
      <c r="P27" s="339">
        <f>HLOOKUP(Labor!$B$11,InflationTable,4)*$I27</f>
        <v>305.51500000000004</v>
      </c>
      <c r="Q27" s="296">
        <f>P27*$R$4</f>
        <v>611.03000000000009</v>
      </c>
      <c r="R27" s="297">
        <f>Q27/$E$18</f>
        <v>122.20600000000002</v>
      </c>
      <c r="S27" s="211">
        <f>AVERAGE(L27,O27,R27)</f>
        <v>119.82133333333336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28</v>
      </c>
      <c r="L28" s="286">
        <f>L24+L26</f>
        <v>5.6</v>
      </c>
      <c r="M28" s="44" t="s">
        <v>12</v>
      </c>
      <c r="N28" s="33">
        <f>N24+N26</f>
        <v>28</v>
      </c>
      <c r="O28" s="40">
        <f>O24+O26</f>
        <v>5.6</v>
      </c>
      <c r="P28" s="284" t="s">
        <v>12</v>
      </c>
      <c r="Q28" s="285">
        <f>Q24+Q26</f>
        <v>28</v>
      </c>
      <c r="R28" s="286">
        <f>R24+R26</f>
        <v>5.6</v>
      </c>
      <c r="S28" s="175">
        <f>AVERAGE(L28,O28,R28)</f>
        <v>5.5999999999999988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7973.4088000000002</v>
      </c>
      <c r="M29" s="242">
        <f>M27+M25</f>
        <v>781.49700000000007</v>
      </c>
      <c r="N29" s="247"/>
      <c r="O29" s="243">
        <f>O27+O25+O22+O21</f>
        <v>8139.7987999999996</v>
      </c>
      <c r="P29" s="274">
        <f>P27+P25</f>
        <v>796.83300000000008</v>
      </c>
      <c r="Q29" s="287"/>
      <c r="R29" s="276">
        <f>R27+R25+R22+R21</f>
        <v>8299.5331999999999</v>
      </c>
      <c r="S29" s="248">
        <f>SUM(S27,S25)</f>
        <v>312.51360000000005</v>
      </c>
      <c r="T29" s="249" t="s">
        <v>12</v>
      </c>
      <c r="U29" s="250">
        <f>SUM(U21:U22)</f>
        <v>7825.0666666666666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750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898.5</v>
      </c>
      <c r="K34" s="384">
        <f>J34*$L$4</f>
        <v>1797</v>
      </c>
      <c r="L34" s="385">
        <f>K34</f>
        <v>1797</v>
      </c>
      <c r="M34" s="446">
        <f>HLOOKUP($D$34,InflationTable,3)*$C34</f>
        <v>917.25000000000011</v>
      </c>
      <c r="N34" s="387">
        <f>M34*$O$4</f>
        <v>1834.5000000000002</v>
      </c>
      <c r="O34" s="388">
        <f>N34</f>
        <v>1834.5000000000002</v>
      </c>
      <c r="P34" s="384">
        <f>HLOOKUP($D$34,InflationTable,4)*$C34</f>
        <v>935.25000000000011</v>
      </c>
      <c r="Q34" s="737">
        <f>P34*$R$4</f>
        <v>1870.5000000000002</v>
      </c>
      <c r="R34" s="385">
        <f>Q34</f>
        <v>1870.5000000000002</v>
      </c>
      <c r="S34" s="462" t="s">
        <v>12</v>
      </c>
      <c r="T34" s="382">
        <f>AVERAGE(L34,O34,R34)</f>
        <v>1834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8500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10183</v>
      </c>
      <c r="K35" s="750">
        <f>J35*$L$4</f>
        <v>20366</v>
      </c>
      <c r="L35" s="751">
        <f>K35</f>
        <v>20366</v>
      </c>
      <c r="M35" s="752">
        <f>HLOOKUP($D$34,InflationTable,3)*$C35</f>
        <v>10395.5</v>
      </c>
      <c r="N35" s="753">
        <f>M35*$O$4</f>
        <v>20791</v>
      </c>
      <c r="O35" s="754">
        <f>N35</f>
        <v>20791</v>
      </c>
      <c r="P35" s="750">
        <f>HLOOKUP($D$34,InflationTable,4)*$C35</f>
        <v>10599.500000000002</v>
      </c>
      <c r="Q35" s="384">
        <f>P35*$R$4</f>
        <v>21199.000000000004</v>
      </c>
      <c r="R35" s="385">
        <f>Q35</f>
        <v>21199.000000000004</v>
      </c>
      <c r="S35" s="462" t="s">
        <v>12</v>
      </c>
      <c r="T35" s="382">
        <f>AVERAGE(L35,O35,R35)</f>
        <v>20785.333333333332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2400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2875.2</v>
      </c>
      <c r="K36" s="384">
        <f>J36*$L$4</f>
        <v>5750.4</v>
      </c>
      <c r="L36" s="385">
        <f>K36</f>
        <v>5750.4</v>
      </c>
      <c r="M36" s="446">
        <f>HLOOKUP($D$34,InflationTable,3)*$C36</f>
        <v>2935.2000000000003</v>
      </c>
      <c r="N36" s="387">
        <f>M36*$O$4</f>
        <v>5870.4000000000005</v>
      </c>
      <c r="O36" s="388">
        <f>N36</f>
        <v>5870.4000000000005</v>
      </c>
      <c r="P36" s="384">
        <f>HLOOKUP($D$34,InflationTable,4)*$C36</f>
        <v>2992.8</v>
      </c>
      <c r="Q36" s="384">
        <f>P36*$R$4</f>
        <v>5985.6</v>
      </c>
      <c r="R36" s="751">
        <f>Q36</f>
        <v>5985.6</v>
      </c>
      <c r="S36" s="757" t="s">
        <v>12</v>
      </c>
      <c r="T36" s="463">
        <f>AVERAGE(L36,O36,R36)</f>
        <v>5868.8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13300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15933.4</v>
      </c>
      <c r="K37" s="744">
        <f>J37*$L$4</f>
        <v>31866.799999999999</v>
      </c>
      <c r="L37" s="745">
        <f>K37</f>
        <v>31866.799999999999</v>
      </c>
      <c r="M37" s="746">
        <f>HLOOKUP($D$34,InflationTable,3)*$C37</f>
        <v>16265.900000000001</v>
      </c>
      <c r="N37" s="747">
        <f>M37*$O$4</f>
        <v>32531.800000000003</v>
      </c>
      <c r="O37" s="748">
        <f>N37</f>
        <v>32531.800000000003</v>
      </c>
      <c r="P37" s="744">
        <f>HLOOKUP($D$34,InflationTable,4)*$C37</f>
        <v>16585.100000000002</v>
      </c>
      <c r="Q37" s="744">
        <f>P37*$R$4</f>
        <v>33170.200000000004</v>
      </c>
      <c r="R37" s="745">
        <f>Q37</f>
        <v>33170.200000000004</v>
      </c>
      <c r="S37" s="755" t="s">
        <v>12</v>
      </c>
      <c r="T37" s="756">
        <f>AVERAGE(L37,O37,R37)</f>
        <v>32522.933333333338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141364</v>
      </c>
      <c r="L39" s="297">
        <f>K39/$G$38</f>
        <v>28272.799999999999</v>
      </c>
      <c r="M39" s="450">
        <f>HLOOKUP($D$34,InflationTable,3)*$C39</f>
        <v>72157</v>
      </c>
      <c r="N39" s="377">
        <f>M39*$O$4</f>
        <v>144314</v>
      </c>
      <c r="O39" s="378">
        <f>N39/$G$38</f>
        <v>28862.799999999999</v>
      </c>
      <c r="P39" s="296">
        <f>HLOOKUP($D$34,InflationTable,4)*$C39</f>
        <v>73573</v>
      </c>
      <c r="Q39" s="296">
        <f>P39*$R$4</f>
        <v>147146</v>
      </c>
      <c r="R39" s="297">
        <f>Q39/$G$38</f>
        <v>29429.200000000001</v>
      </c>
      <c r="S39" s="472" t="s">
        <v>12</v>
      </c>
      <c r="T39" s="472" t="s">
        <v>12</v>
      </c>
      <c r="U39" s="375">
        <f>AVERAGE(L39,O39,R39)</f>
        <v>28854.933333333334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2396</v>
      </c>
      <c r="L40" s="297">
        <f>K40/$G$38</f>
        <v>479.2</v>
      </c>
      <c r="M40" s="450">
        <f>HLOOKUP($D$34,InflationTable,3)*$C40</f>
        <v>1223</v>
      </c>
      <c r="N40" s="377">
        <f>M40*$O$4</f>
        <v>2446</v>
      </c>
      <c r="O40" s="378">
        <f>N40/$G$38</f>
        <v>489.2</v>
      </c>
      <c r="P40" s="296">
        <f>HLOOKUP($D$34,InflationTable,4)*$C40</f>
        <v>1247</v>
      </c>
      <c r="Q40" s="296">
        <f>P40*$R$4</f>
        <v>2494</v>
      </c>
      <c r="R40" s="297">
        <f>Q40/$G$38</f>
        <v>498.8</v>
      </c>
      <c r="S40" s="472" t="s">
        <v>12</v>
      </c>
      <c r="T40" s="472" t="s">
        <v>12</v>
      </c>
      <c r="U40" s="375">
        <f>AVERAGE(L40,O40,R40)</f>
        <v>489.06666666666666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0</v>
      </c>
      <c r="E42" s="21">
        <v>8</v>
      </c>
      <c r="F42" s="21">
        <v>8</v>
      </c>
      <c r="G42" s="21">
        <v>0</v>
      </c>
      <c r="H42" s="21">
        <v>0</v>
      </c>
      <c r="I42" s="48">
        <f>SUM(C42:H42)</f>
        <v>16</v>
      </c>
      <c r="J42" s="299" t="s">
        <v>12</v>
      </c>
      <c r="K42" s="281">
        <f>I42*$L$4</f>
        <v>32</v>
      </c>
      <c r="L42" s="289">
        <f>K42</f>
        <v>32</v>
      </c>
      <c r="M42" s="58" t="s">
        <v>12</v>
      </c>
      <c r="N42" s="69">
        <f>$I$42*$O$4</f>
        <v>32</v>
      </c>
      <c r="O42" s="68">
        <f>N42</f>
        <v>32</v>
      </c>
      <c r="P42" s="299" t="s">
        <v>12</v>
      </c>
      <c r="Q42" s="281">
        <f>$I$42*$R$4</f>
        <v>32</v>
      </c>
      <c r="R42" s="289">
        <f>Q42</f>
        <v>32</v>
      </c>
      <c r="S42" s="121">
        <f>AVERAGE(L42,O42,R42)</f>
        <v>32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0</v>
      </c>
      <c r="E43" s="374">
        <f>ROUND(E42*Labor!$D$5,0)</f>
        <v>353</v>
      </c>
      <c r="F43" s="374">
        <f>ROUND(F42*Labor!$D$6,0)</f>
        <v>394</v>
      </c>
      <c r="G43" s="374">
        <f>ROUND(G42*Labor!$D$7,0)</f>
        <v>0</v>
      </c>
      <c r="H43" s="374">
        <f>ROUND(H42*Labor!$D$8,0)</f>
        <v>0</v>
      </c>
      <c r="I43" s="375">
        <f>SUM(C43:H43)</f>
        <v>747</v>
      </c>
      <c r="J43" s="296">
        <f>HLOOKUP(Labor!$B$11,InflationTable,2)*I43</f>
        <v>894.90599999999995</v>
      </c>
      <c r="K43" s="296">
        <f>J43*$L$4</f>
        <v>1789.8119999999999</v>
      </c>
      <c r="L43" s="390">
        <f>K43</f>
        <v>1789.8119999999999</v>
      </c>
      <c r="M43" s="376">
        <f>HLOOKUP(Labor!$B$11,InflationTable,3)*I43</f>
        <v>913.58100000000002</v>
      </c>
      <c r="N43" s="377">
        <f>M43*$O$4</f>
        <v>1827.162</v>
      </c>
      <c r="O43" s="378">
        <f>N43</f>
        <v>1827.162</v>
      </c>
      <c r="P43" s="296">
        <f>HLOOKUP(Labor!$B$11,InflationTable,4)*$I$43</f>
        <v>931.50900000000013</v>
      </c>
      <c r="Q43" s="296">
        <f>P43*$R$4</f>
        <v>1863.0180000000003</v>
      </c>
      <c r="R43" s="390">
        <f>Q43</f>
        <v>1863.0180000000003</v>
      </c>
      <c r="S43" s="211">
        <f>AVERAGE(L43,O43,R43)</f>
        <v>1826.664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0</v>
      </c>
      <c r="E44" s="36">
        <f t="shared" si="3"/>
        <v>8</v>
      </c>
      <c r="F44" s="36">
        <f t="shared" si="3"/>
        <v>8</v>
      </c>
      <c r="G44" s="36">
        <f t="shared" si="3"/>
        <v>0</v>
      </c>
      <c r="H44" s="36">
        <f t="shared" si="3"/>
        <v>0</v>
      </c>
      <c r="I44" s="51">
        <f t="shared" si="3"/>
        <v>16</v>
      </c>
      <c r="J44" s="307" t="s">
        <v>12</v>
      </c>
      <c r="K44" s="302">
        <f>K42</f>
        <v>32</v>
      </c>
      <c r="L44" s="303">
        <f>L42</f>
        <v>32</v>
      </c>
      <c r="M44" s="85" t="s">
        <v>12</v>
      </c>
      <c r="N44" s="82">
        <f>N42</f>
        <v>32</v>
      </c>
      <c r="O44" s="96">
        <f>O42</f>
        <v>32</v>
      </c>
      <c r="P44" s="301" t="s">
        <v>12</v>
      </c>
      <c r="Q44" s="302">
        <f>Q42</f>
        <v>32</v>
      </c>
      <c r="R44" s="303">
        <f>R42</f>
        <v>32</v>
      </c>
      <c r="S44" s="96">
        <f>S42</f>
        <v>32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0</v>
      </c>
      <c r="E45" s="240">
        <f t="shared" si="4"/>
        <v>8</v>
      </c>
      <c r="F45" s="240">
        <f t="shared" si="4"/>
        <v>8</v>
      </c>
      <c r="G45" s="240">
        <f t="shared" si="4"/>
        <v>0</v>
      </c>
      <c r="H45" s="240">
        <f t="shared" si="4"/>
        <v>0</v>
      </c>
      <c r="I45" s="251">
        <f>I43+C34</f>
        <v>1497</v>
      </c>
      <c r="J45" s="305">
        <f t="shared" ref="J45:R45" si="5">J43+J34</f>
        <v>1793.4059999999999</v>
      </c>
      <c r="K45" s="305">
        <f t="shared" si="5"/>
        <v>3586.8119999999999</v>
      </c>
      <c r="L45" s="306">
        <f t="shared" si="5"/>
        <v>3586.8119999999999</v>
      </c>
      <c r="M45" s="252">
        <f t="shared" si="5"/>
        <v>1830.8310000000001</v>
      </c>
      <c r="N45" s="253">
        <f t="shared" si="5"/>
        <v>3661.6620000000003</v>
      </c>
      <c r="O45" s="254">
        <f t="shared" si="5"/>
        <v>3661.6620000000003</v>
      </c>
      <c r="P45" s="304">
        <f t="shared" si="5"/>
        <v>1866.7590000000002</v>
      </c>
      <c r="Q45" s="305">
        <f t="shared" si="5"/>
        <v>3733.5180000000005</v>
      </c>
      <c r="R45" s="306">
        <f t="shared" si="5"/>
        <v>3733.5180000000005</v>
      </c>
      <c r="S45" s="767">
        <f>SUM(S34:S44)</f>
        <v>1890.664</v>
      </c>
      <c r="T45" s="767">
        <f>SUM(T34:T44)</f>
        <v>61011.066666666666</v>
      </c>
      <c r="U45" s="767">
        <f>SUM(U34:U44)</f>
        <v>29344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10200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12219.6</v>
      </c>
      <c r="K50" s="355">
        <f>J50*$L$4</f>
        <v>24439.200000000001</v>
      </c>
      <c r="L50" s="308">
        <f>K50</f>
        <v>24439.200000000001</v>
      </c>
      <c r="M50" s="357">
        <f>HLOOKUP($D$50,InflationTable,3)*$C$50</f>
        <v>12474.6</v>
      </c>
      <c r="N50" s="357">
        <f>M50*$O$4</f>
        <v>24949.200000000001</v>
      </c>
      <c r="O50" s="95">
        <f>N50</f>
        <v>24949.200000000001</v>
      </c>
      <c r="P50" s="358">
        <f>HLOOKUP($D$50,InflationTable,4)*$C$50</f>
        <v>12719.400000000001</v>
      </c>
      <c r="Q50" s="355">
        <f>P50*$R$4</f>
        <v>25438.800000000003</v>
      </c>
      <c r="R50" s="308">
        <f>Q50</f>
        <v>25438.800000000003</v>
      </c>
      <c r="S50" s="359" t="s">
        <v>12</v>
      </c>
      <c r="T50" s="360">
        <f>AVERAGE(L50,O50,R50)</f>
        <v>24942.400000000005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32</v>
      </c>
      <c r="L52" s="289">
        <f t="shared" ref="L52:L57" si="7">K52</f>
        <v>32</v>
      </c>
      <c r="M52" s="58" t="s">
        <v>12</v>
      </c>
      <c r="N52" s="69">
        <f>$I$52*$O$4</f>
        <v>32</v>
      </c>
      <c r="O52" s="68">
        <f t="shared" ref="O52:O57" si="8">N52</f>
        <v>32</v>
      </c>
      <c r="P52" s="263" t="s">
        <v>12</v>
      </c>
      <c r="Q52" s="281">
        <f>$I$52*$R$4</f>
        <v>32</v>
      </c>
      <c r="R52" s="289">
        <f t="shared" ref="R52:R57" si="9">Q52</f>
        <v>32</v>
      </c>
      <c r="S52" s="121">
        <f t="shared" ref="S52:S58" si="10">AVERAGE(L52,O52,R52)</f>
        <v>32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1739.4959999999999</v>
      </c>
      <c r="L53" s="297">
        <f t="shared" si="7"/>
        <v>1739.4959999999999</v>
      </c>
      <c r="M53" s="376">
        <f>HLOOKUP(Labor!$B$11,InflationTable,3)*$I$53</f>
        <v>887.89800000000002</v>
      </c>
      <c r="N53" s="377">
        <f>M53*$O$4</f>
        <v>1775.796</v>
      </c>
      <c r="O53" s="378">
        <f t="shared" si="8"/>
        <v>1775.796</v>
      </c>
      <c r="P53" s="332">
        <f>HLOOKUP(Labor!$B$11,InflationTable,4)*$I$53</f>
        <v>905.32200000000012</v>
      </c>
      <c r="Q53" s="296">
        <f>P53*$O$4</f>
        <v>1810.6440000000002</v>
      </c>
      <c r="R53" s="297">
        <f t="shared" si="9"/>
        <v>1810.6440000000002</v>
      </c>
      <c r="S53" s="211">
        <f t="shared" si="10"/>
        <v>1775.3119999999999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208</v>
      </c>
      <c r="L54" s="328">
        <f t="shared" si="7"/>
        <v>208</v>
      </c>
      <c r="M54" s="61" t="s">
        <v>12</v>
      </c>
      <c r="N54" s="348">
        <f>L54*$L$4</f>
        <v>416</v>
      </c>
      <c r="O54" s="349">
        <f t="shared" si="8"/>
        <v>416</v>
      </c>
      <c r="P54" s="293" t="s">
        <v>12</v>
      </c>
      <c r="Q54" s="327">
        <f>O54*$L$4</f>
        <v>832</v>
      </c>
      <c r="R54" s="328">
        <f t="shared" si="9"/>
        <v>832</v>
      </c>
      <c r="S54" s="129">
        <f t="shared" si="10"/>
        <v>485.33333333333331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11227.655999999999</v>
      </c>
      <c r="L55" s="297">
        <f t="shared" si="7"/>
        <v>11227.655999999999</v>
      </c>
      <c r="M55" s="376">
        <f>HLOOKUP(Labor!$B$11,InflationTable,2)*$I55</f>
        <v>5613.8279999999995</v>
      </c>
      <c r="N55" s="377">
        <f>M55*$L$4</f>
        <v>11227.655999999999</v>
      </c>
      <c r="O55" s="378">
        <f t="shared" si="8"/>
        <v>11227.655999999999</v>
      </c>
      <c r="P55" s="332">
        <f>HLOOKUP(Labor!$B$11,InflationTable,2)*$I55</f>
        <v>5613.8279999999995</v>
      </c>
      <c r="Q55" s="296">
        <f>P55*$L$4</f>
        <v>11227.655999999999</v>
      </c>
      <c r="R55" s="297">
        <f t="shared" si="9"/>
        <v>11227.655999999999</v>
      </c>
      <c r="S55" s="391">
        <f t="shared" si="10"/>
        <v>11227.655999999997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64</v>
      </c>
      <c r="F56" s="346">
        <v>160</v>
      </c>
      <c r="G56" s="346">
        <v>0</v>
      </c>
      <c r="H56" s="346">
        <v>0</v>
      </c>
      <c r="I56" s="347">
        <f t="shared" si="6"/>
        <v>224</v>
      </c>
      <c r="J56" s="293" t="s">
        <v>12</v>
      </c>
      <c r="K56" s="327">
        <f>I56*$L$4</f>
        <v>448</v>
      </c>
      <c r="L56" s="328">
        <f t="shared" si="7"/>
        <v>448</v>
      </c>
      <c r="M56" s="61" t="s">
        <v>12</v>
      </c>
      <c r="N56" s="348">
        <f>$I$56*$O$4</f>
        <v>448</v>
      </c>
      <c r="O56" s="349">
        <f t="shared" si="8"/>
        <v>448</v>
      </c>
      <c r="P56" s="293" t="s">
        <v>12</v>
      </c>
      <c r="Q56" s="327">
        <f>$I$56*$R$4</f>
        <v>448</v>
      </c>
      <c r="R56" s="328">
        <f t="shared" si="9"/>
        <v>448</v>
      </c>
      <c r="S56" s="129">
        <f t="shared" si="10"/>
        <v>448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2824</v>
      </c>
      <c r="F57" s="374">
        <f>ROUND(F56*Labor!$D$6,0)</f>
        <v>7882</v>
      </c>
      <c r="G57" s="374">
        <f>ROUND(G56*Labor!$D$7,0)</f>
        <v>0</v>
      </c>
      <c r="H57" s="374">
        <f>ROUND(H56*Labor!$D$8,0)</f>
        <v>0</v>
      </c>
      <c r="I57" s="209">
        <f t="shared" si="6"/>
        <v>10706</v>
      </c>
      <c r="J57" s="332">
        <f>HLOOKUP(Labor!$B$11,InflationTable,2)*$I$57</f>
        <v>12825.787999999999</v>
      </c>
      <c r="K57" s="296">
        <f>J57*$L$4</f>
        <v>25651.575999999997</v>
      </c>
      <c r="L57" s="297">
        <f t="shared" si="7"/>
        <v>25651.575999999997</v>
      </c>
      <c r="M57" s="376">
        <f>HLOOKUP(Labor!$B$11,InflationTable,3)*$I$57</f>
        <v>13093.438</v>
      </c>
      <c r="N57" s="377">
        <f>M57*$O$4</f>
        <v>26186.876</v>
      </c>
      <c r="O57" s="378">
        <f t="shared" si="8"/>
        <v>26186.876</v>
      </c>
      <c r="P57" s="332">
        <f>HLOOKUP(Labor!$B$11,InflationTable,4)*$I$57</f>
        <v>13350.382000000001</v>
      </c>
      <c r="Q57" s="296">
        <f>P57*$R$4</f>
        <v>26700.764000000003</v>
      </c>
      <c r="R57" s="297">
        <f t="shared" si="9"/>
        <v>26700.764000000003</v>
      </c>
      <c r="S57" s="391">
        <f t="shared" si="10"/>
        <v>26179.738666666668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76</v>
      </c>
      <c r="F58" s="36">
        <f t="shared" si="11"/>
        <v>164</v>
      </c>
      <c r="G58" s="36">
        <f t="shared" si="11"/>
        <v>0</v>
      </c>
      <c r="H58" s="36">
        <f t="shared" si="11"/>
        <v>0</v>
      </c>
      <c r="I58" s="46">
        <f t="shared" si="11"/>
        <v>240</v>
      </c>
      <c r="J58" s="301" t="s">
        <v>12</v>
      </c>
      <c r="K58" s="309">
        <f>K52+K56</f>
        <v>480</v>
      </c>
      <c r="L58" s="310">
        <f>L52+L56</f>
        <v>480</v>
      </c>
      <c r="M58" s="85" t="s">
        <v>12</v>
      </c>
      <c r="N58" s="86">
        <f>N52+N56</f>
        <v>480</v>
      </c>
      <c r="O58" s="97">
        <f>O52+O56</f>
        <v>480</v>
      </c>
      <c r="P58" s="301" t="s">
        <v>12</v>
      </c>
      <c r="Q58" s="309">
        <f>Q52+Q56</f>
        <v>480</v>
      </c>
      <c r="R58" s="310">
        <f>R52+R56</f>
        <v>480</v>
      </c>
      <c r="S58" s="121">
        <f t="shared" si="10"/>
        <v>480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3353</v>
      </c>
      <c r="F59" s="240">
        <f t="shared" si="12"/>
        <v>8079</v>
      </c>
      <c r="G59" s="240">
        <f t="shared" si="12"/>
        <v>0</v>
      </c>
      <c r="H59" s="240">
        <f t="shared" si="12"/>
        <v>0</v>
      </c>
      <c r="I59" s="222">
        <f>I57+I53+C50+I55</f>
        <v>26318</v>
      </c>
      <c r="J59" s="306">
        <f t="shared" ref="J59:R59" si="13">J57+J53+J50+J55</f>
        <v>31528.964</v>
      </c>
      <c r="K59" s="306">
        <f t="shared" si="13"/>
        <v>63057.928</v>
      </c>
      <c r="L59" s="306">
        <f t="shared" si="13"/>
        <v>63057.928</v>
      </c>
      <c r="M59" s="254">
        <f t="shared" si="13"/>
        <v>32069.764000000003</v>
      </c>
      <c r="N59" s="254">
        <f t="shared" si="13"/>
        <v>64139.528000000006</v>
      </c>
      <c r="O59" s="254">
        <f t="shared" si="13"/>
        <v>64139.528000000006</v>
      </c>
      <c r="P59" s="306">
        <f t="shared" si="13"/>
        <v>32588.932000000001</v>
      </c>
      <c r="Q59" s="306">
        <f t="shared" si="13"/>
        <v>65177.864000000001</v>
      </c>
      <c r="R59" s="306">
        <f t="shared" si="13"/>
        <v>65177.864000000001</v>
      </c>
      <c r="S59" s="248">
        <f>S57+S53+S55</f>
        <v>39182.706666666665</v>
      </c>
      <c r="T59" s="251">
        <f>T50</f>
        <v>24942.400000000005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24</v>
      </c>
      <c r="F64" s="21">
        <v>24</v>
      </c>
      <c r="G64" s="21">
        <v>0</v>
      </c>
      <c r="H64" s="21">
        <v>0</v>
      </c>
      <c r="I64" s="52">
        <f t="shared" ref="I64:I71" si="14">SUM(C64:H64)</f>
        <v>48</v>
      </c>
      <c r="J64" s="263" t="s">
        <v>12</v>
      </c>
      <c r="K64" s="281">
        <f>I64*$L$4</f>
        <v>96</v>
      </c>
      <c r="L64" s="289">
        <f t="shared" ref="L64:L71" si="15">K64</f>
        <v>96</v>
      </c>
      <c r="M64" s="58" t="s">
        <v>12</v>
      </c>
      <c r="N64" s="69">
        <f>$I$64*$O$4</f>
        <v>96</v>
      </c>
      <c r="O64" s="68">
        <f t="shared" ref="O64:O71" si="16">N64</f>
        <v>96</v>
      </c>
      <c r="P64" s="263" t="s">
        <v>12</v>
      </c>
      <c r="Q64" s="281">
        <f>$I$64*$R$4</f>
        <v>96</v>
      </c>
      <c r="R64" s="289">
        <f t="shared" ref="R64:R71" si="17">Q64</f>
        <v>96</v>
      </c>
      <c r="S64" s="121">
        <f t="shared" ref="S64:S73" si="18">AVERAGE(L64,O64,R64)</f>
        <v>96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1059</v>
      </c>
      <c r="F65" s="374">
        <f>ROUND(F64*Labor!$D$6,0)</f>
        <v>1182</v>
      </c>
      <c r="G65" s="374">
        <f>ROUND(G64*Labor!$D$7,0)</f>
        <v>0</v>
      </c>
      <c r="H65" s="374">
        <f>ROUND(H64*Labor!$D$8,0)</f>
        <v>0</v>
      </c>
      <c r="I65" s="209">
        <f t="shared" si="14"/>
        <v>2241</v>
      </c>
      <c r="J65" s="332">
        <f>HLOOKUP(Labor!$B$11,InflationTable,2)*I65</f>
        <v>2684.7179999999998</v>
      </c>
      <c r="K65" s="296">
        <f>J65*$L$4</f>
        <v>5369.4359999999997</v>
      </c>
      <c r="L65" s="297">
        <f t="shared" si="15"/>
        <v>5369.4359999999997</v>
      </c>
      <c r="M65" s="376">
        <f>HLOOKUP(Labor!$B$11,InflationTable,3)*$I$65</f>
        <v>2740.7430000000004</v>
      </c>
      <c r="N65" s="377">
        <f>M65*$L$4</f>
        <v>5481.4860000000008</v>
      </c>
      <c r="O65" s="378">
        <f t="shared" si="16"/>
        <v>5481.4860000000008</v>
      </c>
      <c r="P65" s="332">
        <f>HLOOKUP(Labor!$B$11,InflationTable,4)*$I$65</f>
        <v>2794.527</v>
      </c>
      <c r="Q65" s="296">
        <f>P65*$R$4</f>
        <v>5589.0540000000001</v>
      </c>
      <c r="R65" s="297">
        <f t="shared" si="17"/>
        <v>5589.0540000000001</v>
      </c>
      <c r="S65" s="211">
        <f t="shared" si="18"/>
        <v>5479.9920000000011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16</v>
      </c>
      <c r="G66" s="346">
        <v>2</v>
      </c>
      <c r="H66" s="346">
        <v>2</v>
      </c>
      <c r="I66" s="347">
        <f t="shared" si="14"/>
        <v>20</v>
      </c>
      <c r="J66" s="293" t="s">
        <v>12</v>
      </c>
      <c r="K66" s="327">
        <f>I66*$L$4</f>
        <v>40</v>
      </c>
      <c r="L66" s="328">
        <f t="shared" si="15"/>
        <v>40</v>
      </c>
      <c r="M66" s="61" t="s">
        <v>12</v>
      </c>
      <c r="N66" s="348">
        <f>$I$66*$O$4</f>
        <v>40</v>
      </c>
      <c r="O66" s="349">
        <f t="shared" si="16"/>
        <v>40</v>
      </c>
      <c r="P66" s="293" t="s">
        <v>12</v>
      </c>
      <c r="Q66" s="327">
        <f>$I$66*$R$4</f>
        <v>40</v>
      </c>
      <c r="R66" s="328">
        <f t="shared" si="17"/>
        <v>40</v>
      </c>
      <c r="S66" s="129">
        <f t="shared" si="18"/>
        <v>40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788</v>
      </c>
      <c r="G67" s="374">
        <f>ROUND(G66*Labor!$D$7,0)</f>
        <v>111</v>
      </c>
      <c r="H67" s="374">
        <f>ROUND(H66*Labor!$D$8,0)</f>
        <v>117</v>
      </c>
      <c r="I67" s="209">
        <f t="shared" si="14"/>
        <v>1016</v>
      </c>
      <c r="J67" s="339">
        <f>HLOOKUP(Labor!$B$11,InflationTable,2)*I67</f>
        <v>1217.1679999999999</v>
      </c>
      <c r="K67" s="296">
        <f>J67*$L$4</f>
        <v>2434.3359999999998</v>
      </c>
      <c r="L67" s="297">
        <f t="shared" si="15"/>
        <v>2434.3359999999998</v>
      </c>
      <c r="M67" s="450">
        <f>HLOOKUP(Labor!$B$11,InflationTable,3)*I67</f>
        <v>1242.568</v>
      </c>
      <c r="N67" s="377">
        <f>M67*$O$4</f>
        <v>2485.136</v>
      </c>
      <c r="O67" s="378">
        <f t="shared" si="16"/>
        <v>2485.136</v>
      </c>
      <c r="P67" s="332">
        <f>HLOOKUP(Labor!$B$11,InflationTable,4)*$I$67</f>
        <v>1266.952</v>
      </c>
      <c r="Q67" s="296">
        <f>P67*$R$4</f>
        <v>2533.904</v>
      </c>
      <c r="R67" s="297">
        <f t="shared" si="17"/>
        <v>2533.904</v>
      </c>
      <c r="S67" s="211">
        <f t="shared" si="18"/>
        <v>2484.4586666666669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48</v>
      </c>
      <c r="G68" s="346">
        <v>12</v>
      </c>
      <c r="H68" s="346">
        <v>0</v>
      </c>
      <c r="I68" s="347">
        <f t="shared" si="14"/>
        <v>60</v>
      </c>
      <c r="J68" s="293" t="s">
        <v>12</v>
      </c>
      <c r="K68" s="327">
        <f>I68*$L$4</f>
        <v>120</v>
      </c>
      <c r="L68" s="328">
        <f t="shared" si="15"/>
        <v>120</v>
      </c>
      <c r="M68" s="61" t="s">
        <v>12</v>
      </c>
      <c r="N68" s="348">
        <f>$I$68*$O$4</f>
        <v>120</v>
      </c>
      <c r="O68" s="349">
        <f t="shared" si="16"/>
        <v>120</v>
      </c>
      <c r="P68" s="293" t="s">
        <v>12</v>
      </c>
      <c r="Q68" s="327">
        <f>$I$68*$R$4</f>
        <v>120</v>
      </c>
      <c r="R68" s="328">
        <f t="shared" si="17"/>
        <v>120</v>
      </c>
      <c r="S68" s="129">
        <f t="shared" si="18"/>
        <v>120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2365</v>
      </c>
      <c r="G69" s="374">
        <f>ROUND(G68*Labor!$D$7,0)</f>
        <v>666</v>
      </c>
      <c r="H69" s="374">
        <f>ROUND(H68*Labor!$D$8,0)</f>
        <v>0</v>
      </c>
      <c r="I69" s="209">
        <f t="shared" si="14"/>
        <v>3031</v>
      </c>
      <c r="J69" s="339">
        <f>HLOOKUP(Labor!$B$11,InflationTable,2)*I69</f>
        <v>3631.1379999999999</v>
      </c>
      <c r="K69" s="296">
        <f>J69*$L$4</f>
        <v>7262.2759999999998</v>
      </c>
      <c r="L69" s="297">
        <f t="shared" si="15"/>
        <v>7262.2759999999998</v>
      </c>
      <c r="M69" s="376">
        <f>HLOOKUP(Labor!$B$11,InflationTable,3)*$I$69</f>
        <v>3706.9130000000005</v>
      </c>
      <c r="N69" s="377">
        <f>M69*$O$4</f>
        <v>7413.8260000000009</v>
      </c>
      <c r="O69" s="378">
        <f t="shared" si="16"/>
        <v>7413.8260000000009</v>
      </c>
      <c r="P69" s="332">
        <f>HLOOKUP(Labor!$B$11,InflationTable,4)*$I$69</f>
        <v>3779.6570000000002</v>
      </c>
      <c r="Q69" s="296">
        <f>P69*$R$4</f>
        <v>7559.3140000000003</v>
      </c>
      <c r="R69" s="297">
        <f t="shared" si="17"/>
        <v>7559.3140000000003</v>
      </c>
      <c r="S69" s="211">
        <f t="shared" si="18"/>
        <v>7411.8053333333337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24</v>
      </c>
      <c r="F72" s="36">
        <f t="shared" si="19"/>
        <v>88</v>
      </c>
      <c r="G72" s="36">
        <f t="shared" si="19"/>
        <v>14</v>
      </c>
      <c r="H72" s="36">
        <f t="shared" si="19"/>
        <v>2</v>
      </c>
      <c r="I72" s="46">
        <f t="shared" si="19"/>
        <v>128</v>
      </c>
      <c r="J72" s="301" t="s">
        <v>12</v>
      </c>
      <c r="K72" s="285">
        <f>K64+K66+K68+K70</f>
        <v>256</v>
      </c>
      <c r="L72" s="312">
        <f>L64+L66+L68+L70</f>
        <v>256</v>
      </c>
      <c r="M72" s="85" t="s">
        <v>12</v>
      </c>
      <c r="N72" s="33">
        <f>N64+N66+N68+N70</f>
        <v>256</v>
      </c>
      <c r="O72" s="99">
        <f>O64+O66+O68+O70</f>
        <v>256</v>
      </c>
      <c r="P72" s="301" t="s">
        <v>12</v>
      </c>
      <c r="Q72" s="285">
        <f>Q64+Q66+Q68+Q70</f>
        <v>256</v>
      </c>
      <c r="R72" s="312">
        <f>R64+R66+R68+R70</f>
        <v>256</v>
      </c>
      <c r="S72" s="129">
        <f t="shared" si="18"/>
        <v>256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1059</v>
      </c>
      <c r="F73" s="240">
        <f t="shared" si="19"/>
        <v>4335</v>
      </c>
      <c r="G73" s="240">
        <f t="shared" si="19"/>
        <v>777</v>
      </c>
      <c r="H73" s="240">
        <f t="shared" si="19"/>
        <v>117</v>
      </c>
      <c r="I73" s="243">
        <f t="shared" si="19"/>
        <v>6288</v>
      </c>
      <c r="J73" s="313">
        <f>J65+J67+J69+J71</f>
        <v>7533.0239999999994</v>
      </c>
      <c r="K73" s="275">
        <f>K65+K67+K69+K71</f>
        <v>15066.047999999999</v>
      </c>
      <c r="L73" s="276">
        <f>L65+L67+L69+L71</f>
        <v>15066.047999999999</v>
      </c>
      <c r="M73" s="242">
        <f>M65+M67+M69+M71</f>
        <v>7690.2240000000011</v>
      </c>
      <c r="N73" s="240">
        <f>N65+N67+N69+N71</f>
        <v>15380.448000000002</v>
      </c>
      <c r="O73" s="243">
        <f>O65+O67+O69+O71</f>
        <v>15380.448000000002</v>
      </c>
      <c r="P73" s="313">
        <f>P65+P67+P69+P71</f>
        <v>7841.1360000000004</v>
      </c>
      <c r="Q73" s="275">
        <f>Q65+Q67+Q69+Q71</f>
        <v>15682.272000000001</v>
      </c>
      <c r="R73" s="276">
        <f>R65+R67+R69+R71</f>
        <v>15682.272000000001</v>
      </c>
      <c r="S73" s="255">
        <f t="shared" si="18"/>
        <v>15376.255999999999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4500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5391</v>
      </c>
      <c r="K79" s="296">
        <f>J79*$L$4</f>
        <v>10782</v>
      </c>
      <c r="L79" s="297">
        <f>K79</f>
        <v>10782</v>
      </c>
      <c r="M79" s="450">
        <f>HLOOKUP($D$34,InflationTable,3)*$C79</f>
        <v>5503.5</v>
      </c>
      <c r="N79" s="377">
        <f>M79*$O$4</f>
        <v>11007</v>
      </c>
      <c r="O79" s="378">
        <f>N79</f>
        <v>11007</v>
      </c>
      <c r="P79" s="296">
        <f>HLOOKUP($D$34,InflationTable,4)*$C79</f>
        <v>5611.5000000000009</v>
      </c>
      <c r="Q79" s="296">
        <f>P79*$R$4</f>
        <v>11223.000000000002</v>
      </c>
      <c r="R79" s="297">
        <f>Q79</f>
        <v>11223.000000000002</v>
      </c>
      <c r="S79" s="472" t="s">
        <v>12</v>
      </c>
      <c r="T79" s="375">
        <f>AVERAGE(L79,O79,R79)</f>
        <v>11004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4</v>
      </c>
      <c r="F81" s="21">
        <v>10</v>
      </c>
      <c r="G81" s="21">
        <v>0</v>
      </c>
      <c r="H81" s="21">
        <v>0</v>
      </c>
      <c r="I81" s="52">
        <f t="shared" ref="I81:I86" si="20">SUM(C81:H81)</f>
        <v>14</v>
      </c>
      <c r="J81" s="263" t="s">
        <v>12</v>
      </c>
      <c r="K81" s="281">
        <f>I81*$L$4</f>
        <v>28</v>
      </c>
      <c r="L81" s="289">
        <f t="shared" ref="L81:L86" si="21">K81</f>
        <v>28</v>
      </c>
      <c r="M81" s="58" t="s">
        <v>12</v>
      </c>
      <c r="N81" s="69">
        <f>$I$81*$O$4</f>
        <v>28</v>
      </c>
      <c r="O81" s="68">
        <f t="shared" ref="O81:O86" si="22">N81</f>
        <v>28</v>
      </c>
      <c r="P81" s="263" t="s">
        <v>12</v>
      </c>
      <c r="Q81" s="281">
        <f>$I$81*$O$4</f>
        <v>28</v>
      </c>
      <c r="R81" s="289">
        <f t="shared" ref="R81:R86" si="23">Q81</f>
        <v>28</v>
      </c>
      <c r="S81" s="121">
        <f t="shared" ref="S81:S86" si="24">AVERAGE(L81,O81,R81)</f>
        <v>28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176</v>
      </c>
      <c r="F82" s="374">
        <f>ROUND(F81*Labor!$D$6,0)</f>
        <v>493</v>
      </c>
      <c r="G82" s="374">
        <f>ROUND(G81*Labor!$D$7,0)</f>
        <v>0</v>
      </c>
      <c r="H82" s="374">
        <f>ROUND(H81*Labor!$D$8,0)</f>
        <v>0</v>
      </c>
      <c r="I82" s="209">
        <f t="shared" si="20"/>
        <v>669</v>
      </c>
      <c r="J82" s="332">
        <f>HLOOKUP(Labor!$B$11,InflationTable,2)*I82</f>
        <v>801.46199999999999</v>
      </c>
      <c r="K82" s="296">
        <f>J82*$L$4</f>
        <v>1602.924</v>
      </c>
      <c r="L82" s="297">
        <f t="shared" si="21"/>
        <v>1602.924</v>
      </c>
      <c r="M82" s="450">
        <f>HLOOKUP(Labor!$B$11,InflationTable,3)*$I$82</f>
        <v>818.18700000000001</v>
      </c>
      <c r="N82" s="377">
        <f>M82*$O$4</f>
        <v>1636.374</v>
      </c>
      <c r="O82" s="378">
        <f t="shared" si="22"/>
        <v>1636.374</v>
      </c>
      <c r="P82" s="332">
        <f>HLOOKUP(Labor!$B$11,InflationTable,4)*$I82</f>
        <v>834.24300000000005</v>
      </c>
      <c r="Q82" s="296">
        <f>P82*$R$4</f>
        <v>1668.4860000000001</v>
      </c>
      <c r="R82" s="297">
        <f t="shared" si="23"/>
        <v>1668.4860000000001</v>
      </c>
      <c r="S82" s="211">
        <f t="shared" si="24"/>
        <v>1635.9279999999999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24</v>
      </c>
      <c r="L83" s="328">
        <f t="shared" si="21"/>
        <v>24</v>
      </c>
      <c r="M83" s="61" t="s">
        <v>12</v>
      </c>
      <c r="N83" s="348">
        <f>$I$83*$O$4</f>
        <v>24</v>
      </c>
      <c r="O83" s="349">
        <f t="shared" si="22"/>
        <v>24</v>
      </c>
      <c r="P83" s="293" t="s">
        <v>12</v>
      </c>
      <c r="Q83" s="327">
        <f>$I$83*$O$4</f>
        <v>24</v>
      </c>
      <c r="R83" s="328">
        <f t="shared" si="23"/>
        <v>24</v>
      </c>
      <c r="S83" s="129">
        <f t="shared" si="24"/>
        <v>24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1365.72</v>
      </c>
      <c r="L84" s="297">
        <f t="shared" si="21"/>
        <v>1365.72</v>
      </c>
      <c r="M84" s="450">
        <f>HLOOKUP(Labor!$B$11,InflationTable,3)*$I$84</f>
        <v>697.11</v>
      </c>
      <c r="N84" s="377">
        <f>M84*$O$4</f>
        <v>1394.22</v>
      </c>
      <c r="O84" s="378">
        <f t="shared" si="22"/>
        <v>1394.22</v>
      </c>
      <c r="P84" s="332">
        <f>HLOOKUP(Labor!$B$11,InflationTable,4)*$I84</f>
        <v>710.79000000000008</v>
      </c>
      <c r="Q84" s="296">
        <f>P84*$R$4</f>
        <v>1421.5800000000002</v>
      </c>
      <c r="R84" s="297">
        <f t="shared" si="23"/>
        <v>1421.5800000000002</v>
      </c>
      <c r="S84" s="211">
        <f t="shared" si="24"/>
        <v>1393.8400000000001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32</v>
      </c>
      <c r="L85" s="328">
        <f t="shared" si="21"/>
        <v>32</v>
      </c>
      <c r="M85" s="61" t="s">
        <v>12</v>
      </c>
      <c r="N85" s="348">
        <f>$I85*$O$4</f>
        <v>32</v>
      </c>
      <c r="O85" s="349">
        <f t="shared" si="22"/>
        <v>32</v>
      </c>
      <c r="P85" s="293" t="s">
        <v>12</v>
      </c>
      <c r="Q85" s="327">
        <f>$I85*$O$4</f>
        <v>32</v>
      </c>
      <c r="R85" s="328">
        <f t="shared" si="23"/>
        <v>32</v>
      </c>
      <c r="S85" s="129">
        <f t="shared" si="24"/>
        <v>32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1799.396</v>
      </c>
      <c r="L86" s="297">
        <f t="shared" si="21"/>
        <v>1799.396</v>
      </c>
      <c r="M86" s="450">
        <f>HLOOKUP(Labor!$B$11,InflationTable,3)*$I86</f>
        <v>918.47300000000007</v>
      </c>
      <c r="N86" s="377">
        <f>M86*$O$4</f>
        <v>1836.9460000000001</v>
      </c>
      <c r="O86" s="378">
        <f t="shared" si="22"/>
        <v>1836.9460000000001</v>
      </c>
      <c r="P86" s="332">
        <f>HLOOKUP(Labor!$B$11,InflationTable,4)*$I86</f>
        <v>936.49700000000007</v>
      </c>
      <c r="Q86" s="296">
        <f>P86*$R$4</f>
        <v>1872.9940000000001</v>
      </c>
      <c r="R86" s="297">
        <f t="shared" si="23"/>
        <v>1872.9940000000001</v>
      </c>
      <c r="S86" s="446">
        <f t="shared" si="24"/>
        <v>1836.4453333333333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12</v>
      </c>
      <c r="G88" s="21">
        <v>4</v>
      </c>
      <c r="H88" s="21">
        <v>0</v>
      </c>
      <c r="I88" s="52">
        <f>SUM(C88:H88)</f>
        <v>16</v>
      </c>
      <c r="J88" s="263" t="s">
        <v>12</v>
      </c>
      <c r="K88" s="281">
        <f>I88*$L$4</f>
        <v>32</v>
      </c>
      <c r="L88" s="289">
        <f>K88</f>
        <v>32</v>
      </c>
      <c r="M88" s="58" t="s">
        <v>12</v>
      </c>
      <c r="N88" s="69">
        <f>$I88*$O$4</f>
        <v>32</v>
      </c>
      <c r="O88" s="68">
        <f>N88</f>
        <v>32</v>
      </c>
      <c r="P88" s="263" t="s">
        <v>12</v>
      </c>
      <c r="Q88" s="281">
        <f>$I88*$O$4</f>
        <v>32</v>
      </c>
      <c r="R88" s="289">
        <f>Q88</f>
        <v>32</v>
      </c>
      <c r="S88" s="121">
        <f>AVERAGE(L88,O88,R88)</f>
        <v>32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591</v>
      </c>
      <c r="G89" s="374">
        <f>ROUND(G88*Labor!$D$7,0)</f>
        <v>222</v>
      </c>
      <c r="H89" s="374">
        <f>ROUND(H88*Labor!$D$8,0)</f>
        <v>0</v>
      </c>
      <c r="I89" s="209">
        <f>SUM(C89:H89)</f>
        <v>813</v>
      </c>
      <c r="J89" s="332">
        <f>HLOOKUP(Labor!$B$11,InflationTable,2)*I89</f>
        <v>973.97399999999993</v>
      </c>
      <c r="K89" s="296">
        <f>J89*$L$4</f>
        <v>1947.9479999999999</v>
      </c>
      <c r="L89" s="297">
        <f>K89</f>
        <v>1947.9479999999999</v>
      </c>
      <c r="M89" s="450">
        <f>HLOOKUP(Labor!$B$11,InflationTable,3)*$I89</f>
        <v>994.29900000000009</v>
      </c>
      <c r="N89" s="377">
        <f>M89*$O$4</f>
        <v>1988.5980000000002</v>
      </c>
      <c r="O89" s="378">
        <f>N89</f>
        <v>1988.5980000000002</v>
      </c>
      <c r="P89" s="332">
        <f>HLOOKUP(Labor!$B$11,InflationTable,4)*$I89</f>
        <v>1013.811</v>
      </c>
      <c r="Q89" s="296">
        <f>P89*$R$4</f>
        <v>2027.6220000000001</v>
      </c>
      <c r="R89" s="297">
        <f>Q89</f>
        <v>2027.6220000000001</v>
      </c>
      <c r="S89" s="211">
        <f>AVERAGE(L89,O89,R89)</f>
        <v>1988.0560000000003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12</v>
      </c>
      <c r="L91" s="282">
        <f>K91/$E$90</f>
        <v>2.4</v>
      </c>
      <c r="M91" s="58" t="s">
        <v>12</v>
      </c>
      <c r="N91" s="60">
        <f>$I$91*$M$5</f>
        <v>12</v>
      </c>
      <c r="O91" s="59">
        <f>N91/$E$90</f>
        <v>2.4</v>
      </c>
      <c r="P91" s="263" t="s">
        <v>12</v>
      </c>
      <c r="Q91" s="283">
        <f>$I$91*$P$5</f>
        <v>12</v>
      </c>
      <c r="R91" s="282">
        <f>Q91/$E$90</f>
        <v>2.4</v>
      </c>
      <c r="S91" s="121">
        <f>AVERAGE(L91,O91,R91)</f>
        <v>2.4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708.01800000000003</v>
      </c>
      <c r="L92" s="297">
        <f>K92/$E$90</f>
        <v>141.6036</v>
      </c>
      <c r="M92" s="445">
        <f>HLOOKUP(Labor!$B$11,InflationTable,3)*$I92</f>
        <v>722.79300000000001</v>
      </c>
      <c r="N92" s="377">
        <f>M92*$M$5</f>
        <v>722.79300000000001</v>
      </c>
      <c r="O92" s="378">
        <f>N92/$E$90</f>
        <v>144.55860000000001</v>
      </c>
      <c r="P92" s="339">
        <f>HLOOKUP(Labor!$B$11,InflationTable,4)*$I92</f>
        <v>736.97700000000009</v>
      </c>
      <c r="Q92" s="296">
        <f>P92*$P$5</f>
        <v>736.97700000000009</v>
      </c>
      <c r="R92" s="297">
        <f>Q92/$E$90</f>
        <v>147.39540000000002</v>
      </c>
      <c r="S92" s="211">
        <f>AVERAGE(L92,O92,R92)</f>
        <v>144.51919999999998</v>
      </c>
      <c r="T92" s="393" t="s">
        <v>12</v>
      </c>
      <c r="U92" s="218" t="s">
        <v>12</v>
      </c>
    </row>
    <row r="93" spans="2:22">
      <c r="B93" s="560" t="s">
        <v>66</v>
      </c>
      <c r="C93" s="42">
        <f>C81+C83+C88+C85+C91</f>
        <v>0</v>
      </c>
      <c r="D93" s="42">
        <f t="shared" ref="D93:I93" si="25">D81+D83+D88+D85+D91</f>
        <v>1</v>
      </c>
      <c r="E93" s="42">
        <f t="shared" si="25"/>
        <v>16</v>
      </c>
      <c r="F93" s="42">
        <f t="shared" si="25"/>
        <v>47</v>
      </c>
      <c r="G93" s="42">
        <f t="shared" si="25"/>
        <v>6</v>
      </c>
      <c r="H93" s="42">
        <f t="shared" si="25"/>
        <v>0</v>
      </c>
      <c r="I93" s="42">
        <f t="shared" si="25"/>
        <v>70</v>
      </c>
      <c r="J93" s="293" t="s">
        <v>12</v>
      </c>
      <c r="K93" s="315" t="s">
        <v>12</v>
      </c>
      <c r="L93" s="315">
        <f>L81+L83+L88+L85+L91</f>
        <v>118.4</v>
      </c>
      <c r="M93" s="92" t="s">
        <v>12</v>
      </c>
      <c r="N93" s="42" t="s">
        <v>12</v>
      </c>
      <c r="O93" s="42">
        <f>O81+O83+O88+O85+O91</f>
        <v>118.4</v>
      </c>
      <c r="P93" s="759" t="s">
        <v>12</v>
      </c>
      <c r="Q93" s="315" t="s">
        <v>12</v>
      </c>
      <c r="R93" s="315">
        <f>R81+R83+R88+R85+R91</f>
        <v>118.4</v>
      </c>
      <c r="S93" s="150">
        <f>AVERAGE(L93,O93,R93)</f>
        <v>118.40000000000002</v>
      </c>
      <c r="T93" s="133"/>
      <c r="U93" s="37"/>
    </row>
    <row r="94" spans="2:22" ht="13.5" thickBot="1">
      <c r="B94" s="561" t="s">
        <v>67</v>
      </c>
      <c r="C94" s="240">
        <f>C82+C84+C89+C86+C92</f>
        <v>0</v>
      </c>
      <c r="D94" s="240">
        <f t="shared" ref="D94:N94" si="26">D82+D84+D89+D86+D92</f>
        <v>41</v>
      </c>
      <c r="E94" s="240">
        <f t="shared" si="26"/>
        <v>705</v>
      </c>
      <c r="F94" s="240">
        <f t="shared" si="26"/>
        <v>2315</v>
      </c>
      <c r="G94" s="240">
        <f t="shared" si="26"/>
        <v>333</v>
      </c>
      <c r="H94" s="240">
        <f t="shared" si="26"/>
        <v>0</v>
      </c>
      <c r="I94" s="240">
        <f t="shared" si="26"/>
        <v>3394</v>
      </c>
      <c r="J94" s="275">
        <f t="shared" si="26"/>
        <v>4066.0120000000002</v>
      </c>
      <c r="K94" s="275">
        <f t="shared" si="26"/>
        <v>7424.0060000000003</v>
      </c>
      <c r="L94" s="275">
        <f t="shared" si="26"/>
        <v>6857.5916000000007</v>
      </c>
      <c r="M94" s="240">
        <f t="shared" si="26"/>
        <v>4150.8620000000001</v>
      </c>
      <c r="N94" s="240">
        <f t="shared" si="26"/>
        <v>7578.9309999999996</v>
      </c>
      <c r="O94" s="240">
        <f>O82+O84+O89+O86+O92</f>
        <v>7000.6966000000002</v>
      </c>
      <c r="P94" s="275">
        <f>P82+P84+P89+P86+P92</f>
        <v>4232.3180000000002</v>
      </c>
      <c r="Q94" s="275">
        <f>Q82+Q84+Q89+Q86+Q92</f>
        <v>7727.6590000000006</v>
      </c>
      <c r="R94" s="275">
        <f>R82+R84+R89+R86+R92</f>
        <v>7138.077400000001</v>
      </c>
      <c r="S94" s="248">
        <f>AVERAGE(L94,O94,R94)</f>
        <v>6998.7885333333334</v>
      </c>
      <c r="T94" s="764">
        <f>T79</f>
        <v>11004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24</v>
      </c>
      <c r="G99" s="21">
        <v>12</v>
      </c>
      <c r="H99" s="21">
        <v>0</v>
      </c>
      <c r="I99" s="52">
        <f>SUM(C99:H99)</f>
        <v>36</v>
      </c>
      <c r="J99" s="263" t="s">
        <v>12</v>
      </c>
      <c r="K99" s="281">
        <f>I99*$L$4</f>
        <v>72</v>
      </c>
      <c r="L99" s="289">
        <f>K99</f>
        <v>72</v>
      </c>
      <c r="M99" s="58" t="s">
        <v>12</v>
      </c>
      <c r="N99" s="69">
        <f>$I99*O$4</f>
        <v>72</v>
      </c>
      <c r="O99" s="59">
        <f>N99</f>
        <v>72</v>
      </c>
      <c r="P99" s="263" t="s">
        <v>12</v>
      </c>
      <c r="Q99" s="281">
        <f>$I99*R$4</f>
        <v>72</v>
      </c>
      <c r="R99" s="289">
        <f>Q99</f>
        <v>72</v>
      </c>
      <c r="S99" s="173">
        <f t="shared" ref="S99:S104" si="27">AVERAGE(L99,O99,R99)</f>
        <v>72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1182</v>
      </c>
      <c r="G100" s="35">
        <f>ROUND(G99*Labor!$D$7,0)</f>
        <v>666</v>
      </c>
      <c r="H100" s="35">
        <f>ROUND(H99*Labor!$D$8,0)</f>
        <v>0</v>
      </c>
      <c r="I100" s="39">
        <f>SUM(C100:H100)</f>
        <v>1848</v>
      </c>
      <c r="J100" s="268">
        <f>HLOOKUP(Labor!$B$11,InflationTable,2)*I100</f>
        <v>2213.904</v>
      </c>
      <c r="K100" s="269">
        <f>J100*$L$4</f>
        <v>4427.808</v>
      </c>
      <c r="L100" s="308">
        <f>K100</f>
        <v>4427.808</v>
      </c>
      <c r="M100" s="84">
        <f>HLOOKUP(Labor!$B$11,InflationTable,3)*$I100</f>
        <v>2260.1040000000003</v>
      </c>
      <c r="N100" s="63">
        <f>M100*O$4</f>
        <v>4520.2080000000005</v>
      </c>
      <c r="O100" s="64">
        <f>N100</f>
        <v>4520.2080000000005</v>
      </c>
      <c r="P100" s="268">
        <f>HLOOKUP(Labor!$B$11,InflationTable,4)*$I100</f>
        <v>2304.4560000000001</v>
      </c>
      <c r="Q100" s="269">
        <f>P100*R$4</f>
        <v>4608.9120000000003</v>
      </c>
      <c r="R100" s="308">
        <f>Q100</f>
        <v>4608.9120000000003</v>
      </c>
      <c r="S100" s="171">
        <f t="shared" si="27"/>
        <v>4518.9759999999997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24</v>
      </c>
      <c r="H101" s="346">
        <v>12</v>
      </c>
      <c r="I101" s="347">
        <f>SUM(C101:H101)</f>
        <v>36</v>
      </c>
      <c r="J101" s="293" t="s">
        <v>12</v>
      </c>
      <c r="K101" s="327">
        <f>I101*$L$4</f>
        <v>72</v>
      </c>
      <c r="L101" s="328">
        <f>K101</f>
        <v>72</v>
      </c>
      <c r="M101" s="61" t="s">
        <v>12</v>
      </c>
      <c r="N101" s="348">
        <f>$I101*O$4</f>
        <v>72</v>
      </c>
      <c r="O101" s="349">
        <f>N101</f>
        <v>72</v>
      </c>
      <c r="P101" s="293" t="s">
        <v>12</v>
      </c>
      <c r="Q101" s="327">
        <f>$I101*R$4</f>
        <v>72</v>
      </c>
      <c r="R101" s="328">
        <f>Q101</f>
        <v>72</v>
      </c>
      <c r="S101" s="173">
        <f t="shared" si="27"/>
        <v>72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1331</v>
      </c>
      <c r="H102" s="35">
        <f>ROUND(H101*Labor!$D$8,0)</f>
        <v>703</v>
      </c>
      <c r="I102" s="39">
        <f>SUM(C102:H102)</f>
        <v>2034</v>
      </c>
      <c r="J102" s="268">
        <f>HLOOKUP(Labor!$B$11,InflationTable,2)*I102</f>
        <v>2436.732</v>
      </c>
      <c r="K102" s="269">
        <f>J102*$L$4</f>
        <v>4873.4639999999999</v>
      </c>
      <c r="L102" s="300">
        <f>K102</f>
        <v>4873.4639999999999</v>
      </c>
      <c r="M102" s="84">
        <f>HLOOKUP(Labor!$B$11,InflationTable,3)*$I102</f>
        <v>2487.5820000000003</v>
      </c>
      <c r="N102" s="63">
        <f>M102*O$4</f>
        <v>4975.1640000000007</v>
      </c>
      <c r="O102" s="64">
        <f>N102</f>
        <v>4975.1640000000007</v>
      </c>
      <c r="P102" s="292">
        <f>HLOOKUP(Labor!$B$11,InflationTable,4)*$I102</f>
        <v>2536.3980000000001</v>
      </c>
      <c r="Q102" s="269">
        <f>P102*R$4</f>
        <v>5072.7960000000003</v>
      </c>
      <c r="R102" s="300">
        <f>Q102</f>
        <v>5072.7960000000003</v>
      </c>
      <c r="S102" s="128">
        <f t="shared" si="27"/>
        <v>4973.808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8">C99+C101</f>
        <v>0</v>
      </c>
      <c r="D103" s="36">
        <f t="shared" si="28"/>
        <v>0</v>
      </c>
      <c r="E103" s="36">
        <f t="shared" si="28"/>
        <v>0</v>
      </c>
      <c r="F103" s="36">
        <f t="shared" si="28"/>
        <v>24</v>
      </c>
      <c r="G103" s="36">
        <f t="shared" si="28"/>
        <v>36</v>
      </c>
      <c r="H103" s="36">
        <f t="shared" si="28"/>
        <v>12</v>
      </c>
      <c r="I103" s="46">
        <f t="shared" si="28"/>
        <v>72</v>
      </c>
      <c r="J103" s="301" t="s">
        <v>12</v>
      </c>
      <c r="K103" s="320">
        <f>K99+K101</f>
        <v>144</v>
      </c>
      <c r="L103" s="321">
        <f>L99+L101</f>
        <v>144</v>
      </c>
      <c r="M103" s="85" t="s">
        <v>12</v>
      </c>
      <c r="N103" s="36">
        <f>N99+N101</f>
        <v>144</v>
      </c>
      <c r="O103" s="100">
        <f>O99+O101</f>
        <v>144</v>
      </c>
      <c r="P103" s="301" t="s">
        <v>12</v>
      </c>
      <c r="Q103" s="320">
        <f>Q99+Q101</f>
        <v>144</v>
      </c>
      <c r="R103" s="322">
        <f>R99+R101</f>
        <v>144</v>
      </c>
      <c r="S103" s="121">
        <f t="shared" si="27"/>
        <v>144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8"/>
        <v>0</v>
      </c>
      <c r="D104" s="240">
        <f t="shared" si="28"/>
        <v>0</v>
      </c>
      <c r="E104" s="240">
        <f t="shared" si="28"/>
        <v>0</v>
      </c>
      <c r="F104" s="240">
        <f t="shared" si="28"/>
        <v>1182</v>
      </c>
      <c r="G104" s="240">
        <f t="shared" si="28"/>
        <v>1997</v>
      </c>
      <c r="H104" s="240">
        <f t="shared" si="28"/>
        <v>703</v>
      </c>
      <c r="I104" s="243">
        <f t="shared" si="28"/>
        <v>3882</v>
      </c>
      <c r="J104" s="274">
        <f>J100+J102</f>
        <v>4650.6360000000004</v>
      </c>
      <c r="K104" s="275">
        <f>K100+K102</f>
        <v>9301.2720000000008</v>
      </c>
      <c r="L104" s="276">
        <f>L100+L102</f>
        <v>9301.2720000000008</v>
      </c>
      <c r="M104" s="242">
        <f>M100+M102</f>
        <v>4747.6860000000006</v>
      </c>
      <c r="N104" s="240">
        <f>N100+N102</f>
        <v>9495.3720000000012</v>
      </c>
      <c r="O104" s="243">
        <f>O100+O102</f>
        <v>9495.3720000000012</v>
      </c>
      <c r="P104" s="313">
        <f>P100+P102</f>
        <v>4840.8540000000003</v>
      </c>
      <c r="Q104" s="275">
        <f>Q100+Q102</f>
        <v>9681.7080000000005</v>
      </c>
      <c r="R104" s="276">
        <f>R100+R102</f>
        <v>9681.7080000000005</v>
      </c>
      <c r="S104" s="257">
        <f t="shared" si="27"/>
        <v>9492.7839999999997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PAMSCarbE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9">C15</f>
        <v>0</v>
      </c>
      <c r="D108" s="184">
        <f t="shared" si="29"/>
        <v>0</v>
      </c>
      <c r="E108" s="184">
        <f t="shared" si="29"/>
        <v>0</v>
      </c>
      <c r="F108" s="184">
        <f t="shared" si="29"/>
        <v>0</v>
      </c>
      <c r="G108" s="184">
        <f t="shared" si="29"/>
        <v>0</v>
      </c>
      <c r="H108" s="184">
        <f t="shared" si="29"/>
        <v>0</v>
      </c>
      <c r="I108" s="185">
        <f t="shared" si="29"/>
        <v>0</v>
      </c>
      <c r="J108" s="326" t="str">
        <f t="shared" si="29"/>
        <v>NA</v>
      </c>
      <c r="K108" s="327">
        <f t="shared" si="29"/>
        <v>0</v>
      </c>
      <c r="L108" s="328">
        <f t="shared" si="29"/>
        <v>0</v>
      </c>
      <c r="M108" s="186" t="str">
        <f t="shared" si="29"/>
        <v>NA</v>
      </c>
      <c r="N108" s="184">
        <f t="shared" si="29"/>
        <v>0</v>
      </c>
      <c r="O108" s="185">
        <f t="shared" si="29"/>
        <v>0</v>
      </c>
      <c r="P108" s="326" t="str">
        <f t="shared" si="29"/>
        <v>NA</v>
      </c>
      <c r="Q108" s="327">
        <f t="shared" si="29"/>
        <v>0</v>
      </c>
      <c r="R108" s="328">
        <f t="shared" si="29"/>
        <v>0</v>
      </c>
      <c r="S108" s="185">
        <f t="shared" si="29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30">C16</f>
        <v>0</v>
      </c>
      <c r="D109" s="204">
        <f t="shared" si="30"/>
        <v>0</v>
      </c>
      <c r="E109" s="204">
        <f t="shared" si="30"/>
        <v>0</v>
      </c>
      <c r="F109" s="204">
        <f t="shared" si="30"/>
        <v>0</v>
      </c>
      <c r="G109" s="204">
        <f t="shared" si="30"/>
        <v>0</v>
      </c>
      <c r="H109" s="204">
        <f t="shared" si="30"/>
        <v>0</v>
      </c>
      <c r="I109" s="205">
        <f t="shared" si="30"/>
        <v>0</v>
      </c>
      <c r="J109" s="329">
        <f t="shared" si="30"/>
        <v>0</v>
      </c>
      <c r="K109" s="330">
        <f t="shared" si="30"/>
        <v>0</v>
      </c>
      <c r="L109" s="331">
        <f t="shared" si="30"/>
        <v>0</v>
      </c>
      <c r="M109" s="203">
        <f t="shared" si="30"/>
        <v>0</v>
      </c>
      <c r="N109" s="204">
        <f t="shared" si="30"/>
        <v>0</v>
      </c>
      <c r="O109" s="205">
        <f t="shared" si="30"/>
        <v>0</v>
      </c>
      <c r="P109" s="329">
        <f t="shared" si="30"/>
        <v>0</v>
      </c>
      <c r="Q109" s="330">
        <f t="shared" si="30"/>
        <v>0</v>
      </c>
      <c r="R109" s="331">
        <f t="shared" si="30"/>
        <v>0</v>
      </c>
      <c r="S109" s="205">
        <f t="shared" si="30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1">C28</f>
        <v>0</v>
      </c>
      <c r="D110" s="184">
        <f t="shared" si="31"/>
        <v>6</v>
      </c>
      <c r="E110" s="184">
        <f t="shared" si="31"/>
        <v>0</v>
      </c>
      <c r="F110" s="184">
        <f t="shared" si="31"/>
        <v>8</v>
      </c>
      <c r="G110" s="184">
        <f t="shared" si="31"/>
        <v>0</v>
      </c>
      <c r="H110" s="184">
        <f t="shared" si="31"/>
        <v>0</v>
      </c>
      <c r="I110" s="185">
        <f t="shared" si="31"/>
        <v>14</v>
      </c>
      <c r="J110" s="326" t="str">
        <f t="shared" si="31"/>
        <v>NA</v>
      </c>
      <c r="K110" s="327">
        <f t="shared" si="31"/>
        <v>28</v>
      </c>
      <c r="L110" s="328">
        <f t="shared" si="31"/>
        <v>5.6</v>
      </c>
      <c r="M110" s="186" t="str">
        <f t="shared" si="31"/>
        <v>NA</v>
      </c>
      <c r="N110" s="184">
        <f t="shared" si="31"/>
        <v>28</v>
      </c>
      <c r="O110" s="185">
        <f t="shared" si="31"/>
        <v>5.6</v>
      </c>
      <c r="P110" s="326" t="str">
        <f t="shared" si="31"/>
        <v>NA</v>
      </c>
      <c r="Q110" s="327">
        <f t="shared" si="31"/>
        <v>28</v>
      </c>
      <c r="R110" s="328">
        <f t="shared" si="31"/>
        <v>5.6</v>
      </c>
      <c r="S110" s="185">
        <f t="shared" si="31"/>
        <v>5.5999999999999988</v>
      </c>
      <c r="T110" s="37"/>
      <c r="U110" s="138"/>
    </row>
    <row r="111" spans="1:22" ht="13.5" thickBot="1">
      <c r="B111" s="573" t="s">
        <v>76</v>
      </c>
      <c r="C111" s="207">
        <f t="shared" ref="C111:S111" si="32">C29</f>
        <v>0</v>
      </c>
      <c r="D111" s="208">
        <f t="shared" si="32"/>
        <v>245</v>
      </c>
      <c r="E111" s="208">
        <f t="shared" si="32"/>
        <v>0</v>
      </c>
      <c r="F111" s="208">
        <f t="shared" si="32"/>
        <v>394</v>
      </c>
      <c r="G111" s="208">
        <f t="shared" si="32"/>
        <v>0</v>
      </c>
      <c r="H111" s="208">
        <f t="shared" si="32"/>
        <v>0</v>
      </c>
      <c r="I111" s="209">
        <f t="shared" si="32"/>
        <v>639</v>
      </c>
      <c r="J111" s="332">
        <f t="shared" si="32"/>
        <v>765.52199999999993</v>
      </c>
      <c r="K111" s="296">
        <f t="shared" si="32"/>
        <v>0</v>
      </c>
      <c r="L111" s="297">
        <f t="shared" si="32"/>
        <v>7973.4088000000002</v>
      </c>
      <c r="M111" s="207">
        <f t="shared" si="32"/>
        <v>781.49700000000007</v>
      </c>
      <c r="N111" s="208">
        <f t="shared" si="32"/>
        <v>0</v>
      </c>
      <c r="O111" s="209">
        <f t="shared" si="32"/>
        <v>8139.7987999999996</v>
      </c>
      <c r="P111" s="332">
        <f t="shared" si="32"/>
        <v>796.83300000000008</v>
      </c>
      <c r="Q111" s="296">
        <f t="shared" si="32"/>
        <v>0</v>
      </c>
      <c r="R111" s="297">
        <f t="shared" si="32"/>
        <v>8299.5331999999999</v>
      </c>
      <c r="S111" s="209">
        <f t="shared" si="32"/>
        <v>312.51360000000005</v>
      </c>
      <c r="T111" s="210" t="str">
        <f>T29</f>
        <v>NA</v>
      </c>
      <c r="U111" s="766">
        <f>U29</f>
        <v>7825.0666666666666</v>
      </c>
    </row>
    <row r="112" spans="1:22">
      <c r="B112" s="574" t="s">
        <v>96</v>
      </c>
      <c r="C112" s="197">
        <f t="shared" ref="C112:S112" si="33">C44</f>
        <v>0</v>
      </c>
      <c r="D112" s="25">
        <f t="shared" si="33"/>
        <v>0</v>
      </c>
      <c r="E112" s="25">
        <f t="shared" si="33"/>
        <v>8</v>
      </c>
      <c r="F112" s="25">
        <f t="shared" si="33"/>
        <v>8</v>
      </c>
      <c r="G112" s="25">
        <f t="shared" si="33"/>
        <v>0</v>
      </c>
      <c r="H112" s="25">
        <f t="shared" si="33"/>
        <v>0</v>
      </c>
      <c r="I112" s="198">
        <f t="shared" si="33"/>
        <v>16</v>
      </c>
      <c r="J112" s="333" t="str">
        <f t="shared" si="33"/>
        <v>NA</v>
      </c>
      <c r="K112" s="334">
        <f t="shared" si="33"/>
        <v>32</v>
      </c>
      <c r="L112" s="335">
        <f t="shared" si="33"/>
        <v>32</v>
      </c>
      <c r="M112" s="199" t="str">
        <f t="shared" si="33"/>
        <v>NA</v>
      </c>
      <c r="N112" s="25">
        <f t="shared" si="33"/>
        <v>32</v>
      </c>
      <c r="O112" s="198">
        <f t="shared" si="33"/>
        <v>32</v>
      </c>
      <c r="P112" s="333" t="str">
        <f t="shared" si="33"/>
        <v>NA</v>
      </c>
      <c r="Q112" s="334">
        <f t="shared" si="33"/>
        <v>32</v>
      </c>
      <c r="R112" s="335">
        <f t="shared" si="33"/>
        <v>32</v>
      </c>
      <c r="S112" s="198">
        <f t="shared" si="33"/>
        <v>32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4">C45</f>
        <v>0</v>
      </c>
      <c r="D113" s="208">
        <f t="shared" si="34"/>
        <v>0</v>
      </c>
      <c r="E113" s="208">
        <f t="shared" si="34"/>
        <v>8</v>
      </c>
      <c r="F113" s="208">
        <f t="shared" si="34"/>
        <v>8</v>
      </c>
      <c r="G113" s="208">
        <f t="shared" si="34"/>
        <v>0</v>
      </c>
      <c r="H113" s="208">
        <f t="shared" si="34"/>
        <v>0</v>
      </c>
      <c r="I113" s="209">
        <f t="shared" si="34"/>
        <v>1497</v>
      </c>
      <c r="J113" s="332">
        <f t="shared" si="34"/>
        <v>1793.4059999999999</v>
      </c>
      <c r="K113" s="296">
        <f t="shared" si="34"/>
        <v>3586.8119999999999</v>
      </c>
      <c r="L113" s="297">
        <f t="shared" si="34"/>
        <v>3586.8119999999999</v>
      </c>
      <c r="M113" s="207">
        <f t="shared" si="34"/>
        <v>1830.8310000000001</v>
      </c>
      <c r="N113" s="208">
        <f t="shared" si="34"/>
        <v>3661.6620000000003</v>
      </c>
      <c r="O113" s="209">
        <f t="shared" si="34"/>
        <v>3661.6620000000003</v>
      </c>
      <c r="P113" s="332">
        <f t="shared" si="34"/>
        <v>1866.7590000000002</v>
      </c>
      <c r="Q113" s="296">
        <f t="shared" si="34"/>
        <v>3733.5180000000005</v>
      </c>
      <c r="R113" s="297">
        <f t="shared" si="34"/>
        <v>3733.5180000000005</v>
      </c>
      <c r="S113" s="209">
        <f t="shared" si="34"/>
        <v>1890.664</v>
      </c>
      <c r="T113" s="209">
        <f>T45</f>
        <v>61011.066666666666</v>
      </c>
      <c r="U113" s="766">
        <f>U45</f>
        <v>29344</v>
      </c>
    </row>
    <row r="114" spans="2:21">
      <c r="B114" s="574" t="s">
        <v>99</v>
      </c>
      <c r="C114" s="197">
        <f t="shared" ref="C114:S114" si="35">C58</f>
        <v>0</v>
      </c>
      <c r="D114" s="25">
        <f t="shared" si="35"/>
        <v>0</v>
      </c>
      <c r="E114" s="25">
        <f t="shared" si="35"/>
        <v>76</v>
      </c>
      <c r="F114" s="25">
        <f t="shared" si="35"/>
        <v>164</v>
      </c>
      <c r="G114" s="25">
        <f t="shared" si="35"/>
        <v>0</v>
      </c>
      <c r="H114" s="25">
        <f t="shared" si="35"/>
        <v>0</v>
      </c>
      <c r="I114" s="198">
        <f t="shared" si="35"/>
        <v>240</v>
      </c>
      <c r="J114" s="333" t="str">
        <f t="shared" si="35"/>
        <v>NA</v>
      </c>
      <c r="K114" s="334">
        <f t="shared" si="35"/>
        <v>480</v>
      </c>
      <c r="L114" s="335">
        <f t="shared" si="35"/>
        <v>480</v>
      </c>
      <c r="M114" s="199" t="str">
        <f t="shared" si="35"/>
        <v>NA</v>
      </c>
      <c r="N114" s="25">
        <f t="shared" si="35"/>
        <v>480</v>
      </c>
      <c r="O114" s="198">
        <f t="shared" si="35"/>
        <v>480</v>
      </c>
      <c r="P114" s="333" t="str">
        <f t="shared" si="35"/>
        <v>NA</v>
      </c>
      <c r="Q114" s="334">
        <f t="shared" si="35"/>
        <v>480</v>
      </c>
      <c r="R114" s="335">
        <f t="shared" si="35"/>
        <v>480</v>
      </c>
      <c r="S114" s="198">
        <f t="shared" si="35"/>
        <v>480</v>
      </c>
      <c r="T114" s="37"/>
      <c r="U114" s="138"/>
    </row>
    <row r="115" spans="2:21" ht="13.5" thickBot="1">
      <c r="B115" s="573" t="s">
        <v>76</v>
      </c>
      <c r="C115" s="207">
        <f t="shared" ref="C115:S115" si="36">C59</f>
        <v>0</v>
      </c>
      <c r="D115" s="208">
        <f t="shared" si="36"/>
        <v>0</v>
      </c>
      <c r="E115" s="208">
        <f t="shared" si="36"/>
        <v>3353</v>
      </c>
      <c r="F115" s="208">
        <f t="shared" si="36"/>
        <v>8079</v>
      </c>
      <c r="G115" s="208">
        <f t="shared" si="36"/>
        <v>0</v>
      </c>
      <c r="H115" s="208">
        <f t="shared" si="36"/>
        <v>0</v>
      </c>
      <c r="I115" s="209">
        <f t="shared" si="36"/>
        <v>26318</v>
      </c>
      <c r="J115" s="332">
        <f t="shared" si="36"/>
        <v>31528.964</v>
      </c>
      <c r="K115" s="296">
        <f t="shared" si="36"/>
        <v>63057.928</v>
      </c>
      <c r="L115" s="297">
        <f t="shared" si="36"/>
        <v>63057.928</v>
      </c>
      <c r="M115" s="211">
        <f t="shared" si="36"/>
        <v>32069.764000000003</v>
      </c>
      <c r="N115" s="208">
        <f t="shared" si="36"/>
        <v>64139.528000000006</v>
      </c>
      <c r="O115" s="209">
        <f t="shared" si="36"/>
        <v>64139.528000000006</v>
      </c>
      <c r="P115" s="332">
        <f t="shared" si="36"/>
        <v>32588.932000000001</v>
      </c>
      <c r="Q115" s="296">
        <f t="shared" si="36"/>
        <v>65177.864000000001</v>
      </c>
      <c r="R115" s="297">
        <f t="shared" si="36"/>
        <v>65177.864000000001</v>
      </c>
      <c r="S115" s="209">
        <f t="shared" si="36"/>
        <v>39182.706666666665</v>
      </c>
      <c r="T115" s="209">
        <f>T59</f>
        <v>24942.400000000005</v>
      </c>
      <c r="U115" s="576" t="s">
        <v>12</v>
      </c>
    </row>
    <row r="116" spans="2:21">
      <c r="B116" s="574" t="s">
        <v>100</v>
      </c>
      <c r="C116" s="197">
        <f t="shared" ref="C116:U116" si="37">C72</f>
        <v>0</v>
      </c>
      <c r="D116" s="25">
        <f t="shared" si="37"/>
        <v>0</v>
      </c>
      <c r="E116" s="25">
        <f t="shared" si="37"/>
        <v>24</v>
      </c>
      <c r="F116" s="25">
        <f t="shared" si="37"/>
        <v>88</v>
      </c>
      <c r="G116" s="25">
        <f t="shared" si="37"/>
        <v>14</v>
      </c>
      <c r="H116" s="25">
        <f t="shared" si="37"/>
        <v>2</v>
      </c>
      <c r="I116" s="198">
        <f t="shared" si="37"/>
        <v>128</v>
      </c>
      <c r="J116" s="333" t="str">
        <f t="shared" si="37"/>
        <v>NA</v>
      </c>
      <c r="K116" s="334">
        <f t="shared" si="37"/>
        <v>256</v>
      </c>
      <c r="L116" s="335">
        <f t="shared" si="37"/>
        <v>256</v>
      </c>
      <c r="M116" s="199" t="str">
        <f t="shared" si="37"/>
        <v>NA</v>
      </c>
      <c r="N116" s="25">
        <f t="shared" si="37"/>
        <v>256</v>
      </c>
      <c r="O116" s="198">
        <f t="shared" si="37"/>
        <v>256</v>
      </c>
      <c r="P116" s="333" t="str">
        <f t="shared" si="37"/>
        <v>NA</v>
      </c>
      <c r="Q116" s="334">
        <f t="shared" si="37"/>
        <v>256</v>
      </c>
      <c r="R116" s="335">
        <f t="shared" si="37"/>
        <v>256</v>
      </c>
      <c r="S116" s="198">
        <f t="shared" si="37"/>
        <v>256</v>
      </c>
      <c r="T116" s="212" t="str">
        <f t="shared" si="37"/>
        <v>NA</v>
      </c>
      <c r="U116" s="577" t="str">
        <f t="shared" si="37"/>
        <v>NA</v>
      </c>
    </row>
    <row r="117" spans="2:21" ht="13.5" thickBot="1">
      <c r="B117" s="573" t="s">
        <v>76</v>
      </c>
      <c r="C117" s="207">
        <f t="shared" ref="C117:T117" si="38">C73</f>
        <v>0</v>
      </c>
      <c r="D117" s="208">
        <f t="shared" si="38"/>
        <v>0</v>
      </c>
      <c r="E117" s="208">
        <f t="shared" si="38"/>
        <v>1059</v>
      </c>
      <c r="F117" s="208">
        <f t="shared" si="38"/>
        <v>4335</v>
      </c>
      <c r="G117" s="208">
        <f t="shared" si="38"/>
        <v>777</v>
      </c>
      <c r="H117" s="208">
        <f t="shared" si="38"/>
        <v>117</v>
      </c>
      <c r="I117" s="209">
        <f t="shared" si="38"/>
        <v>6288</v>
      </c>
      <c r="J117" s="332">
        <f t="shared" si="38"/>
        <v>7533.0239999999994</v>
      </c>
      <c r="K117" s="296">
        <f t="shared" si="38"/>
        <v>15066.047999999999</v>
      </c>
      <c r="L117" s="297">
        <f t="shared" si="38"/>
        <v>15066.047999999999</v>
      </c>
      <c r="M117" s="207">
        <f t="shared" si="38"/>
        <v>7690.2240000000011</v>
      </c>
      <c r="N117" s="208">
        <f t="shared" si="38"/>
        <v>15380.448000000002</v>
      </c>
      <c r="O117" s="209">
        <f t="shared" si="38"/>
        <v>15380.448000000002</v>
      </c>
      <c r="P117" s="339">
        <f t="shared" si="38"/>
        <v>7841.1360000000004</v>
      </c>
      <c r="Q117" s="296">
        <f t="shared" si="38"/>
        <v>15682.272000000001</v>
      </c>
      <c r="R117" s="297">
        <f t="shared" si="38"/>
        <v>15682.272000000001</v>
      </c>
      <c r="S117" s="209">
        <f t="shared" si="38"/>
        <v>15376.255999999999</v>
      </c>
      <c r="T117" s="210" t="str">
        <f t="shared" si="38"/>
        <v>NA</v>
      </c>
      <c r="U117" s="392" t="s">
        <v>12</v>
      </c>
    </row>
    <row r="118" spans="2:21">
      <c r="B118" s="574" t="s">
        <v>101</v>
      </c>
      <c r="C118" s="213">
        <f t="shared" ref="C118:S118" si="39">C93</f>
        <v>0</v>
      </c>
      <c r="D118" s="214">
        <f t="shared" si="39"/>
        <v>1</v>
      </c>
      <c r="E118" s="214">
        <f t="shared" si="39"/>
        <v>16</v>
      </c>
      <c r="F118" s="214">
        <f t="shared" si="39"/>
        <v>47</v>
      </c>
      <c r="G118" s="214">
        <f t="shared" si="39"/>
        <v>6</v>
      </c>
      <c r="H118" s="214">
        <f t="shared" si="39"/>
        <v>0</v>
      </c>
      <c r="I118" s="215">
        <f t="shared" si="39"/>
        <v>70</v>
      </c>
      <c r="J118" s="336" t="str">
        <f t="shared" si="39"/>
        <v>NA</v>
      </c>
      <c r="K118" s="337" t="str">
        <f t="shared" si="39"/>
        <v>NA</v>
      </c>
      <c r="L118" s="294">
        <f t="shared" si="39"/>
        <v>118.4</v>
      </c>
      <c r="M118" s="216" t="str">
        <f t="shared" si="39"/>
        <v>NA</v>
      </c>
      <c r="N118" s="217" t="str">
        <f t="shared" si="39"/>
        <v>NA</v>
      </c>
      <c r="O118" s="215">
        <f t="shared" si="39"/>
        <v>118.4</v>
      </c>
      <c r="P118" s="336" t="str">
        <f t="shared" si="39"/>
        <v>NA</v>
      </c>
      <c r="Q118" s="337" t="str">
        <f t="shared" si="39"/>
        <v>NA</v>
      </c>
      <c r="R118" s="294">
        <f t="shared" si="39"/>
        <v>118.4</v>
      </c>
      <c r="S118" s="215">
        <f t="shared" si="39"/>
        <v>118.40000000000002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40">C94</f>
        <v>0</v>
      </c>
      <c r="D119" s="208">
        <f t="shared" si="40"/>
        <v>41</v>
      </c>
      <c r="E119" s="208">
        <f t="shared" si="40"/>
        <v>705</v>
      </c>
      <c r="F119" s="208">
        <f t="shared" si="40"/>
        <v>2315</v>
      </c>
      <c r="G119" s="208">
        <f t="shared" si="40"/>
        <v>333</v>
      </c>
      <c r="H119" s="208">
        <f t="shared" si="40"/>
        <v>0</v>
      </c>
      <c r="I119" s="209">
        <f t="shared" si="40"/>
        <v>3394</v>
      </c>
      <c r="J119" s="332">
        <f t="shared" si="40"/>
        <v>4066.0120000000002</v>
      </c>
      <c r="K119" s="338">
        <f t="shared" si="40"/>
        <v>7424.0060000000003</v>
      </c>
      <c r="L119" s="297">
        <f t="shared" si="40"/>
        <v>6857.5916000000007</v>
      </c>
      <c r="M119" s="211">
        <f t="shared" si="40"/>
        <v>4150.8620000000001</v>
      </c>
      <c r="N119" s="219">
        <f t="shared" si="40"/>
        <v>7578.9309999999996</v>
      </c>
      <c r="O119" s="209">
        <f t="shared" si="40"/>
        <v>7000.6966000000002</v>
      </c>
      <c r="P119" s="332">
        <f t="shared" si="40"/>
        <v>4232.3180000000002</v>
      </c>
      <c r="Q119" s="338">
        <f t="shared" si="40"/>
        <v>7727.6590000000006</v>
      </c>
      <c r="R119" s="297">
        <f t="shared" si="40"/>
        <v>7138.077400000001</v>
      </c>
      <c r="S119" s="209">
        <f t="shared" si="40"/>
        <v>6998.7885333333334</v>
      </c>
      <c r="T119" s="209">
        <f>T94</f>
        <v>11004</v>
      </c>
      <c r="U119" s="392" t="s">
        <v>12</v>
      </c>
    </row>
    <row r="120" spans="2:21">
      <c r="B120" s="574" t="s">
        <v>102</v>
      </c>
      <c r="C120" s="197">
        <f t="shared" ref="C120:S120" si="41">C103</f>
        <v>0</v>
      </c>
      <c r="D120" s="25">
        <f t="shared" si="41"/>
        <v>0</v>
      </c>
      <c r="E120" s="25">
        <f t="shared" si="41"/>
        <v>0</v>
      </c>
      <c r="F120" s="25">
        <f t="shared" si="41"/>
        <v>24</v>
      </c>
      <c r="G120" s="25">
        <f t="shared" si="41"/>
        <v>36</v>
      </c>
      <c r="H120" s="25">
        <f t="shared" si="41"/>
        <v>12</v>
      </c>
      <c r="I120" s="198">
        <f t="shared" si="41"/>
        <v>72</v>
      </c>
      <c r="J120" s="333" t="str">
        <f t="shared" si="41"/>
        <v>NA</v>
      </c>
      <c r="K120" s="334">
        <f t="shared" si="41"/>
        <v>144</v>
      </c>
      <c r="L120" s="335">
        <f t="shared" si="41"/>
        <v>144</v>
      </c>
      <c r="M120" s="199" t="str">
        <f t="shared" si="41"/>
        <v>NA</v>
      </c>
      <c r="N120" s="25">
        <f t="shared" si="41"/>
        <v>144</v>
      </c>
      <c r="O120" s="198">
        <f t="shared" si="41"/>
        <v>144</v>
      </c>
      <c r="P120" s="333" t="str">
        <f t="shared" si="41"/>
        <v>NA</v>
      </c>
      <c r="Q120" s="334">
        <f t="shared" si="41"/>
        <v>144</v>
      </c>
      <c r="R120" s="335">
        <f t="shared" si="41"/>
        <v>144</v>
      </c>
      <c r="S120" s="198">
        <f t="shared" si="41"/>
        <v>144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2">C104</f>
        <v>0</v>
      </c>
      <c r="D121" s="221">
        <f t="shared" si="42"/>
        <v>0</v>
      </c>
      <c r="E121" s="221">
        <f t="shared" si="42"/>
        <v>0</v>
      </c>
      <c r="F121" s="221">
        <f t="shared" si="42"/>
        <v>1182</v>
      </c>
      <c r="G121" s="221">
        <f t="shared" si="42"/>
        <v>1997</v>
      </c>
      <c r="H121" s="221">
        <f t="shared" si="42"/>
        <v>703</v>
      </c>
      <c r="I121" s="222">
        <f t="shared" si="42"/>
        <v>3882</v>
      </c>
      <c r="J121" s="304">
        <f t="shared" si="42"/>
        <v>4650.6360000000004</v>
      </c>
      <c r="K121" s="305">
        <f t="shared" si="42"/>
        <v>9301.2720000000008</v>
      </c>
      <c r="L121" s="306">
        <f t="shared" si="42"/>
        <v>9301.2720000000008</v>
      </c>
      <c r="M121" s="220">
        <f t="shared" si="42"/>
        <v>4747.6860000000006</v>
      </c>
      <c r="N121" s="221">
        <f t="shared" si="42"/>
        <v>9495.3720000000012</v>
      </c>
      <c r="O121" s="222">
        <f t="shared" si="42"/>
        <v>9495.3720000000012</v>
      </c>
      <c r="P121" s="311">
        <f t="shared" si="42"/>
        <v>4840.8540000000003</v>
      </c>
      <c r="Q121" s="305">
        <f t="shared" si="42"/>
        <v>9681.7080000000005</v>
      </c>
      <c r="R121" s="306">
        <f t="shared" si="42"/>
        <v>9681.7080000000005</v>
      </c>
      <c r="S121" s="222">
        <f t="shared" si="42"/>
        <v>9492.7839999999997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3">C108+C110+C112+C114+C116+C118+C120</f>
        <v>0</v>
      </c>
      <c r="D123" s="101">
        <f t="shared" si="43"/>
        <v>7</v>
      </c>
      <c r="E123" s="101">
        <f t="shared" si="43"/>
        <v>124</v>
      </c>
      <c r="F123" s="101">
        <f t="shared" si="43"/>
        <v>339</v>
      </c>
      <c r="G123" s="101">
        <f t="shared" si="43"/>
        <v>56</v>
      </c>
      <c r="H123" s="101">
        <f t="shared" si="43"/>
        <v>14</v>
      </c>
      <c r="I123" s="102">
        <f t="shared" si="43"/>
        <v>540</v>
      </c>
      <c r="J123" s="340" t="s">
        <v>12</v>
      </c>
      <c r="K123" s="281">
        <f>K108+K110+K112+K114+K116+K120</f>
        <v>940</v>
      </c>
      <c r="L123" s="289">
        <f>L108+L110+L112+L114+L116+L118+L120</f>
        <v>1036</v>
      </c>
      <c r="M123" s="103" t="s">
        <v>12</v>
      </c>
      <c r="N123" s="101">
        <f>N108+N110+N112+N114+N116+N120</f>
        <v>940</v>
      </c>
      <c r="O123" s="102">
        <f>O108+O110+O112+O114+O116+O118+O120</f>
        <v>1036</v>
      </c>
      <c r="P123" s="340" t="s">
        <v>12</v>
      </c>
      <c r="Q123" s="281">
        <f>Q108+Q110+Q112+Q114+Q116+Q120</f>
        <v>940</v>
      </c>
      <c r="R123" s="289">
        <f>R108+R110+R112+R114+R116+R118+R120</f>
        <v>1036</v>
      </c>
      <c r="S123" s="174">
        <f>S108+S110+S112+S114+S116+S118+S120</f>
        <v>1036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3"/>
        <v>0</v>
      </c>
      <c r="D124" s="583">
        <f t="shared" si="43"/>
        <v>286</v>
      </c>
      <c r="E124" s="583">
        <f t="shared" si="43"/>
        <v>5125</v>
      </c>
      <c r="F124" s="583">
        <f t="shared" si="43"/>
        <v>16313</v>
      </c>
      <c r="G124" s="583">
        <f t="shared" si="43"/>
        <v>3107</v>
      </c>
      <c r="H124" s="583">
        <f t="shared" si="43"/>
        <v>820</v>
      </c>
      <c r="I124" s="584">
        <f t="shared" si="43"/>
        <v>42018</v>
      </c>
      <c r="J124" s="585">
        <f>J109+J111+J113+J115+J117+J119+J121</f>
        <v>50337.563999999998</v>
      </c>
      <c r="K124" s="586">
        <f>K109+K111+K113+K115+K117+K121</f>
        <v>91012.06</v>
      </c>
      <c r="L124" s="587">
        <f>L109+L111+L113+L115+L117+L119+L121</f>
        <v>105843.06039999999</v>
      </c>
      <c r="M124" s="582">
        <f>M109+M111+M113+M115+M117+M119+M121</f>
        <v>51270.864000000009</v>
      </c>
      <c r="N124" s="588">
        <f>N109+N111+N113+N115+N117+N121</f>
        <v>92677.010000000009</v>
      </c>
      <c r="O124" s="584">
        <f>O109+O111+O113+O115+O117+O119+O121</f>
        <v>107817.50540000001</v>
      </c>
      <c r="P124" s="589">
        <f>P109+P111+P113+P115+P117+P119+P121</f>
        <v>52166.832000000002</v>
      </c>
      <c r="Q124" s="586">
        <f>Q109+Q111+Q113+Q115+Q117+Q121</f>
        <v>94275.361999999994</v>
      </c>
      <c r="R124" s="587">
        <f>R109+R111+R113+R115+R117+R119+R121</f>
        <v>109712.97259999999</v>
      </c>
      <c r="S124" s="590">
        <f>S109+S111+S113+S115+S117+S119+S121</f>
        <v>73253.712800000008</v>
      </c>
      <c r="T124" s="584">
        <f>SUM(T109,T111,T113,T115,T117,T119,T121)</f>
        <v>96957.466666666674</v>
      </c>
      <c r="U124" s="591">
        <f>SUM(U109,U111,U113,U115,U117,U119,U121)</f>
        <v>37169.066666666666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V124"/>
  <sheetViews>
    <sheetView topLeftCell="A35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210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6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8</v>
      </c>
      <c r="M4" s="396" t="s">
        <v>71</v>
      </c>
      <c r="N4" s="431" t="s">
        <v>69</v>
      </c>
      <c r="O4" s="20">
        <v>8</v>
      </c>
      <c r="P4" s="425" t="s">
        <v>71</v>
      </c>
      <c r="Q4" s="429" t="s">
        <v>69</v>
      </c>
      <c r="R4" s="20">
        <v>8</v>
      </c>
      <c r="S4" s="115" t="s">
        <v>69</v>
      </c>
      <c r="T4" s="106">
        <f>AVERAGE(L4,O4,R4)</f>
        <v>8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6</v>
      </c>
      <c r="K5" s="342" t="s">
        <v>70</v>
      </c>
      <c r="L5" s="343">
        <f>L4*$I$4</f>
        <v>0</v>
      </c>
      <c r="M5" s="632">
        <v>6</v>
      </c>
      <c r="N5" s="344" t="s">
        <v>70</v>
      </c>
      <c r="O5" s="345">
        <f>O4*$I$4</f>
        <v>0</v>
      </c>
      <c r="P5" s="631">
        <v>6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153344</v>
      </c>
      <c r="L21" s="280">
        <f>K21/$E$18</f>
        <v>30668.799999999999</v>
      </c>
      <c r="M21" s="78">
        <f>HLOOKUP($D$21,InflationTable,3)*$C$21</f>
        <v>19568</v>
      </c>
      <c r="N21" s="27">
        <f>M21*$L$4</f>
        <v>156544</v>
      </c>
      <c r="O21" s="182">
        <f>N21/$E$18</f>
        <v>31308.799999999999</v>
      </c>
      <c r="P21" s="298">
        <f>HLOOKUP($D$21,InflationTable,4)*$C$21</f>
        <v>19952</v>
      </c>
      <c r="Q21" s="279">
        <f>P21*$L$4</f>
        <v>159616</v>
      </c>
      <c r="R21" s="280">
        <f>Q21/$E$18</f>
        <v>31923.200000000001</v>
      </c>
      <c r="S21" s="127" t="s">
        <v>12</v>
      </c>
      <c r="T21" s="119" t="s">
        <v>12</v>
      </c>
      <c r="U21" s="139">
        <f>AVERAGE(L21,O21,R21)</f>
        <v>31300.266666666666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64</v>
      </c>
      <c r="L24" s="282">
        <f>K24/$E$18</f>
        <v>12.8</v>
      </c>
      <c r="M24" s="58" t="s">
        <v>12</v>
      </c>
      <c r="N24" s="69">
        <f>$I$24*($O$4+$O$5)</f>
        <v>64</v>
      </c>
      <c r="O24" s="59">
        <f>N24/$E$18</f>
        <v>12.8</v>
      </c>
      <c r="P24" s="263" t="s">
        <v>12</v>
      </c>
      <c r="Q24" s="281">
        <f>$I$24*($R$4+$R$5)</f>
        <v>64</v>
      </c>
      <c r="R24" s="282">
        <f>Q24/$E$18</f>
        <v>12.8</v>
      </c>
      <c r="S24" s="151">
        <f>AVERAGE(L24,O24,R24)</f>
        <v>12.800000000000002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3776.096</v>
      </c>
      <c r="L25" s="297">
        <f>K25/$E$18</f>
        <v>755.2192</v>
      </c>
      <c r="M25" s="376">
        <f>HLOOKUP(Labor!$B$11,InflationTable,3)*$I25</f>
        <v>481.86200000000002</v>
      </c>
      <c r="N25" s="377">
        <f>M25*$L$4</f>
        <v>3854.8960000000002</v>
      </c>
      <c r="O25" s="378">
        <f>N25/$E$18</f>
        <v>770.97919999999999</v>
      </c>
      <c r="P25" s="332">
        <f>HLOOKUP(Labor!$B$11,InflationTable,4)*$I25</f>
        <v>491.31800000000004</v>
      </c>
      <c r="Q25" s="296">
        <f>P25*$L$4</f>
        <v>3930.5440000000003</v>
      </c>
      <c r="R25" s="390">
        <f>Q25/$E$18</f>
        <v>786.10880000000009</v>
      </c>
      <c r="S25" s="391">
        <f>AVERAGE(L25,O25,R25)</f>
        <v>770.76906666666673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48</v>
      </c>
      <c r="L26" s="294">
        <f>K26/$E$18</f>
        <v>9.6</v>
      </c>
      <c r="M26" s="61" t="s">
        <v>12</v>
      </c>
      <c r="N26" s="348">
        <f>I26*$O$4</f>
        <v>48</v>
      </c>
      <c r="O26" s="62">
        <f>N26/$E$18</f>
        <v>9.6</v>
      </c>
      <c r="P26" s="293" t="s">
        <v>12</v>
      </c>
      <c r="Q26" s="327">
        <f>$I26*$O$4</f>
        <v>48</v>
      </c>
      <c r="R26" s="367">
        <f>Q26/$E$18</f>
        <v>9.6</v>
      </c>
      <c r="S26" s="129">
        <f>AVERAGE(L26,O26,R26)</f>
        <v>9.6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2348.08</v>
      </c>
      <c r="L27" s="297">
        <f>K27/$E$18</f>
        <v>469.61599999999999</v>
      </c>
      <c r="M27" s="376">
        <f>HLOOKUP(Labor!$B$11,InflationTable,3)*$I27</f>
        <v>299.63500000000005</v>
      </c>
      <c r="N27" s="377">
        <f>M27*$O$4</f>
        <v>2397.0800000000004</v>
      </c>
      <c r="O27" s="378">
        <f>N27/$E$18</f>
        <v>479.41600000000005</v>
      </c>
      <c r="P27" s="339">
        <f>HLOOKUP(Labor!$B$11,InflationTable,4)*$I27</f>
        <v>305.51500000000004</v>
      </c>
      <c r="Q27" s="296">
        <f>P27*$R$4</f>
        <v>2444.1200000000003</v>
      </c>
      <c r="R27" s="297">
        <f>Q27/$E$18</f>
        <v>488.82400000000007</v>
      </c>
      <c r="S27" s="211">
        <f>AVERAGE(L27,O27,R27)</f>
        <v>479.28533333333343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112</v>
      </c>
      <c r="L28" s="286">
        <f>L24+L26</f>
        <v>22.4</v>
      </c>
      <c r="M28" s="44" t="s">
        <v>12</v>
      </c>
      <c r="N28" s="33">
        <f>N24+N26</f>
        <v>112</v>
      </c>
      <c r="O28" s="40">
        <f>O24+O26</f>
        <v>22.4</v>
      </c>
      <c r="P28" s="284" t="s">
        <v>12</v>
      </c>
      <c r="Q28" s="285">
        <f>Q24+Q26</f>
        <v>112</v>
      </c>
      <c r="R28" s="286">
        <f>R24+R26</f>
        <v>22.4</v>
      </c>
      <c r="S28" s="175">
        <f>AVERAGE(L28,O28,R28)</f>
        <v>22.399999999999995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31893.635200000001</v>
      </c>
      <c r="M29" s="242">
        <f>M27+M25</f>
        <v>781.49700000000007</v>
      </c>
      <c r="N29" s="247"/>
      <c r="O29" s="243">
        <f>O27+O25+O22+O21</f>
        <v>32559.195199999998</v>
      </c>
      <c r="P29" s="274">
        <f>P27+P25</f>
        <v>796.83300000000008</v>
      </c>
      <c r="Q29" s="287"/>
      <c r="R29" s="276">
        <f>R27+R25+R22+R21</f>
        <v>33198.132799999999</v>
      </c>
      <c r="S29" s="248">
        <f>SUM(S27,S25)</f>
        <v>1250.0544000000002</v>
      </c>
      <c r="T29" s="249" t="s">
        <v>12</v>
      </c>
      <c r="U29" s="250">
        <f>SUM(U21:U22)</f>
        <v>31300.266666666666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250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299.5</v>
      </c>
      <c r="K34" s="384">
        <f>J34*$L$4</f>
        <v>2396</v>
      </c>
      <c r="L34" s="385">
        <f>K34</f>
        <v>2396</v>
      </c>
      <c r="M34" s="446">
        <f>HLOOKUP($D$34,InflationTable,3)*$C34</f>
        <v>305.75</v>
      </c>
      <c r="N34" s="387">
        <f>M34*$O$4</f>
        <v>2446</v>
      </c>
      <c r="O34" s="388">
        <f>N34</f>
        <v>2446</v>
      </c>
      <c r="P34" s="384">
        <f>HLOOKUP($D$34,InflationTable,4)*$C34</f>
        <v>311.75</v>
      </c>
      <c r="Q34" s="737">
        <f>P34*$R$4</f>
        <v>2494</v>
      </c>
      <c r="R34" s="385">
        <f>Q34</f>
        <v>2494</v>
      </c>
      <c r="S34" s="462" t="s">
        <v>12</v>
      </c>
      <c r="T34" s="382">
        <f>AVERAGE(L34,O34,R34)</f>
        <v>2445.3333333333335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2900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3474.2</v>
      </c>
      <c r="K35" s="750">
        <f>J35*$L$4</f>
        <v>27793.599999999999</v>
      </c>
      <c r="L35" s="751">
        <f>K35</f>
        <v>27793.599999999999</v>
      </c>
      <c r="M35" s="752">
        <f>HLOOKUP($D$34,InflationTable,3)*$C35</f>
        <v>3546.7000000000003</v>
      </c>
      <c r="N35" s="753">
        <f>M35*$O$4</f>
        <v>28373.600000000002</v>
      </c>
      <c r="O35" s="754">
        <f>N35</f>
        <v>28373.600000000002</v>
      </c>
      <c r="P35" s="750">
        <f>HLOOKUP($D$34,InflationTable,4)*$C35</f>
        <v>3616.3</v>
      </c>
      <c r="Q35" s="384">
        <f>P35*$R$4</f>
        <v>28930.400000000001</v>
      </c>
      <c r="R35" s="385">
        <f>Q35</f>
        <v>28930.400000000001</v>
      </c>
      <c r="S35" s="462" t="s">
        <v>12</v>
      </c>
      <c r="T35" s="382">
        <f>AVERAGE(L35,O35,R35)</f>
        <v>28365.866666666669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1200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1437.6</v>
      </c>
      <c r="K36" s="384">
        <f>J36*$L$4</f>
        <v>11500.8</v>
      </c>
      <c r="L36" s="385">
        <f>K36</f>
        <v>11500.8</v>
      </c>
      <c r="M36" s="446">
        <f>HLOOKUP($D$34,InflationTable,3)*$C36</f>
        <v>1467.6000000000001</v>
      </c>
      <c r="N36" s="387">
        <f>M36*$O$4</f>
        <v>11740.800000000001</v>
      </c>
      <c r="O36" s="388">
        <f>N36</f>
        <v>11740.800000000001</v>
      </c>
      <c r="P36" s="384">
        <f>HLOOKUP($D$34,InflationTable,4)*$C36</f>
        <v>1496.4</v>
      </c>
      <c r="Q36" s="384">
        <f>P36*$R$4</f>
        <v>11971.2</v>
      </c>
      <c r="R36" s="751">
        <f>Q36</f>
        <v>11971.2</v>
      </c>
      <c r="S36" s="757" t="s">
        <v>12</v>
      </c>
      <c r="T36" s="463">
        <f>AVERAGE(L36,O36,R36)</f>
        <v>11737.6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4433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5310.7339999999995</v>
      </c>
      <c r="K37" s="744">
        <f>J37*$L$4</f>
        <v>42485.871999999996</v>
      </c>
      <c r="L37" s="745">
        <f>K37</f>
        <v>42485.871999999996</v>
      </c>
      <c r="M37" s="746">
        <f>HLOOKUP($D$34,InflationTable,3)*$C37</f>
        <v>5421.5590000000002</v>
      </c>
      <c r="N37" s="747">
        <f>M37*$O$4</f>
        <v>43372.472000000002</v>
      </c>
      <c r="O37" s="748">
        <f>N37</f>
        <v>43372.472000000002</v>
      </c>
      <c r="P37" s="744">
        <f>HLOOKUP($D$34,InflationTable,4)*$C37</f>
        <v>5527.9510000000009</v>
      </c>
      <c r="Q37" s="744">
        <f>P37*$R$4</f>
        <v>44223.608000000007</v>
      </c>
      <c r="R37" s="745">
        <f>Q37</f>
        <v>44223.608000000007</v>
      </c>
      <c r="S37" s="755" t="s">
        <v>12</v>
      </c>
      <c r="T37" s="756">
        <f>AVERAGE(L37,O37,R37)</f>
        <v>43360.650666666668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565456</v>
      </c>
      <c r="L39" s="297">
        <f>K39/$G$38</f>
        <v>113091.2</v>
      </c>
      <c r="M39" s="450">
        <f>HLOOKUP($D$34,InflationTable,3)*$C39</f>
        <v>72157</v>
      </c>
      <c r="N39" s="377">
        <f>M39*$O$4</f>
        <v>577256</v>
      </c>
      <c r="O39" s="378">
        <f>N39/$G$38</f>
        <v>115451.2</v>
      </c>
      <c r="P39" s="296">
        <f>HLOOKUP($D$34,InflationTable,4)*$C39</f>
        <v>73573</v>
      </c>
      <c r="Q39" s="296">
        <f>P39*$R$4</f>
        <v>588584</v>
      </c>
      <c r="R39" s="297">
        <f>Q39/$G$38</f>
        <v>117716.8</v>
      </c>
      <c r="S39" s="472" t="s">
        <v>12</v>
      </c>
      <c r="T39" s="472" t="s">
        <v>12</v>
      </c>
      <c r="U39" s="375">
        <f>AVERAGE(L39,O39,R39)</f>
        <v>115419.73333333334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9584</v>
      </c>
      <c r="L40" s="297">
        <f>K40/$G$38</f>
        <v>1916.8</v>
      </c>
      <c r="M40" s="450">
        <f>HLOOKUP($D$34,InflationTable,3)*$C40</f>
        <v>1223</v>
      </c>
      <c r="N40" s="377">
        <f>M40*$O$4</f>
        <v>9784</v>
      </c>
      <c r="O40" s="378">
        <f>N40/$G$38</f>
        <v>1956.8</v>
      </c>
      <c r="P40" s="296">
        <f>HLOOKUP($D$34,InflationTable,4)*$C40</f>
        <v>1247</v>
      </c>
      <c r="Q40" s="296">
        <f>P40*$R$4</f>
        <v>9976</v>
      </c>
      <c r="R40" s="297">
        <f>Q40/$G$38</f>
        <v>1995.2</v>
      </c>
      <c r="S40" s="472" t="s">
        <v>12</v>
      </c>
      <c r="T40" s="472" t="s">
        <v>12</v>
      </c>
      <c r="U40" s="375">
        <f>AVERAGE(L40,O40,R40)</f>
        <v>1956.2666666666667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256</v>
      </c>
      <c r="L42" s="289">
        <f>K42</f>
        <v>256</v>
      </c>
      <c r="M42" s="58" t="s">
        <v>12</v>
      </c>
      <c r="N42" s="69">
        <f>$I$42*$O$4</f>
        <v>256</v>
      </c>
      <c r="O42" s="68">
        <f>N42</f>
        <v>256</v>
      </c>
      <c r="P42" s="299" t="s">
        <v>12</v>
      </c>
      <c r="Q42" s="281">
        <f>$I$42*$R$4</f>
        <v>256</v>
      </c>
      <c r="R42" s="289">
        <f>Q42</f>
        <v>256</v>
      </c>
      <c r="S42" s="121">
        <f>AVERAGE(L42,O42,R42)</f>
        <v>256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13034.24</v>
      </c>
      <c r="L43" s="390">
        <f>K43</f>
        <v>13034.24</v>
      </c>
      <c r="M43" s="376">
        <f>HLOOKUP(Labor!$B$11,InflationTable,3)*I43</f>
        <v>1663.2800000000002</v>
      </c>
      <c r="N43" s="377">
        <f>M43*$O$4</f>
        <v>13306.240000000002</v>
      </c>
      <c r="O43" s="378">
        <f>N43</f>
        <v>13306.240000000002</v>
      </c>
      <c r="P43" s="296">
        <f>HLOOKUP(Labor!$B$11,InflationTable,4)*$I$43</f>
        <v>1695.92</v>
      </c>
      <c r="Q43" s="296">
        <f>P43*$R$4</f>
        <v>13567.36</v>
      </c>
      <c r="R43" s="390">
        <f>Q43</f>
        <v>13567.36</v>
      </c>
      <c r="S43" s="211">
        <f>AVERAGE(L43,O43,R43)</f>
        <v>13302.613333333335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256</v>
      </c>
      <c r="L44" s="303">
        <f>L42</f>
        <v>256</v>
      </c>
      <c r="M44" s="85" t="s">
        <v>12</v>
      </c>
      <c r="N44" s="82">
        <f>N42</f>
        <v>256</v>
      </c>
      <c r="O44" s="96">
        <f>O42</f>
        <v>256</v>
      </c>
      <c r="P44" s="301" t="s">
        <v>12</v>
      </c>
      <c r="Q44" s="302">
        <f>Q42</f>
        <v>256</v>
      </c>
      <c r="R44" s="303">
        <f>R42</f>
        <v>256</v>
      </c>
      <c r="S44" s="96">
        <f>S42</f>
        <v>256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1610</v>
      </c>
      <c r="J45" s="305">
        <f t="shared" ref="J45:R45" si="5">J43+J34</f>
        <v>1928.78</v>
      </c>
      <c r="K45" s="305">
        <f t="shared" si="5"/>
        <v>15430.24</v>
      </c>
      <c r="L45" s="306">
        <f t="shared" si="5"/>
        <v>15430.24</v>
      </c>
      <c r="M45" s="252">
        <f t="shared" si="5"/>
        <v>1969.0300000000002</v>
      </c>
      <c r="N45" s="253">
        <f t="shared" si="5"/>
        <v>15752.240000000002</v>
      </c>
      <c r="O45" s="254">
        <f t="shared" si="5"/>
        <v>15752.240000000002</v>
      </c>
      <c r="P45" s="304">
        <f t="shared" si="5"/>
        <v>2007.67</v>
      </c>
      <c r="Q45" s="305">
        <f t="shared" si="5"/>
        <v>16061.36</v>
      </c>
      <c r="R45" s="306">
        <f t="shared" si="5"/>
        <v>16061.36</v>
      </c>
      <c r="S45" s="767">
        <f>SUM(S34:S44)</f>
        <v>13814.613333333335</v>
      </c>
      <c r="T45" s="767">
        <f>SUM(T34:T44)</f>
        <v>85909.450666666671</v>
      </c>
      <c r="U45" s="767">
        <f>SUM(U34:U44)</f>
        <v>117376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3400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4073.2</v>
      </c>
      <c r="K50" s="355">
        <f>J50*$L$4</f>
        <v>32585.599999999999</v>
      </c>
      <c r="L50" s="308">
        <f>K50</f>
        <v>32585.599999999999</v>
      </c>
      <c r="M50" s="357">
        <f>HLOOKUP($D$50,InflationTable,3)*$C$50</f>
        <v>4158.2000000000007</v>
      </c>
      <c r="N50" s="357">
        <f>M50*$O$4</f>
        <v>33265.600000000006</v>
      </c>
      <c r="O50" s="95">
        <f>N50</f>
        <v>33265.600000000006</v>
      </c>
      <c r="P50" s="358">
        <f>HLOOKUP($D$50,InflationTable,4)*$C$50</f>
        <v>4239.8</v>
      </c>
      <c r="Q50" s="355">
        <f>P50*$R$4</f>
        <v>33918.400000000001</v>
      </c>
      <c r="R50" s="308">
        <f>Q50</f>
        <v>33918.400000000001</v>
      </c>
      <c r="S50" s="359" t="s">
        <v>12</v>
      </c>
      <c r="T50" s="360">
        <f>AVERAGE(L50,O50,R50)</f>
        <v>33256.533333333333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12</v>
      </c>
      <c r="F52" s="21">
        <v>4</v>
      </c>
      <c r="G52" s="21">
        <v>0</v>
      </c>
      <c r="H52" s="21">
        <v>0</v>
      </c>
      <c r="I52" s="52">
        <f t="shared" ref="I52:I57" si="6">SUM(C52:H52)</f>
        <v>16</v>
      </c>
      <c r="J52" s="263" t="s">
        <v>12</v>
      </c>
      <c r="K52" s="281">
        <f>I52*$L$4</f>
        <v>128</v>
      </c>
      <c r="L52" s="289">
        <f t="shared" ref="L52:L57" si="7">K52</f>
        <v>128</v>
      </c>
      <c r="M52" s="58" t="s">
        <v>12</v>
      </c>
      <c r="N52" s="69">
        <f>$I$52*$O$4</f>
        <v>128</v>
      </c>
      <c r="O52" s="68">
        <f t="shared" ref="O52:O57" si="8">N52</f>
        <v>128</v>
      </c>
      <c r="P52" s="263" t="s">
        <v>12</v>
      </c>
      <c r="Q52" s="281">
        <f>$I$52*$R$4</f>
        <v>128</v>
      </c>
      <c r="R52" s="289">
        <f t="shared" ref="R52:R57" si="9">Q52</f>
        <v>128</v>
      </c>
      <c r="S52" s="121">
        <f t="shared" ref="S52:S58" si="10">AVERAGE(L52,O52,R52)</f>
        <v>128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529</v>
      </c>
      <c r="F53" s="374">
        <f>ROUND(F52*Labor!$D$6,0)</f>
        <v>197</v>
      </c>
      <c r="G53" s="374">
        <f>ROUND(G52*Labor!$D$7,0)</f>
        <v>0</v>
      </c>
      <c r="H53" s="374">
        <f>ROUND(H52*Labor!$D$8,0)</f>
        <v>0</v>
      </c>
      <c r="I53" s="209">
        <f t="shared" si="6"/>
        <v>726</v>
      </c>
      <c r="J53" s="339">
        <f>HLOOKUP(Labor!$B$11,InflationTable,2)*I53</f>
        <v>869.74799999999993</v>
      </c>
      <c r="K53" s="296">
        <f>J53*$L$4</f>
        <v>6957.9839999999995</v>
      </c>
      <c r="L53" s="297">
        <f t="shared" si="7"/>
        <v>6957.9839999999995</v>
      </c>
      <c r="M53" s="376">
        <f>HLOOKUP(Labor!$B$11,InflationTable,3)*$I$53</f>
        <v>887.89800000000002</v>
      </c>
      <c r="N53" s="377">
        <f>M53*$O$4</f>
        <v>7103.1840000000002</v>
      </c>
      <c r="O53" s="378">
        <f t="shared" si="8"/>
        <v>7103.1840000000002</v>
      </c>
      <c r="P53" s="332">
        <f>HLOOKUP(Labor!$B$11,InflationTable,4)*$I$53</f>
        <v>905.32200000000012</v>
      </c>
      <c r="Q53" s="296">
        <f>P53*$O$4</f>
        <v>7242.5760000000009</v>
      </c>
      <c r="R53" s="297">
        <f t="shared" si="9"/>
        <v>7242.5760000000009</v>
      </c>
      <c r="S53" s="211">
        <f t="shared" si="10"/>
        <v>7101.2479999999996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8</v>
      </c>
      <c r="E54" s="346">
        <v>72</v>
      </c>
      <c r="F54" s="346">
        <v>24</v>
      </c>
      <c r="G54" s="346">
        <v>0</v>
      </c>
      <c r="H54" s="346">
        <v>0</v>
      </c>
      <c r="I54" s="347">
        <f t="shared" si="6"/>
        <v>104</v>
      </c>
      <c r="J54" s="293" t="s">
        <v>12</v>
      </c>
      <c r="K54" s="327">
        <f>I54*$L$4</f>
        <v>832</v>
      </c>
      <c r="L54" s="328">
        <f t="shared" si="7"/>
        <v>832</v>
      </c>
      <c r="M54" s="61" t="s">
        <v>12</v>
      </c>
      <c r="N54" s="348">
        <f>L54*$L$4</f>
        <v>6656</v>
      </c>
      <c r="O54" s="349">
        <f t="shared" si="8"/>
        <v>6656</v>
      </c>
      <c r="P54" s="293" t="s">
        <v>12</v>
      </c>
      <c r="Q54" s="327">
        <f>O54*$L$4</f>
        <v>53248</v>
      </c>
      <c r="R54" s="328">
        <f t="shared" si="9"/>
        <v>53248</v>
      </c>
      <c r="S54" s="129">
        <f t="shared" si="10"/>
        <v>20245.333333333332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327</v>
      </c>
      <c r="E55" s="374">
        <f>ROUND(E54*Labor!$D$5,0)</f>
        <v>3177</v>
      </c>
      <c r="F55" s="374">
        <f>ROUND(F54*Labor!$D$6,0)</f>
        <v>1182</v>
      </c>
      <c r="G55" s="374">
        <f>ROUND(G54*Labor!$D$7,0)</f>
        <v>0</v>
      </c>
      <c r="H55" s="374">
        <f>ROUND(H54*Labor!$D$8,0)</f>
        <v>0</v>
      </c>
      <c r="I55" s="209">
        <f t="shared" si="6"/>
        <v>4686</v>
      </c>
      <c r="J55" s="332">
        <f>HLOOKUP(Labor!$B$11,InflationTable,2)*$I55</f>
        <v>5613.8279999999995</v>
      </c>
      <c r="K55" s="296">
        <f>J55*$L$4</f>
        <v>44910.623999999996</v>
      </c>
      <c r="L55" s="297">
        <f t="shared" si="7"/>
        <v>44910.623999999996</v>
      </c>
      <c r="M55" s="376">
        <f>HLOOKUP(Labor!$B$11,InflationTable,2)*$I55</f>
        <v>5613.8279999999995</v>
      </c>
      <c r="N55" s="377">
        <f>M55*$L$4</f>
        <v>44910.623999999996</v>
      </c>
      <c r="O55" s="378">
        <f t="shared" si="8"/>
        <v>44910.623999999996</v>
      </c>
      <c r="P55" s="332">
        <f>HLOOKUP(Labor!$B$11,InflationTable,2)*$I55</f>
        <v>5613.8279999999995</v>
      </c>
      <c r="Q55" s="296">
        <f>P55*$L$4</f>
        <v>44910.623999999996</v>
      </c>
      <c r="R55" s="297">
        <f t="shared" si="9"/>
        <v>44910.623999999996</v>
      </c>
      <c r="S55" s="391">
        <f t="shared" si="10"/>
        <v>44910.623999999989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32</v>
      </c>
      <c r="F56" s="346">
        <v>80</v>
      </c>
      <c r="G56" s="346">
        <v>0</v>
      </c>
      <c r="H56" s="346">
        <v>0</v>
      </c>
      <c r="I56" s="347">
        <f t="shared" si="6"/>
        <v>112</v>
      </c>
      <c r="J56" s="293" t="s">
        <v>12</v>
      </c>
      <c r="K56" s="327">
        <f>I56*$L$4</f>
        <v>896</v>
      </c>
      <c r="L56" s="328">
        <f t="shared" si="7"/>
        <v>896</v>
      </c>
      <c r="M56" s="61" t="s">
        <v>12</v>
      </c>
      <c r="N56" s="348">
        <f>$I$56*$O$4</f>
        <v>896</v>
      </c>
      <c r="O56" s="349">
        <f t="shared" si="8"/>
        <v>896</v>
      </c>
      <c r="P56" s="293" t="s">
        <v>12</v>
      </c>
      <c r="Q56" s="327">
        <f>$I$56*$R$4</f>
        <v>896</v>
      </c>
      <c r="R56" s="328">
        <f t="shared" si="9"/>
        <v>896</v>
      </c>
      <c r="S56" s="129">
        <f t="shared" si="10"/>
        <v>896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1412</v>
      </c>
      <c r="F57" s="374">
        <f>ROUND(F56*Labor!$D$6,0)</f>
        <v>3941</v>
      </c>
      <c r="G57" s="374">
        <f>ROUND(G56*Labor!$D$7,0)</f>
        <v>0</v>
      </c>
      <c r="H57" s="374">
        <f>ROUND(H56*Labor!$D$8,0)</f>
        <v>0</v>
      </c>
      <c r="I57" s="209">
        <f t="shared" si="6"/>
        <v>5353</v>
      </c>
      <c r="J57" s="332">
        <f>HLOOKUP(Labor!$B$11,InflationTable,2)*$I$57</f>
        <v>6412.8939999999993</v>
      </c>
      <c r="K57" s="296">
        <f>J57*$L$4</f>
        <v>51303.151999999995</v>
      </c>
      <c r="L57" s="297">
        <f t="shared" si="7"/>
        <v>51303.151999999995</v>
      </c>
      <c r="M57" s="376">
        <f>HLOOKUP(Labor!$B$11,InflationTable,3)*$I$57</f>
        <v>6546.7190000000001</v>
      </c>
      <c r="N57" s="377">
        <f>M57*$O$4</f>
        <v>52373.752</v>
      </c>
      <c r="O57" s="378">
        <f t="shared" si="8"/>
        <v>52373.752</v>
      </c>
      <c r="P57" s="332">
        <f>HLOOKUP(Labor!$B$11,InflationTable,4)*$I$57</f>
        <v>6675.1910000000007</v>
      </c>
      <c r="Q57" s="296">
        <f>P57*$R$4</f>
        <v>53401.528000000006</v>
      </c>
      <c r="R57" s="297">
        <f t="shared" si="9"/>
        <v>53401.528000000006</v>
      </c>
      <c r="S57" s="391">
        <f t="shared" si="10"/>
        <v>52359.477333333336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44</v>
      </c>
      <c r="F58" s="36">
        <f t="shared" si="11"/>
        <v>84</v>
      </c>
      <c r="G58" s="36">
        <f t="shared" si="11"/>
        <v>0</v>
      </c>
      <c r="H58" s="36">
        <f t="shared" si="11"/>
        <v>0</v>
      </c>
      <c r="I58" s="46">
        <f t="shared" si="11"/>
        <v>128</v>
      </c>
      <c r="J58" s="301" t="s">
        <v>12</v>
      </c>
      <c r="K58" s="309">
        <f>K52+K56</f>
        <v>1024</v>
      </c>
      <c r="L58" s="310">
        <f>L52+L56</f>
        <v>1024</v>
      </c>
      <c r="M58" s="85" t="s">
        <v>12</v>
      </c>
      <c r="N58" s="86">
        <f>N52+N56</f>
        <v>1024</v>
      </c>
      <c r="O58" s="97">
        <f>O52+O56</f>
        <v>1024</v>
      </c>
      <c r="P58" s="301" t="s">
        <v>12</v>
      </c>
      <c r="Q58" s="309">
        <f>Q52+Q56</f>
        <v>1024</v>
      </c>
      <c r="R58" s="310">
        <f>R52+R56</f>
        <v>1024</v>
      </c>
      <c r="S58" s="121">
        <f t="shared" si="10"/>
        <v>1024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1941</v>
      </c>
      <c r="F59" s="240">
        <f t="shared" si="12"/>
        <v>4138</v>
      </c>
      <c r="G59" s="240">
        <f t="shared" si="12"/>
        <v>0</v>
      </c>
      <c r="H59" s="240">
        <f t="shared" si="12"/>
        <v>0</v>
      </c>
      <c r="I59" s="222">
        <f>I57+I53+C50+I55</f>
        <v>14165</v>
      </c>
      <c r="J59" s="306">
        <f t="shared" ref="J59:R59" si="13">J57+J53+J50+J55</f>
        <v>16969.669999999998</v>
      </c>
      <c r="K59" s="306">
        <f t="shared" si="13"/>
        <v>135757.35999999999</v>
      </c>
      <c r="L59" s="306">
        <f t="shared" si="13"/>
        <v>135757.35999999999</v>
      </c>
      <c r="M59" s="254">
        <f t="shared" si="13"/>
        <v>17206.645</v>
      </c>
      <c r="N59" s="254">
        <f t="shared" si="13"/>
        <v>137653.16</v>
      </c>
      <c r="O59" s="254">
        <f t="shared" si="13"/>
        <v>137653.16</v>
      </c>
      <c r="P59" s="306">
        <f t="shared" si="13"/>
        <v>17434.141000000003</v>
      </c>
      <c r="Q59" s="306">
        <f t="shared" si="13"/>
        <v>139473.12800000003</v>
      </c>
      <c r="R59" s="306">
        <f t="shared" si="13"/>
        <v>139473.12800000003</v>
      </c>
      <c r="S59" s="248">
        <f>S57+S53+S55</f>
        <v>104371.34933333332</v>
      </c>
      <c r="T59" s="251">
        <f>T50</f>
        <v>33256.533333333333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12</v>
      </c>
      <c r="F64" s="21">
        <v>12</v>
      </c>
      <c r="G64" s="21">
        <v>0</v>
      </c>
      <c r="H64" s="21">
        <v>0</v>
      </c>
      <c r="I64" s="52">
        <f t="shared" ref="I64:I71" si="14">SUM(C64:H64)</f>
        <v>24</v>
      </c>
      <c r="J64" s="263" t="s">
        <v>12</v>
      </c>
      <c r="K64" s="281">
        <f>I64*$L$4</f>
        <v>192</v>
      </c>
      <c r="L64" s="289">
        <f t="shared" ref="L64:L71" si="15">K64</f>
        <v>192</v>
      </c>
      <c r="M64" s="58" t="s">
        <v>12</v>
      </c>
      <c r="N64" s="69">
        <f>$I$64*$O$4</f>
        <v>192</v>
      </c>
      <c r="O64" s="68">
        <f t="shared" ref="O64:O71" si="16">N64</f>
        <v>192</v>
      </c>
      <c r="P64" s="263" t="s">
        <v>12</v>
      </c>
      <c r="Q64" s="281">
        <f>$I$64*$R$4</f>
        <v>192</v>
      </c>
      <c r="R64" s="289">
        <f t="shared" ref="R64:R71" si="17">Q64</f>
        <v>192</v>
      </c>
      <c r="S64" s="121">
        <f t="shared" ref="S64:S73" si="18">AVERAGE(L64,O64,R64)</f>
        <v>192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529</v>
      </c>
      <c r="F65" s="374">
        <f>ROUND(F64*Labor!$D$6,0)</f>
        <v>591</v>
      </c>
      <c r="G65" s="374">
        <f>ROUND(G64*Labor!$D$7,0)</f>
        <v>0</v>
      </c>
      <c r="H65" s="374">
        <f>ROUND(H64*Labor!$D$8,0)</f>
        <v>0</v>
      </c>
      <c r="I65" s="209">
        <f t="shared" si="14"/>
        <v>1120</v>
      </c>
      <c r="J65" s="332">
        <f>HLOOKUP(Labor!$B$11,InflationTable,2)*I65</f>
        <v>1341.76</v>
      </c>
      <c r="K65" s="296">
        <f>J65*$L$4</f>
        <v>10734.08</v>
      </c>
      <c r="L65" s="297">
        <f t="shared" si="15"/>
        <v>10734.08</v>
      </c>
      <c r="M65" s="376">
        <f>HLOOKUP(Labor!$B$11,InflationTable,3)*$I$65</f>
        <v>1369.76</v>
      </c>
      <c r="N65" s="377">
        <f>M65*$L$4</f>
        <v>10958.08</v>
      </c>
      <c r="O65" s="378">
        <f t="shared" si="16"/>
        <v>10958.08</v>
      </c>
      <c r="P65" s="332">
        <f>HLOOKUP(Labor!$B$11,InflationTable,4)*$I$65</f>
        <v>1396.64</v>
      </c>
      <c r="Q65" s="296">
        <f>P65*$R$4</f>
        <v>11173.12</v>
      </c>
      <c r="R65" s="297">
        <f t="shared" si="17"/>
        <v>11173.12</v>
      </c>
      <c r="S65" s="211">
        <f t="shared" si="18"/>
        <v>10955.093333333332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8</v>
      </c>
      <c r="G66" s="346">
        <v>1</v>
      </c>
      <c r="H66" s="346">
        <v>1</v>
      </c>
      <c r="I66" s="347">
        <f t="shared" si="14"/>
        <v>10</v>
      </c>
      <c r="J66" s="293" t="s">
        <v>12</v>
      </c>
      <c r="K66" s="327">
        <f>I66*$L$4</f>
        <v>80</v>
      </c>
      <c r="L66" s="328">
        <f t="shared" si="15"/>
        <v>80</v>
      </c>
      <c r="M66" s="61" t="s">
        <v>12</v>
      </c>
      <c r="N66" s="348">
        <f>$I$66*$O$4</f>
        <v>80</v>
      </c>
      <c r="O66" s="349">
        <f t="shared" si="16"/>
        <v>80</v>
      </c>
      <c r="P66" s="293" t="s">
        <v>12</v>
      </c>
      <c r="Q66" s="327">
        <f>$I$66*$R$4</f>
        <v>80</v>
      </c>
      <c r="R66" s="328">
        <f t="shared" si="17"/>
        <v>80</v>
      </c>
      <c r="S66" s="129">
        <f t="shared" si="18"/>
        <v>80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394</v>
      </c>
      <c r="G67" s="374">
        <f>ROUND(G66*Labor!$D$7,0)</f>
        <v>55</v>
      </c>
      <c r="H67" s="374">
        <f>ROUND(H66*Labor!$D$8,0)</f>
        <v>59</v>
      </c>
      <c r="I67" s="209">
        <f t="shared" si="14"/>
        <v>508</v>
      </c>
      <c r="J67" s="339">
        <f>HLOOKUP(Labor!$B$11,InflationTable,2)*I67</f>
        <v>608.58399999999995</v>
      </c>
      <c r="K67" s="296">
        <f>J67*$L$4</f>
        <v>4868.6719999999996</v>
      </c>
      <c r="L67" s="297">
        <f t="shared" si="15"/>
        <v>4868.6719999999996</v>
      </c>
      <c r="M67" s="450">
        <f>HLOOKUP(Labor!$B$11,InflationTable,3)*I67</f>
        <v>621.28399999999999</v>
      </c>
      <c r="N67" s="377">
        <f>M67*$O$4</f>
        <v>4970.2719999999999</v>
      </c>
      <c r="O67" s="378">
        <f t="shared" si="16"/>
        <v>4970.2719999999999</v>
      </c>
      <c r="P67" s="332">
        <f>HLOOKUP(Labor!$B$11,InflationTable,4)*$I$67</f>
        <v>633.476</v>
      </c>
      <c r="Q67" s="296">
        <f>P67*$R$4</f>
        <v>5067.808</v>
      </c>
      <c r="R67" s="297">
        <f t="shared" si="17"/>
        <v>5067.808</v>
      </c>
      <c r="S67" s="211">
        <f t="shared" si="18"/>
        <v>4968.9173333333338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24</v>
      </c>
      <c r="G68" s="346">
        <v>6</v>
      </c>
      <c r="H68" s="346">
        <v>0</v>
      </c>
      <c r="I68" s="347">
        <f t="shared" si="14"/>
        <v>30</v>
      </c>
      <c r="J68" s="293" t="s">
        <v>12</v>
      </c>
      <c r="K68" s="327">
        <f>I68*$L$4</f>
        <v>240</v>
      </c>
      <c r="L68" s="328">
        <f t="shared" si="15"/>
        <v>240</v>
      </c>
      <c r="M68" s="61" t="s">
        <v>12</v>
      </c>
      <c r="N68" s="348">
        <f>$I$68*$O$4</f>
        <v>240</v>
      </c>
      <c r="O68" s="349">
        <f t="shared" si="16"/>
        <v>240</v>
      </c>
      <c r="P68" s="293" t="s">
        <v>12</v>
      </c>
      <c r="Q68" s="327">
        <f>$I$68*$R$4</f>
        <v>240</v>
      </c>
      <c r="R68" s="328">
        <f t="shared" si="17"/>
        <v>240</v>
      </c>
      <c r="S68" s="129">
        <f t="shared" si="18"/>
        <v>240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1182</v>
      </c>
      <c r="G69" s="374">
        <f>ROUND(G68*Labor!$D$7,0)</f>
        <v>333</v>
      </c>
      <c r="H69" s="374">
        <f>ROUND(H68*Labor!$D$8,0)</f>
        <v>0</v>
      </c>
      <c r="I69" s="209">
        <f t="shared" si="14"/>
        <v>1515</v>
      </c>
      <c r="J69" s="339">
        <f>HLOOKUP(Labor!$B$11,InflationTable,2)*I69</f>
        <v>1814.97</v>
      </c>
      <c r="K69" s="296">
        <f>J69*$L$4</f>
        <v>14519.76</v>
      </c>
      <c r="L69" s="297">
        <f t="shared" si="15"/>
        <v>14519.76</v>
      </c>
      <c r="M69" s="376">
        <f>HLOOKUP(Labor!$B$11,InflationTable,3)*$I$69</f>
        <v>1852.845</v>
      </c>
      <c r="N69" s="377">
        <f>M69*$O$4</f>
        <v>14822.76</v>
      </c>
      <c r="O69" s="378">
        <f t="shared" si="16"/>
        <v>14822.76</v>
      </c>
      <c r="P69" s="332">
        <f>HLOOKUP(Labor!$B$11,InflationTable,4)*$I$69</f>
        <v>1889.2050000000002</v>
      </c>
      <c r="Q69" s="296">
        <f>P69*$R$4</f>
        <v>15113.640000000001</v>
      </c>
      <c r="R69" s="297">
        <f t="shared" si="17"/>
        <v>15113.640000000001</v>
      </c>
      <c r="S69" s="211">
        <f t="shared" si="18"/>
        <v>14818.720000000001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12</v>
      </c>
      <c r="F72" s="36">
        <f t="shared" si="19"/>
        <v>44</v>
      </c>
      <c r="G72" s="36">
        <f t="shared" si="19"/>
        <v>7</v>
      </c>
      <c r="H72" s="36">
        <f t="shared" si="19"/>
        <v>1</v>
      </c>
      <c r="I72" s="46">
        <f t="shared" si="19"/>
        <v>64</v>
      </c>
      <c r="J72" s="301" t="s">
        <v>12</v>
      </c>
      <c r="K72" s="285">
        <f>K64+K66+K68+K70</f>
        <v>512</v>
      </c>
      <c r="L72" s="312">
        <f>L64+L66+L68+L70</f>
        <v>512</v>
      </c>
      <c r="M72" s="85" t="s">
        <v>12</v>
      </c>
      <c r="N72" s="33">
        <f>N64+N66+N68+N70</f>
        <v>512</v>
      </c>
      <c r="O72" s="99">
        <f>O64+O66+O68+O70</f>
        <v>512</v>
      </c>
      <c r="P72" s="301" t="s">
        <v>12</v>
      </c>
      <c r="Q72" s="285">
        <f>Q64+Q66+Q68+Q70</f>
        <v>512</v>
      </c>
      <c r="R72" s="312">
        <f>R64+R66+R68+R70</f>
        <v>512</v>
      </c>
      <c r="S72" s="129">
        <f t="shared" si="18"/>
        <v>512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529</v>
      </c>
      <c r="F73" s="240">
        <f t="shared" si="19"/>
        <v>2167</v>
      </c>
      <c r="G73" s="240">
        <f t="shared" si="19"/>
        <v>388</v>
      </c>
      <c r="H73" s="240">
        <f t="shared" si="19"/>
        <v>59</v>
      </c>
      <c r="I73" s="243">
        <f t="shared" si="19"/>
        <v>3143</v>
      </c>
      <c r="J73" s="313">
        <f>J65+J67+J69+J71</f>
        <v>3765.3140000000003</v>
      </c>
      <c r="K73" s="275">
        <f>K65+K67+K69+K71</f>
        <v>30122.512000000002</v>
      </c>
      <c r="L73" s="276">
        <f>L65+L67+L69+L71</f>
        <v>30122.512000000002</v>
      </c>
      <c r="M73" s="242">
        <f>M65+M67+M69+M71</f>
        <v>3843.8890000000001</v>
      </c>
      <c r="N73" s="240">
        <f>N65+N67+N69+N71</f>
        <v>30751.112000000001</v>
      </c>
      <c r="O73" s="243">
        <f>O65+O67+O69+O71</f>
        <v>30751.112000000001</v>
      </c>
      <c r="P73" s="313">
        <f>P65+P67+P69+P71</f>
        <v>3919.3209999999999</v>
      </c>
      <c r="Q73" s="275">
        <f>Q65+Q67+Q69+Q71</f>
        <v>31354.567999999999</v>
      </c>
      <c r="R73" s="276">
        <f>R65+R67+R69+R71</f>
        <v>31354.567999999999</v>
      </c>
      <c r="S73" s="255">
        <f t="shared" si="18"/>
        <v>30742.73066666667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14376</v>
      </c>
      <c r="L79" s="297">
        <f>K79</f>
        <v>14376</v>
      </c>
      <c r="M79" s="450">
        <f>HLOOKUP($D$34,InflationTable,3)*$C79</f>
        <v>1834.5000000000002</v>
      </c>
      <c r="N79" s="377">
        <f>M79*$O$4</f>
        <v>14676.000000000002</v>
      </c>
      <c r="O79" s="378">
        <f>N79</f>
        <v>14676.000000000002</v>
      </c>
      <c r="P79" s="296">
        <f>HLOOKUP($D$34,InflationTable,4)*$C79</f>
        <v>1870.5000000000002</v>
      </c>
      <c r="Q79" s="296">
        <f>P79*$R$4</f>
        <v>14964.000000000002</v>
      </c>
      <c r="R79" s="297">
        <f>Q79</f>
        <v>14964.000000000002</v>
      </c>
      <c r="S79" s="472" t="s">
        <v>12</v>
      </c>
      <c r="T79" s="375">
        <f>AVERAGE(L79,O79,R79)</f>
        <v>14672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2</v>
      </c>
      <c r="F81" s="21">
        <v>5</v>
      </c>
      <c r="G81" s="21">
        <v>0</v>
      </c>
      <c r="H81" s="21">
        <v>0</v>
      </c>
      <c r="I81" s="52">
        <f t="shared" ref="I81:I86" si="20">SUM(C81:H81)</f>
        <v>7</v>
      </c>
      <c r="J81" s="263" t="s">
        <v>12</v>
      </c>
      <c r="K81" s="281">
        <f>I81*$L$4</f>
        <v>56</v>
      </c>
      <c r="L81" s="289">
        <f t="shared" ref="L81:L86" si="21">K81</f>
        <v>56</v>
      </c>
      <c r="M81" s="58" t="s">
        <v>12</v>
      </c>
      <c r="N81" s="69">
        <f>$I$81*$O$4</f>
        <v>56</v>
      </c>
      <c r="O81" s="68">
        <f t="shared" ref="O81:O86" si="22">N81</f>
        <v>56</v>
      </c>
      <c r="P81" s="263" t="s">
        <v>12</v>
      </c>
      <c r="Q81" s="281">
        <f>$I$81*$O$4</f>
        <v>56</v>
      </c>
      <c r="R81" s="289">
        <f t="shared" ref="R81:R86" si="23">Q81</f>
        <v>56</v>
      </c>
      <c r="S81" s="121">
        <f t="shared" ref="S81:S86" si="24">AVERAGE(L81,O81,R81)</f>
        <v>56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88</v>
      </c>
      <c r="F82" s="374">
        <f>ROUND(F81*Labor!$D$6,0)</f>
        <v>246</v>
      </c>
      <c r="G82" s="374">
        <f>ROUND(G81*Labor!$D$7,0)</f>
        <v>0</v>
      </c>
      <c r="H82" s="374">
        <f>ROUND(H81*Labor!$D$8,0)</f>
        <v>0</v>
      </c>
      <c r="I82" s="209">
        <f t="shared" si="20"/>
        <v>334</v>
      </c>
      <c r="J82" s="332">
        <f>HLOOKUP(Labor!$B$11,InflationTable,2)*I82</f>
        <v>400.13200000000001</v>
      </c>
      <c r="K82" s="296">
        <f>J82*$L$4</f>
        <v>3201.056</v>
      </c>
      <c r="L82" s="297">
        <f t="shared" si="21"/>
        <v>3201.056</v>
      </c>
      <c r="M82" s="450">
        <f>HLOOKUP(Labor!$B$11,InflationTable,3)*$I$82</f>
        <v>408.48200000000003</v>
      </c>
      <c r="N82" s="377">
        <f>M82*$O$4</f>
        <v>3267.8560000000002</v>
      </c>
      <c r="O82" s="378">
        <f t="shared" si="22"/>
        <v>3267.8560000000002</v>
      </c>
      <c r="P82" s="332">
        <f>HLOOKUP(Labor!$B$11,InflationTable,4)*$I82</f>
        <v>416.49800000000005</v>
      </c>
      <c r="Q82" s="296">
        <f>P82*$R$4</f>
        <v>3331.9840000000004</v>
      </c>
      <c r="R82" s="297">
        <f t="shared" si="23"/>
        <v>3331.9840000000004</v>
      </c>
      <c r="S82" s="211">
        <f t="shared" si="24"/>
        <v>3266.9653333333335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4</v>
      </c>
      <c r="F83" s="346">
        <v>8</v>
      </c>
      <c r="G83" s="346">
        <v>0</v>
      </c>
      <c r="H83" s="346">
        <v>0</v>
      </c>
      <c r="I83" s="347">
        <f t="shared" si="20"/>
        <v>12</v>
      </c>
      <c r="J83" s="293" t="s">
        <v>12</v>
      </c>
      <c r="K83" s="327">
        <f>I83*$L$4</f>
        <v>96</v>
      </c>
      <c r="L83" s="328">
        <f t="shared" si="21"/>
        <v>96</v>
      </c>
      <c r="M83" s="61" t="s">
        <v>12</v>
      </c>
      <c r="N83" s="348">
        <f>$I$83*$O$4</f>
        <v>96</v>
      </c>
      <c r="O83" s="349">
        <f t="shared" si="22"/>
        <v>96</v>
      </c>
      <c r="P83" s="293" t="s">
        <v>12</v>
      </c>
      <c r="Q83" s="327">
        <f>$I$83*$O$4</f>
        <v>96</v>
      </c>
      <c r="R83" s="328">
        <f t="shared" si="23"/>
        <v>96</v>
      </c>
      <c r="S83" s="129">
        <f t="shared" si="24"/>
        <v>96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176</v>
      </c>
      <c r="F84" s="374">
        <f>ROUND(F83*Labor!$D$6,0)</f>
        <v>394</v>
      </c>
      <c r="G84" s="374">
        <f>ROUND(G83*Labor!$D$7,0)</f>
        <v>0</v>
      </c>
      <c r="H84" s="374">
        <f>ROUND(H83*Labor!$D$8,0)</f>
        <v>0</v>
      </c>
      <c r="I84" s="209">
        <f t="shared" si="20"/>
        <v>570</v>
      </c>
      <c r="J84" s="332">
        <f>HLOOKUP(Labor!$B$11,InflationTable,2)*I84</f>
        <v>682.86</v>
      </c>
      <c r="K84" s="296">
        <f>J84*$L$4</f>
        <v>5462.88</v>
      </c>
      <c r="L84" s="297">
        <f t="shared" si="21"/>
        <v>5462.88</v>
      </c>
      <c r="M84" s="450">
        <f>HLOOKUP(Labor!$B$11,InflationTable,3)*$I$84</f>
        <v>697.11</v>
      </c>
      <c r="N84" s="377">
        <f>M84*$O$4</f>
        <v>5576.88</v>
      </c>
      <c r="O84" s="378">
        <f t="shared" si="22"/>
        <v>5576.88</v>
      </c>
      <c r="P84" s="332">
        <f>HLOOKUP(Labor!$B$11,InflationTable,4)*$I84</f>
        <v>710.79000000000008</v>
      </c>
      <c r="Q84" s="296">
        <f>P84*$R$4</f>
        <v>5686.3200000000006</v>
      </c>
      <c r="R84" s="297">
        <f t="shared" si="23"/>
        <v>5686.3200000000006</v>
      </c>
      <c r="S84" s="211">
        <f t="shared" si="24"/>
        <v>5575.3600000000006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1</v>
      </c>
      <c r="E85" s="346">
        <v>8</v>
      </c>
      <c r="F85" s="346">
        <v>5</v>
      </c>
      <c r="G85" s="346">
        <v>2</v>
      </c>
      <c r="H85" s="346">
        <v>0</v>
      </c>
      <c r="I85" s="347">
        <f t="shared" si="20"/>
        <v>16</v>
      </c>
      <c r="J85" s="293" t="s">
        <v>12</v>
      </c>
      <c r="K85" s="327">
        <f>I85*$L$4</f>
        <v>128</v>
      </c>
      <c r="L85" s="328">
        <f t="shared" si="21"/>
        <v>128</v>
      </c>
      <c r="M85" s="61" t="s">
        <v>12</v>
      </c>
      <c r="N85" s="348">
        <f>$I85*$O$4</f>
        <v>128</v>
      </c>
      <c r="O85" s="349">
        <f t="shared" si="22"/>
        <v>128</v>
      </c>
      <c r="P85" s="293" t="s">
        <v>12</v>
      </c>
      <c r="Q85" s="327">
        <f>$I85*$O$4</f>
        <v>128</v>
      </c>
      <c r="R85" s="328">
        <f t="shared" si="23"/>
        <v>128</v>
      </c>
      <c r="S85" s="129">
        <f t="shared" si="24"/>
        <v>128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41</v>
      </c>
      <c r="E86" s="374">
        <f>ROUND(E85*Labor!$D$5,0)</f>
        <v>353</v>
      </c>
      <c r="F86" s="374">
        <f>ROUND(F85*Labor!$D$6,0)</f>
        <v>246</v>
      </c>
      <c r="G86" s="374">
        <f>ROUND(G85*Labor!$D$7,0)</f>
        <v>111</v>
      </c>
      <c r="H86" s="374">
        <f>ROUND(H85*Labor!$D$8,0)</f>
        <v>0</v>
      </c>
      <c r="I86" s="209">
        <f t="shared" si="20"/>
        <v>751</v>
      </c>
      <c r="J86" s="332">
        <f>HLOOKUP(Labor!$B$11,InflationTable,2)*I86</f>
        <v>899.69799999999998</v>
      </c>
      <c r="K86" s="296">
        <f>J86*$L$4</f>
        <v>7197.5839999999998</v>
      </c>
      <c r="L86" s="297">
        <f t="shared" si="21"/>
        <v>7197.5839999999998</v>
      </c>
      <c r="M86" s="450">
        <f>HLOOKUP(Labor!$B$11,InflationTable,3)*$I86</f>
        <v>918.47300000000007</v>
      </c>
      <c r="N86" s="377">
        <f>M86*$O$4</f>
        <v>7347.7840000000006</v>
      </c>
      <c r="O86" s="378">
        <f t="shared" si="22"/>
        <v>7347.7840000000006</v>
      </c>
      <c r="P86" s="332">
        <f>HLOOKUP(Labor!$B$11,InflationTable,4)*$I86</f>
        <v>936.49700000000007</v>
      </c>
      <c r="Q86" s="296">
        <f>P86*$R$4</f>
        <v>7491.9760000000006</v>
      </c>
      <c r="R86" s="297">
        <f t="shared" si="23"/>
        <v>7491.9760000000006</v>
      </c>
      <c r="S86" s="446">
        <f t="shared" si="24"/>
        <v>7345.7813333333334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6</v>
      </c>
      <c r="G88" s="21">
        <v>3</v>
      </c>
      <c r="H88" s="21">
        <v>0</v>
      </c>
      <c r="I88" s="52">
        <f>SUM(C88:H88)</f>
        <v>9</v>
      </c>
      <c r="J88" s="263" t="s">
        <v>12</v>
      </c>
      <c r="K88" s="281">
        <f>I88*$L$4</f>
        <v>72</v>
      </c>
      <c r="L88" s="289">
        <f>K88</f>
        <v>72</v>
      </c>
      <c r="M88" s="58" t="s">
        <v>12</v>
      </c>
      <c r="N88" s="69">
        <f>$I88*$O$4</f>
        <v>72</v>
      </c>
      <c r="O88" s="68">
        <f>N88</f>
        <v>72</v>
      </c>
      <c r="P88" s="263" t="s">
        <v>12</v>
      </c>
      <c r="Q88" s="281">
        <f>$I88*$O$4</f>
        <v>72</v>
      </c>
      <c r="R88" s="289">
        <f>Q88</f>
        <v>72</v>
      </c>
      <c r="S88" s="121">
        <f>AVERAGE(L88,O88,R88)</f>
        <v>72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296</v>
      </c>
      <c r="G89" s="374">
        <f>ROUND(G88*Labor!$D$7,0)</f>
        <v>166</v>
      </c>
      <c r="H89" s="374">
        <f>ROUND(H88*Labor!$D$8,0)</f>
        <v>0</v>
      </c>
      <c r="I89" s="209">
        <f>SUM(C89:H89)</f>
        <v>462</v>
      </c>
      <c r="J89" s="332">
        <f>HLOOKUP(Labor!$B$11,InflationTable,2)*I89</f>
        <v>553.476</v>
      </c>
      <c r="K89" s="296">
        <f>J89*$L$4</f>
        <v>4427.808</v>
      </c>
      <c r="L89" s="297">
        <f>K89</f>
        <v>4427.808</v>
      </c>
      <c r="M89" s="450">
        <f>HLOOKUP(Labor!$B$11,InflationTable,3)*$I89</f>
        <v>565.02600000000007</v>
      </c>
      <c r="N89" s="377">
        <f>M89*$O$4</f>
        <v>4520.2080000000005</v>
      </c>
      <c r="O89" s="378">
        <f>N89</f>
        <v>4520.2080000000005</v>
      </c>
      <c r="P89" s="332">
        <f>HLOOKUP(Labor!$B$11,InflationTable,4)*$I89</f>
        <v>576.11400000000003</v>
      </c>
      <c r="Q89" s="296">
        <f>P89*$R$4</f>
        <v>4608.9120000000003</v>
      </c>
      <c r="R89" s="297">
        <f>Q89</f>
        <v>4608.9120000000003</v>
      </c>
      <c r="S89" s="211">
        <f>AVERAGE(L89,O89,R89)</f>
        <v>4518.9759999999997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72</v>
      </c>
      <c r="L91" s="282">
        <f>K91/$E$90</f>
        <v>14.4</v>
      </c>
      <c r="M91" s="58" t="s">
        <v>12</v>
      </c>
      <c r="N91" s="60">
        <f>$I$91*$M$5</f>
        <v>72</v>
      </c>
      <c r="O91" s="59">
        <f>N91/$E$90</f>
        <v>14.4</v>
      </c>
      <c r="P91" s="263" t="s">
        <v>12</v>
      </c>
      <c r="Q91" s="283">
        <f>$I$91*$P$5</f>
        <v>72</v>
      </c>
      <c r="R91" s="282">
        <f>Q91/$E$90</f>
        <v>14.4</v>
      </c>
      <c r="S91" s="121">
        <f>AVERAGE(L91,O91,R91)</f>
        <v>14.4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4248.1080000000002</v>
      </c>
      <c r="L92" s="297">
        <f>K92/$E$90</f>
        <v>849.62160000000006</v>
      </c>
      <c r="M92" s="445">
        <f>HLOOKUP(Labor!$B$11,InflationTable,3)*$I92</f>
        <v>722.79300000000001</v>
      </c>
      <c r="N92" s="377">
        <f>M92*$M$5</f>
        <v>4336.7579999999998</v>
      </c>
      <c r="O92" s="378">
        <f>N92/$E$90</f>
        <v>867.35159999999996</v>
      </c>
      <c r="P92" s="339">
        <f>HLOOKUP(Labor!$B$11,InflationTable,4)*$I92</f>
        <v>736.97700000000009</v>
      </c>
      <c r="Q92" s="296">
        <f>P92*$P$5</f>
        <v>4421.862000000001</v>
      </c>
      <c r="R92" s="297">
        <f>Q92/$E$90</f>
        <v>884.3724000000002</v>
      </c>
      <c r="S92" s="211">
        <f>AVERAGE(L92,O92,R92)</f>
        <v>867.11520000000007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1</v>
      </c>
      <c r="E93" s="42">
        <f t="shared" si="25"/>
        <v>14</v>
      </c>
      <c r="F93" s="42">
        <f t="shared" si="25"/>
        <v>36</v>
      </c>
      <c r="G93" s="42">
        <f t="shared" si="25"/>
        <v>5</v>
      </c>
      <c r="H93" s="42">
        <f t="shared" si="25"/>
        <v>0</v>
      </c>
      <c r="I93" s="42">
        <f t="shared" si="25"/>
        <v>56</v>
      </c>
      <c r="J93" s="293" t="s">
        <v>12</v>
      </c>
      <c r="K93" s="315" t="s">
        <v>12</v>
      </c>
      <c r="L93" s="315">
        <f>L81+L83+L88+L85+L91</f>
        <v>366.4</v>
      </c>
      <c r="M93" s="92" t="s">
        <v>12</v>
      </c>
      <c r="N93" s="42" t="s">
        <v>12</v>
      </c>
      <c r="O93" s="42">
        <f>O81+O83+O88+O85+O91</f>
        <v>366.4</v>
      </c>
      <c r="P93" s="759" t="s">
        <v>12</v>
      </c>
      <c r="Q93" s="315" t="s">
        <v>12</v>
      </c>
      <c r="R93" s="315">
        <f>R81+R83+R88+R85+R91</f>
        <v>366.4</v>
      </c>
      <c r="S93" s="150">
        <f>AVERAGE(L93,O93,R93)</f>
        <v>366.39999999999992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41</v>
      </c>
      <c r="E94" s="240">
        <f t="shared" si="25"/>
        <v>617</v>
      </c>
      <c r="F94" s="240">
        <f t="shared" si="25"/>
        <v>1773</v>
      </c>
      <c r="G94" s="240">
        <f t="shared" si="25"/>
        <v>277</v>
      </c>
      <c r="H94" s="240">
        <f t="shared" si="25"/>
        <v>0</v>
      </c>
      <c r="I94" s="240">
        <f t="shared" si="25"/>
        <v>2708</v>
      </c>
      <c r="J94" s="275">
        <f>J82+J84+J89+J86+J92</f>
        <v>3244.1839999999997</v>
      </c>
      <c r="K94" s="275">
        <f>K82+K84+K89+K86+K92</f>
        <v>24537.435999999998</v>
      </c>
      <c r="L94" s="275">
        <f>L82+L84+L89+L86+L92</f>
        <v>21138.949599999996</v>
      </c>
      <c r="M94" s="240">
        <f>M82+M84+M89+M86+M92</f>
        <v>3311.8840000000005</v>
      </c>
      <c r="N94" s="240">
        <f>N82+N84+N89+N86+N92</f>
        <v>25049.486000000004</v>
      </c>
      <c r="O94" s="240">
        <f>O82+O84+O89+O86+O92</f>
        <v>21580.079600000005</v>
      </c>
      <c r="P94" s="275">
        <f>P82+P84+P89+P86+P92</f>
        <v>3376.8760000000002</v>
      </c>
      <c r="Q94" s="275">
        <f>Q82+Q84+Q89+Q86+Q92</f>
        <v>25541.054000000004</v>
      </c>
      <c r="R94" s="275">
        <f>R82+R84+R89+R86+R92</f>
        <v>22003.564400000003</v>
      </c>
      <c r="S94" s="248">
        <f>AVERAGE(L94,O94,R94)</f>
        <v>21574.197866666669</v>
      </c>
      <c r="T94" s="764">
        <f>T79</f>
        <v>14672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12</v>
      </c>
      <c r="G99" s="21">
        <v>6</v>
      </c>
      <c r="H99" s="21">
        <v>0</v>
      </c>
      <c r="I99" s="52">
        <f>SUM(C99:H99)</f>
        <v>18</v>
      </c>
      <c r="J99" s="263" t="s">
        <v>12</v>
      </c>
      <c r="K99" s="281">
        <f>I99*$L$4</f>
        <v>144</v>
      </c>
      <c r="L99" s="289">
        <f>K99</f>
        <v>144</v>
      </c>
      <c r="M99" s="58" t="s">
        <v>12</v>
      </c>
      <c r="N99" s="69">
        <f>$I99*O$4</f>
        <v>144</v>
      </c>
      <c r="O99" s="59">
        <f>N99</f>
        <v>144</v>
      </c>
      <c r="P99" s="263" t="s">
        <v>12</v>
      </c>
      <c r="Q99" s="281">
        <f>$I99*R$4</f>
        <v>144</v>
      </c>
      <c r="R99" s="289">
        <f>Q99</f>
        <v>144</v>
      </c>
      <c r="S99" s="173">
        <f t="shared" ref="S99:S104" si="26">AVERAGE(L99,O99,R99)</f>
        <v>144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591</v>
      </c>
      <c r="G100" s="35">
        <f>ROUND(G99*Labor!$D$7,0)</f>
        <v>333</v>
      </c>
      <c r="H100" s="35">
        <f>ROUND(H99*Labor!$D$8,0)</f>
        <v>0</v>
      </c>
      <c r="I100" s="39">
        <f>SUM(C100:H100)</f>
        <v>924</v>
      </c>
      <c r="J100" s="268">
        <f>HLOOKUP(Labor!$B$11,InflationTable,2)*I100</f>
        <v>1106.952</v>
      </c>
      <c r="K100" s="269">
        <f>J100*$L$4</f>
        <v>8855.616</v>
      </c>
      <c r="L100" s="308">
        <f>K100</f>
        <v>8855.616</v>
      </c>
      <c r="M100" s="84">
        <f>HLOOKUP(Labor!$B$11,InflationTable,3)*$I100</f>
        <v>1130.0520000000001</v>
      </c>
      <c r="N100" s="63">
        <f>M100*O$4</f>
        <v>9040.4160000000011</v>
      </c>
      <c r="O100" s="64">
        <f>N100</f>
        <v>9040.4160000000011</v>
      </c>
      <c r="P100" s="268">
        <f>HLOOKUP(Labor!$B$11,InflationTable,4)*$I100</f>
        <v>1152.2280000000001</v>
      </c>
      <c r="Q100" s="269">
        <f>P100*R$4</f>
        <v>9217.8240000000005</v>
      </c>
      <c r="R100" s="308">
        <f>Q100</f>
        <v>9217.8240000000005</v>
      </c>
      <c r="S100" s="171">
        <f t="shared" si="26"/>
        <v>9037.9519999999993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12</v>
      </c>
      <c r="H101" s="346">
        <v>6</v>
      </c>
      <c r="I101" s="347">
        <f>SUM(C101:H101)</f>
        <v>18</v>
      </c>
      <c r="J101" s="293" t="s">
        <v>12</v>
      </c>
      <c r="K101" s="327">
        <f>I101*$L$4</f>
        <v>144</v>
      </c>
      <c r="L101" s="328">
        <f>K101</f>
        <v>144</v>
      </c>
      <c r="M101" s="61" t="s">
        <v>12</v>
      </c>
      <c r="N101" s="348">
        <f>$I101*O$4</f>
        <v>144</v>
      </c>
      <c r="O101" s="349">
        <f>N101</f>
        <v>144</v>
      </c>
      <c r="P101" s="293" t="s">
        <v>12</v>
      </c>
      <c r="Q101" s="327">
        <f>$I101*R$4</f>
        <v>144</v>
      </c>
      <c r="R101" s="328">
        <f>Q101</f>
        <v>144</v>
      </c>
      <c r="S101" s="173">
        <f t="shared" si="26"/>
        <v>144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666</v>
      </c>
      <c r="H102" s="35">
        <f>ROUND(H101*Labor!$D$8,0)</f>
        <v>352</v>
      </c>
      <c r="I102" s="39">
        <f>SUM(C102:H102)</f>
        <v>1018</v>
      </c>
      <c r="J102" s="268">
        <f>HLOOKUP(Labor!$B$11,InflationTable,2)*I102</f>
        <v>1219.5639999999999</v>
      </c>
      <c r="K102" s="269">
        <f>J102*$L$4</f>
        <v>9756.5119999999988</v>
      </c>
      <c r="L102" s="300">
        <f>K102</f>
        <v>9756.5119999999988</v>
      </c>
      <c r="M102" s="84">
        <f>HLOOKUP(Labor!$B$11,InflationTable,3)*$I102</f>
        <v>1245.0140000000001</v>
      </c>
      <c r="N102" s="63">
        <f>M102*O$4</f>
        <v>9960.112000000001</v>
      </c>
      <c r="O102" s="64">
        <f>N102</f>
        <v>9960.112000000001</v>
      </c>
      <c r="P102" s="292">
        <f>HLOOKUP(Labor!$B$11,InflationTable,4)*$I102</f>
        <v>1269.4460000000001</v>
      </c>
      <c r="Q102" s="269">
        <f>P102*R$4</f>
        <v>10155.568000000001</v>
      </c>
      <c r="R102" s="300">
        <f>Q102</f>
        <v>10155.568000000001</v>
      </c>
      <c r="S102" s="128">
        <f t="shared" si="26"/>
        <v>9957.3973333333342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12</v>
      </c>
      <c r="G103" s="36">
        <f t="shared" si="27"/>
        <v>18</v>
      </c>
      <c r="H103" s="36">
        <f t="shared" si="27"/>
        <v>6</v>
      </c>
      <c r="I103" s="46">
        <f t="shared" si="27"/>
        <v>36</v>
      </c>
      <c r="J103" s="301" t="s">
        <v>12</v>
      </c>
      <c r="K103" s="320">
        <f>K99+K101</f>
        <v>288</v>
      </c>
      <c r="L103" s="321">
        <f>L99+L101</f>
        <v>288</v>
      </c>
      <c r="M103" s="85" t="s">
        <v>12</v>
      </c>
      <c r="N103" s="36">
        <f>N99+N101</f>
        <v>288</v>
      </c>
      <c r="O103" s="100">
        <f>O99+O101</f>
        <v>288</v>
      </c>
      <c r="P103" s="301" t="s">
        <v>12</v>
      </c>
      <c r="Q103" s="320">
        <f>Q99+Q101</f>
        <v>288</v>
      </c>
      <c r="R103" s="322">
        <f>R99+R101</f>
        <v>288</v>
      </c>
      <c r="S103" s="121">
        <f t="shared" si="26"/>
        <v>288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591</v>
      </c>
      <c r="G104" s="240">
        <f t="shared" si="27"/>
        <v>999</v>
      </c>
      <c r="H104" s="240">
        <f t="shared" si="27"/>
        <v>352</v>
      </c>
      <c r="I104" s="243">
        <f t="shared" si="27"/>
        <v>1942</v>
      </c>
      <c r="J104" s="274">
        <f>J100+J102</f>
        <v>2326.5159999999996</v>
      </c>
      <c r="K104" s="275">
        <f>K100+K102</f>
        <v>18612.127999999997</v>
      </c>
      <c r="L104" s="276">
        <f>L100+L102</f>
        <v>18612.127999999997</v>
      </c>
      <c r="M104" s="242">
        <f>M100+M102</f>
        <v>2375.0660000000003</v>
      </c>
      <c r="N104" s="240">
        <f>N100+N102</f>
        <v>19000.528000000002</v>
      </c>
      <c r="O104" s="243">
        <f>O100+O102</f>
        <v>19000.528000000002</v>
      </c>
      <c r="P104" s="313">
        <f>P100+P102</f>
        <v>2421.674</v>
      </c>
      <c r="Q104" s="275">
        <f>Q100+Q102</f>
        <v>19373.392</v>
      </c>
      <c r="R104" s="276">
        <f>R100+R102</f>
        <v>19373.392</v>
      </c>
      <c r="S104" s="257">
        <f t="shared" si="26"/>
        <v>18995.349333333335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PAMSCarbD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112</v>
      </c>
      <c r="L110" s="328">
        <f t="shared" si="30"/>
        <v>22.4</v>
      </c>
      <c r="M110" s="186" t="str">
        <f t="shared" si="30"/>
        <v>NA</v>
      </c>
      <c r="N110" s="184">
        <f t="shared" si="30"/>
        <v>112</v>
      </c>
      <c r="O110" s="185">
        <f t="shared" si="30"/>
        <v>22.4</v>
      </c>
      <c r="P110" s="326" t="str">
        <f t="shared" si="30"/>
        <v>NA</v>
      </c>
      <c r="Q110" s="327">
        <f t="shared" si="30"/>
        <v>112</v>
      </c>
      <c r="R110" s="328">
        <f t="shared" si="30"/>
        <v>22.4</v>
      </c>
      <c r="S110" s="185">
        <f t="shared" si="30"/>
        <v>22.399999999999995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31893.635200000001</v>
      </c>
      <c r="M111" s="207">
        <f t="shared" si="31"/>
        <v>781.49700000000007</v>
      </c>
      <c r="N111" s="208">
        <f t="shared" si="31"/>
        <v>0</v>
      </c>
      <c r="O111" s="209">
        <f t="shared" si="31"/>
        <v>32559.195199999998</v>
      </c>
      <c r="P111" s="332">
        <f t="shared" si="31"/>
        <v>796.83300000000008</v>
      </c>
      <c r="Q111" s="296">
        <f t="shared" si="31"/>
        <v>0</v>
      </c>
      <c r="R111" s="297">
        <f t="shared" si="31"/>
        <v>33198.132799999999</v>
      </c>
      <c r="S111" s="209">
        <f t="shared" si="31"/>
        <v>1250.0544000000002</v>
      </c>
      <c r="T111" s="210" t="str">
        <f>T29</f>
        <v>NA</v>
      </c>
      <c r="U111" s="766">
        <f>U29</f>
        <v>31300.266666666666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256</v>
      </c>
      <c r="L112" s="335">
        <f t="shared" si="32"/>
        <v>256</v>
      </c>
      <c r="M112" s="199" t="str">
        <f t="shared" si="32"/>
        <v>NA</v>
      </c>
      <c r="N112" s="25">
        <f t="shared" si="32"/>
        <v>256</v>
      </c>
      <c r="O112" s="198">
        <f t="shared" si="32"/>
        <v>256</v>
      </c>
      <c r="P112" s="333" t="str">
        <f t="shared" si="32"/>
        <v>NA</v>
      </c>
      <c r="Q112" s="334">
        <f t="shared" si="32"/>
        <v>256</v>
      </c>
      <c r="R112" s="335">
        <f t="shared" si="32"/>
        <v>256</v>
      </c>
      <c r="S112" s="198">
        <f t="shared" si="32"/>
        <v>256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1610</v>
      </c>
      <c r="J113" s="332">
        <f t="shared" si="33"/>
        <v>1928.78</v>
      </c>
      <c r="K113" s="296">
        <f t="shared" si="33"/>
        <v>15430.24</v>
      </c>
      <c r="L113" s="297">
        <f t="shared" si="33"/>
        <v>15430.24</v>
      </c>
      <c r="M113" s="207">
        <f t="shared" si="33"/>
        <v>1969.0300000000002</v>
      </c>
      <c r="N113" s="208">
        <f t="shared" si="33"/>
        <v>15752.240000000002</v>
      </c>
      <c r="O113" s="209">
        <f t="shared" si="33"/>
        <v>15752.240000000002</v>
      </c>
      <c r="P113" s="332">
        <f t="shared" si="33"/>
        <v>2007.67</v>
      </c>
      <c r="Q113" s="296">
        <f t="shared" si="33"/>
        <v>16061.36</v>
      </c>
      <c r="R113" s="297">
        <f t="shared" si="33"/>
        <v>16061.36</v>
      </c>
      <c r="S113" s="209">
        <f t="shared" si="33"/>
        <v>13814.613333333335</v>
      </c>
      <c r="T113" s="209">
        <f>T45</f>
        <v>85909.450666666671</v>
      </c>
      <c r="U113" s="766">
        <f>U45</f>
        <v>117376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44</v>
      </c>
      <c r="F114" s="25">
        <f t="shared" si="34"/>
        <v>84</v>
      </c>
      <c r="G114" s="25">
        <f t="shared" si="34"/>
        <v>0</v>
      </c>
      <c r="H114" s="25">
        <f t="shared" si="34"/>
        <v>0</v>
      </c>
      <c r="I114" s="198">
        <f t="shared" si="34"/>
        <v>128</v>
      </c>
      <c r="J114" s="333" t="str">
        <f t="shared" si="34"/>
        <v>NA</v>
      </c>
      <c r="K114" s="334">
        <f t="shared" si="34"/>
        <v>1024</v>
      </c>
      <c r="L114" s="335">
        <f t="shared" si="34"/>
        <v>1024</v>
      </c>
      <c r="M114" s="199" t="str">
        <f t="shared" si="34"/>
        <v>NA</v>
      </c>
      <c r="N114" s="25">
        <f t="shared" si="34"/>
        <v>1024</v>
      </c>
      <c r="O114" s="198">
        <f t="shared" si="34"/>
        <v>1024</v>
      </c>
      <c r="P114" s="333" t="str">
        <f t="shared" si="34"/>
        <v>NA</v>
      </c>
      <c r="Q114" s="334">
        <f t="shared" si="34"/>
        <v>1024</v>
      </c>
      <c r="R114" s="335">
        <f t="shared" si="34"/>
        <v>1024</v>
      </c>
      <c r="S114" s="198">
        <f t="shared" si="34"/>
        <v>1024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1941</v>
      </c>
      <c r="F115" s="208">
        <f t="shared" si="35"/>
        <v>4138</v>
      </c>
      <c r="G115" s="208">
        <f t="shared" si="35"/>
        <v>0</v>
      </c>
      <c r="H115" s="208">
        <f t="shared" si="35"/>
        <v>0</v>
      </c>
      <c r="I115" s="209">
        <f t="shared" si="35"/>
        <v>14165</v>
      </c>
      <c r="J115" s="332">
        <f t="shared" si="35"/>
        <v>16969.669999999998</v>
      </c>
      <c r="K115" s="296">
        <f t="shared" si="35"/>
        <v>135757.35999999999</v>
      </c>
      <c r="L115" s="297">
        <f t="shared" si="35"/>
        <v>135757.35999999999</v>
      </c>
      <c r="M115" s="211">
        <f t="shared" si="35"/>
        <v>17206.645</v>
      </c>
      <c r="N115" s="208">
        <f t="shared" si="35"/>
        <v>137653.16</v>
      </c>
      <c r="O115" s="209">
        <f t="shared" si="35"/>
        <v>137653.16</v>
      </c>
      <c r="P115" s="332">
        <f t="shared" si="35"/>
        <v>17434.141000000003</v>
      </c>
      <c r="Q115" s="296">
        <f t="shared" si="35"/>
        <v>139473.12800000003</v>
      </c>
      <c r="R115" s="297">
        <f t="shared" si="35"/>
        <v>139473.12800000003</v>
      </c>
      <c r="S115" s="209">
        <f t="shared" si="35"/>
        <v>104371.34933333332</v>
      </c>
      <c r="T115" s="209">
        <f>T59</f>
        <v>33256.533333333333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12</v>
      </c>
      <c r="F116" s="25">
        <f t="shared" si="36"/>
        <v>44</v>
      </c>
      <c r="G116" s="25">
        <f t="shared" si="36"/>
        <v>7</v>
      </c>
      <c r="H116" s="25">
        <f t="shared" si="36"/>
        <v>1</v>
      </c>
      <c r="I116" s="198">
        <f t="shared" si="36"/>
        <v>64</v>
      </c>
      <c r="J116" s="333" t="str">
        <f t="shared" si="36"/>
        <v>NA</v>
      </c>
      <c r="K116" s="334">
        <f t="shared" si="36"/>
        <v>512</v>
      </c>
      <c r="L116" s="335">
        <f t="shared" si="36"/>
        <v>512</v>
      </c>
      <c r="M116" s="199" t="str">
        <f t="shared" si="36"/>
        <v>NA</v>
      </c>
      <c r="N116" s="25">
        <f t="shared" si="36"/>
        <v>512</v>
      </c>
      <c r="O116" s="198">
        <f t="shared" si="36"/>
        <v>512</v>
      </c>
      <c r="P116" s="333" t="str">
        <f t="shared" si="36"/>
        <v>NA</v>
      </c>
      <c r="Q116" s="334">
        <f t="shared" si="36"/>
        <v>512</v>
      </c>
      <c r="R116" s="335">
        <f t="shared" si="36"/>
        <v>512</v>
      </c>
      <c r="S116" s="198">
        <f t="shared" si="36"/>
        <v>512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529</v>
      </c>
      <c r="F117" s="208">
        <f t="shared" si="37"/>
        <v>2167</v>
      </c>
      <c r="G117" s="208">
        <f t="shared" si="37"/>
        <v>388</v>
      </c>
      <c r="H117" s="208">
        <f t="shared" si="37"/>
        <v>59</v>
      </c>
      <c r="I117" s="209">
        <f t="shared" si="37"/>
        <v>3143</v>
      </c>
      <c r="J117" s="332">
        <f t="shared" si="37"/>
        <v>3765.3140000000003</v>
      </c>
      <c r="K117" s="296">
        <f t="shared" si="37"/>
        <v>30122.512000000002</v>
      </c>
      <c r="L117" s="297">
        <f t="shared" si="37"/>
        <v>30122.512000000002</v>
      </c>
      <c r="M117" s="207">
        <f t="shared" si="37"/>
        <v>3843.8890000000001</v>
      </c>
      <c r="N117" s="208">
        <f t="shared" si="37"/>
        <v>30751.112000000001</v>
      </c>
      <c r="O117" s="209">
        <f t="shared" si="37"/>
        <v>30751.112000000001</v>
      </c>
      <c r="P117" s="339">
        <f t="shared" si="37"/>
        <v>3919.3209999999999</v>
      </c>
      <c r="Q117" s="296">
        <f t="shared" si="37"/>
        <v>31354.567999999999</v>
      </c>
      <c r="R117" s="297">
        <f t="shared" si="37"/>
        <v>31354.567999999999</v>
      </c>
      <c r="S117" s="209">
        <f t="shared" si="37"/>
        <v>30742.73066666667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1</v>
      </c>
      <c r="E118" s="214">
        <f t="shared" si="38"/>
        <v>14</v>
      </c>
      <c r="F118" s="214">
        <f t="shared" si="38"/>
        <v>36</v>
      </c>
      <c r="G118" s="214">
        <f t="shared" si="38"/>
        <v>5</v>
      </c>
      <c r="H118" s="214">
        <f t="shared" si="38"/>
        <v>0</v>
      </c>
      <c r="I118" s="215">
        <f t="shared" si="38"/>
        <v>56</v>
      </c>
      <c r="J118" s="336" t="str">
        <f t="shared" si="38"/>
        <v>NA</v>
      </c>
      <c r="K118" s="337" t="str">
        <f t="shared" si="38"/>
        <v>NA</v>
      </c>
      <c r="L118" s="294">
        <f t="shared" si="38"/>
        <v>366.4</v>
      </c>
      <c r="M118" s="216" t="str">
        <f t="shared" si="38"/>
        <v>NA</v>
      </c>
      <c r="N118" s="217" t="str">
        <f t="shared" si="38"/>
        <v>NA</v>
      </c>
      <c r="O118" s="215">
        <f t="shared" si="38"/>
        <v>366.4</v>
      </c>
      <c r="P118" s="336" t="str">
        <f t="shared" si="38"/>
        <v>NA</v>
      </c>
      <c r="Q118" s="337" t="str">
        <f t="shared" si="38"/>
        <v>NA</v>
      </c>
      <c r="R118" s="294">
        <f t="shared" si="38"/>
        <v>366.4</v>
      </c>
      <c r="S118" s="215">
        <f t="shared" si="38"/>
        <v>366.39999999999992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41</v>
      </c>
      <c r="E119" s="208">
        <f t="shared" si="39"/>
        <v>617</v>
      </c>
      <c r="F119" s="208">
        <f t="shared" si="39"/>
        <v>1773</v>
      </c>
      <c r="G119" s="208">
        <f t="shared" si="39"/>
        <v>277</v>
      </c>
      <c r="H119" s="208">
        <f t="shared" si="39"/>
        <v>0</v>
      </c>
      <c r="I119" s="209">
        <f t="shared" si="39"/>
        <v>2708</v>
      </c>
      <c r="J119" s="332">
        <f t="shared" si="39"/>
        <v>3244.1839999999997</v>
      </c>
      <c r="K119" s="338">
        <f t="shared" si="39"/>
        <v>24537.435999999998</v>
      </c>
      <c r="L119" s="297">
        <f t="shared" si="39"/>
        <v>21138.949599999996</v>
      </c>
      <c r="M119" s="211">
        <f t="shared" si="39"/>
        <v>3311.8840000000005</v>
      </c>
      <c r="N119" s="219">
        <f t="shared" si="39"/>
        <v>25049.486000000004</v>
      </c>
      <c r="O119" s="209">
        <f t="shared" si="39"/>
        <v>21580.079600000005</v>
      </c>
      <c r="P119" s="332">
        <f t="shared" si="39"/>
        <v>3376.8760000000002</v>
      </c>
      <c r="Q119" s="338">
        <f t="shared" si="39"/>
        <v>25541.054000000004</v>
      </c>
      <c r="R119" s="297">
        <f t="shared" si="39"/>
        <v>22003.564400000003</v>
      </c>
      <c r="S119" s="209">
        <f t="shared" si="39"/>
        <v>21574.197866666669</v>
      </c>
      <c r="T119" s="209">
        <f>T94</f>
        <v>14672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12</v>
      </c>
      <c r="G120" s="25">
        <f t="shared" si="40"/>
        <v>18</v>
      </c>
      <c r="H120" s="25">
        <f t="shared" si="40"/>
        <v>6</v>
      </c>
      <c r="I120" s="198">
        <f t="shared" si="40"/>
        <v>36</v>
      </c>
      <c r="J120" s="333" t="str">
        <f t="shared" si="40"/>
        <v>NA</v>
      </c>
      <c r="K120" s="334">
        <f t="shared" si="40"/>
        <v>288</v>
      </c>
      <c r="L120" s="335">
        <f t="shared" si="40"/>
        <v>288</v>
      </c>
      <c r="M120" s="199" t="str">
        <f t="shared" si="40"/>
        <v>NA</v>
      </c>
      <c r="N120" s="25">
        <f t="shared" si="40"/>
        <v>288</v>
      </c>
      <c r="O120" s="198">
        <f t="shared" si="40"/>
        <v>288</v>
      </c>
      <c r="P120" s="333" t="str">
        <f t="shared" si="40"/>
        <v>NA</v>
      </c>
      <c r="Q120" s="334">
        <f t="shared" si="40"/>
        <v>288</v>
      </c>
      <c r="R120" s="335">
        <f t="shared" si="40"/>
        <v>288</v>
      </c>
      <c r="S120" s="198">
        <f t="shared" si="40"/>
        <v>288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591</v>
      </c>
      <c r="G121" s="221">
        <f t="shared" si="41"/>
        <v>999</v>
      </c>
      <c r="H121" s="221">
        <f t="shared" si="41"/>
        <v>352</v>
      </c>
      <c r="I121" s="222">
        <f t="shared" si="41"/>
        <v>1942</v>
      </c>
      <c r="J121" s="304">
        <f t="shared" si="41"/>
        <v>2326.5159999999996</v>
      </c>
      <c r="K121" s="305">
        <f t="shared" si="41"/>
        <v>18612.127999999997</v>
      </c>
      <c r="L121" s="306">
        <f t="shared" si="41"/>
        <v>18612.127999999997</v>
      </c>
      <c r="M121" s="220">
        <f t="shared" si="41"/>
        <v>2375.0660000000003</v>
      </c>
      <c r="N121" s="221">
        <f t="shared" si="41"/>
        <v>19000.528000000002</v>
      </c>
      <c r="O121" s="222">
        <f t="shared" si="41"/>
        <v>19000.528000000002</v>
      </c>
      <c r="P121" s="311">
        <f t="shared" si="41"/>
        <v>2421.674</v>
      </c>
      <c r="Q121" s="305">
        <f t="shared" si="41"/>
        <v>19373.392</v>
      </c>
      <c r="R121" s="306">
        <f t="shared" si="41"/>
        <v>19373.392</v>
      </c>
      <c r="S121" s="222">
        <f t="shared" si="41"/>
        <v>18995.349333333335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23</v>
      </c>
      <c r="E123" s="101">
        <f t="shared" si="42"/>
        <v>86</v>
      </c>
      <c r="F123" s="101">
        <f t="shared" si="42"/>
        <v>184</v>
      </c>
      <c r="G123" s="101">
        <f t="shared" si="42"/>
        <v>30</v>
      </c>
      <c r="H123" s="101">
        <f t="shared" si="42"/>
        <v>7</v>
      </c>
      <c r="I123" s="102">
        <f t="shared" si="42"/>
        <v>330</v>
      </c>
      <c r="J123" s="340" t="s">
        <v>12</v>
      </c>
      <c r="K123" s="281">
        <f>K108+K110+K112+K114+K116+K120</f>
        <v>2192</v>
      </c>
      <c r="L123" s="289">
        <f>L108+L110+L112+L114+L116+L118+L120</f>
        <v>2468.8000000000002</v>
      </c>
      <c r="M123" s="103" t="s">
        <v>12</v>
      </c>
      <c r="N123" s="101">
        <f>N108+N110+N112+N114+N116+N120</f>
        <v>2192</v>
      </c>
      <c r="O123" s="102">
        <f>O108+O110+O112+O114+O116+O118+O120</f>
        <v>2468.8000000000002</v>
      </c>
      <c r="P123" s="340" t="s">
        <v>12</v>
      </c>
      <c r="Q123" s="281">
        <f>Q108+Q110+Q112+Q114+Q116+Q120</f>
        <v>2192</v>
      </c>
      <c r="R123" s="289">
        <f>R108+R110+R112+R114+R116+R118+R120</f>
        <v>2468.8000000000002</v>
      </c>
      <c r="S123" s="174">
        <f>S108+S110+S112+S114+S116+S118+S120</f>
        <v>2468.8000000000002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302</v>
      </c>
      <c r="E124" s="583">
        <f t="shared" si="42"/>
        <v>3103</v>
      </c>
      <c r="F124" s="583">
        <f t="shared" si="42"/>
        <v>9063</v>
      </c>
      <c r="G124" s="583">
        <f t="shared" si="42"/>
        <v>1664</v>
      </c>
      <c r="H124" s="583">
        <f t="shared" si="42"/>
        <v>411</v>
      </c>
      <c r="I124" s="584">
        <f t="shared" si="42"/>
        <v>24207</v>
      </c>
      <c r="J124" s="585">
        <f>J109+J111+J113+J115+J117+J119+J121</f>
        <v>28999.986000000001</v>
      </c>
      <c r="K124" s="586">
        <f>K109+K111+K113+K115+K117+K121</f>
        <v>199922.23999999996</v>
      </c>
      <c r="L124" s="587">
        <f>L109+L111+L113+L115+L117+L119+L121</f>
        <v>252954.82479999997</v>
      </c>
      <c r="M124" s="582">
        <f>M109+M111+M113+M115+M117+M119+M121</f>
        <v>29488.010999999999</v>
      </c>
      <c r="N124" s="588">
        <f>N109+N111+N113+N115+N117+N121</f>
        <v>203157.03999999998</v>
      </c>
      <c r="O124" s="584">
        <f>O109+O111+O113+O115+O117+O119+O121</f>
        <v>257296.31479999999</v>
      </c>
      <c r="P124" s="589">
        <f>P109+P111+P113+P115+P117+P119+P121</f>
        <v>29956.515000000003</v>
      </c>
      <c r="Q124" s="586">
        <f>Q109+Q111+Q113+Q115+Q117+Q121</f>
        <v>206262.448</v>
      </c>
      <c r="R124" s="587">
        <f>R109+R111+R113+R115+R117+R119+R121</f>
        <v>261464.14520000003</v>
      </c>
      <c r="S124" s="590">
        <f>S109+S111+S113+S115+S117+S119+S121</f>
        <v>190748.29493333332</v>
      </c>
      <c r="T124" s="584">
        <f>SUM(T109,T111,T113,T115,T117,T119,T121)</f>
        <v>133837.984</v>
      </c>
      <c r="U124" s="591">
        <f>SUM(U109,U111,U113,U115,U117,U119,U121)</f>
        <v>148676.26666666666</v>
      </c>
    </row>
  </sheetData>
  <mergeCells count="35">
    <mergeCell ref="G96:I96"/>
    <mergeCell ref="Q8:R8"/>
    <mergeCell ref="K8:L8"/>
    <mergeCell ref="N8:O8"/>
    <mergeCell ref="G61:I61"/>
    <mergeCell ref="G76:I76"/>
    <mergeCell ref="N19:O19"/>
    <mergeCell ref="G48:I48"/>
    <mergeCell ref="G47:I47"/>
    <mergeCell ref="K62:L62"/>
    <mergeCell ref="C5:I5"/>
    <mergeCell ref="G18:I18"/>
    <mergeCell ref="G31:I31"/>
    <mergeCell ref="N90:O90"/>
    <mergeCell ref="S2:T2"/>
    <mergeCell ref="Q19:R19"/>
    <mergeCell ref="G7:I7"/>
    <mergeCell ref="K19:L19"/>
    <mergeCell ref="F2:G2"/>
    <mergeCell ref="G32:I32"/>
    <mergeCell ref="K97:L97"/>
    <mergeCell ref="N32:O32"/>
    <mergeCell ref="N48:O48"/>
    <mergeCell ref="N77:O77"/>
    <mergeCell ref="N97:O97"/>
    <mergeCell ref="N62:O62"/>
    <mergeCell ref="K32:L32"/>
    <mergeCell ref="K77:L77"/>
    <mergeCell ref="K48:L48"/>
    <mergeCell ref="Q97:R97"/>
    <mergeCell ref="Q32:R32"/>
    <mergeCell ref="Q48:R48"/>
    <mergeCell ref="Q62:R62"/>
    <mergeCell ref="Q90:R90"/>
    <mergeCell ref="Q77:R77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V124"/>
  <sheetViews>
    <sheetView topLeftCell="A39" zoomScaleNormal="100" workbookViewId="0">
      <selection activeCell="I66" sqref="I66"/>
    </sheetView>
  </sheetViews>
  <sheetFormatPr defaultRowHeight="12.75"/>
  <cols>
    <col min="1" max="1" width="1.140625" customWidth="1"/>
    <col min="2" max="2" width="31.42578125" customWidth="1"/>
    <col min="3" max="3" width="15.570312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645" t="s">
        <v>211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10</v>
      </c>
      <c r="M4" s="396" t="s">
        <v>71</v>
      </c>
      <c r="N4" s="431" t="s">
        <v>69</v>
      </c>
      <c r="O4" s="20">
        <v>10</v>
      </c>
      <c r="P4" s="425" t="s">
        <v>71</v>
      </c>
      <c r="Q4" s="429" t="s">
        <v>69</v>
      </c>
      <c r="R4" s="20">
        <v>10</v>
      </c>
      <c r="S4" s="115" t="s">
        <v>69</v>
      </c>
      <c r="T4" s="106">
        <f>AVERAGE(L4,O4,R4)</f>
        <v>10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7</v>
      </c>
      <c r="K5" s="342" t="s">
        <v>70</v>
      </c>
      <c r="L5" s="343">
        <f>L4*$I$4</f>
        <v>0</v>
      </c>
      <c r="M5" s="632">
        <v>7</v>
      </c>
      <c r="N5" s="344" t="s">
        <v>70</v>
      </c>
      <c r="O5" s="345">
        <f>O4*$I$4</f>
        <v>0</v>
      </c>
      <c r="P5" s="631">
        <v>7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196</v>
      </c>
      <c r="C7" s="239"/>
      <c r="D7" s="431" t="s">
        <v>54</v>
      </c>
      <c r="E7" s="28">
        <v>5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48">
        <f>SUM(C10:H10)</f>
        <v>0</v>
      </c>
      <c r="J10" s="263" t="s">
        <v>12</v>
      </c>
      <c r="K10" s="264">
        <f>I10*$J$5</f>
        <v>0</v>
      </c>
      <c r="L10" s="265">
        <f>K10/$E$7</f>
        <v>0</v>
      </c>
      <c r="M10" s="58" t="s">
        <v>12</v>
      </c>
      <c r="N10" s="432">
        <f>I10*$M$5</f>
        <v>0</v>
      </c>
      <c r="O10" s="68">
        <f>N10/$E$7</f>
        <v>0</v>
      </c>
      <c r="P10" s="263" t="s">
        <v>12</v>
      </c>
      <c r="Q10" s="433">
        <f>$I10*$M$5</f>
        <v>0</v>
      </c>
      <c r="R10" s="289">
        <f>Q10/$E$7</f>
        <v>0</v>
      </c>
      <c r="S10" s="121">
        <f>AVERAGE(L10,O10,R10)</f>
        <v>0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0</v>
      </c>
      <c r="G11" s="23">
        <f>ROUND(G10*Labor!$D$7,0)</f>
        <v>0</v>
      </c>
      <c r="H11" s="23">
        <f>ROUND(H10*Labor!$D$8,0)</f>
        <v>0</v>
      </c>
      <c r="I11" s="382">
        <f>SUM(C11:H11)</f>
        <v>0</v>
      </c>
      <c r="J11" s="383">
        <f>HLOOKUP(Labor!$B$11,InflationTable,2)*$I11</f>
        <v>0</v>
      </c>
      <c r="K11" s="384">
        <f>J11*$J$5</f>
        <v>0</v>
      </c>
      <c r="L11" s="385">
        <f>K11/$E$7</f>
        <v>0</v>
      </c>
      <c r="M11" s="386">
        <f>HLOOKUP(Labor!$B$11,InflationTable,3)*$I11</f>
        <v>0</v>
      </c>
      <c r="N11" s="387">
        <f>M11*$J$5</f>
        <v>0</v>
      </c>
      <c r="O11" s="388">
        <f>N11/$E$7</f>
        <v>0</v>
      </c>
      <c r="P11" s="383">
        <f>HLOOKUP(Labor!$B$11,InflationTable,4)*$I11</f>
        <v>0</v>
      </c>
      <c r="Q11" s="384">
        <f>P11*$J$5</f>
        <v>0</v>
      </c>
      <c r="R11" s="385">
        <f>Q11/$E$7</f>
        <v>0</v>
      </c>
      <c r="S11" s="379">
        <f>AVERAGE(L11,O11,R11)</f>
        <v>0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48">
        <f>SUM(C13:H13)</f>
        <v>0</v>
      </c>
      <c r="J13" s="263" t="s">
        <v>12</v>
      </c>
      <c r="K13" s="264">
        <f>I13*$J$5</f>
        <v>0</v>
      </c>
      <c r="L13" s="265">
        <f>K13/$E$7</f>
        <v>0</v>
      </c>
      <c r="M13" s="58" t="s">
        <v>12</v>
      </c>
      <c r="N13" s="60">
        <f>I13*$M$5</f>
        <v>0</v>
      </c>
      <c r="O13" s="59">
        <f>N13/$E$7</f>
        <v>0</v>
      </c>
      <c r="P13" s="263" t="s">
        <v>12</v>
      </c>
      <c r="Q13" s="291">
        <f>$I13*$P$5</f>
        <v>0</v>
      </c>
      <c r="R13" s="282">
        <f>Q13/$E$7</f>
        <v>0</v>
      </c>
      <c r="S13" s="121">
        <f>AVERAGE(L13,O13,R13)</f>
        <v>0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0</v>
      </c>
      <c r="G14" s="374">
        <f>ROUND(G13*Labor!$D$7,0)</f>
        <v>0</v>
      </c>
      <c r="H14" s="374">
        <f>ROUND(H13*Labor!$D$8,0)</f>
        <v>0</v>
      </c>
      <c r="I14" s="375">
        <f>SUM(C14:H14)</f>
        <v>0</v>
      </c>
      <c r="J14" s="332">
        <f>HLOOKUP(Labor!$B$11,InflationTable,2)*I14</f>
        <v>0</v>
      </c>
      <c r="K14" s="296">
        <f>J14*$J$5</f>
        <v>0</v>
      </c>
      <c r="L14" s="297">
        <f>K14/$E$7</f>
        <v>0</v>
      </c>
      <c r="M14" s="376">
        <f>HLOOKUP(Labor!$B$11,InflationTable,3)*I14</f>
        <v>0</v>
      </c>
      <c r="N14" s="377">
        <f>M14*$J$5</f>
        <v>0</v>
      </c>
      <c r="O14" s="378">
        <f>N14/$E$7</f>
        <v>0</v>
      </c>
      <c r="P14" s="339">
        <f>HLOOKUP(Labor!$B$11,InflationTable,4)*I14</f>
        <v>0</v>
      </c>
      <c r="Q14" s="296">
        <f>P14*$J$5</f>
        <v>0</v>
      </c>
      <c r="R14" s="297">
        <f>Q14/$E$7</f>
        <v>0</v>
      </c>
      <c r="S14" s="379">
        <f>AVERAGE(L14,O14,R14)</f>
        <v>0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0</v>
      </c>
      <c r="G15" s="33">
        <f t="shared" si="0"/>
        <v>0</v>
      </c>
      <c r="H15" s="33">
        <f t="shared" si="0"/>
        <v>0</v>
      </c>
      <c r="I15" s="49">
        <f t="shared" si="0"/>
        <v>0</v>
      </c>
      <c r="J15" s="271" t="s">
        <v>12</v>
      </c>
      <c r="K15" s="272">
        <f>K10+K13</f>
        <v>0</v>
      </c>
      <c r="L15" s="273">
        <f>L10+L13</f>
        <v>0</v>
      </c>
      <c r="M15" s="61" t="s">
        <v>12</v>
      </c>
      <c r="N15" s="426">
        <f>I15*$M$5</f>
        <v>0</v>
      </c>
      <c r="O15" s="62">
        <f>N15/$E$7</f>
        <v>0</v>
      </c>
      <c r="P15" s="293" t="s">
        <v>12</v>
      </c>
      <c r="Q15" s="433">
        <f>$I15*$P$5</f>
        <v>0</v>
      </c>
      <c r="R15" s="294">
        <f>Q15/$E$7</f>
        <v>0</v>
      </c>
      <c r="S15" s="121">
        <f>AVERAGE(L15,O15,R15)</f>
        <v>0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0</v>
      </c>
      <c r="G16" s="240">
        <f t="shared" si="0"/>
        <v>0</v>
      </c>
      <c r="H16" s="240">
        <f t="shared" si="0"/>
        <v>0</v>
      </c>
      <c r="I16" s="241">
        <f t="shared" si="0"/>
        <v>0</v>
      </c>
      <c r="J16" s="274">
        <f>J11+J14</f>
        <v>0</v>
      </c>
      <c r="K16" s="275">
        <f>K11+K14</f>
        <v>0</v>
      </c>
      <c r="L16" s="276">
        <f>L11+L14</f>
        <v>0</v>
      </c>
      <c r="M16" s="242">
        <f>M11+M14</f>
        <v>0</v>
      </c>
      <c r="N16" s="240">
        <f>N11+N14</f>
        <v>0</v>
      </c>
      <c r="O16" s="243">
        <f>O11+O14</f>
        <v>0</v>
      </c>
      <c r="P16" s="295">
        <f>P11+P14</f>
        <v>0</v>
      </c>
      <c r="Q16" s="296">
        <f>P16*$P$5</f>
        <v>0</v>
      </c>
      <c r="R16" s="297">
        <f>Q16/$E$7</f>
        <v>0</v>
      </c>
      <c r="S16" s="211">
        <f>AVERAGE(L16,O16,R16)</f>
        <v>0</v>
      </c>
      <c r="T16" s="218" t="s">
        <v>12</v>
      </c>
      <c r="U16" s="218" t="s">
        <v>12</v>
      </c>
    </row>
    <row r="17" spans="1:22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410"/>
      <c r="V17" s="5"/>
    </row>
    <row r="18" spans="1:22" ht="16.5" thickTop="1">
      <c r="A18" s="615"/>
      <c r="B18" s="181" t="s">
        <v>16</v>
      </c>
      <c r="C18" s="72"/>
      <c r="D18" s="431" t="s">
        <v>54</v>
      </c>
      <c r="E18" s="70">
        <v>5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2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2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2">
      <c r="A21" s="615"/>
      <c r="B21" s="608" t="s">
        <v>14</v>
      </c>
      <c r="C21" s="163">
        <f>VLOOKUP(C$2,Monitor_Costs,2,FALSE)</f>
        <v>16000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19168</v>
      </c>
      <c r="K21" s="279">
        <f>J21*$L$4</f>
        <v>191680</v>
      </c>
      <c r="L21" s="280">
        <f>K21/$E$18</f>
        <v>38336</v>
      </c>
      <c r="M21" s="78">
        <f>HLOOKUP($D$21,InflationTable,3)*$C$21</f>
        <v>19568</v>
      </c>
      <c r="N21" s="27">
        <f>M21*$L$4</f>
        <v>195680</v>
      </c>
      <c r="O21" s="182">
        <f>N21/$E$18</f>
        <v>39136</v>
      </c>
      <c r="P21" s="298">
        <f>HLOOKUP($D$21,InflationTable,4)*$C$21</f>
        <v>19952</v>
      </c>
      <c r="Q21" s="279">
        <f>P21*$L$4</f>
        <v>199520</v>
      </c>
      <c r="R21" s="280">
        <f>Q21/$E$18</f>
        <v>39904</v>
      </c>
      <c r="S21" s="127" t="s">
        <v>12</v>
      </c>
      <c r="T21" s="119" t="s">
        <v>12</v>
      </c>
      <c r="U21" s="139">
        <f>AVERAGE(L21,O21,R21)</f>
        <v>39125.333333333336</v>
      </c>
    </row>
    <row r="22" spans="1:22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0</v>
      </c>
      <c r="L22" s="308">
        <f>K22/$E$18</f>
        <v>0</v>
      </c>
      <c r="M22" s="4"/>
      <c r="N22" s="104">
        <f>M21*$L$5</f>
        <v>0</v>
      </c>
      <c r="O22" s="370">
        <f>N22/$E$18</f>
        <v>0</v>
      </c>
      <c r="P22" s="371"/>
      <c r="Q22" s="355">
        <f>P21*$L$5</f>
        <v>0</v>
      </c>
      <c r="R22" s="308">
        <f>Q22/$E$18</f>
        <v>0</v>
      </c>
      <c r="S22" s="359" t="s">
        <v>12</v>
      </c>
      <c r="T22" s="149" t="s">
        <v>12</v>
      </c>
      <c r="U22" s="372">
        <f>AVERAGE(L22,O22,R22)</f>
        <v>0</v>
      </c>
    </row>
    <row r="23" spans="1:22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2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8</v>
      </c>
      <c r="G24" s="21">
        <v>0</v>
      </c>
      <c r="H24" s="21">
        <v>0</v>
      </c>
      <c r="I24" s="48">
        <f>SUM(C24:H24)</f>
        <v>8</v>
      </c>
      <c r="J24" s="263" t="s">
        <v>12</v>
      </c>
      <c r="K24" s="281">
        <f>I24*($L$4+$L$5)</f>
        <v>80</v>
      </c>
      <c r="L24" s="282">
        <f>K24/$E$18</f>
        <v>16</v>
      </c>
      <c r="M24" s="58" t="s">
        <v>12</v>
      </c>
      <c r="N24" s="69">
        <f>$I$24*($O$4+$O$5)</f>
        <v>80</v>
      </c>
      <c r="O24" s="59">
        <f>N24/$E$18</f>
        <v>16</v>
      </c>
      <c r="P24" s="263" t="s">
        <v>12</v>
      </c>
      <c r="Q24" s="281">
        <f>$I$24*($R$4+$R$5)</f>
        <v>80</v>
      </c>
      <c r="R24" s="282">
        <f>Q24/$E$18</f>
        <v>16</v>
      </c>
      <c r="S24" s="151">
        <f>AVERAGE(L24,O24,R24)</f>
        <v>16</v>
      </c>
      <c r="T24" s="119" t="s">
        <v>12</v>
      </c>
      <c r="U24" s="140" t="s">
        <v>12</v>
      </c>
    </row>
    <row r="25" spans="1:22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394</v>
      </c>
      <c r="G25" s="374">
        <f>ROUND(G24*Labor!$D$7,0)</f>
        <v>0</v>
      </c>
      <c r="H25" s="374">
        <f>ROUND(H24*Labor!$D$8,0)</f>
        <v>0</v>
      </c>
      <c r="I25" s="375">
        <f>SUM(C25:H25)</f>
        <v>394</v>
      </c>
      <c r="J25" s="332">
        <f>HLOOKUP(Labor!$B$11,InflationTable,2)*I25</f>
        <v>472.012</v>
      </c>
      <c r="K25" s="296">
        <f>J25*($L$4+$L$5)</f>
        <v>4720.12</v>
      </c>
      <c r="L25" s="297">
        <f>K25/$E$18</f>
        <v>944.024</v>
      </c>
      <c r="M25" s="376">
        <f>HLOOKUP(Labor!$B$11,InflationTable,3)*$I25</f>
        <v>481.86200000000002</v>
      </c>
      <c r="N25" s="377">
        <f>M25*$L$4</f>
        <v>4818.62</v>
      </c>
      <c r="O25" s="378">
        <f>N25/$E$18</f>
        <v>963.72399999999993</v>
      </c>
      <c r="P25" s="332">
        <f>HLOOKUP(Labor!$B$11,InflationTable,4)*$I25</f>
        <v>491.31800000000004</v>
      </c>
      <c r="Q25" s="296">
        <f>P25*$L$4</f>
        <v>4913.18</v>
      </c>
      <c r="R25" s="390">
        <f>Q25/$E$18</f>
        <v>982.63600000000008</v>
      </c>
      <c r="S25" s="391">
        <f>AVERAGE(L25,O25,R25)</f>
        <v>963.4613333333333</v>
      </c>
      <c r="T25" s="218" t="s">
        <v>12</v>
      </c>
      <c r="U25" s="392" t="s">
        <v>12</v>
      </c>
    </row>
    <row r="26" spans="1:22">
      <c r="A26" s="615"/>
      <c r="B26" s="112" t="s">
        <v>118</v>
      </c>
      <c r="C26" s="346">
        <v>0</v>
      </c>
      <c r="D26" s="365">
        <v>6</v>
      </c>
      <c r="E26" s="365">
        <v>0</v>
      </c>
      <c r="F26" s="365">
        <v>0</v>
      </c>
      <c r="G26" s="365">
        <v>0</v>
      </c>
      <c r="H26" s="365">
        <v>0</v>
      </c>
      <c r="I26" s="366">
        <f>SUM(C26:H26)</f>
        <v>6</v>
      </c>
      <c r="J26" s="293" t="s">
        <v>12</v>
      </c>
      <c r="K26" s="334">
        <f>I26*$L$4</f>
        <v>60</v>
      </c>
      <c r="L26" s="294">
        <f>K26/$E$18</f>
        <v>12</v>
      </c>
      <c r="M26" s="61" t="s">
        <v>12</v>
      </c>
      <c r="N26" s="348">
        <f>I26*$O$4</f>
        <v>60</v>
      </c>
      <c r="O26" s="62">
        <f>N26/$E$18</f>
        <v>12</v>
      </c>
      <c r="P26" s="293" t="s">
        <v>12</v>
      </c>
      <c r="Q26" s="327">
        <f>$I26*$O$4</f>
        <v>60</v>
      </c>
      <c r="R26" s="367">
        <f>Q26/$E$18</f>
        <v>12</v>
      </c>
      <c r="S26" s="129">
        <f>AVERAGE(L26,O26,R26)</f>
        <v>12</v>
      </c>
      <c r="T26" s="136" t="s">
        <v>12</v>
      </c>
      <c r="U26" s="147" t="s">
        <v>12</v>
      </c>
    </row>
    <row r="27" spans="1:22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245</v>
      </c>
      <c r="E27" s="374">
        <f>ROUND(E26*Labor!$D$5,0)</f>
        <v>0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245</v>
      </c>
      <c r="J27" s="332">
        <f>HLOOKUP(Labor!$B$11,InflationTable,2)*I27</f>
        <v>293.51</v>
      </c>
      <c r="K27" s="296">
        <f>J27*$L$4</f>
        <v>2935.1</v>
      </c>
      <c r="L27" s="297">
        <f>K27/$E$18</f>
        <v>587.02</v>
      </c>
      <c r="M27" s="376">
        <f>HLOOKUP(Labor!$B$11,InflationTable,3)*$I27</f>
        <v>299.63500000000005</v>
      </c>
      <c r="N27" s="377">
        <f>M27*$O$4</f>
        <v>2996.3500000000004</v>
      </c>
      <c r="O27" s="378">
        <f>N27/$E$18</f>
        <v>599.2700000000001</v>
      </c>
      <c r="P27" s="339">
        <f>HLOOKUP(Labor!$B$11,InflationTable,4)*$I27</f>
        <v>305.51500000000004</v>
      </c>
      <c r="Q27" s="296">
        <f>P27*$R$4</f>
        <v>3055.1500000000005</v>
      </c>
      <c r="R27" s="297">
        <f>Q27/$E$18</f>
        <v>611.03000000000009</v>
      </c>
      <c r="S27" s="211">
        <f>AVERAGE(L27,O27,R27)</f>
        <v>599.10666666666668</v>
      </c>
      <c r="T27" s="393" t="s">
        <v>12</v>
      </c>
      <c r="U27" s="392" t="s">
        <v>12</v>
      </c>
    </row>
    <row r="28" spans="1:22">
      <c r="A28" s="615"/>
      <c r="B28" s="605" t="s">
        <v>66</v>
      </c>
      <c r="C28" s="33">
        <f t="shared" ref="C28:I28" si="1">C24+C26</f>
        <v>0</v>
      </c>
      <c r="D28" s="33">
        <f t="shared" si="1"/>
        <v>6</v>
      </c>
      <c r="E28" s="33">
        <f t="shared" si="1"/>
        <v>0</v>
      </c>
      <c r="F28" s="33">
        <f t="shared" si="1"/>
        <v>8</v>
      </c>
      <c r="G28" s="33">
        <f t="shared" si="1"/>
        <v>0</v>
      </c>
      <c r="H28" s="33">
        <f t="shared" si="1"/>
        <v>0</v>
      </c>
      <c r="I28" s="49">
        <f t="shared" si="1"/>
        <v>14</v>
      </c>
      <c r="J28" s="284" t="s">
        <v>12</v>
      </c>
      <c r="K28" s="285">
        <f>K24+K26</f>
        <v>140</v>
      </c>
      <c r="L28" s="286">
        <f>L24+L26</f>
        <v>28</v>
      </c>
      <c r="M28" s="44" t="s">
        <v>12</v>
      </c>
      <c r="N28" s="33">
        <f>N24+N26</f>
        <v>140</v>
      </c>
      <c r="O28" s="40">
        <f>O24+O26</f>
        <v>28</v>
      </c>
      <c r="P28" s="284" t="s">
        <v>12</v>
      </c>
      <c r="Q28" s="285">
        <f>Q24+Q26</f>
        <v>140</v>
      </c>
      <c r="R28" s="286">
        <f>R24+R26</f>
        <v>28</v>
      </c>
      <c r="S28" s="175">
        <f>AVERAGE(L28,O28,R28)</f>
        <v>28</v>
      </c>
      <c r="T28" s="136" t="s">
        <v>12</v>
      </c>
      <c r="U28" s="147" t="s">
        <v>12</v>
      </c>
    </row>
    <row r="29" spans="1:22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245</v>
      </c>
      <c r="E29" s="240">
        <f t="shared" si="2"/>
        <v>0</v>
      </c>
      <c r="F29" s="240">
        <f t="shared" si="2"/>
        <v>394</v>
      </c>
      <c r="G29" s="240">
        <f t="shared" si="2"/>
        <v>0</v>
      </c>
      <c r="H29" s="240">
        <f t="shared" si="2"/>
        <v>0</v>
      </c>
      <c r="I29" s="241">
        <f t="shared" si="2"/>
        <v>639</v>
      </c>
      <c r="J29" s="274">
        <f t="shared" si="2"/>
        <v>765.52199999999993</v>
      </c>
      <c r="K29" s="287"/>
      <c r="L29" s="276">
        <f>L27+L25+L22+L21</f>
        <v>39867.044000000002</v>
      </c>
      <c r="M29" s="242">
        <f>M27+M25</f>
        <v>781.49700000000007</v>
      </c>
      <c r="N29" s="247"/>
      <c r="O29" s="243">
        <f>O27+O25+O22+O21</f>
        <v>40698.993999999999</v>
      </c>
      <c r="P29" s="274">
        <f>P27+P25</f>
        <v>796.83300000000008</v>
      </c>
      <c r="Q29" s="287"/>
      <c r="R29" s="276">
        <f>R27+R25+R22+R21</f>
        <v>41497.665999999997</v>
      </c>
      <c r="S29" s="248">
        <f>SUM(S27,S25)</f>
        <v>1562.568</v>
      </c>
      <c r="T29" s="249" t="s">
        <v>12</v>
      </c>
      <c r="U29" s="250">
        <f>SUM(U21:U22)</f>
        <v>39125.333333333336</v>
      </c>
    </row>
    <row r="30" spans="1:22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5"/>
    </row>
    <row r="31" spans="1:22" ht="16.5" thickTop="1">
      <c r="A31" s="615"/>
      <c r="B31" s="710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508"/>
    </row>
    <row r="32" spans="1:22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227"/>
    </row>
    <row r="33" spans="1:22">
      <c r="A33" s="615"/>
      <c r="B33" s="1" t="s">
        <v>201</v>
      </c>
      <c r="C33" s="23" t="s">
        <v>60</v>
      </c>
      <c r="D33" s="23" t="s">
        <v>62</v>
      </c>
      <c r="E33" s="484"/>
      <c r="F33" s="5"/>
      <c r="G33" s="5"/>
      <c r="H33" s="5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227"/>
    </row>
    <row r="34" spans="1:22" s="1" customFormat="1">
      <c r="A34" s="616"/>
      <c r="B34" s="729" t="s">
        <v>18</v>
      </c>
      <c r="C34" s="458">
        <f>VLOOKUP(C$2,Monitor_Costs,4,FALSE)</f>
        <v>125</v>
      </c>
      <c r="D34" s="381">
        <f>VLOOKUP(C$2,Monitor_Costs,5,FALSE)</f>
        <v>2013</v>
      </c>
      <c r="E34" s="431"/>
      <c r="H34" s="112"/>
      <c r="I34" s="145"/>
      <c r="J34" s="749">
        <f>HLOOKUP($D$34,InflationTable,2)*$C34</f>
        <v>149.75</v>
      </c>
      <c r="K34" s="384">
        <f>J34*$L$4</f>
        <v>1497.5</v>
      </c>
      <c r="L34" s="385">
        <f>K34</f>
        <v>1497.5</v>
      </c>
      <c r="M34" s="446">
        <f>HLOOKUP($D$34,InflationTable,3)*$C34</f>
        <v>152.875</v>
      </c>
      <c r="N34" s="387">
        <f>M34*$O$4</f>
        <v>1528.75</v>
      </c>
      <c r="O34" s="388">
        <f>N34</f>
        <v>1528.75</v>
      </c>
      <c r="P34" s="384">
        <f>HLOOKUP($D$34,InflationTable,4)*$C34</f>
        <v>155.875</v>
      </c>
      <c r="Q34" s="737">
        <f>P34*$R$4</f>
        <v>1558.75</v>
      </c>
      <c r="R34" s="385">
        <f>Q34</f>
        <v>1558.75</v>
      </c>
      <c r="S34" s="462" t="s">
        <v>12</v>
      </c>
      <c r="T34" s="382">
        <f>AVERAGE(L34,O34,R34)</f>
        <v>1528.3333333333333</v>
      </c>
      <c r="U34" s="511" t="s">
        <v>12</v>
      </c>
    </row>
    <row r="35" spans="1:22" s="1" customFormat="1">
      <c r="A35" s="616"/>
      <c r="B35" s="741" t="str">
        <f>VLOOKUP(C$2,Monitor_Costs,10,FALSE)</f>
        <v>Carbonyl sample cartridges</v>
      </c>
      <c r="C35" s="458">
        <f>VLOOKUP(C$2,Monitor_Costs,11,FALSE)</f>
        <v>1450</v>
      </c>
      <c r="D35" s="381">
        <f>VLOOKUP(C$2,Monitor_Costs,12,FALSE)</f>
        <v>2013</v>
      </c>
      <c r="E35" s="492"/>
      <c r="F35" s="396"/>
      <c r="G35" s="112"/>
      <c r="H35" s="112"/>
      <c r="I35" s="145"/>
      <c r="J35" s="661">
        <f>HLOOKUP($D$34,InflationTable,2)*$C35</f>
        <v>1737.1</v>
      </c>
      <c r="K35" s="750">
        <f>J35*$L$4</f>
        <v>17371</v>
      </c>
      <c r="L35" s="751">
        <f>K35</f>
        <v>17371</v>
      </c>
      <c r="M35" s="752">
        <f>HLOOKUP($D$34,InflationTable,3)*$C35</f>
        <v>1773.3500000000001</v>
      </c>
      <c r="N35" s="753">
        <f>M35*$O$4</f>
        <v>17733.5</v>
      </c>
      <c r="O35" s="754">
        <f>N35</f>
        <v>17733.5</v>
      </c>
      <c r="P35" s="750">
        <f>HLOOKUP($D$34,InflationTable,4)*$C35</f>
        <v>1808.15</v>
      </c>
      <c r="Q35" s="384">
        <f>P35*$R$4</f>
        <v>18081.5</v>
      </c>
      <c r="R35" s="385">
        <f>Q35</f>
        <v>18081.5</v>
      </c>
      <c r="S35" s="462" t="s">
        <v>12</v>
      </c>
      <c r="T35" s="382">
        <f>AVERAGE(L35,O35,R35)</f>
        <v>17728.666666666668</v>
      </c>
      <c r="U35" s="511" t="s">
        <v>12</v>
      </c>
    </row>
    <row r="36" spans="1:22" s="1" customFormat="1">
      <c r="A36" s="616"/>
      <c r="B36" s="743" t="str">
        <f>VLOOKUP(C$2,Monitor_Costs,19,FALSE)</f>
        <v>Supplies/reagents</v>
      </c>
      <c r="C36" s="458">
        <f>VLOOKUP(C$2,Monitor_Costs,20,FALSE)</f>
        <v>600</v>
      </c>
      <c r="D36" s="381">
        <f>VLOOKUP(C$2,Monitor_Costs,21,FALSE)</f>
        <v>2013</v>
      </c>
      <c r="E36" s="112"/>
      <c r="F36" s="396"/>
      <c r="G36" s="112"/>
      <c r="H36" s="112"/>
      <c r="I36" s="145"/>
      <c r="J36" s="749">
        <f>HLOOKUP($D$34,InflationTable,2)*$C36</f>
        <v>718.8</v>
      </c>
      <c r="K36" s="384">
        <f>J36*$L$4</f>
        <v>7188</v>
      </c>
      <c r="L36" s="385">
        <f>K36</f>
        <v>7188</v>
      </c>
      <c r="M36" s="446">
        <f>HLOOKUP($D$34,InflationTable,3)*$C36</f>
        <v>733.80000000000007</v>
      </c>
      <c r="N36" s="387">
        <f>M36*$O$4</f>
        <v>7338.0000000000009</v>
      </c>
      <c r="O36" s="388">
        <f>N36</f>
        <v>7338.0000000000009</v>
      </c>
      <c r="P36" s="384">
        <f>HLOOKUP($D$34,InflationTable,4)*$C36</f>
        <v>748.2</v>
      </c>
      <c r="Q36" s="384">
        <f>P36*$R$4</f>
        <v>7482</v>
      </c>
      <c r="R36" s="751">
        <f>Q36</f>
        <v>7482</v>
      </c>
      <c r="S36" s="757" t="s">
        <v>12</v>
      </c>
      <c r="T36" s="463">
        <f>AVERAGE(L36,O36,R36)</f>
        <v>7336</v>
      </c>
      <c r="U36" s="516" t="s">
        <v>12</v>
      </c>
    </row>
    <row r="37" spans="1:22" s="1" customFormat="1" ht="13.5" thickBot="1">
      <c r="A37" s="616"/>
      <c r="B37" s="742" t="str">
        <f>VLOOKUP(C$2,Monitor_Costs,22,FALSE)</f>
        <v>Sample analysis</v>
      </c>
      <c r="C37" s="739">
        <f>VLOOKUP(C$2,Monitor_Costs,23,FALSE)</f>
        <v>2216.5</v>
      </c>
      <c r="D37" s="740">
        <f>VLOOKUP(C$2,Monitor_Costs,24,FALSE)</f>
        <v>2013</v>
      </c>
      <c r="E37" s="738"/>
      <c r="F37" s="675"/>
      <c r="G37" s="674"/>
      <c r="H37" s="674"/>
      <c r="I37" s="640"/>
      <c r="J37" s="744">
        <f>HLOOKUP($D$34,InflationTable,2)*$C37</f>
        <v>2655.3669999999997</v>
      </c>
      <c r="K37" s="744">
        <f>J37*$L$4</f>
        <v>26553.67</v>
      </c>
      <c r="L37" s="745">
        <f>K37</f>
        <v>26553.67</v>
      </c>
      <c r="M37" s="746">
        <f>HLOOKUP($D$34,InflationTable,3)*$C37</f>
        <v>2710.7795000000001</v>
      </c>
      <c r="N37" s="747">
        <f>M37*$O$4</f>
        <v>27107.795000000002</v>
      </c>
      <c r="O37" s="748">
        <f>N37</f>
        <v>27107.795000000002</v>
      </c>
      <c r="P37" s="744">
        <f>HLOOKUP($D$34,InflationTable,4)*$C37</f>
        <v>2763.9755000000005</v>
      </c>
      <c r="Q37" s="744">
        <f>P37*$R$4</f>
        <v>27639.755000000005</v>
      </c>
      <c r="R37" s="745">
        <f>Q37</f>
        <v>27639.755000000005</v>
      </c>
      <c r="S37" s="755" t="s">
        <v>12</v>
      </c>
      <c r="T37" s="756">
        <f>AVERAGE(L37,O37,R37)</f>
        <v>27100.406666666666</v>
      </c>
      <c r="U37" s="758" t="s">
        <v>12</v>
      </c>
    </row>
    <row r="38" spans="1:22">
      <c r="A38" s="615"/>
      <c r="B38" s="1" t="s">
        <v>203</v>
      </c>
      <c r="C38" s="730"/>
      <c r="D38" s="730"/>
      <c r="E38" s="5"/>
      <c r="F38" s="431" t="s">
        <v>54</v>
      </c>
      <c r="G38" s="70">
        <v>5</v>
      </c>
      <c r="H38" s="5"/>
      <c r="I38" s="37"/>
      <c r="J38" s="731"/>
      <c r="K38" s="731"/>
      <c r="L38" s="732"/>
      <c r="M38" s="733"/>
      <c r="N38" s="734"/>
      <c r="O38" s="735"/>
      <c r="P38" s="736"/>
      <c r="Q38" s="731"/>
      <c r="R38" s="732"/>
      <c r="S38" s="125"/>
      <c r="T38" s="37"/>
      <c r="U38" s="227"/>
    </row>
    <row r="39" spans="1:22" s="1" customFormat="1" ht="13.5" thickBot="1">
      <c r="A39" s="616"/>
      <c r="B39" s="723" t="str">
        <f>VLOOKUP(C$2,Monitor_Costs,13,FALSE)</f>
        <v>HPLC/UV with autosampler</v>
      </c>
      <c r="C39" s="721">
        <f>VLOOKUP(C$2,Monitor_Costs,14,FALSE)</f>
        <v>59000</v>
      </c>
      <c r="D39" s="373">
        <f>VLOOKUP(C$2,Monitor_Costs,15,FALSE)</f>
        <v>2013</v>
      </c>
      <c r="E39" s="674"/>
      <c r="F39" s="675"/>
      <c r="G39" s="674"/>
      <c r="H39" s="722"/>
      <c r="I39" s="363"/>
      <c r="J39" s="296">
        <f>HLOOKUP($D$34,InflationTable,2)*$C39</f>
        <v>70682</v>
      </c>
      <c r="K39" s="296">
        <f>J39*$L$4</f>
        <v>706820</v>
      </c>
      <c r="L39" s="297">
        <f>K39/$G$38</f>
        <v>141364</v>
      </c>
      <c r="M39" s="450">
        <f>HLOOKUP($D$34,InflationTable,3)*$C39</f>
        <v>72157</v>
      </c>
      <c r="N39" s="377">
        <f>M39*$O$4</f>
        <v>721570</v>
      </c>
      <c r="O39" s="378">
        <f>N39/$G$38</f>
        <v>144314</v>
      </c>
      <c r="P39" s="296">
        <f>HLOOKUP($D$34,InflationTable,4)*$C39</f>
        <v>73573</v>
      </c>
      <c r="Q39" s="296">
        <f>P39*$R$4</f>
        <v>735730</v>
      </c>
      <c r="R39" s="297">
        <f>Q39/$G$38</f>
        <v>147146</v>
      </c>
      <c r="S39" s="472" t="s">
        <v>12</v>
      </c>
      <c r="T39" s="472" t="s">
        <v>12</v>
      </c>
      <c r="U39" s="375">
        <f>AVERAGE(L39,O39,R39)</f>
        <v>144274.66666666666</v>
      </c>
    </row>
    <row r="40" spans="1:22" s="1" customFormat="1" ht="13.5" thickBot="1">
      <c r="A40" s="616"/>
      <c r="B40" s="723" t="str">
        <f>VLOOKUP(C$2,Monitor_Costs,16,FALSE)</f>
        <v>Equipment (auxiliary)</v>
      </c>
      <c r="C40" s="721">
        <f>VLOOKUP(C$2,Monitor_Costs,17,FALSE)</f>
        <v>1000</v>
      </c>
      <c r="D40" s="373">
        <f>VLOOKUP(C$2,Monitor_Costs,18,FALSE)</f>
        <v>2013</v>
      </c>
      <c r="E40" s="674"/>
      <c r="F40" s="675"/>
      <c r="G40" s="674"/>
      <c r="H40" s="722"/>
      <c r="I40" s="363"/>
      <c r="J40" s="296">
        <f>HLOOKUP($D$34,InflationTable,2)*$C40</f>
        <v>1198</v>
      </c>
      <c r="K40" s="296">
        <f>J40*$L$4</f>
        <v>11980</v>
      </c>
      <c r="L40" s="297">
        <f>K40/$G$38</f>
        <v>2396</v>
      </c>
      <c r="M40" s="450">
        <f>HLOOKUP($D$34,InflationTable,3)*$C40</f>
        <v>1223</v>
      </c>
      <c r="N40" s="377">
        <f>M40*$O$4</f>
        <v>12230</v>
      </c>
      <c r="O40" s="378">
        <f>N40/$G$38</f>
        <v>2446</v>
      </c>
      <c r="P40" s="296">
        <f>HLOOKUP($D$34,InflationTable,4)*$C40</f>
        <v>1247</v>
      </c>
      <c r="Q40" s="296">
        <f>P40*$R$4</f>
        <v>12470</v>
      </c>
      <c r="R40" s="297">
        <f>Q40/$G$38</f>
        <v>2494</v>
      </c>
      <c r="S40" s="472" t="s">
        <v>12</v>
      </c>
      <c r="T40" s="472" t="s">
        <v>12</v>
      </c>
      <c r="U40" s="375">
        <f>AVERAGE(L40,O40,R40)</f>
        <v>2445.3333333333335</v>
      </c>
    </row>
    <row r="41" spans="1:22">
      <c r="A41" s="615"/>
      <c r="B41" s="465" t="s">
        <v>23</v>
      </c>
      <c r="C41" s="107" t="s">
        <v>45</v>
      </c>
      <c r="D41" s="108" t="s">
        <v>46</v>
      </c>
      <c r="E41" s="107" t="s">
        <v>47</v>
      </c>
      <c r="F41" s="107" t="s">
        <v>48</v>
      </c>
      <c r="G41" s="107" t="s">
        <v>49</v>
      </c>
      <c r="H41" s="107" t="s">
        <v>50</v>
      </c>
      <c r="I41" s="350" t="s">
        <v>74</v>
      </c>
      <c r="J41" s="352"/>
      <c r="K41" s="352"/>
      <c r="L41" s="356"/>
      <c r="M41" s="110"/>
      <c r="N41" s="108"/>
      <c r="O41" s="111"/>
      <c r="P41" s="352"/>
      <c r="Q41" s="352"/>
      <c r="R41" s="356"/>
      <c r="S41" s="123"/>
      <c r="T41" s="37"/>
      <c r="U41" s="227"/>
    </row>
    <row r="42" spans="1:22">
      <c r="A42" s="615"/>
      <c r="B42" s="614" t="s">
        <v>4</v>
      </c>
      <c r="C42" s="21">
        <v>0</v>
      </c>
      <c r="D42" s="21">
        <v>16</v>
      </c>
      <c r="E42" s="21">
        <v>16</v>
      </c>
      <c r="F42" s="21">
        <v>0</v>
      </c>
      <c r="G42" s="21">
        <v>0</v>
      </c>
      <c r="H42" s="21">
        <v>0</v>
      </c>
      <c r="I42" s="48">
        <f>SUM(C42:H42)</f>
        <v>32</v>
      </c>
      <c r="J42" s="299" t="s">
        <v>12</v>
      </c>
      <c r="K42" s="281">
        <f>I42*$L$4</f>
        <v>320</v>
      </c>
      <c r="L42" s="289">
        <f>K42</f>
        <v>320</v>
      </c>
      <c r="M42" s="58" t="s">
        <v>12</v>
      </c>
      <c r="N42" s="69">
        <f>$I$42*$O$4</f>
        <v>320</v>
      </c>
      <c r="O42" s="68">
        <f>N42</f>
        <v>320</v>
      </c>
      <c r="P42" s="299" t="s">
        <v>12</v>
      </c>
      <c r="Q42" s="281">
        <f>$I$42*$R$4</f>
        <v>320</v>
      </c>
      <c r="R42" s="289">
        <f>Q42</f>
        <v>320</v>
      </c>
      <c r="S42" s="121">
        <f>AVERAGE(L42,O42,R42)</f>
        <v>320</v>
      </c>
      <c r="T42" s="119" t="s">
        <v>12</v>
      </c>
      <c r="U42" s="232" t="s">
        <v>12</v>
      </c>
    </row>
    <row r="43" spans="1:22" s="1" customFormat="1" ht="13.5" thickBot="1">
      <c r="A43" s="616"/>
      <c r="B43" s="604" t="s">
        <v>8</v>
      </c>
      <c r="C43" s="373">
        <f>ROUND(C42*Labor!$D$3,0)</f>
        <v>0</v>
      </c>
      <c r="D43" s="374">
        <f>ROUND(D42*Labor!$D$4,0)</f>
        <v>654</v>
      </c>
      <c r="E43" s="374">
        <f>ROUND(E42*Labor!$D$5,0)</f>
        <v>706</v>
      </c>
      <c r="F43" s="374">
        <f>ROUND(F42*Labor!$D$6,0)</f>
        <v>0</v>
      </c>
      <c r="G43" s="374">
        <f>ROUND(G42*Labor!$D$7,0)</f>
        <v>0</v>
      </c>
      <c r="H43" s="374">
        <f>ROUND(H42*Labor!$D$8,0)</f>
        <v>0</v>
      </c>
      <c r="I43" s="375">
        <f>SUM(C43:H43)</f>
        <v>1360</v>
      </c>
      <c r="J43" s="296">
        <f>HLOOKUP(Labor!$B$11,InflationTable,2)*I43</f>
        <v>1629.28</v>
      </c>
      <c r="K43" s="296">
        <f>J43*$L$4</f>
        <v>16292.8</v>
      </c>
      <c r="L43" s="390">
        <f>K43</f>
        <v>16292.8</v>
      </c>
      <c r="M43" s="376">
        <f>HLOOKUP(Labor!$B$11,InflationTable,3)*I43</f>
        <v>1663.2800000000002</v>
      </c>
      <c r="N43" s="377">
        <f>M43*$O$4</f>
        <v>16632.800000000003</v>
      </c>
      <c r="O43" s="378">
        <f>N43</f>
        <v>16632.800000000003</v>
      </c>
      <c r="P43" s="296">
        <f>HLOOKUP(Labor!$B$11,InflationTable,4)*$I$43</f>
        <v>1695.92</v>
      </c>
      <c r="Q43" s="296">
        <f>P43*$R$4</f>
        <v>16959.2</v>
      </c>
      <c r="R43" s="390">
        <f>Q43</f>
        <v>16959.2</v>
      </c>
      <c r="S43" s="211">
        <f>AVERAGE(L43,O43,R43)</f>
        <v>16628.266666666666</v>
      </c>
      <c r="T43" s="393" t="s">
        <v>12</v>
      </c>
      <c r="U43" s="228" t="s">
        <v>12</v>
      </c>
    </row>
    <row r="44" spans="1:22">
      <c r="A44" s="615"/>
      <c r="B44" s="605" t="s">
        <v>66</v>
      </c>
      <c r="C44" s="36">
        <f t="shared" ref="C44:I44" si="3">C42</f>
        <v>0</v>
      </c>
      <c r="D44" s="36">
        <f t="shared" si="3"/>
        <v>16</v>
      </c>
      <c r="E44" s="36">
        <f t="shared" si="3"/>
        <v>16</v>
      </c>
      <c r="F44" s="36">
        <f t="shared" si="3"/>
        <v>0</v>
      </c>
      <c r="G44" s="36">
        <f t="shared" si="3"/>
        <v>0</v>
      </c>
      <c r="H44" s="36">
        <f t="shared" si="3"/>
        <v>0</v>
      </c>
      <c r="I44" s="51">
        <f t="shared" si="3"/>
        <v>32</v>
      </c>
      <c r="J44" s="307" t="s">
        <v>12</v>
      </c>
      <c r="K44" s="302">
        <f>K42</f>
        <v>320</v>
      </c>
      <c r="L44" s="303">
        <f>L42</f>
        <v>320</v>
      </c>
      <c r="M44" s="85" t="s">
        <v>12</v>
      </c>
      <c r="N44" s="82">
        <f>N42</f>
        <v>320</v>
      </c>
      <c r="O44" s="96">
        <f>O42</f>
        <v>320</v>
      </c>
      <c r="P44" s="301" t="s">
        <v>12</v>
      </c>
      <c r="Q44" s="302">
        <f>Q42</f>
        <v>320</v>
      </c>
      <c r="R44" s="303">
        <f>R42</f>
        <v>320</v>
      </c>
      <c r="S44" s="96">
        <f>S42</f>
        <v>320</v>
      </c>
      <c r="T44" s="136" t="s">
        <v>12</v>
      </c>
      <c r="U44" s="230" t="s">
        <v>12</v>
      </c>
    </row>
    <row r="45" spans="1:22" ht="13.5" thickBot="1">
      <c r="A45" s="615"/>
      <c r="B45" s="606" t="s">
        <v>67</v>
      </c>
      <c r="C45" s="240">
        <f t="shared" ref="C45:H45" si="4">C44</f>
        <v>0</v>
      </c>
      <c r="D45" s="240">
        <f t="shared" si="4"/>
        <v>16</v>
      </c>
      <c r="E45" s="240">
        <f t="shared" si="4"/>
        <v>16</v>
      </c>
      <c r="F45" s="240">
        <f t="shared" si="4"/>
        <v>0</v>
      </c>
      <c r="G45" s="240">
        <f t="shared" si="4"/>
        <v>0</v>
      </c>
      <c r="H45" s="240">
        <f t="shared" si="4"/>
        <v>0</v>
      </c>
      <c r="I45" s="251">
        <f>I43+C34</f>
        <v>1485</v>
      </c>
      <c r="J45" s="305">
        <f t="shared" ref="J45:R45" si="5">J43+J34</f>
        <v>1779.03</v>
      </c>
      <c r="K45" s="305">
        <f t="shared" si="5"/>
        <v>17790.3</v>
      </c>
      <c r="L45" s="306">
        <f t="shared" si="5"/>
        <v>17790.3</v>
      </c>
      <c r="M45" s="252">
        <f t="shared" si="5"/>
        <v>1816.1550000000002</v>
      </c>
      <c r="N45" s="253">
        <f t="shared" si="5"/>
        <v>18161.550000000003</v>
      </c>
      <c r="O45" s="254">
        <f t="shared" si="5"/>
        <v>18161.550000000003</v>
      </c>
      <c r="P45" s="304">
        <f t="shared" si="5"/>
        <v>1851.7950000000001</v>
      </c>
      <c r="Q45" s="305">
        <f t="shared" si="5"/>
        <v>18517.95</v>
      </c>
      <c r="R45" s="306">
        <f t="shared" si="5"/>
        <v>18517.95</v>
      </c>
      <c r="S45" s="767">
        <f>SUM(S34:S44)</f>
        <v>17268.266666666666</v>
      </c>
      <c r="T45" s="767">
        <f>SUM(T34:T44)</f>
        <v>53693.406666666662</v>
      </c>
      <c r="U45" s="767">
        <f>SUM(U34:U44)</f>
        <v>146720</v>
      </c>
    </row>
    <row r="46" spans="1:22" ht="14.25" thickTop="1" thickBot="1">
      <c r="A46" s="615"/>
      <c r="B46" s="617"/>
      <c r="C46" s="618"/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5"/>
    </row>
    <row r="47" spans="1:22" ht="16.5" thickTop="1">
      <c r="A47" s="615"/>
      <c r="B47" s="181" t="s">
        <v>24</v>
      </c>
      <c r="C47" s="5"/>
      <c r="D47" s="5"/>
      <c r="E47" s="5"/>
      <c r="F47" s="112" t="s">
        <v>6</v>
      </c>
      <c r="G47" s="1412"/>
      <c r="H47" s="1413"/>
      <c r="I47" s="1414"/>
      <c r="J47" s="181" t="s">
        <v>24</v>
      </c>
      <c r="K47" s="426"/>
      <c r="L47" s="180"/>
      <c r="M47" s="181" t="s">
        <v>24</v>
      </c>
      <c r="N47" s="319"/>
      <c r="O47" s="67"/>
      <c r="P47" s="181" t="s">
        <v>24</v>
      </c>
      <c r="Q47" s="426"/>
      <c r="R47" s="67"/>
      <c r="S47" s="225"/>
      <c r="T47" s="37"/>
      <c r="U47" s="138"/>
    </row>
    <row r="48" spans="1:22">
      <c r="A48" s="615"/>
      <c r="B48" s="5"/>
      <c r="C48" s="5"/>
      <c r="D48" s="5"/>
      <c r="E48" s="5"/>
      <c r="F48" s="112"/>
      <c r="G48" s="1415"/>
      <c r="H48" s="1415"/>
      <c r="I48" s="1416"/>
      <c r="J48" s="277" t="s">
        <v>61</v>
      </c>
      <c r="K48" s="1419" t="s">
        <v>57</v>
      </c>
      <c r="L48" s="1420"/>
      <c r="M48" s="57" t="s">
        <v>61</v>
      </c>
      <c r="N48" s="1429" t="s">
        <v>57</v>
      </c>
      <c r="O48" s="1430"/>
      <c r="P48" s="277" t="s">
        <v>61</v>
      </c>
      <c r="Q48" s="1419" t="s">
        <v>57</v>
      </c>
      <c r="R48" s="1420"/>
      <c r="S48" s="131"/>
      <c r="T48" s="37"/>
      <c r="U48" s="138"/>
    </row>
    <row r="49" spans="1:22">
      <c r="A49" s="615"/>
      <c r="B49" s="611" t="s">
        <v>19</v>
      </c>
      <c r="C49" s="23" t="s">
        <v>60</v>
      </c>
      <c r="D49" s="23" t="s">
        <v>62</v>
      </c>
      <c r="E49" s="9"/>
      <c r="F49" s="72"/>
      <c r="G49" s="72"/>
      <c r="H49" s="72"/>
      <c r="I49" s="73"/>
      <c r="J49" s="260" t="s">
        <v>56</v>
      </c>
      <c r="K49" s="261" t="s">
        <v>13</v>
      </c>
      <c r="L49" s="262" t="s">
        <v>68</v>
      </c>
      <c r="M49" s="77" t="s">
        <v>56</v>
      </c>
      <c r="N49" s="24" t="s">
        <v>13</v>
      </c>
      <c r="O49" s="38" t="s">
        <v>68</v>
      </c>
      <c r="P49" s="260" t="s">
        <v>56</v>
      </c>
      <c r="Q49" s="261" t="s">
        <v>13</v>
      </c>
      <c r="R49" s="262" t="s">
        <v>68</v>
      </c>
      <c r="S49" s="123"/>
      <c r="T49" s="73"/>
      <c r="U49" s="138"/>
    </row>
    <row r="50" spans="1:22" ht="13.5" thickBot="1">
      <c r="A50" s="615"/>
      <c r="B50" s="361"/>
      <c r="C50" s="353">
        <f>VLOOKUP(C$2,Monitor_Costs,6,FALSE)</f>
        <v>1700</v>
      </c>
      <c r="D50" s="34">
        <f>VLOOKUP(C$2,Monitor_Costs,7,FALSE)</f>
        <v>2013</v>
      </c>
      <c r="E50" s="354"/>
      <c r="F50" s="71"/>
      <c r="G50" s="56"/>
      <c r="H50" s="56"/>
      <c r="I50" s="54"/>
      <c r="J50" s="355">
        <f>HLOOKUP(D50,InflationTable,2)*C50</f>
        <v>2036.6</v>
      </c>
      <c r="K50" s="355">
        <f>J50*$L$4</f>
        <v>20366</v>
      </c>
      <c r="L50" s="308">
        <f>K50</f>
        <v>20366</v>
      </c>
      <c r="M50" s="357">
        <f>HLOOKUP($D$50,InflationTable,3)*$C$50</f>
        <v>2079.1000000000004</v>
      </c>
      <c r="N50" s="357">
        <f>M50*$O$4</f>
        <v>20791.000000000004</v>
      </c>
      <c r="O50" s="95">
        <f>N50</f>
        <v>20791.000000000004</v>
      </c>
      <c r="P50" s="358">
        <f>HLOOKUP($D$50,InflationTable,4)*$C$50</f>
        <v>2119.9</v>
      </c>
      <c r="Q50" s="355">
        <f>P50*$R$4</f>
        <v>21199</v>
      </c>
      <c r="R50" s="308">
        <f>Q50</f>
        <v>21199</v>
      </c>
      <c r="S50" s="359" t="s">
        <v>12</v>
      </c>
      <c r="T50" s="360">
        <f>AVERAGE(L50,O50,R50)</f>
        <v>20785.333333333332</v>
      </c>
      <c r="U50" s="142" t="s">
        <v>12</v>
      </c>
    </row>
    <row r="51" spans="1:22">
      <c r="A51" s="615"/>
      <c r="B51" s="465" t="s">
        <v>204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1"/>
      <c r="K51" s="352"/>
      <c r="L51" s="356"/>
      <c r="M51" s="110"/>
      <c r="N51" s="108"/>
      <c r="O51" s="111"/>
      <c r="P51" s="351"/>
      <c r="Q51" s="352"/>
      <c r="R51" s="356"/>
      <c r="S51" s="134"/>
      <c r="T51" s="136"/>
      <c r="U51" s="138"/>
    </row>
    <row r="52" spans="1:22">
      <c r="B52" s="566" t="s">
        <v>4</v>
      </c>
      <c r="C52" s="21">
        <v>0</v>
      </c>
      <c r="D52" s="21">
        <v>0</v>
      </c>
      <c r="E52" s="21">
        <v>6</v>
      </c>
      <c r="F52" s="21">
        <v>2</v>
      </c>
      <c r="G52" s="21">
        <v>0</v>
      </c>
      <c r="H52" s="21">
        <v>0</v>
      </c>
      <c r="I52" s="52">
        <f t="shared" ref="I52:I57" si="6">SUM(C52:H52)</f>
        <v>8</v>
      </c>
      <c r="J52" s="263" t="s">
        <v>12</v>
      </c>
      <c r="K52" s="281">
        <f>I52*$L$4</f>
        <v>80</v>
      </c>
      <c r="L52" s="289">
        <f t="shared" ref="L52:L57" si="7">K52</f>
        <v>80</v>
      </c>
      <c r="M52" s="58" t="s">
        <v>12</v>
      </c>
      <c r="N52" s="69">
        <f>$I$52*$O$4</f>
        <v>80</v>
      </c>
      <c r="O52" s="68">
        <f t="shared" ref="O52:O57" si="8">N52</f>
        <v>80</v>
      </c>
      <c r="P52" s="263" t="s">
        <v>12</v>
      </c>
      <c r="Q52" s="281">
        <f>$I$52*$R$4</f>
        <v>80</v>
      </c>
      <c r="R52" s="289">
        <f t="shared" ref="R52:R57" si="9">Q52</f>
        <v>80</v>
      </c>
      <c r="S52" s="121">
        <f t="shared" ref="S52:S58" si="10">AVERAGE(L52,O52,R52)</f>
        <v>80</v>
      </c>
      <c r="T52" s="119" t="s">
        <v>12</v>
      </c>
      <c r="U52" s="140" t="s">
        <v>12</v>
      </c>
    </row>
    <row r="53" spans="1:22" s="1" customFormat="1" ht="13.5" thickBot="1">
      <c r="B53" s="716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265</v>
      </c>
      <c r="F53" s="374">
        <f>ROUND(F52*Labor!$D$6,0)</f>
        <v>99</v>
      </c>
      <c r="G53" s="374">
        <f>ROUND(G52*Labor!$D$7,0)</f>
        <v>0</v>
      </c>
      <c r="H53" s="374">
        <f>ROUND(H52*Labor!$D$8,0)</f>
        <v>0</v>
      </c>
      <c r="I53" s="209">
        <f t="shared" si="6"/>
        <v>364</v>
      </c>
      <c r="J53" s="339">
        <f>HLOOKUP(Labor!$B$11,InflationTable,2)*I53</f>
        <v>436.072</v>
      </c>
      <c r="K53" s="296">
        <f>J53*$L$4</f>
        <v>4360.72</v>
      </c>
      <c r="L53" s="297">
        <f t="shared" si="7"/>
        <v>4360.72</v>
      </c>
      <c r="M53" s="376">
        <f>HLOOKUP(Labor!$B$11,InflationTable,3)*$I$53</f>
        <v>445.17200000000003</v>
      </c>
      <c r="N53" s="377">
        <f>M53*$O$4</f>
        <v>4451.72</v>
      </c>
      <c r="O53" s="378">
        <f t="shared" si="8"/>
        <v>4451.72</v>
      </c>
      <c r="P53" s="332">
        <f>HLOOKUP(Labor!$B$11,InflationTable,4)*$I$53</f>
        <v>453.90800000000002</v>
      </c>
      <c r="Q53" s="296">
        <f>P53*$O$4</f>
        <v>4539.08</v>
      </c>
      <c r="R53" s="297">
        <f t="shared" si="9"/>
        <v>4539.08</v>
      </c>
      <c r="S53" s="211">
        <f t="shared" si="10"/>
        <v>4450.5066666666671</v>
      </c>
      <c r="T53" s="218" t="s">
        <v>12</v>
      </c>
      <c r="U53" s="392" t="s">
        <v>12</v>
      </c>
    </row>
    <row r="54" spans="1:22">
      <c r="B54" s="565" t="s">
        <v>205</v>
      </c>
      <c r="C54" s="346">
        <v>0</v>
      </c>
      <c r="D54" s="346">
        <v>2</v>
      </c>
      <c r="E54" s="346">
        <v>16</v>
      </c>
      <c r="F54" s="346">
        <v>8</v>
      </c>
      <c r="G54" s="346">
        <v>0</v>
      </c>
      <c r="H54" s="346">
        <v>0</v>
      </c>
      <c r="I54" s="347">
        <f t="shared" si="6"/>
        <v>26</v>
      </c>
      <c r="J54" s="293" t="s">
        <v>12</v>
      </c>
      <c r="K54" s="327">
        <f>I54*$L$4</f>
        <v>260</v>
      </c>
      <c r="L54" s="328">
        <f t="shared" si="7"/>
        <v>260</v>
      </c>
      <c r="M54" s="61" t="s">
        <v>12</v>
      </c>
      <c r="N54" s="348">
        <f>L54*$L$4</f>
        <v>2600</v>
      </c>
      <c r="O54" s="349">
        <f t="shared" si="8"/>
        <v>2600</v>
      </c>
      <c r="P54" s="293" t="s">
        <v>12</v>
      </c>
      <c r="Q54" s="327">
        <f>O54*$L$4</f>
        <v>26000</v>
      </c>
      <c r="R54" s="328">
        <f t="shared" si="9"/>
        <v>26000</v>
      </c>
      <c r="S54" s="129">
        <f t="shared" si="10"/>
        <v>9620</v>
      </c>
      <c r="T54" s="119" t="s">
        <v>12</v>
      </c>
      <c r="U54" s="140" t="s">
        <v>12</v>
      </c>
    </row>
    <row r="55" spans="1:22" s="1" customFormat="1" ht="13.5" thickBot="1">
      <c r="B55" s="715" t="s">
        <v>8</v>
      </c>
      <c r="C55" s="373">
        <f>ROUND(C54*Labor!$D$3,0)</f>
        <v>0</v>
      </c>
      <c r="D55" s="374">
        <f>ROUND(D54*Labor!$D$4,0)</f>
        <v>82</v>
      </c>
      <c r="E55" s="374">
        <f>ROUND(E54*Labor!$D$5,0)</f>
        <v>706</v>
      </c>
      <c r="F55" s="374">
        <f>ROUND(F54*Labor!$D$6,0)</f>
        <v>394</v>
      </c>
      <c r="G55" s="374">
        <f>ROUND(G54*Labor!$D$7,0)</f>
        <v>0</v>
      </c>
      <c r="H55" s="374">
        <f>ROUND(H54*Labor!$D$8,0)</f>
        <v>0</v>
      </c>
      <c r="I55" s="209">
        <f t="shared" si="6"/>
        <v>1182</v>
      </c>
      <c r="J55" s="332">
        <f>HLOOKUP(Labor!$B$11,InflationTable,2)*$I55</f>
        <v>1416.0360000000001</v>
      </c>
      <c r="K55" s="296">
        <f>J55*$L$4</f>
        <v>14160.36</v>
      </c>
      <c r="L55" s="297">
        <f t="shared" si="7"/>
        <v>14160.36</v>
      </c>
      <c r="M55" s="376">
        <f>HLOOKUP(Labor!$B$11,InflationTable,2)*$I55</f>
        <v>1416.0360000000001</v>
      </c>
      <c r="N55" s="377">
        <f>M55*$L$4</f>
        <v>14160.36</v>
      </c>
      <c r="O55" s="378">
        <f t="shared" si="8"/>
        <v>14160.36</v>
      </c>
      <c r="P55" s="332">
        <f>HLOOKUP(Labor!$B$11,InflationTable,2)*$I55</f>
        <v>1416.0360000000001</v>
      </c>
      <c r="Q55" s="296">
        <f>P55*$L$4</f>
        <v>14160.36</v>
      </c>
      <c r="R55" s="297">
        <f t="shared" si="9"/>
        <v>14160.36</v>
      </c>
      <c r="S55" s="391">
        <f t="shared" si="10"/>
        <v>14160.36</v>
      </c>
      <c r="T55" s="218" t="s">
        <v>12</v>
      </c>
      <c r="U55" s="392" t="s">
        <v>12</v>
      </c>
    </row>
    <row r="56" spans="1:22">
      <c r="B56" s="565" t="s">
        <v>117</v>
      </c>
      <c r="C56" s="346">
        <v>0</v>
      </c>
      <c r="D56" s="346">
        <v>0</v>
      </c>
      <c r="E56" s="346">
        <v>16</v>
      </c>
      <c r="F56" s="346">
        <v>40</v>
      </c>
      <c r="G56" s="346">
        <v>0</v>
      </c>
      <c r="H56" s="346">
        <v>0</v>
      </c>
      <c r="I56" s="347">
        <f t="shared" si="6"/>
        <v>56</v>
      </c>
      <c r="J56" s="293" t="s">
        <v>12</v>
      </c>
      <c r="K56" s="327">
        <f>I56*$L$4</f>
        <v>560</v>
      </c>
      <c r="L56" s="328">
        <f t="shared" si="7"/>
        <v>560</v>
      </c>
      <c r="M56" s="61" t="s">
        <v>12</v>
      </c>
      <c r="N56" s="348">
        <f>$I$56*$O$4</f>
        <v>560</v>
      </c>
      <c r="O56" s="349">
        <f t="shared" si="8"/>
        <v>560</v>
      </c>
      <c r="P56" s="293" t="s">
        <v>12</v>
      </c>
      <c r="Q56" s="327">
        <f>$I$56*$R$4</f>
        <v>560</v>
      </c>
      <c r="R56" s="328">
        <f t="shared" si="9"/>
        <v>560</v>
      </c>
      <c r="S56" s="129">
        <f t="shared" si="10"/>
        <v>560</v>
      </c>
      <c r="T56" s="119" t="s">
        <v>12</v>
      </c>
      <c r="U56" s="140" t="s">
        <v>12</v>
      </c>
    </row>
    <row r="57" spans="1:22" s="1" customFormat="1" ht="13.5" thickBot="1">
      <c r="B57" s="715" t="s">
        <v>8</v>
      </c>
      <c r="C57" s="373">
        <f>ROUND(C56*Labor!$D$3,0)</f>
        <v>0</v>
      </c>
      <c r="D57" s="374">
        <f>ROUND(D56*Labor!$D$4,0)</f>
        <v>0</v>
      </c>
      <c r="E57" s="374">
        <f>ROUND(E56*Labor!$D$5,0)</f>
        <v>706</v>
      </c>
      <c r="F57" s="374">
        <f>ROUND(F56*Labor!$D$6,0)</f>
        <v>1971</v>
      </c>
      <c r="G57" s="374">
        <f>ROUND(G56*Labor!$D$7,0)</f>
        <v>0</v>
      </c>
      <c r="H57" s="374">
        <f>ROUND(H56*Labor!$D$8,0)</f>
        <v>0</v>
      </c>
      <c r="I57" s="209">
        <f t="shared" si="6"/>
        <v>2677</v>
      </c>
      <c r="J57" s="332">
        <f>HLOOKUP(Labor!$B$11,InflationTable,2)*$I$57</f>
        <v>3207.0459999999998</v>
      </c>
      <c r="K57" s="296">
        <f>J57*$L$4</f>
        <v>32070.46</v>
      </c>
      <c r="L57" s="297">
        <f t="shared" si="7"/>
        <v>32070.46</v>
      </c>
      <c r="M57" s="376">
        <f>HLOOKUP(Labor!$B$11,InflationTable,3)*$I$57</f>
        <v>3273.9710000000005</v>
      </c>
      <c r="N57" s="377">
        <f>M57*$O$4</f>
        <v>32739.710000000006</v>
      </c>
      <c r="O57" s="378">
        <f t="shared" si="8"/>
        <v>32739.710000000006</v>
      </c>
      <c r="P57" s="332">
        <f>HLOOKUP(Labor!$B$11,InflationTable,4)*$I$57</f>
        <v>3338.2190000000005</v>
      </c>
      <c r="Q57" s="296">
        <f>P57*$R$4</f>
        <v>33382.19</v>
      </c>
      <c r="R57" s="297">
        <f t="shared" si="9"/>
        <v>33382.19</v>
      </c>
      <c r="S57" s="391">
        <f t="shared" si="10"/>
        <v>32730.78666666667</v>
      </c>
      <c r="T57" s="218" t="s">
        <v>12</v>
      </c>
      <c r="U57" s="392" t="s">
        <v>12</v>
      </c>
    </row>
    <row r="58" spans="1:22">
      <c r="B58" s="560" t="s">
        <v>66</v>
      </c>
      <c r="C58" s="36">
        <f t="shared" ref="C58:I58" si="11">C52+C56</f>
        <v>0</v>
      </c>
      <c r="D58" s="36">
        <f t="shared" si="11"/>
        <v>0</v>
      </c>
      <c r="E58" s="36">
        <f t="shared" si="11"/>
        <v>22</v>
      </c>
      <c r="F58" s="36">
        <f t="shared" si="11"/>
        <v>42</v>
      </c>
      <c r="G58" s="36">
        <f t="shared" si="11"/>
        <v>0</v>
      </c>
      <c r="H58" s="36">
        <f t="shared" si="11"/>
        <v>0</v>
      </c>
      <c r="I58" s="46">
        <f t="shared" si="11"/>
        <v>64</v>
      </c>
      <c r="J58" s="301" t="s">
        <v>12</v>
      </c>
      <c r="K58" s="309">
        <f>K52+K56</f>
        <v>640</v>
      </c>
      <c r="L58" s="310">
        <f>L52+L56</f>
        <v>640</v>
      </c>
      <c r="M58" s="85" t="s">
        <v>12</v>
      </c>
      <c r="N58" s="86">
        <f>N52+N56</f>
        <v>640</v>
      </c>
      <c r="O58" s="97">
        <f>O52+O56</f>
        <v>640</v>
      </c>
      <c r="P58" s="301" t="s">
        <v>12</v>
      </c>
      <c r="Q58" s="309">
        <f>Q52+Q56</f>
        <v>640</v>
      </c>
      <c r="R58" s="310">
        <f>R52+R56</f>
        <v>640</v>
      </c>
      <c r="S58" s="121">
        <f t="shared" si="10"/>
        <v>640</v>
      </c>
      <c r="T58" s="136" t="s">
        <v>12</v>
      </c>
      <c r="U58" s="148" t="s">
        <v>12</v>
      </c>
    </row>
    <row r="59" spans="1:22" ht="13.5" thickBot="1">
      <c r="B59" s="561" t="s">
        <v>67</v>
      </c>
      <c r="C59" s="240">
        <f t="shared" ref="C59:H59" si="12">C53+C57</f>
        <v>0</v>
      </c>
      <c r="D59" s="240">
        <f t="shared" si="12"/>
        <v>0</v>
      </c>
      <c r="E59" s="240">
        <f t="shared" si="12"/>
        <v>971</v>
      </c>
      <c r="F59" s="240">
        <f t="shared" si="12"/>
        <v>2070</v>
      </c>
      <c r="G59" s="240">
        <f t="shared" si="12"/>
        <v>0</v>
      </c>
      <c r="H59" s="240">
        <f t="shared" si="12"/>
        <v>0</v>
      </c>
      <c r="I59" s="222">
        <f>I57+I53+C50+I55</f>
        <v>5923</v>
      </c>
      <c r="J59" s="306">
        <f t="shared" ref="J59:R59" si="13">J57+J53+J50+J55</f>
        <v>7095.7539999999999</v>
      </c>
      <c r="K59" s="306">
        <f t="shared" si="13"/>
        <v>70957.540000000008</v>
      </c>
      <c r="L59" s="306">
        <f t="shared" si="13"/>
        <v>70957.540000000008</v>
      </c>
      <c r="M59" s="254">
        <f t="shared" si="13"/>
        <v>7214.2790000000005</v>
      </c>
      <c r="N59" s="254">
        <f t="shared" si="13"/>
        <v>72142.790000000008</v>
      </c>
      <c r="O59" s="254">
        <f t="shared" si="13"/>
        <v>72142.790000000008</v>
      </c>
      <c r="P59" s="306">
        <f t="shared" si="13"/>
        <v>7328.0630000000001</v>
      </c>
      <c r="Q59" s="306">
        <f t="shared" si="13"/>
        <v>73280.63</v>
      </c>
      <c r="R59" s="306">
        <f t="shared" si="13"/>
        <v>73280.63</v>
      </c>
      <c r="S59" s="248">
        <f>S57+S53+S55</f>
        <v>51341.653333333335</v>
      </c>
      <c r="T59" s="251">
        <f>T50</f>
        <v>20785.333333333332</v>
      </c>
      <c r="U59" s="224" t="s">
        <v>12</v>
      </c>
    </row>
    <row r="60" spans="1:22" ht="14.25" thickTop="1" thickBot="1">
      <c r="B60" s="555"/>
      <c r="C60" s="618"/>
      <c r="D60" s="618"/>
      <c r="E60" s="618"/>
      <c r="F60" s="618"/>
      <c r="G60" s="618"/>
      <c r="H60" s="618"/>
      <c r="I60" s="618"/>
      <c r="J60" s="618"/>
      <c r="K60" s="618"/>
      <c r="L60" s="618"/>
      <c r="M60" s="618"/>
      <c r="N60" s="618"/>
      <c r="O60" s="618"/>
      <c r="P60" s="618"/>
      <c r="Q60" s="618"/>
      <c r="R60" s="618"/>
      <c r="S60" s="618"/>
      <c r="T60" s="618"/>
      <c r="U60" s="618"/>
      <c r="V60" s="5"/>
    </row>
    <row r="61" spans="1:22" ht="16.5" thickTop="1">
      <c r="B61" s="653" t="s">
        <v>26</v>
      </c>
      <c r="C61" s="5"/>
      <c r="D61" s="5"/>
      <c r="E61" s="5"/>
      <c r="F61" s="112" t="s">
        <v>6</v>
      </c>
      <c r="G61" s="1412"/>
      <c r="H61" s="1413"/>
      <c r="I61" s="1414"/>
      <c r="J61" s="181" t="s">
        <v>26</v>
      </c>
      <c r="K61" s="426"/>
      <c r="L61" s="67"/>
      <c r="M61" s="245" t="s">
        <v>26</v>
      </c>
      <c r="N61" s="426"/>
      <c r="O61" s="426"/>
      <c r="P61" s="245" t="s">
        <v>26</v>
      </c>
      <c r="Q61" s="426"/>
      <c r="R61" s="67"/>
      <c r="S61" s="225"/>
      <c r="T61" s="37"/>
      <c r="U61" s="138"/>
    </row>
    <row r="62" spans="1:22">
      <c r="B62" s="555"/>
      <c r="C62" s="5"/>
      <c r="D62" s="5"/>
      <c r="E62" s="5"/>
      <c r="F62" s="7"/>
      <c r="G62" s="5"/>
      <c r="H62" s="5"/>
      <c r="I62" s="45" t="s">
        <v>61</v>
      </c>
      <c r="J62" s="277" t="s">
        <v>61</v>
      </c>
      <c r="K62" s="1419" t="s">
        <v>57</v>
      </c>
      <c r="L62" s="1420"/>
      <c r="M62" s="57" t="s">
        <v>61</v>
      </c>
      <c r="N62" s="1429" t="s">
        <v>57</v>
      </c>
      <c r="O62" s="1430"/>
      <c r="P62" s="277" t="s">
        <v>61</v>
      </c>
      <c r="Q62" s="1419" t="s">
        <v>57</v>
      </c>
      <c r="R62" s="1420"/>
      <c r="S62" s="131"/>
      <c r="T62" s="37"/>
      <c r="U62" s="138"/>
    </row>
    <row r="63" spans="1:22">
      <c r="B63" s="563" t="s">
        <v>27</v>
      </c>
      <c r="C63" s="23" t="s">
        <v>45</v>
      </c>
      <c r="D63" s="24" t="s">
        <v>46</v>
      </c>
      <c r="E63" s="23" t="s">
        <v>47</v>
      </c>
      <c r="F63" s="23" t="s">
        <v>48</v>
      </c>
      <c r="G63" s="23" t="s">
        <v>49</v>
      </c>
      <c r="H63" s="23" t="s">
        <v>50</v>
      </c>
      <c r="I63" s="45" t="s">
        <v>13</v>
      </c>
      <c r="J63" s="260" t="s">
        <v>56</v>
      </c>
      <c r="K63" s="261" t="s">
        <v>13</v>
      </c>
      <c r="L63" s="262" t="s">
        <v>68</v>
      </c>
      <c r="M63" s="77" t="s">
        <v>56</v>
      </c>
      <c r="N63" s="24" t="s">
        <v>13</v>
      </c>
      <c r="O63" s="38" t="s">
        <v>68</v>
      </c>
      <c r="P63" s="260" t="s">
        <v>56</v>
      </c>
      <c r="Q63" s="261" t="s">
        <v>13</v>
      </c>
      <c r="R63" s="262" t="s">
        <v>68</v>
      </c>
      <c r="S63" s="123"/>
      <c r="T63" s="37"/>
      <c r="U63" s="138"/>
    </row>
    <row r="64" spans="1:22">
      <c r="B64" s="566" t="s">
        <v>4</v>
      </c>
      <c r="C64" s="21">
        <v>0</v>
      </c>
      <c r="D64" s="21">
        <v>0</v>
      </c>
      <c r="E64" s="21">
        <v>6</v>
      </c>
      <c r="F64" s="21">
        <v>6</v>
      </c>
      <c r="G64" s="21">
        <v>0</v>
      </c>
      <c r="H64" s="21">
        <v>0</v>
      </c>
      <c r="I64" s="52">
        <f t="shared" ref="I64:I71" si="14">SUM(C64:H64)</f>
        <v>12</v>
      </c>
      <c r="J64" s="263" t="s">
        <v>12</v>
      </c>
      <c r="K64" s="281">
        <f>I64*$L$4</f>
        <v>120</v>
      </c>
      <c r="L64" s="289">
        <f t="shared" ref="L64:L71" si="15">K64</f>
        <v>120</v>
      </c>
      <c r="M64" s="58" t="s">
        <v>12</v>
      </c>
      <c r="N64" s="69">
        <f>$I$64*$O$4</f>
        <v>120</v>
      </c>
      <c r="O64" s="68">
        <f t="shared" ref="O64:O71" si="16">N64</f>
        <v>120</v>
      </c>
      <c r="P64" s="263" t="s">
        <v>12</v>
      </c>
      <c r="Q64" s="281">
        <f>$I$64*$R$4</f>
        <v>120</v>
      </c>
      <c r="R64" s="289">
        <f t="shared" ref="R64:R71" si="17">Q64</f>
        <v>120</v>
      </c>
      <c r="S64" s="121">
        <f t="shared" ref="S64:S73" si="18">AVERAGE(L64,O64,R64)</f>
        <v>120</v>
      </c>
      <c r="T64" s="119" t="s">
        <v>12</v>
      </c>
      <c r="U64" s="140" t="s">
        <v>12</v>
      </c>
    </row>
    <row r="65" spans="1:22" s="1" customFormat="1" ht="13.5" thickBot="1">
      <c r="B65" s="716" t="s">
        <v>8</v>
      </c>
      <c r="C65" s="373">
        <f>ROUND(C64*Labor!$D$3,0)</f>
        <v>0</v>
      </c>
      <c r="D65" s="374">
        <f>ROUND(D64*Labor!$D$4,0)</f>
        <v>0</v>
      </c>
      <c r="E65" s="374">
        <f>ROUND(E64*Labor!$D$5,0)</f>
        <v>265</v>
      </c>
      <c r="F65" s="374">
        <f>ROUND(F64*Labor!$D$6,0)</f>
        <v>296</v>
      </c>
      <c r="G65" s="374">
        <f>ROUND(G64*Labor!$D$7,0)</f>
        <v>0</v>
      </c>
      <c r="H65" s="374">
        <f>ROUND(H64*Labor!$D$8,0)</f>
        <v>0</v>
      </c>
      <c r="I65" s="209">
        <f t="shared" si="14"/>
        <v>561</v>
      </c>
      <c r="J65" s="332">
        <f>HLOOKUP(Labor!$B$11,InflationTable,2)*I65</f>
        <v>672.07799999999997</v>
      </c>
      <c r="K65" s="296">
        <f>J65*$L$4</f>
        <v>6720.78</v>
      </c>
      <c r="L65" s="297">
        <f t="shared" si="15"/>
        <v>6720.78</v>
      </c>
      <c r="M65" s="376">
        <f>HLOOKUP(Labor!$B$11,InflationTable,3)*$I$65</f>
        <v>686.10300000000007</v>
      </c>
      <c r="N65" s="377">
        <f>M65*$L$4</f>
        <v>6861.0300000000007</v>
      </c>
      <c r="O65" s="378">
        <f t="shared" si="16"/>
        <v>6861.0300000000007</v>
      </c>
      <c r="P65" s="332">
        <f>HLOOKUP(Labor!$B$11,InflationTable,4)*$I$65</f>
        <v>699.56700000000001</v>
      </c>
      <c r="Q65" s="296">
        <f>P65*$R$4</f>
        <v>6995.67</v>
      </c>
      <c r="R65" s="297">
        <f t="shared" si="17"/>
        <v>6995.67</v>
      </c>
      <c r="S65" s="211">
        <f t="shared" si="18"/>
        <v>6859.1600000000008</v>
      </c>
      <c r="T65" s="218" t="s">
        <v>12</v>
      </c>
      <c r="U65" s="392" t="s">
        <v>12</v>
      </c>
    </row>
    <row r="66" spans="1:22">
      <c r="B66" s="559" t="s">
        <v>114</v>
      </c>
      <c r="C66" s="346">
        <v>0</v>
      </c>
      <c r="D66" s="346">
        <v>0</v>
      </c>
      <c r="E66" s="346">
        <v>0</v>
      </c>
      <c r="F66" s="346">
        <v>4</v>
      </c>
      <c r="G66" s="768">
        <v>0.5</v>
      </c>
      <c r="H66" s="346">
        <v>0.5</v>
      </c>
      <c r="I66" s="347">
        <f t="shared" si="14"/>
        <v>5</v>
      </c>
      <c r="J66" s="293" t="s">
        <v>12</v>
      </c>
      <c r="K66" s="327">
        <f>I66*$L$4</f>
        <v>50</v>
      </c>
      <c r="L66" s="328">
        <f t="shared" si="15"/>
        <v>50</v>
      </c>
      <c r="M66" s="61" t="s">
        <v>12</v>
      </c>
      <c r="N66" s="348">
        <f>$I$66*$O$4</f>
        <v>50</v>
      </c>
      <c r="O66" s="349">
        <f t="shared" si="16"/>
        <v>50</v>
      </c>
      <c r="P66" s="293" t="s">
        <v>12</v>
      </c>
      <c r="Q66" s="327">
        <f>$I$66*$R$4</f>
        <v>50</v>
      </c>
      <c r="R66" s="328">
        <f t="shared" si="17"/>
        <v>50</v>
      </c>
      <c r="S66" s="129">
        <f t="shared" si="18"/>
        <v>50</v>
      </c>
      <c r="T66" s="136" t="s">
        <v>12</v>
      </c>
      <c r="U66" s="147" t="s">
        <v>12</v>
      </c>
    </row>
    <row r="67" spans="1:22" s="1" customFormat="1" ht="13.5" thickBot="1">
      <c r="B67" s="716" t="s">
        <v>8</v>
      </c>
      <c r="C67" s="373">
        <f>ROUND(C66*Labor!$D$3,0)</f>
        <v>0</v>
      </c>
      <c r="D67" s="374">
        <f>ROUND(D66*Labor!$D$4,0)</f>
        <v>0</v>
      </c>
      <c r="E67" s="374">
        <f>ROUND(E66*Labor!$D$5,0)</f>
        <v>0</v>
      </c>
      <c r="F67" s="374">
        <f>ROUND(F66*Labor!$D$6,0)</f>
        <v>197</v>
      </c>
      <c r="G67" s="374">
        <f>ROUND(G66*Labor!$D$7,0)</f>
        <v>28</v>
      </c>
      <c r="H67" s="374">
        <f>ROUND(H66*Labor!$D$8,0)</f>
        <v>29</v>
      </c>
      <c r="I67" s="209">
        <f t="shared" si="14"/>
        <v>254</v>
      </c>
      <c r="J67" s="339">
        <f>HLOOKUP(Labor!$B$11,InflationTable,2)*I67</f>
        <v>304.29199999999997</v>
      </c>
      <c r="K67" s="296">
        <f>J67*$L$4</f>
        <v>3042.9199999999996</v>
      </c>
      <c r="L67" s="297">
        <f t="shared" si="15"/>
        <v>3042.9199999999996</v>
      </c>
      <c r="M67" s="450">
        <f>HLOOKUP(Labor!$B$11,InflationTable,3)*I67</f>
        <v>310.642</v>
      </c>
      <c r="N67" s="377">
        <f>M67*$O$4</f>
        <v>3106.42</v>
      </c>
      <c r="O67" s="378">
        <f t="shared" si="16"/>
        <v>3106.42</v>
      </c>
      <c r="P67" s="332">
        <f>HLOOKUP(Labor!$B$11,InflationTable,4)*$I$67</f>
        <v>316.738</v>
      </c>
      <c r="Q67" s="296">
        <f>P67*$R$4</f>
        <v>3167.38</v>
      </c>
      <c r="R67" s="297">
        <f t="shared" si="17"/>
        <v>3167.38</v>
      </c>
      <c r="S67" s="211">
        <f t="shared" si="18"/>
        <v>3105.5733333333337</v>
      </c>
      <c r="T67" s="218" t="s">
        <v>12</v>
      </c>
      <c r="U67" s="392" t="s">
        <v>12</v>
      </c>
    </row>
    <row r="68" spans="1:22">
      <c r="B68" s="559" t="s">
        <v>115</v>
      </c>
      <c r="C68" s="346">
        <v>0</v>
      </c>
      <c r="D68" s="346">
        <v>0</v>
      </c>
      <c r="E68" s="346">
        <v>0</v>
      </c>
      <c r="F68" s="346">
        <v>12</v>
      </c>
      <c r="G68" s="346">
        <v>3</v>
      </c>
      <c r="H68" s="346">
        <v>0</v>
      </c>
      <c r="I68" s="347">
        <f t="shared" si="14"/>
        <v>15</v>
      </c>
      <c r="J68" s="293" t="s">
        <v>12</v>
      </c>
      <c r="K68" s="327">
        <f>I68*$L$4</f>
        <v>150</v>
      </c>
      <c r="L68" s="328">
        <f t="shared" si="15"/>
        <v>150</v>
      </c>
      <c r="M68" s="61" t="s">
        <v>12</v>
      </c>
      <c r="N68" s="348">
        <f>$I$68*$O$4</f>
        <v>150</v>
      </c>
      <c r="O68" s="349">
        <f t="shared" si="16"/>
        <v>150</v>
      </c>
      <c r="P68" s="293" t="s">
        <v>12</v>
      </c>
      <c r="Q68" s="327">
        <f>$I$68*$R$4</f>
        <v>150</v>
      </c>
      <c r="R68" s="328">
        <f t="shared" si="17"/>
        <v>150</v>
      </c>
      <c r="S68" s="129">
        <f t="shared" si="18"/>
        <v>150</v>
      </c>
      <c r="T68" s="136" t="s">
        <v>12</v>
      </c>
      <c r="U68" s="147" t="s">
        <v>12</v>
      </c>
    </row>
    <row r="69" spans="1:22" s="1" customFormat="1" ht="13.5" thickBot="1">
      <c r="B69" s="716" t="s">
        <v>8</v>
      </c>
      <c r="C69" s="373">
        <f>ROUND(C68*Labor!$D$3,0)</f>
        <v>0</v>
      </c>
      <c r="D69" s="374">
        <f>ROUND(D68*Labor!$D$4,0)</f>
        <v>0</v>
      </c>
      <c r="E69" s="374">
        <f>ROUND(E68*Labor!$D$5,0)</f>
        <v>0</v>
      </c>
      <c r="F69" s="374">
        <f>ROUND(F68*Labor!$D$6,0)</f>
        <v>591</v>
      </c>
      <c r="G69" s="374">
        <f>ROUND(G68*Labor!$D$7,0)</f>
        <v>166</v>
      </c>
      <c r="H69" s="374">
        <f>ROUND(H68*Labor!$D$8,0)</f>
        <v>0</v>
      </c>
      <c r="I69" s="209">
        <f t="shared" si="14"/>
        <v>757</v>
      </c>
      <c r="J69" s="339">
        <f>HLOOKUP(Labor!$B$11,InflationTable,2)*I69</f>
        <v>906.88599999999997</v>
      </c>
      <c r="K69" s="296">
        <f>J69*$L$4</f>
        <v>9068.86</v>
      </c>
      <c r="L69" s="297">
        <f t="shared" si="15"/>
        <v>9068.86</v>
      </c>
      <c r="M69" s="376">
        <f>HLOOKUP(Labor!$B$11,InflationTable,3)*$I$69</f>
        <v>925.81100000000004</v>
      </c>
      <c r="N69" s="377">
        <f>M69*$O$4</f>
        <v>9258.11</v>
      </c>
      <c r="O69" s="378">
        <f t="shared" si="16"/>
        <v>9258.11</v>
      </c>
      <c r="P69" s="332">
        <f>HLOOKUP(Labor!$B$11,InflationTable,4)*$I$69</f>
        <v>943.97900000000004</v>
      </c>
      <c r="Q69" s="296">
        <f>P69*$R$4</f>
        <v>9439.7900000000009</v>
      </c>
      <c r="R69" s="297">
        <f t="shared" si="17"/>
        <v>9439.7900000000009</v>
      </c>
      <c r="S69" s="211">
        <f t="shared" si="18"/>
        <v>9255.586666666668</v>
      </c>
      <c r="T69" s="218" t="s">
        <v>12</v>
      </c>
      <c r="U69" s="392" t="s">
        <v>12</v>
      </c>
    </row>
    <row r="70" spans="1:22">
      <c r="B70" s="559" t="s">
        <v>116</v>
      </c>
      <c r="C70" s="346">
        <v>0</v>
      </c>
      <c r="D70" s="346">
        <v>0</v>
      </c>
      <c r="E70" s="346">
        <v>0</v>
      </c>
      <c r="F70" s="346">
        <v>0</v>
      </c>
      <c r="G70" s="346">
        <v>0</v>
      </c>
      <c r="H70" s="346">
        <v>0</v>
      </c>
      <c r="I70" s="347">
        <f t="shared" si="14"/>
        <v>0</v>
      </c>
      <c r="J70" s="293" t="s">
        <v>12</v>
      </c>
      <c r="K70" s="327">
        <f>I70*$L$4</f>
        <v>0</v>
      </c>
      <c r="L70" s="328">
        <f t="shared" si="15"/>
        <v>0</v>
      </c>
      <c r="M70" s="61" t="s">
        <v>12</v>
      </c>
      <c r="N70" s="348">
        <f>$I$70*$O$4</f>
        <v>0</v>
      </c>
      <c r="O70" s="349">
        <f t="shared" si="16"/>
        <v>0</v>
      </c>
      <c r="P70" s="293" t="s">
        <v>12</v>
      </c>
      <c r="Q70" s="327">
        <f>$I$70*$R$4</f>
        <v>0</v>
      </c>
      <c r="R70" s="328">
        <f t="shared" si="17"/>
        <v>0</v>
      </c>
      <c r="S70" s="129">
        <f t="shared" si="18"/>
        <v>0</v>
      </c>
      <c r="T70" s="136" t="s">
        <v>12</v>
      </c>
      <c r="U70" s="147" t="s">
        <v>12</v>
      </c>
    </row>
    <row r="71" spans="1:22" s="1" customFormat="1" ht="13.5" thickBot="1">
      <c r="B71" s="716" t="s">
        <v>8</v>
      </c>
      <c r="C71" s="373">
        <f>ROUND(C70*Labor!$D$3,0)</f>
        <v>0</v>
      </c>
      <c r="D71" s="374">
        <f>ROUND(D70*Labor!$D$4,0)</f>
        <v>0</v>
      </c>
      <c r="E71" s="374">
        <f>ROUND(E70*Labor!$D$5,0)</f>
        <v>0</v>
      </c>
      <c r="F71" s="374">
        <f>ROUND(F70*Labor!$D$6,0)</f>
        <v>0</v>
      </c>
      <c r="G71" s="374">
        <f>ROUND(G70*Labor!$D$7,0)</f>
        <v>0</v>
      </c>
      <c r="H71" s="374">
        <f>ROUND(H70*Labor!$D$8,0)</f>
        <v>0</v>
      </c>
      <c r="I71" s="209">
        <f t="shared" si="14"/>
        <v>0</v>
      </c>
      <c r="J71" s="332">
        <f>HLOOKUP(Labor!$B$11,InflationTable,2)*I71</f>
        <v>0</v>
      </c>
      <c r="K71" s="296">
        <f>J71*$L$4</f>
        <v>0</v>
      </c>
      <c r="L71" s="390">
        <f t="shared" si="15"/>
        <v>0</v>
      </c>
      <c r="M71" s="376">
        <f>HLOOKUP(Labor!$B$11,InflationTable,3)*$I$71</f>
        <v>0</v>
      </c>
      <c r="N71" s="377">
        <f>M71*$O$4</f>
        <v>0</v>
      </c>
      <c r="O71" s="449">
        <f t="shared" si="16"/>
        <v>0</v>
      </c>
      <c r="P71" s="332">
        <f>HLOOKUP(Labor!$B$11,InflationTable,4)*$I$71</f>
        <v>0</v>
      </c>
      <c r="Q71" s="296">
        <f>P71*$R$4</f>
        <v>0</v>
      </c>
      <c r="R71" s="390">
        <f t="shared" si="17"/>
        <v>0</v>
      </c>
      <c r="S71" s="211">
        <f t="shared" si="18"/>
        <v>0</v>
      </c>
      <c r="T71" s="393" t="s">
        <v>12</v>
      </c>
      <c r="U71" s="392" t="s">
        <v>12</v>
      </c>
    </row>
    <row r="72" spans="1:22">
      <c r="B72" s="560" t="s">
        <v>66</v>
      </c>
      <c r="C72" s="36">
        <f t="shared" ref="C72:I73" si="19">C64+C66+C68+C70</f>
        <v>0</v>
      </c>
      <c r="D72" s="36">
        <f t="shared" si="19"/>
        <v>0</v>
      </c>
      <c r="E72" s="36">
        <f t="shared" si="19"/>
        <v>6</v>
      </c>
      <c r="F72" s="36">
        <f t="shared" si="19"/>
        <v>22</v>
      </c>
      <c r="G72" s="36">
        <f t="shared" si="19"/>
        <v>3.5</v>
      </c>
      <c r="H72" s="36">
        <f t="shared" si="19"/>
        <v>0.5</v>
      </c>
      <c r="I72" s="46">
        <f t="shared" si="19"/>
        <v>32</v>
      </c>
      <c r="J72" s="301" t="s">
        <v>12</v>
      </c>
      <c r="K72" s="285">
        <f>K64+K66+K68+K70</f>
        <v>320</v>
      </c>
      <c r="L72" s="312">
        <f>L64+L66+L68+L70</f>
        <v>320</v>
      </c>
      <c r="M72" s="85" t="s">
        <v>12</v>
      </c>
      <c r="N72" s="33">
        <f>N64+N66+N68+N70</f>
        <v>320</v>
      </c>
      <c r="O72" s="99">
        <f>O64+O66+O68+O70</f>
        <v>320</v>
      </c>
      <c r="P72" s="301" t="s">
        <v>12</v>
      </c>
      <c r="Q72" s="285">
        <f>Q64+Q66+Q68+Q70</f>
        <v>320</v>
      </c>
      <c r="R72" s="312">
        <f>R64+R66+R68+R70</f>
        <v>320</v>
      </c>
      <c r="S72" s="129">
        <f t="shared" si="18"/>
        <v>320</v>
      </c>
      <c r="T72" s="136" t="s">
        <v>12</v>
      </c>
      <c r="U72" s="147" t="s">
        <v>12</v>
      </c>
    </row>
    <row r="73" spans="1:22" ht="13.5" thickBot="1">
      <c r="B73" s="561" t="s">
        <v>67</v>
      </c>
      <c r="C73" s="240">
        <f t="shared" si="19"/>
        <v>0</v>
      </c>
      <c r="D73" s="240">
        <f t="shared" si="19"/>
        <v>0</v>
      </c>
      <c r="E73" s="240">
        <f t="shared" si="19"/>
        <v>265</v>
      </c>
      <c r="F73" s="240">
        <f t="shared" si="19"/>
        <v>1084</v>
      </c>
      <c r="G73" s="240">
        <f t="shared" si="19"/>
        <v>194</v>
      </c>
      <c r="H73" s="240">
        <f t="shared" si="19"/>
        <v>29</v>
      </c>
      <c r="I73" s="243">
        <f t="shared" si="19"/>
        <v>1572</v>
      </c>
      <c r="J73" s="313">
        <f>J65+J67+J69+J71</f>
        <v>1883.2559999999999</v>
      </c>
      <c r="K73" s="275">
        <f>K65+K67+K69+K71</f>
        <v>18832.559999999998</v>
      </c>
      <c r="L73" s="276">
        <f>L65+L67+L69+L71</f>
        <v>18832.559999999998</v>
      </c>
      <c r="M73" s="242">
        <f>M65+M67+M69+M71</f>
        <v>1922.556</v>
      </c>
      <c r="N73" s="240">
        <f>N65+N67+N69+N71</f>
        <v>19225.560000000001</v>
      </c>
      <c r="O73" s="243">
        <f>O65+O67+O69+O71</f>
        <v>19225.560000000001</v>
      </c>
      <c r="P73" s="313">
        <f>P65+P67+P69+P71</f>
        <v>1960.2840000000001</v>
      </c>
      <c r="Q73" s="275">
        <f>Q65+Q67+Q69+Q71</f>
        <v>19602.84</v>
      </c>
      <c r="R73" s="276">
        <f>R65+R67+R69+R71</f>
        <v>19602.84</v>
      </c>
      <c r="S73" s="255">
        <f t="shared" si="18"/>
        <v>19220.319999999996</v>
      </c>
      <c r="T73" s="249" t="s">
        <v>12</v>
      </c>
      <c r="U73" s="224" t="s">
        <v>12</v>
      </c>
    </row>
    <row r="74" spans="1:22" ht="13.5" thickTop="1">
      <c r="B74" s="624"/>
      <c r="C74" s="621"/>
      <c r="D74" s="621"/>
      <c r="E74" s="621"/>
      <c r="F74" s="621"/>
      <c r="G74" s="621"/>
      <c r="H74" s="621"/>
      <c r="I74" s="622"/>
      <c r="J74" s="622"/>
      <c r="K74" s="622"/>
      <c r="L74" s="622"/>
      <c r="M74" s="622"/>
      <c r="N74" s="622"/>
      <c r="O74" s="622"/>
      <c r="P74" s="622"/>
      <c r="Q74" s="622"/>
      <c r="R74" s="622"/>
      <c r="S74" s="625"/>
      <c r="T74" s="626"/>
      <c r="U74" s="627"/>
      <c r="V74" s="5"/>
    </row>
    <row r="75" spans="1:22" ht="13.5" thickBot="1">
      <c r="B75" s="410"/>
      <c r="C75" s="410"/>
      <c r="D75" s="410"/>
      <c r="E75" s="410"/>
      <c r="F75" s="410"/>
      <c r="G75" s="410"/>
      <c r="H75" s="410"/>
      <c r="I75" s="410"/>
      <c r="J75" s="410"/>
      <c r="K75" s="410"/>
      <c r="L75" s="410"/>
      <c r="M75" s="410"/>
      <c r="N75" s="410"/>
      <c r="O75" s="410"/>
      <c r="P75" s="410"/>
      <c r="Q75" s="410"/>
      <c r="R75" s="410"/>
      <c r="S75" s="410"/>
      <c r="T75" s="410"/>
      <c r="U75" s="410"/>
      <c r="V75" s="5"/>
    </row>
    <row r="76" spans="1:22" ht="27.75" thickTop="1" thickBot="1">
      <c r="B76" s="653" t="s">
        <v>28</v>
      </c>
      <c r="C76" s="5"/>
      <c r="D76" s="5"/>
      <c r="E76" s="5"/>
      <c r="F76" s="112" t="s">
        <v>6</v>
      </c>
      <c r="G76" s="1412"/>
      <c r="H76" s="1413"/>
      <c r="I76" s="1414"/>
      <c r="J76" s="181" t="s">
        <v>28</v>
      </c>
      <c r="K76" s="426"/>
      <c r="L76" s="67"/>
      <c r="M76" s="181" t="s">
        <v>28</v>
      </c>
      <c r="N76" s="426"/>
      <c r="O76" s="67"/>
      <c r="P76" s="181" t="s">
        <v>28</v>
      </c>
      <c r="Q76" s="426"/>
      <c r="R76" s="67"/>
      <c r="S76" s="546" t="s">
        <v>17</v>
      </c>
      <c r="T76" s="547" t="s">
        <v>103</v>
      </c>
      <c r="U76" s="763" t="s">
        <v>79</v>
      </c>
    </row>
    <row r="77" spans="1:22">
      <c r="B77" s="555"/>
      <c r="C77" s="5"/>
      <c r="D77" s="5"/>
      <c r="E77" s="5"/>
      <c r="F77" s="7"/>
      <c r="G77" s="5"/>
      <c r="H77" s="5"/>
      <c r="I77" s="45" t="s">
        <v>61</v>
      </c>
      <c r="J77" s="277" t="s">
        <v>61</v>
      </c>
      <c r="K77" s="1419" t="s">
        <v>57</v>
      </c>
      <c r="L77" s="1420"/>
      <c r="M77" s="57" t="s">
        <v>61</v>
      </c>
      <c r="N77" s="1429" t="s">
        <v>57</v>
      </c>
      <c r="O77" s="1433"/>
      <c r="P77" s="318" t="s">
        <v>61</v>
      </c>
      <c r="Q77" s="1419" t="s">
        <v>57</v>
      </c>
      <c r="R77" s="1420"/>
      <c r="S77" s="761"/>
      <c r="T77" s="37"/>
      <c r="U77" s="37"/>
    </row>
    <row r="78" spans="1:22">
      <c r="B78" s="559"/>
      <c r="C78" s="23" t="s">
        <v>45</v>
      </c>
      <c r="D78" s="24" t="s">
        <v>46</v>
      </c>
      <c r="E78" s="23" t="s">
        <v>47</v>
      </c>
      <c r="F78" s="23" t="s">
        <v>48</v>
      </c>
      <c r="G78" s="23" t="s">
        <v>49</v>
      </c>
      <c r="H78" s="23" t="s">
        <v>50</v>
      </c>
      <c r="I78" s="45" t="s">
        <v>13</v>
      </c>
      <c r="J78" s="260" t="s">
        <v>56</v>
      </c>
      <c r="K78" s="261" t="s">
        <v>13</v>
      </c>
      <c r="L78" s="262" t="s">
        <v>68</v>
      </c>
      <c r="M78" s="77" t="s">
        <v>56</v>
      </c>
      <c r="N78" s="24" t="s">
        <v>13</v>
      </c>
      <c r="O78" s="38" t="s">
        <v>68</v>
      </c>
      <c r="P78" s="260" t="s">
        <v>56</v>
      </c>
      <c r="Q78" s="261" t="s">
        <v>13</v>
      </c>
      <c r="R78" s="262" t="s">
        <v>68</v>
      </c>
      <c r="S78" s="762"/>
      <c r="T78" s="37"/>
      <c r="U78" s="37"/>
    </row>
    <row r="79" spans="1:22" s="1" customFormat="1" ht="13.5" thickBot="1">
      <c r="A79" s="616"/>
      <c r="B79" s="760" t="str">
        <f>VLOOKUP(C$2,Monitor_Costs,25,FALSE)</f>
        <v>Calibration Stds</v>
      </c>
      <c r="C79" s="721">
        <f>VLOOKUP(C$2,Monitor_Costs,26,FALSE)</f>
        <v>1500</v>
      </c>
      <c r="D79" s="373">
        <f>VLOOKUP(C$2,Monitor_Costs,15,FALSE)</f>
        <v>2013</v>
      </c>
      <c r="E79" s="674"/>
      <c r="F79" s="675"/>
      <c r="G79" s="674"/>
      <c r="H79" s="722"/>
      <c r="I79" s="363"/>
      <c r="J79" s="296">
        <f>HLOOKUP($D$34,InflationTable,2)*$C79</f>
        <v>1797</v>
      </c>
      <c r="K79" s="296">
        <f>J79*$L$4</f>
        <v>17970</v>
      </c>
      <c r="L79" s="297">
        <f>K79</f>
        <v>17970</v>
      </c>
      <c r="M79" s="450">
        <f>HLOOKUP($D$34,InflationTable,3)*$C79</f>
        <v>1834.5000000000002</v>
      </c>
      <c r="N79" s="377">
        <f>M79*$O$4</f>
        <v>18345.000000000004</v>
      </c>
      <c r="O79" s="378">
        <f>N79</f>
        <v>18345.000000000004</v>
      </c>
      <c r="P79" s="296">
        <f>HLOOKUP($D$34,InflationTable,4)*$C79</f>
        <v>1870.5000000000002</v>
      </c>
      <c r="Q79" s="296">
        <f>P79*$R$4</f>
        <v>18705.000000000004</v>
      </c>
      <c r="R79" s="297">
        <f>Q79</f>
        <v>18705.000000000004</v>
      </c>
      <c r="S79" s="472" t="s">
        <v>12</v>
      </c>
      <c r="T79" s="375">
        <f>AVERAGE(L79,O79,R79)</f>
        <v>18340</v>
      </c>
      <c r="U79" s="228" t="s">
        <v>12</v>
      </c>
    </row>
    <row r="80" spans="1:22">
      <c r="B80" s="557"/>
      <c r="C80" s="23"/>
      <c r="D80" s="24"/>
      <c r="E80" s="23"/>
      <c r="F80" s="23"/>
      <c r="G80" s="23"/>
      <c r="H80" s="23"/>
      <c r="I80" s="45"/>
      <c r="J80" s="260"/>
      <c r="K80" s="261"/>
      <c r="L80" s="262"/>
      <c r="M80" s="77"/>
      <c r="N80" s="24"/>
      <c r="O80" s="38"/>
      <c r="P80" s="260"/>
      <c r="Q80" s="261"/>
      <c r="R80" s="262"/>
      <c r="S80" s="120"/>
      <c r="T80" s="133"/>
      <c r="U80" s="37"/>
    </row>
    <row r="81" spans="2:22">
      <c r="B81" s="557" t="s">
        <v>206</v>
      </c>
      <c r="C81" s="21">
        <v>0</v>
      </c>
      <c r="D81" s="21">
        <v>0</v>
      </c>
      <c r="E81" s="21">
        <v>1</v>
      </c>
      <c r="F81" s="21">
        <v>2.5</v>
      </c>
      <c r="G81" s="21">
        <v>0</v>
      </c>
      <c r="H81" s="21">
        <v>0</v>
      </c>
      <c r="I81" s="52">
        <f t="shared" ref="I81:I86" si="20">SUM(C81:H81)</f>
        <v>3.5</v>
      </c>
      <c r="J81" s="263" t="s">
        <v>12</v>
      </c>
      <c r="K81" s="281">
        <f>I81*$L$4</f>
        <v>35</v>
      </c>
      <c r="L81" s="289">
        <f t="shared" ref="L81:L86" si="21">K81</f>
        <v>35</v>
      </c>
      <c r="M81" s="58" t="s">
        <v>12</v>
      </c>
      <c r="N81" s="69">
        <f>$I$81*$O$4</f>
        <v>35</v>
      </c>
      <c r="O81" s="68">
        <f t="shared" ref="O81:O86" si="22">N81</f>
        <v>35</v>
      </c>
      <c r="P81" s="263" t="s">
        <v>12</v>
      </c>
      <c r="Q81" s="281">
        <f>$I$81*$O$4</f>
        <v>35</v>
      </c>
      <c r="R81" s="289">
        <f t="shared" ref="R81:R86" si="23">Q81</f>
        <v>35</v>
      </c>
      <c r="S81" s="121">
        <f t="shared" ref="S81:S86" si="24">AVERAGE(L81,O81,R81)</f>
        <v>35</v>
      </c>
      <c r="T81" s="135" t="s">
        <v>12</v>
      </c>
      <c r="U81" s="136" t="s">
        <v>12</v>
      </c>
    </row>
    <row r="82" spans="2:22" s="1" customFormat="1" ht="13.5" thickBot="1">
      <c r="B82" s="715" t="s">
        <v>8</v>
      </c>
      <c r="C82" s="373">
        <f>ROUND(C81*Labor!$D$3,0)</f>
        <v>0</v>
      </c>
      <c r="D82" s="374">
        <f>ROUND(D81*Labor!$D$4,0)</f>
        <v>0</v>
      </c>
      <c r="E82" s="374">
        <f>ROUND(E81*Labor!$D$5,0)</f>
        <v>44</v>
      </c>
      <c r="F82" s="374">
        <f>ROUND(F81*Labor!$D$6,0)</f>
        <v>123</v>
      </c>
      <c r="G82" s="374">
        <f>ROUND(G81*Labor!$D$7,0)</f>
        <v>0</v>
      </c>
      <c r="H82" s="374">
        <f>ROUND(H81*Labor!$D$8,0)</f>
        <v>0</v>
      </c>
      <c r="I82" s="209">
        <f t="shared" si="20"/>
        <v>167</v>
      </c>
      <c r="J82" s="332">
        <f>HLOOKUP(Labor!$B$11,InflationTable,2)*I82</f>
        <v>200.066</v>
      </c>
      <c r="K82" s="296">
        <f>J82*$L$4</f>
        <v>2000.66</v>
      </c>
      <c r="L82" s="297">
        <f t="shared" si="21"/>
        <v>2000.66</v>
      </c>
      <c r="M82" s="450">
        <f>HLOOKUP(Labor!$B$11,InflationTable,3)*$I$82</f>
        <v>204.24100000000001</v>
      </c>
      <c r="N82" s="377">
        <f>M82*$O$4</f>
        <v>2042.41</v>
      </c>
      <c r="O82" s="378">
        <f t="shared" si="22"/>
        <v>2042.41</v>
      </c>
      <c r="P82" s="332">
        <f>HLOOKUP(Labor!$B$11,InflationTable,4)*$I82</f>
        <v>208.24900000000002</v>
      </c>
      <c r="Q82" s="296">
        <f>P82*$R$4</f>
        <v>2082.4900000000002</v>
      </c>
      <c r="R82" s="297">
        <f t="shared" si="23"/>
        <v>2082.4900000000002</v>
      </c>
      <c r="S82" s="211">
        <f t="shared" si="24"/>
        <v>2041.8533333333335</v>
      </c>
      <c r="T82" s="393" t="s">
        <v>12</v>
      </c>
      <c r="U82" s="218" t="s">
        <v>12</v>
      </c>
    </row>
    <row r="83" spans="2:22">
      <c r="B83" s="559" t="s">
        <v>207</v>
      </c>
      <c r="C83" s="346">
        <v>0</v>
      </c>
      <c r="D83" s="346">
        <v>0</v>
      </c>
      <c r="E83" s="346">
        <v>2</v>
      </c>
      <c r="F83" s="346">
        <v>4</v>
      </c>
      <c r="G83" s="346">
        <v>0</v>
      </c>
      <c r="H83" s="346">
        <v>0</v>
      </c>
      <c r="I83" s="347">
        <f t="shared" si="20"/>
        <v>6</v>
      </c>
      <c r="J83" s="293" t="s">
        <v>12</v>
      </c>
      <c r="K83" s="327">
        <f>I83*$L$4</f>
        <v>60</v>
      </c>
      <c r="L83" s="328">
        <f t="shared" si="21"/>
        <v>60</v>
      </c>
      <c r="M83" s="61" t="s">
        <v>12</v>
      </c>
      <c r="N83" s="348">
        <f>$I$83*$O$4</f>
        <v>60</v>
      </c>
      <c r="O83" s="349">
        <f t="shared" si="22"/>
        <v>60</v>
      </c>
      <c r="P83" s="293" t="s">
        <v>12</v>
      </c>
      <c r="Q83" s="327">
        <f>$I$83*$O$4</f>
        <v>60</v>
      </c>
      <c r="R83" s="328">
        <f t="shared" si="23"/>
        <v>60</v>
      </c>
      <c r="S83" s="129">
        <f t="shared" si="24"/>
        <v>60</v>
      </c>
      <c r="T83" s="135" t="s">
        <v>12</v>
      </c>
      <c r="U83" s="136" t="s">
        <v>12</v>
      </c>
    </row>
    <row r="84" spans="2:22" s="1" customFormat="1" ht="13.5" thickBot="1">
      <c r="B84" s="715" t="s">
        <v>8</v>
      </c>
      <c r="C84" s="373">
        <f>ROUND(C83*Labor!$D$3,0)</f>
        <v>0</v>
      </c>
      <c r="D84" s="374">
        <f>ROUND(D83*Labor!$D$4,0)</f>
        <v>0</v>
      </c>
      <c r="E84" s="374">
        <f>ROUND(E83*Labor!$D$5,0)</f>
        <v>88</v>
      </c>
      <c r="F84" s="374">
        <f>ROUND(F83*Labor!$D$6,0)</f>
        <v>197</v>
      </c>
      <c r="G84" s="374">
        <f>ROUND(G83*Labor!$D$7,0)</f>
        <v>0</v>
      </c>
      <c r="H84" s="374">
        <f>ROUND(H83*Labor!$D$8,0)</f>
        <v>0</v>
      </c>
      <c r="I84" s="209">
        <f t="shared" si="20"/>
        <v>285</v>
      </c>
      <c r="J84" s="332">
        <f>HLOOKUP(Labor!$B$11,InflationTable,2)*I84</f>
        <v>341.43</v>
      </c>
      <c r="K84" s="296">
        <f>J84*$L$4</f>
        <v>3414.3</v>
      </c>
      <c r="L84" s="297">
        <f t="shared" si="21"/>
        <v>3414.3</v>
      </c>
      <c r="M84" s="450">
        <f>HLOOKUP(Labor!$B$11,InflationTable,3)*$I$84</f>
        <v>348.55500000000001</v>
      </c>
      <c r="N84" s="377">
        <f>M84*$O$4</f>
        <v>3485.55</v>
      </c>
      <c r="O84" s="378">
        <f t="shared" si="22"/>
        <v>3485.55</v>
      </c>
      <c r="P84" s="332">
        <f>HLOOKUP(Labor!$B$11,InflationTable,4)*$I84</f>
        <v>355.39500000000004</v>
      </c>
      <c r="Q84" s="296">
        <f>P84*$R$4</f>
        <v>3553.9500000000003</v>
      </c>
      <c r="R84" s="297">
        <f t="shared" si="23"/>
        <v>3553.9500000000003</v>
      </c>
      <c r="S84" s="211">
        <f t="shared" si="24"/>
        <v>3484.6000000000004</v>
      </c>
      <c r="T84" s="393" t="s">
        <v>12</v>
      </c>
      <c r="U84" s="218" t="s">
        <v>12</v>
      </c>
    </row>
    <row r="85" spans="2:22">
      <c r="B85" s="559" t="s">
        <v>109</v>
      </c>
      <c r="C85" s="346">
        <v>0</v>
      </c>
      <c r="D85" s="346">
        <v>0.5</v>
      </c>
      <c r="E85" s="346">
        <v>4</v>
      </c>
      <c r="F85" s="346">
        <v>2.5</v>
      </c>
      <c r="G85" s="346">
        <v>1</v>
      </c>
      <c r="H85" s="346">
        <v>0</v>
      </c>
      <c r="I85" s="347">
        <f t="shared" si="20"/>
        <v>8</v>
      </c>
      <c r="J85" s="293" t="s">
        <v>12</v>
      </c>
      <c r="K85" s="327">
        <f>I85*$L$4</f>
        <v>80</v>
      </c>
      <c r="L85" s="328">
        <f t="shared" si="21"/>
        <v>80</v>
      </c>
      <c r="M85" s="61" t="s">
        <v>12</v>
      </c>
      <c r="N85" s="348">
        <f>$I85*$O$4</f>
        <v>80</v>
      </c>
      <c r="O85" s="349">
        <f t="shared" si="22"/>
        <v>80</v>
      </c>
      <c r="P85" s="293" t="s">
        <v>12</v>
      </c>
      <c r="Q85" s="327">
        <f>$I85*$O$4</f>
        <v>80</v>
      </c>
      <c r="R85" s="328">
        <f t="shared" si="23"/>
        <v>80</v>
      </c>
      <c r="S85" s="129">
        <f t="shared" si="24"/>
        <v>80</v>
      </c>
      <c r="T85" s="135" t="s">
        <v>12</v>
      </c>
      <c r="U85" s="136" t="s">
        <v>12</v>
      </c>
    </row>
    <row r="86" spans="2:22" s="1" customFormat="1" ht="13.5" thickBot="1">
      <c r="B86" s="715" t="s">
        <v>8</v>
      </c>
      <c r="C86" s="373">
        <f>ROUND(C85*Labor!$D$3,0)</f>
        <v>0</v>
      </c>
      <c r="D86" s="374">
        <f>ROUND(D85*Labor!$D$4,0)</f>
        <v>20</v>
      </c>
      <c r="E86" s="374">
        <f>ROUND(E85*Labor!$D$5,0)</f>
        <v>176</v>
      </c>
      <c r="F86" s="374">
        <f>ROUND(F85*Labor!$D$6,0)</f>
        <v>123</v>
      </c>
      <c r="G86" s="374">
        <f>ROUND(G85*Labor!$D$7,0)</f>
        <v>55</v>
      </c>
      <c r="H86" s="374">
        <f>ROUND(H85*Labor!$D$8,0)</f>
        <v>0</v>
      </c>
      <c r="I86" s="209">
        <f t="shared" si="20"/>
        <v>374</v>
      </c>
      <c r="J86" s="332">
        <f>HLOOKUP(Labor!$B$11,InflationTable,2)*I86</f>
        <v>448.05199999999996</v>
      </c>
      <c r="K86" s="296">
        <f>J86*$L$4</f>
        <v>4480.5199999999995</v>
      </c>
      <c r="L86" s="297">
        <f t="shared" si="21"/>
        <v>4480.5199999999995</v>
      </c>
      <c r="M86" s="450">
        <f>HLOOKUP(Labor!$B$11,InflationTable,3)*$I86</f>
        <v>457.40200000000004</v>
      </c>
      <c r="N86" s="377">
        <f>M86*$O$4</f>
        <v>4574.0200000000004</v>
      </c>
      <c r="O86" s="378">
        <f t="shared" si="22"/>
        <v>4574.0200000000004</v>
      </c>
      <c r="P86" s="332">
        <f>HLOOKUP(Labor!$B$11,InflationTable,4)*$I86</f>
        <v>466.37800000000004</v>
      </c>
      <c r="Q86" s="296">
        <f>P86*$R$4</f>
        <v>4663.7800000000007</v>
      </c>
      <c r="R86" s="297">
        <f t="shared" si="23"/>
        <v>4663.7800000000007</v>
      </c>
      <c r="S86" s="446">
        <f t="shared" si="24"/>
        <v>4572.7733333333335</v>
      </c>
      <c r="T86" s="444" t="s">
        <v>12</v>
      </c>
      <c r="U86" s="380" t="s">
        <v>12</v>
      </c>
    </row>
    <row r="87" spans="2:22">
      <c r="B87" s="559" t="s">
        <v>20</v>
      </c>
      <c r="C87" s="107" t="s">
        <v>45</v>
      </c>
      <c r="D87" s="108" t="s">
        <v>46</v>
      </c>
      <c r="E87" s="107" t="s">
        <v>47</v>
      </c>
      <c r="F87" s="107" t="s">
        <v>48</v>
      </c>
      <c r="G87" s="107" t="s">
        <v>49</v>
      </c>
      <c r="H87" s="107" t="s">
        <v>50</v>
      </c>
      <c r="I87" s="109" t="s">
        <v>13</v>
      </c>
      <c r="J87" s="351"/>
      <c r="K87" s="352"/>
      <c r="L87" s="356"/>
      <c r="M87" s="110" t="s">
        <v>56</v>
      </c>
      <c r="N87" s="108" t="s">
        <v>13</v>
      </c>
      <c r="O87" s="111" t="s">
        <v>68</v>
      </c>
      <c r="P87" s="351" t="s">
        <v>56</v>
      </c>
      <c r="Q87" s="352" t="s">
        <v>13</v>
      </c>
      <c r="R87" s="356" t="s">
        <v>68</v>
      </c>
      <c r="S87" s="123"/>
      <c r="T87" s="133"/>
      <c r="U87" s="37"/>
    </row>
    <row r="88" spans="2:22">
      <c r="B88" s="558" t="s">
        <v>4</v>
      </c>
      <c r="C88" s="21">
        <v>0</v>
      </c>
      <c r="D88" s="21">
        <v>0</v>
      </c>
      <c r="E88" s="21">
        <v>0</v>
      </c>
      <c r="F88" s="21">
        <v>3</v>
      </c>
      <c r="G88" s="21">
        <v>1.5</v>
      </c>
      <c r="H88" s="21">
        <v>0</v>
      </c>
      <c r="I88" s="52">
        <f>SUM(C88:H88)</f>
        <v>4.5</v>
      </c>
      <c r="J88" s="263" t="s">
        <v>12</v>
      </c>
      <c r="K88" s="281">
        <f>I88*$L$4</f>
        <v>45</v>
      </c>
      <c r="L88" s="289">
        <f>K88</f>
        <v>45</v>
      </c>
      <c r="M88" s="58" t="s">
        <v>12</v>
      </c>
      <c r="N88" s="69">
        <f>$I88*$O$4</f>
        <v>45</v>
      </c>
      <c r="O88" s="68">
        <f>N88</f>
        <v>45</v>
      </c>
      <c r="P88" s="263" t="s">
        <v>12</v>
      </c>
      <c r="Q88" s="281">
        <f>$I88*$O$4</f>
        <v>45</v>
      </c>
      <c r="R88" s="289">
        <f>Q88</f>
        <v>45</v>
      </c>
      <c r="S88" s="121">
        <f>AVERAGE(L88,O88,R88)</f>
        <v>45</v>
      </c>
      <c r="T88" s="135" t="s">
        <v>12</v>
      </c>
      <c r="U88" s="136" t="s">
        <v>12</v>
      </c>
    </row>
    <row r="89" spans="2:22" s="1" customFormat="1" ht="13.5" thickBot="1">
      <c r="B89" s="715" t="s">
        <v>8</v>
      </c>
      <c r="C89" s="373">
        <f>ROUND(C88*Labor!$D$3,0)</f>
        <v>0</v>
      </c>
      <c r="D89" s="374">
        <f>ROUND(D88*Labor!$D$4,0)</f>
        <v>0</v>
      </c>
      <c r="E89" s="374">
        <f>ROUND(E88*Labor!$D$5,0)</f>
        <v>0</v>
      </c>
      <c r="F89" s="374">
        <f>ROUND(F88*Labor!$D$6,0)</f>
        <v>148</v>
      </c>
      <c r="G89" s="374">
        <f>ROUND(G88*Labor!$D$7,0)</f>
        <v>83</v>
      </c>
      <c r="H89" s="374">
        <f>ROUND(H88*Labor!$D$8,0)</f>
        <v>0</v>
      </c>
      <c r="I89" s="209">
        <f>SUM(C89:H89)</f>
        <v>231</v>
      </c>
      <c r="J89" s="332">
        <f>HLOOKUP(Labor!$B$11,InflationTable,2)*I89</f>
        <v>276.738</v>
      </c>
      <c r="K89" s="296">
        <f>J89*$L$4</f>
        <v>2767.38</v>
      </c>
      <c r="L89" s="297">
        <f>K89</f>
        <v>2767.38</v>
      </c>
      <c r="M89" s="450">
        <f>HLOOKUP(Labor!$B$11,InflationTable,3)*$I89</f>
        <v>282.51300000000003</v>
      </c>
      <c r="N89" s="377">
        <f>M89*$O$4</f>
        <v>2825.13</v>
      </c>
      <c r="O89" s="378">
        <f>N89</f>
        <v>2825.13</v>
      </c>
      <c r="P89" s="332">
        <f>HLOOKUP(Labor!$B$11,InflationTable,4)*$I89</f>
        <v>288.05700000000002</v>
      </c>
      <c r="Q89" s="296">
        <f>P89*$R$4</f>
        <v>2880.57</v>
      </c>
      <c r="R89" s="297">
        <f>Q89</f>
        <v>2880.57</v>
      </c>
      <c r="S89" s="211">
        <f>AVERAGE(L89,O89,R89)</f>
        <v>2824.36</v>
      </c>
      <c r="T89" s="393" t="s">
        <v>12</v>
      </c>
      <c r="U89" s="218" t="s">
        <v>12</v>
      </c>
    </row>
    <row r="90" spans="2:22">
      <c r="B90" s="565" t="s">
        <v>106</v>
      </c>
      <c r="C90" s="32"/>
      <c r="D90" s="431" t="s">
        <v>54</v>
      </c>
      <c r="E90" s="28">
        <v>5</v>
      </c>
      <c r="F90" s="7"/>
      <c r="G90" s="5"/>
      <c r="H90" s="5"/>
      <c r="I90" s="109" t="s">
        <v>55</v>
      </c>
      <c r="J90" s="259"/>
      <c r="K90" s="542"/>
      <c r="L90" s="543"/>
      <c r="M90" s="364" t="s">
        <v>55</v>
      </c>
      <c r="N90" s="1431" t="s">
        <v>57</v>
      </c>
      <c r="O90" s="1432"/>
      <c r="P90" s="259" t="s">
        <v>55</v>
      </c>
      <c r="Q90" s="1428" t="s">
        <v>57</v>
      </c>
      <c r="R90" s="1436"/>
      <c r="S90" s="170"/>
      <c r="T90" s="133"/>
      <c r="U90" s="37"/>
    </row>
    <row r="91" spans="2:22">
      <c r="B91" s="569" t="s">
        <v>51</v>
      </c>
      <c r="C91" s="21">
        <v>0</v>
      </c>
      <c r="D91" s="21">
        <v>0</v>
      </c>
      <c r="E91" s="21">
        <v>0</v>
      </c>
      <c r="F91" s="21">
        <v>12</v>
      </c>
      <c r="G91" s="21">
        <v>0</v>
      </c>
      <c r="H91" s="21">
        <v>0</v>
      </c>
      <c r="I91" s="52">
        <f>SUM(C91:H91)</f>
        <v>12</v>
      </c>
      <c r="J91" s="263" t="s">
        <v>12</v>
      </c>
      <c r="K91" s="283">
        <f>I91*$J$5</f>
        <v>84</v>
      </c>
      <c r="L91" s="282">
        <f>K91/$E$90</f>
        <v>16.8</v>
      </c>
      <c r="M91" s="58" t="s">
        <v>12</v>
      </c>
      <c r="N91" s="60">
        <f>$I$91*$M$5</f>
        <v>84</v>
      </c>
      <c r="O91" s="59">
        <f>N91/$E$90</f>
        <v>16.8</v>
      </c>
      <c r="P91" s="263" t="s">
        <v>12</v>
      </c>
      <c r="Q91" s="283">
        <f>$I$91*$P$5</f>
        <v>84</v>
      </c>
      <c r="R91" s="282">
        <f>Q91/$E$90</f>
        <v>16.8</v>
      </c>
      <c r="S91" s="121">
        <f>AVERAGE(L91,O91,R91)</f>
        <v>16.8</v>
      </c>
      <c r="T91" s="135" t="s">
        <v>12</v>
      </c>
      <c r="U91" s="136" t="s">
        <v>12</v>
      </c>
    </row>
    <row r="92" spans="2:22" s="1" customFormat="1" ht="13.5" thickBot="1">
      <c r="B92" s="716" t="s">
        <v>105</v>
      </c>
      <c r="C92" s="373">
        <f>ROUND(C91*Labor!$D$3,0)</f>
        <v>0</v>
      </c>
      <c r="D92" s="374">
        <f>ROUND(D91*Labor!$D$4,0)</f>
        <v>0</v>
      </c>
      <c r="E92" s="374">
        <f>ROUND(E91*Labor!$D$5,0)</f>
        <v>0</v>
      </c>
      <c r="F92" s="374">
        <f>ROUND(F91*Labor!$D$6,0)</f>
        <v>591</v>
      </c>
      <c r="G92" s="374">
        <f>ROUND(G91*Labor!$D$7,0)</f>
        <v>0</v>
      </c>
      <c r="H92" s="374">
        <f>ROUND(H91*Labor!$D$8,0)</f>
        <v>0</v>
      </c>
      <c r="I92" s="209">
        <f>SUM(C92:H92)</f>
        <v>591</v>
      </c>
      <c r="J92" s="332">
        <f>HLOOKUP(Labor!$B$11,InflationTable,2)*I92</f>
        <v>708.01800000000003</v>
      </c>
      <c r="K92" s="296">
        <f>J92*$J$5</f>
        <v>4956.1260000000002</v>
      </c>
      <c r="L92" s="297">
        <f>K92/$E$90</f>
        <v>991.22520000000009</v>
      </c>
      <c r="M92" s="445">
        <f>HLOOKUP(Labor!$B$11,InflationTable,3)*$I92</f>
        <v>722.79300000000001</v>
      </c>
      <c r="N92" s="377">
        <f>M92*$M$5</f>
        <v>5059.5510000000004</v>
      </c>
      <c r="O92" s="378">
        <f>N92/$E$90</f>
        <v>1011.9102</v>
      </c>
      <c r="P92" s="339">
        <f>HLOOKUP(Labor!$B$11,InflationTable,4)*$I92</f>
        <v>736.97700000000009</v>
      </c>
      <c r="Q92" s="296">
        <f>P92*$P$5</f>
        <v>5158.8390000000009</v>
      </c>
      <c r="R92" s="297">
        <f>Q92/$E$90</f>
        <v>1031.7678000000001</v>
      </c>
      <c r="S92" s="211">
        <f>AVERAGE(L92,O92,R92)</f>
        <v>1011.6344</v>
      </c>
      <c r="T92" s="393" t="s">
        <v>12</v>
      </c>
      <c r="U92" s="218" t="s">
        <v>12</v>
      </c>
    </row>
    <row r="93" spans="2:22">
      <c r="B93" s="560" t="s">
        <v>66</v>
      </c>
      <c r="C93" s="42">
        <f t="shared" ref="C93:I94" si="25">C81+C83+C88+C85+C91</f>
        <v>0</v>
      </c>
      <c r="D93" s="42">
        <f t="shared" si="25"/>
        <v>0.5</v>
      </c>
      <c r="E93" s="42">
        <f t="shared" si="25"/>
        <v>7</v>
      </c>
      <c r="F93" s="42">
        <f t="shared" si="25"/>
        <v>24</v>
      </c>
      <c r="G93" s="42">
        <f t="shared" si="25"/>
        <v>2.5</v>
      </c>
      <c r="H93" s="42">
        <f t="shared" si="25"/>
        <v>0</v>
      </c>
      <c r="I93" s="42">
        <f t="shared" si="25"/>
        <v>34</v>
      </c>
      <c r="J93" s="293" t="s">
        <v>12</v>
      </c>
      <c r="K93" s="315" t="s">
        <v>12</v>
      </c>
      <c r="L93" s="315">
        <f>L81+L83+L88+L85+L91</f>
        <v>236.8</v>
      </c>
      <c r="M93" s="92" t="s">
        <v>12</v>
      </c>
      <c r="N93" s="42" t="s">
        <v>12</v>
      </c>
      <c r="O93" s="42">
        <f>O81+O83+O88+O85+O91</f>
        <v>236.8</v>
      </c>
      <c r="P93" s="759" t="s">
        <v>12</v>
      </c>
      <c r="Q93" s="315" t="s">
        <v>12</v>
      </c>
      <c r="R93" s="315">
        <f>R81+R83+R88+R85+R91</f>
        <v>236.8</v>
      </c>
      <c r="S93" s="150">
        <f>AVERAGE(L93,O93,R93)</f>
        <v>236.80000000000004</v>
      </c>
      <c r="T93" s="133"/>
      <c r="U93" s="37"/>
    </row>
    <row r="94" spans="2:22" ht="13.5" thickBot="1">
      <c r="B94" s="561" t="s">
        <v>67</v>
      </c>
      <c r="C94" s="240">
        <f t="shared" si="25"/>
        <v>0</v>
      </c>
      <c r="D94" s="240">
        <f t="shared" si="25"/>
        <v>20</v>
      </c>
      <c r="E94" s="240">
        <f t="shared" si="25"/>
        <v>308</v>
      </c>
      <c r="F94" s="240">
        <f t="shared" si="25"/>
        <v>1182</v>
      </c>
      <c r="G94" s="240">
        <f t="shared" si="25"/>
        <v>138</v>
      </c>
      <c r="H94" s="240">
        <f t="shared" si="25"/>
        <v>0</v>
      </c>
      <c r="I94" s="240">
        <f t="shared" si="25"/>
        <v>1648</v>
      </c>
      <c r="J94" s="275">
        <f>J82+J84+J89+J86+J92</f>
        <v>1974.3039999999999</v>
      </c>
      <c r="K94" s="275">
        <f>K82+K84+K89+K86+K92</f>
        <v>17618.986000000001</v>
      </c>
      <c r="L94" s="275">
        <f>L82+L84+L89+L86+L92</f>
        <v>13654.085200000001</v>
      </c>
      <c r="M94" s="240">
        <f>M82+M84+M89+M86+M92</f>
        <v>2015.5040000000004</v>
      </c>
      <c r="N94" s="240">
        <f>N82+N84+N89+N86+N92</f>
        <v>17986.661</v>
      </c>
      <c r="O94" s="240">
        <f>O82+O84+O89+O86+O92</f>
        <v>13939.020200000001</v>
      </c>
      <c r="P94" s="275">
        <f>P82+P84+P89+P86+P92</f>
        <v>2055.0560000000005</v>
      </c>
      <c r="Q94" s="275">
        <f>Q82+Q84+Q89+Q86+Q92</f>
        <v>18339.629000000001</v>
      </c>
      <c r="R94" s="275">
        <f>R82+R84+R89+R86+R92</f>
        <v>14212.5578</v>
      </c>
      <c r="S94" s="248">
        <f>AVERAGE(L94,O94,R94)</f>
        <v>13935.221066666667</v>
      </c>
      <c r="T94" s="764">
        <f>T79</f>
        <v>18340</v>
      </c>
      <c r="U94" s="765" t="s">
        <v>12</v>
      </c>
    </row>
    <row r="95" spans="2:22" ht="14.25" thickTop="1" thickBot="1">
      <c r="B95" s="619"/>
      <c r="C95" s="618"/>
      <c r="D95" s="618"/>
      <c r="E95" s="618"/>
      <c r="F95" s="618"/>
      <c r="G95" s="618"/>
      <c r="H95" s="618"/>
      <c r="I95" s="618"/>
      <c r="J95" s="618"/>
      <c r="K95" s="618"/>
      <c r="L95" s="618"/>
      <c r="M95" s="618"/>
      <c r="N95" s="618"/>
      <c r="O95" s="618"/>
      <c r="P95" s="618"/>
      <c r="Q95" s="618"/>
      <c r="R95" s="618"/>
      <c r="S95" s="618"/>
      <c r="T95" s="618"/>
      <c r="U95" s="618"/>
      <c r="V95" s="5"/>
    </row>
    <row r="96" spans="2:22" ht="16.5" thickTop="1">
      <c r="B96" s="562" t="s">
        <v>30</v>
      </c>
      <c r="C96" s="5"/>
      <c r="D96" s="5"/>
      <c r="E96" s="5"/>
      <c r="F96" s="112" t="s">
        <v>6</v>
      </c>
      <c r="G96" s="1412"/>
      <c r="H96" s="1413"/>
      <c r="I96" s="1414"/>
      <c r="J96" s="181" t="s">
        <v>30</v>
      </c>
      <c r="K96" s="426"/>
      <c r="L96" s="67"/>
      <c r="M96" s="181" t="s">
        <v>30</v>
      </c>
      <c r="N96" s="426"/>
      <c r="O96" s="67"/>
      <c r="P96" s="181" t="s">
        <v>30</v>
      </c>
      <c r="Q96" s="319"/>
      <c r="R96" s="180"/>
      <c r="S96" s="225"/>
      <c r="T96" s="133"/>
      <c r="U96" s="37"/>
    </row>
    <row r="97" spans="1:22">
      <c r="B97" s="555"/>
      <c r="C97" s="5"/>
      <c r="D97" s="5"/>
      <c r="E97" s="5"/>
      <c r="F97" s="7"/>
      <c r="G97" s="5"/>
      <c r="H97" s="5"/>
      <c r="I97" s="45" t="s">
        <v>61</v>
      </c>
      <c r="J97" s="277" t="s">
        <v>61</v>
      </c>
      <c r="K97" s="1419" t="s">
        <v>57</v>
      </c>
      <c r="L97" s="1420"/>
      <c r="M97" s="57" t="s">
        <v>61</v>
      </c>
      <c r="N97" s="1429" t="s">
        <v>57</v>
      </c>
      <c r="O97" s="1433"/>
      <c r="P97" s="318" t="s">
        <v>61</v>
      </c>
      <c r="Q97" s="1428" t="s">
        <v>57</v>
      </c>
      <c r="R97" s="1436"/>
      <c r="S97" s="131"/>
      <c r="T97" s="133"/>
      <c r="U97" s="37"/>
    </row>
    <row r="98" spans="1:22">
      <c r="B98" s="563" t="s">
        <v>21</v>
      </c>
      <c r="C98" s="23" t="s">
        <v>45</v>
      </c>
      <c r="D98" s="24" t="s">
        <v>46</v>
      </c>
      <c r="E98" s="23" t="s">
        <v>47</v>
      </c>
      <c r="F98" s="23" t="s">
        <v>48</v>
      </c>
      <c r="G98" s="23" t="s">
        <v>49</v>
      </c>
      <c r="H98" s="23" t="s">
        <v>50</v>
      </c>
      <c r="I98" s="45" t="s">
        <v>13</v>
      </c>
      <c r="J98" s="260" t="s">
        <v>56</v>
      </c>
      <c r="K98" s="261" t="s">
        <v>13</v>
      </c>
      <c r="L98" s="262" t="s">
        <v>68</v>
      </c>
      <c r="M98" s="77" t="s">
        <v>56</v>
      </c>
      <c r="N98" s="24" t="s">
        <v>13</v>
      </c>
      <c r="O98" s="38" t="s">
        <v>68</v>
      </c>
      <c r="P98" s="260" t="s">
        <v>56</v>
      </c>
      <c r="Q98" s="261" t="s">
        <v>13</v>
      </c>
      <c r="R98" s="262" t="s">
        <v>68</v>
      </c>
      <c r="S98" s="123"/>
      <c r="T98" s="133"/>
      <c r="U98" s="37"/>
    </row>
    <row r="99" spans="1:22">
      <c r="B99" s="566" t="s">
        <v>4</v>
      </c>
      <c r="C99" s="21">
        <v>0</v>
      </c>
      <c r="D99" s="21">
        <v>0</v>
      </c>
      <c r="E99" s="21">
        <v>0</v>
      </c>
      <c r="F99" s="21">
        <v>6</v>
      </c>
      <c r="G99" s="21">
        <v>3</v>
      </c>
      <c r="H99" s="21">
        <v>0</v>
      </c>
      <c r="I99" s="52">
        <f>SUM(C99:H99)</f>
        <v>9</v>
      </c>
      <c r="J99" s="263" t="s">
        <v>12</v>
      </c>
      <c r="K99" s="281">
        <f>I99*$L$4</f>
        <v>90</v>
      </c>
      <c r="L99" s="289">
        <f>K99</f>
        <v>90</v>
      </c>
      <c r="M99" s="58" t="s">
        <v>12</v>
      </c>
      <c r="N99" s="69">
        <f>$I99*O$4</f>
        <v>90</v>
      </c>
      <c r="O99" s="59">
        <f>N99</f>
        <v>90</v>
      </c>
      <c r="P99" s="263" t="s">
        <v>12</v>
      </c>
      <c r="Q99" s="281">
        <f>$I99*R$4</f>
        <v>90</v>
      </c>
      <c r="R99" s="289">
        <f>Q99</f>
        <v>90</v>
      </c>
      <c r="S99" s="173">
        <f t="shared" ref="S99:S104" si="26">AVERAGE(L99,O99,R99)</f>
        <v>90</v>
      </c>
      <c r="T99" s="135" t="s">
        <v>12</v>
      </c>
      <c r="U99" s="136" t="s">
        <v>12</v>
      </c>
    </row>
    <row r="100" spans="1:22" ht="13.5" thickBot="1">
      <c r="B100" s="567" t="s">
        <v>8</v>
      </c>
      <c r="C100" s="34">
        <f>ROUND(C99*Labor!$D$3,0)</f>
        <v>0</v>
      </c>
      <c r="D100" s="35">
        <f>ROUND(D99*Labor!$D$4,0)</f>
        <v>0</v>
      </c>
      <c r="E100" s="35">
        <f>ROUND(E99*Labor!$D$5,0)</f>
        <v>0</v>
      </c>
      <c r="F100" s="35">
        <f>ROUND(F99*Labor!$D$6,0)</f>
        <v>296</v>
      </c>
      <c r="G100" s="35">
        <f>ROUND(G99*Labor!$D$7,0)</f>
        <v>166</v>
      </c>
      <c r="H100" s="35">
        <f>ROUND(H99*Labor!$D$8,0)</f>
        <v>0</v>
      </c>
      <c r="I100" s="39">
        <f>SUM(C100:H100)</f>
        <v>462</v>
      </c>
      <c r="J100" s="268">
        <f>HLOOKUP(Labor!$B$11,InflationTable,2)*I100</f>
        <v>553.476</v>
      </c>
      <c r="K100" s="269">
        <f>J100*$L$4</f>
        <v>5534.76</v>
      </c>
      <c r="L100" s="308">
        <f>K100</f>
        <v>5534.76</v>
      </c>
      <c r="M100" s="84">
        <f>HLOOKUP(Labor!$B$11,InflationTable,3)*$I100</f>
        <v>565.02600000000007</v>
      </c>
      <c r="N100" s="63">
        <f>M100*O$4</f>
        <v>5650.26</v>
      </c>
      <c r="O100" s="64">
        <f>N100</f>
        <v>5650.26</v>
      </c>
      <c r="P100" s="268">
        <f>HLOOKUP(Labor!$B$11,InflationTable,4)*$I100</f>
        <v>576.11400000000003</v>
      </c>
      <c r="Q100" s="269">
        <f>P100*R$4</f>
        <v>5761.14</v>
      </c>
      <c r="R100" s="308">
        <f>Q100</f>
        <v>5761.14</v>
      </c>
      <c r="S100" s="171">
        <f t="shared" si="26"/>
        <v>5648.72</v>
      </c>
      <c r="T100" s="137" t="s">
        <v>12</v>
      </c>
      <c r="U100" s="149" t="s">
        <v>12</v>
      </c>
    </row>
    <row r="101" spans="1:22">
      <c r="B101" s="559" t="s">
        <v>104</v>
      </c>
      <c r="C101" s="346">
        <v>0</v>
      </c>
      <c r="D101" s="346">
        <v>0</v>
      </c>
      <c r="E101" s="346">
        <v>0</v>
      </c>
      <c r="F101" s="346">
        <v>0</v>
      </c>
      <c r="G101" s="346">
        <v>6</v>
      </c>
      <c r="H101" s="346">
        <v>3</v>
      </c>
      <c r="I101" s="347">
        <f>SUM(C101:H101)</f>
        <v>9</v>
      </c>
      <c r="J101" s="293" t="s">
        <v>12</v>
      </c>
      <c r="K101" s="327">
        <f>I101*$L$4</f>
        <v>90</v>
      </c>
      <c r="L101" s="328">
        <f>K101</f>
        <v>90</v>
      </c>
      <c r="M101" s="61" t="s">
        <v>12</v>
      </c>
      <c r="N101" s="348">
        <f>$I101*O$4</f>
        <v>90</v>
      </c>
      <c r="O101" s="349">
        <f>N101</f>
        <v>90</v>
      </c>
      <c r="P101" s="293" t="s">
        <v>12</v>
      </c>
      <c r="Q101" s="327">
        <f>$I101*R$4</f>
        <v>90</v>
      </c>
      <c r="R101" s="328">
        <f>Q101</f>
        <v>90</v>
      </c>
      <c r="S101" s="173">
        <f t="shared" si="26"/>
        <v>90</v>
      </c>
      <c r="T101" s="135" t="s">
        <v>12</v>
      </c>
      <c r="U101" s="136" t="s">
        <v>12</v>
      </c>
    </row>
    <row r="102" spans="1:22" ht="13.5" thickBot="1">
      <c r="B102" s="568" t="s">
        <v>8</v>
      </c>
      <c r="C102" s="34">
        <f>ROUND(C101*Labor!$D$3,0)</f>
        <v>0</v>
      </c>
      <c r="D102" s="35">
        <f>ROUND(D101*Labor!$D$4,0)</f>
        <v>0</v>
      </c>
      <c r="E102" s="35">
        <f>ROUND(E101*Labor!$D$5,0)</f>
        <v>0</v>
      </c>
      <c r="F102" s="35">
        <f>ROUND(F101*Labor!$D$6,0)</f>
        <v>0</v>
      </c>
      <c r="G102" s="35">
        <f>ROUND(G101*Labor!$D$7,0)</f>
        <v>333</v>
      </c>
      <c r="H102" s="35">
        <f>ROUND(H101*Labor!$D$8,0)</f>
        <v>176</v>
      </c>
      <c r="I102" s="39">
        <f>SUM(C102:H102)</f>
        <v>509</v>
      </c>
      <c r="J102" s="268">
        <f>HLOOKUP(Labor!$B$11,InflationTable,2)*I102</f>
        <v>609.78199999999993</v>
      </c>
      <c r="K102" s="269">
        <f>J102*$L$4</f>
        <v>6097.82</v>
      </c>
      <c r="L102" s="300">
        <f>K102</f>
        <v>6097.82</v>
      </c>
      <c r="M102" s="84">
        <f>HLOOKUP(Labor!$B$11,InflationTable,3)*$I102</f>
        <v>622.50700000000006</v>
      </c>
      <c r="N102" s="63">
        <f>M102*O$4</f>
        <v>6225.0700000000006</v>
      </c>
      <c r="O102" s="64">
        <f>N102</f>
        <v>6225.0700000000006</v>
      </c>
      <c r="P102" s="292">
        <f>HLOOKUP(Labor!$B$11,InflationTable,4)*$I102</f>
        <v>634.72300000000007</v>
      </c>
      <c r="Q102" s="269">
        <f>P102*R$4</f>
        <v>6347.2300000000005</v>
      </c>
      <c r="R102" s="300">
        <f>Q102</f>
        <v>6347.2300000000005</v>
      </c>
      <c r="S102" s="128">
        <f t="shared" si="26"/>
        <v>6223.373333333333</v>
      </c>
      <c r="T102" s="137" t="s">
        <v>12</v>
      </c>
      <c r="U102" s="149" t="s">
        <v>12</v>
      </c>
    </row>
    <row r="103" spans="1:22">
      <c r="A103" t="s">
        <v>209</v>
      </c>
      <c r="B103" s="560" t="s">
        <v>66</v>
      </c>
      <c r="C103" s="36">
        <f t="shared" ref="C103:I104" si="27">C99+C101</f>
        <v>0</v>
      </c>
      <c r="D103" s="36">
        <f t="shared" si="27"/>
        <v>0</v>
      </c>
      <c r="E103" s="36">
        <f t="shared" si="27"/>
        <v>0</v>
      </c>
      <c r="F103" s="36">
        <f t="shared" si="27"/>
        <v>6</v>
      </c>
      <c r="G103" s="36">
        <f t="shared" si="27"/>
        <v>9</v>
      </c>
      <c r="H103" s="36">
        <f t="shared" si="27"/>
        <v>3</v>
      </c>
      <c r="I103" s="46">
        <f t="shared" si="27"/>
        <v>18</v>
      </c>
      <c r="J103" s="301" t="s">
        <v>12</v>
      </c>
      <c r="K103" s="320">
        <f>K99+K101</f>
        <v>180</v>
      </c>
      <c r="L103" s="321">
        <f>L99+L101</f>
        <v>180</v>
      </c>
      <c r="M103" s="85" t="s">
        <v>12</v>
      </c>
      <c r="N103" s="36">
        <f>N99+N101</f>
        <v>180</v>
      </c>
      <c r="O103" s="100">
        <f>O99+O101</f>
        <v>180</v>
      </c>
      <c r="P103" s="301" t="s">
        <v>12</v>
      </c>
      <c r="Q103" s="320">
        <f>Q99+Q101</f>
        <v>180</v>
      </c>
      <c r="R103" s="322">
        <f>R99+R101</f>
        <v>180</v>
      </c>
      <c r="S103" s="121">
        <f t="shared" si="26"/>
        <v>180</v>
      </c>
      <c r="T103" s="135" t="s">
        <v>12</v>
      </c>
      <c r="U103" s="136" t="s">
        <v>12</v>
      </c>
    </row>
    <row r="104" spans="1:22" ht="13.5" thickBot="1">
      <c r="B104" s="561" t="s">
        <v>67</v>
      </c>
      <c r="C104" s="240">
        <f t="shared" si="27"/>
        <v>0</v>
      </c>
      <c r="D104" s="240">
        <f t="shared" si="27"/>
        <v>0</v>
      </c>
      <c r="E104" s="240">
        <f t="shared" si="27"/>
        <v>0</v>
      </c>
      <c r="F104" s="240">
        <f t="shared" si="27"/>
        <v>296</v>
      </c>
      <c r="G104" s="240">
        <f t="shared" si="27"/>
        <v>499</v>
      </c>
      <c r="H104" s="240">
        <f t="shared" si="27"/>
        <v>176</v>
      </c>
      <c r="I104" s="243">
        <f t="shared" si="27"/>
        <v>971</v>
      </c>
      <c r="J104" s="274">
        <f>J100+J102</f>
        <v>1163.2579999999998</v>
      </c>
      <c r="K104" s="275">
        <f>K100+K102</f>
        <v>11632.58</v>
      </c>
      <c r="L104" s="276">
        <f>L100+L102</f>
        <v>11632.58</v>
      </c>
      <c r="M104" s="242">
        <f>M100+M102</f>
        <v>1187.5330000000001</v>
      </c>
      <c r="N104" s="240">
        <f>N100+N102</f>
        <v>11875.330000000002</v>
      </c>
      <c r="O104" s="243">
        <f>O100+O102</f>
        <v>11875.330000000002</v>
      </c>
      <c r="P104" s="313">
        <f>P100+P102</f>
        <v>1210.837</v>
      </c>
      <c r="Q104" s="275">
        <f>Q100+Q102</f>
        <v>12108.37</v>
      </c>
      <c r="R104" s="276">
        <f>R100+R102</f>
        <v>12108.37</v>
      </c>
      <c r="S104" s="257">
        <f t="shared" si="26"/>
        <v>11872.093333333336</v>
      </c>
      <c r="T104" s="258" t="s">
        <v>12</v>
      </c>
      <c r="U104" s="249" t="s">
        <v>12</v>
      </c>
    </row>
    <row r="105" spans="1:22" ht="14.25" thickTop="1" thickBot="1">
      <c r="B105" s="555"/>
      <c r="C105" s="5"/>
      <c r="D105" s="618"/>
      <c r="E105" s="618"/>
      <c r="F105" s="618"/>
      <c r="G105" s="618"/>
      <c r="H105" s="618"/>
      <c r="I105" s="618"/>
      <c r="J105" s="618"/>
      <c r="K105" s="618"/>
      <c r="L105" s="618"/>
      <c r="M105" s="618"/>
      <c r="N105" s="618"/>
      <c r="O105" s="618"/>
      <c r="P105" s="618"/>
      <c r="Q105" s="618"/>
      <c r="R105" s="618"/>
      <c r="S105" s="618"/>
      <c r="T105" s="618"/>
      <c r="U105" s="620"/>
    </row>
    <row r="106" spans="1:22" ht="19.5" thickTop="1" thickBot="1">
      <c r="B106" s="556" t="s">
        <v>121</v>
      </c>
      <c r="C106" s="648" t="str">
        <f>C2</f>
        <v>PAMSHalfD</v>
      </c>
      <c r="D106" s="5"/>
      <c r="E106" s="4"/>
      <c r="F106" s="12"/>
      <c r="G106" s="4"/>
      <c r="H106" s="4"/>
      <c r="I106" s="41"/>
      <c r="J106" s="233" t="str">
        <f>J2</f>
        <v>Year 1</v>
      </c>
      <c r="K106" s="233">
        <f>K2</f>
        <v>2013</v>
      </c>
      <c r="L106" s="83"/>
      <c r="M106" s="79" t="str">
        <f>M2</f>
        <v>Year 2</v>
      </c>
      <c r="N106" s="79">
        <f>N2</f>
        <v>2014</v>
      </c>
      <c r="O106" s="41"/>
      <c r="P106" s="233" t="str">
        <f>P2</f>
        <v>Year 3</v>
      </c>
      <c r="Q106" s="233">
        <f>Q2</f>
        <v>2015</v>
      </c>
      <c r="R106" s="83"/>
      <c r="S106" s="152"/>
      <c r="T106" s="130"/>
      <c r="U106" s="570"/>
    </row>
    <row r="107" spans="1:22" ht="13.5" thickBot="1">
      <c r="B107" s="555"/>
      <c r="C107" s="194" t="s">
        <v>45</v>
      </c>
      <c r="D107" s="190" t="s">
        <v>46</v>
      </c>
      <c r="E107" s="187" t="s">
        <v>47</v>
      </c>
      <c r="F107" s="202" t="s">
        <v>48</v>
      </c>
      <c r="G107" s="201" t="s">
        <v>49</v>
      </c>
      <c r="H107" s="187" t="s">
        <v>50</v>
      </c>
      <c r="I107" s="188" t="s">
        <v>13</v>
      </c>
      <c r="J107" s="323" t="s">
        <v>56</v>
      </c>
      <c r="K107" s="324" t="s">
        <v>13</v>
      </c>
      <c r="L107" s="325" t="s">
        <v>68</v>
      </c>
      <c r="M107" s="189" t="s">
        <v>56</v>
      </c>
      <c r="N107" s="190" t="s">
        <v>13</v>
      </c>
      <c r="O107" s="191" t="s">
        <v>68</v>
      </c>
      <c r="P107" s="323" t="s">
        <v>56</v>
      </c>
      <c r="Q107" s="324" t="s">
        <v>13</v>
      </c>
      <c r="R107" s="325" t="s">
        <v>68</v>
      </c>
      <c r="S107" s="192"/>
      <c r="T107" s="193"/>
      <c r="U107" s="571"/>
      <c r="V107" s="5"/>
    </row>
    <row r="108" spans="1:22">
      <c r="B108" s="572" t="s">
        <v>97</v>
      </c>
      <c r="C108" s="196">
        <f t="shared" ref="C108:S108" si="28">C15</f>
        <v>0</v>
      </c>
      <c r="D108" s="184">
        <f t="shared" si="28"/>
        <v>0</v>
      </c>
      <c r="E108" s="184">
        <f t="shared" si="28"/>
        <v>0</v>
      </c>
      <c r="F108" s="184">
        <f t="shared" si="28"/>
        <v>0</v>
      </c>
      <c r="G108" s="184">
        <f t="shared" si="28"/>
        <v>0</v>
      </c>
      <c r="H108" s="184">
        <f t="shared" si="28"/>
        <v>0</v>
      </c>
      <c r="I108" s="185">
        <f t="shared" si="28"/>
        <v>0</v>
      </c>
      <c r="J108" s="326" t="str">
        <f t="shared" si="28"/>
        <v>NA</v>
      </c>
      <c r="K108" s="327">
        <f t="shared" si="28"/>
        <v>0</v>
      </c>
      <c r="L108" s="328">
        <f t="shared" si="28"/>
        <v>0</v>
      </c>
      <c r="M108" s="186" t="str">
        <f t="shared" si="28"/>
        <v>NA</v>
      </c>
      <c r="N108" s="184">
        <f t="shared" si="28"/>
        <v>0</v>
      </c>
      <c r="O108" s="185">
        <f t="shared" si="28"/>
        <v>0</v>
      </c>
      <c r="P108" s="326" t="str">
        <f t="shared" si="28"/>
        <v>NA</v>
      </c>
      <c r="Q108" s="327">
        <f t="shared" si="28"/>
        <v>0</v>
      </c>
      <c r="R108" s="328">
        <f t="shared" si="28"/>
        <v>0</v>
      </c>
      <c r="S108" s="185">
        <f t="shared" si="28"/>
        <v>0</v>
      </c>
      <c r="T108" s="37"/>
      <c r="U108" s="138"/>
    </row>
    <row r="109" spans="1:22" ht="13.5" thickBot="1">
      <c r="B109" s="573" t="s">
        <v>76</v>
      </c>
      <c r="C109" s="203">
        <f t="shared" ref="C109:S109" si="29">C16</f>
        <v>0</v>
      </c>
      <c r="D109" s="204">
        <f t="shared" si="29"/>
        <v>0</v>
      </c>
      <c r="E109" s="204">
        <f t="shared" si="29"/>
        <v>0</v>
      </c>
      <c r="F109" s="204">
        <f t="shared" si="29"/>
        <v>0</v>
      </c>
      <c r="G109" s="204">
        <f t="shared" si="29"/>
        <v>0</v>
      </c>
      <c r="H109" s="204">
        <f t="shared" si="29"/>
        <v>0</v>
      </c>
      <c r="I109" s="205">
        <f t="shared" si="29"/>
        <v>0</v>
      </c>
      <c r="J109" s="329">
        <f t="shared" si="29"/>
        <v>0</v>
      </c>
      <c r="K109" s="330">
        <f t="shared" si="29"/>
        <v>0</v>
      </c>
      <c r="L109" s="331">
        <f t="shared" si="29"/>
        <v>0</v>
      </c>
      <c r="M109" s="203">
        <f t="shared" si="29"/>
        <v>0</v>
      </c>
      <c r="N109" s="204">
        <f t="shared" si="29"/>
        <v>0</v>
      </c>
      <c r="O109" s="205">
        <f t="shared" si="29"/>
        <v>0</v>
      </c>
      <c r="P109" s="329">
        <f t="shared" si="29"/>
        <v>0</v>
      </c>
      <c r="Q109" s="330">
        <f t="shared" si="29"/>
        <v>0</v>
      </c>
      <c r="R109" s="331">
        <f t="shared" si="29"/>
        <v>0</v>
      </c>
      <c r="S109" s="205">
        <f t="shared" si="29"/>
        <v>0</v>
      </c>
      <c r="T109" s="206" t="str">
        <f>T16</f>
        <v>NA</v>
      </c>
      <c r="U109" s="392" t="s">
        <v>12</v>
      </c>
    </row>
    <row r="110" spans="1:22">
      <c r="B110" s="574" t="s">
        <v>98</v>
      </c>
      <c r="C110" s="196">
        <f t="shared" ref="C110:S110" si="30">C28</f>
        <v>0</v>
      </c>
      <c r="D110" s="184">
        <f t="shared" si="30"/>
        <v>6</v>
      </c>
      <c r="E110" s="184">
        <f t="shared" si="30"/>
        <v>0</v>
      </c>
      <c r="F110" s="184">
        <f t="shared" si="30"/>
        <v>8</v>
      </c>
      <c r="G110" s="184">
        <f t="shared" si="30"/>
        <v>0</v>
      </c>
      <c r="H110" s="184">
        <f t="shared" si="30"/>
        <v>0</v>
      </c>
      <c r="I110" s="185">
        <f t="shared" si="30"/>
        <v>14</v>
      </c>
      <c r="J110" s="326" t="str">
        <f t="shared" si="30"/>
        <v>NA</v>
      </c>
      <c r="K110" s="327">
        <f t="shared" si="30"/>
        <v>140</v>
      </c>
      <c r="L110" s="328">
        <f t="shared" si="30"/>
        <v>28</v>
      </c>
      <c r="M110" s="186" t="str">
        <f t="shared" si="30"/>
        <v>NA</v>
      </c>
      <c r="N110" s="184">
        <f t="shared" si="30"/>
        <v>140</v>
      </c>
      <c r="O110" s="185">
        <f t="shared" si="30"/>
        <v>28</v>
      </c>
      <c r="P110" s="326" t="str">
        <f t="shared" si="30"/>
        <v>NA</v>
      </c>
      <c r="Q110" s="327">
        <f t="shared" si="30"/>
        <v>140</v>
      </c>
      <c r="R110" s="328">
        <f t="shared" si="30"/>
        <v>28</v>
      </c>
      <c r="S110" s="185">
        <f t="shared" si="30"/>
        <v>28</v>
      </c>
      <c r="T110" s="37"/>
      <c r="U110" s="138"/>
    </row>
    <row r="111" spans="1:22" ht="13.5" thickBot="1">
      <c r="B111" s="573" t="s">
        <v>76</v>
      </c>
      <c r="C111" s="207">
        <f t="shared" ref="C111:S111" si="31">C29</f>
        <v>0</v>
      </c>
      <c r="D111" s="208">
        <f t="shared" si="31"/>
        <v>245</v>
      </c>
      <c r="E111" s="208">
        <f t="shared" si="31"/>
        <v>0</v>
      </c>
      <c r="F111" s="208">
        <f t="shared" si="31"/>
        <v>394</v>
      </c>
      <c r="G111" s="208">
        <f t="shared" si="31"/>
        <v>0</v>
      </c>
      <c r="H111" s="208">
        <f t="shared" si="31"/>
        <v>0</v>
      </c>
      <c r="I111" s="209">
        <f t="shared" si="31"/>
        <v>639</v>
      </c>
      <c r="J111" s="332">
        <f t="shared" si="31"/>
        <v>765.52199999999993</v>
      </c>
      <c r="K111" s="296">
        <f t="shared" si="31"/>
        <v>0</v>
      </c>
      <c r="L111" s="297">
        <f t="shared" si="31"/>
        <v>39867.044000000002</v>
      </c>
      <c r="M111" s="207">
        <f t="shared" si="31"/>
        <v>781.49700000000007</v>
      </c>
      <c r="N111" s="208">
        <f t="shared" si="31"/>
        <v>0</v>
      </c>
      <c r="O111" s="209">
        <f t="shared" si="31"/>
        <v>40698.993999999999</v>
      </c>
      <c r="P111" s="332">
        <f t="shared" si="31"/>
        <v>796.83300000000008</v>
      </c>
      <c r="Q111" s="296">
        <f t="shared" si="31"/>
        <v>0</v>
      </c>
      <c r="R111" s="297">
        <f t="shared" si="31"/>
        <v>41497.665999999997</v>
      </c>
      <c r="S111" s="209">
        <f t="shared" si="31"/>
        <v>1562.568</v>
      </c>
      <c r="T111" s="210" t="str">
        <f>T29</f>
        <v>NA</v>
      </c>
      <c r="U111" s="766">
        <f>U29</f>
        <v>39125.333333333336</v>
      </c>
    </row>
    <row r="112" spans="1:22">
      <c r="B112" s="574" t="s">
        <v>96</v>
      </c>
      <c r="C112" s="197">
        <f t="shared" ref="C112:S112" si="32">C44</f>
        <v>0</v>
      </c>
      <c r="D112" s="25">
        <f t="shared" si="32"/>
        <v>16</v>
      </c>
      <c r="E112" s="25">
        <f t="shared" si="32"/>
        <v>16</v>
      </c>
      <c r="F112" s="25">
        <f t="shared" si="32"/>
        <v>0</v>
      </c>
      <c r="G112" s="25">
        <f t="shared" si="32"/>
        <v>0</v>
      </c>
      <c r="H112" s="25">
        <f t="shared" si="32"/>
        <v>0</v>
      </c>
      <c r="I112" s="198">
        <f t="shared" si="32"/>
        <v>32</v>
      </c>
      <c r="J112" s="333" t="str">
        <f t="shared" si="32"/>
        <v>NA</v>
      </c>
      <c r="K112" s="334">
        <f t="shared" si="32"/>
        <v>320</v>
      </c>
      <c r="L112" s="335">
        <f t="shared" si="32"/>
        <v>320</v>
      </c>
      <c r="M112" s="199" t="str">
        <f t="shared" si="32"/>
        <v>NA</v>
      </c>
      <c r="N112" s="25">
        <f t="shared" si="32"/>
        <v>320</v>
      </c>
      <c r="O112" s="198">
        <f t="shared" si="32"/>
        <v>320</v>
      </c>
      <c r="P112" s="333" t="str">
        <f t="shared" si="32"/>
        <v>NA</v>
      </c>
      <c r="Q112" s="334">
        <f t="shared" si="32"/>
        <v>320</v>
      </c>
      <c r="R112" s="335">
        <f t="shared" si="32"/>
        <v>320</v>
      </c>
      <c r="S112" s="198">
        <f t="shared" si="32"/>
        <v>320</v>
      </c>
      <c r="T112" s="200" t="str">
        <f>T21</f>
        <v>NA</v>
      </c>
      <c r="U112" s="147" t="s">
        <v>12</v>
      </c>
    </row>
    <row r="113" spans="2:21" ht="13.5" thickBot="1">
      <c r="B113" s="573" t="s">
        <v>76</v>
      </c>
      <c r="C113" s="211">
        <f t="shared" ref="C113:S113" si="33">C45</f>
        <v>0</v>
      </c>
      <c r="D113" s="208">
        <f t="shared" si="33"/>
        <v>16</v>
      </c>
      <c r="E113" s="208">
        <f t="shared" si="33"/>
        <v>16</v>
      </c>
      <c r="F113" s="208">
        <f t="shared" si="33"/>
        <v>0</v>
      </c>
      <c r="G113" s="208">
        <f t="shared" si="33"/>
        <v>0</v>
      </c>
      <c r="H113" s="208">
        <f t="shared" si="33"/>
        <v>0</v>
      </c>
      <c r="I113" s="209">
        <f t="shared" si="33"/>
        <v>1485</v>
      </c>
      <c r="J113" s="332">
        <f t="shared" si="33"/>
        <v>1779.03</v>
      </c>
      <c r="K113" s="296">
        <f t="shared" si="33"/>
        <v>17790.3</v>
      </c>
      <c r="L113" s="297">
        <f t="shared" si="33"/>
        <v>17790.3</v>
      </c>
      <c r="M113" s="207">
        <f t="shared" si="33"/>
        <v>1816.1550000000002</v>
      </c>
      <c r="N113" s="208">
        <f t="shared" si="33"/>
        <v>18161.550000000003</v>
      </c>
      <c r="O113" s="209">
        <f t="shared" si="33"/>
        <v>18161.550000000003</v>
      </c>
      <c r="P113" s="332">
        <f t="shared" si="33"/>
        <v>1851.7950000000001</v>
      </c>
      <c r="Q113" s="296">
        <f t="shared" si="33"/>
        <v>18517.95</v>
      </c>
      <c r="R113" s="297">
        <f t="shared" si="33"/>
        <v>18517.95</v>
      </c>
      <c r="S113" s="209">
        <f t="shared" si="33"/>
        <v>17268.266666666666</v>
      </c>
      <c r="T113" s="209">
        <f>T45</f>
        <v>53693.406666666662</v>
      </c>
      <c r="U113" s="766">
        <f>U45</f>
        <v>146720</v>
      </c>
    </row>
    <row r="114" spans="2:21">
      <c r="B114" s="574" t="s">
        <v>99</v>
      </c>
      <c r="C114" s="197">
        <f t="shared" ref="C114:S114" si="34">C58</f>
        <v>0</v>
      </c>
      <c r="D114" s="25">
        <f t="shared" si="34"/>
        <v>0</v>
      </c>
      <c r="E114" s="25">
        <f t="shared" si="34"/>
        <v>22</v>
      </c>
      <c r="F114" s="25">
        <f t="shared" si="34"/>
        <v>42</v>
      </c>
      <c r="G114" s="25">
        <f t="shared" si="34"/>
        <v>0</v>
      </c>
      <c r="H114" s="25">
        <f t="shared" si="34"/>
        <v>0</v>
      </c>
      <c r="I114" s="198">
        <f t="shared" si="34"/>
        <v>64</v>
      </c>
      <c r="J114" s="333" t="str">
        <f t="shared" si="34"/>
        <v>NA</v>
      </c>
      <c r="K114" s="334">
        <f t="shared" si="34"/>
        <v>640</v>
      </c>
      <c r="L114" s="335">
        <f t="shared" si="34"/>
        <v>640</v>
      </c>
      <c r="M114" s="199" t="str">
        <f t="shared" si="34"/>
        <v>NA</v>
      </c>
      <c r="N114" s="25">
        <f t="shared" si="34"/>
        <v>640</v>
      </c>
      <c r="O114" s="198">
        <f t="shared" si="34"/>
        <v>640</v>
      </c>
      <c r="P114" s="333" t="str">
        <f t="shared" si="34"/>
        <v>NA</v>
      </c>
      <c r="Q114" s="334">
        <f t="shared" si="34"/>
        <v>640</v>
      </c>
      <c r="R114" s="335">
        <f t="shared" si="34"/>
        <v>640</v>
      </c>
      <c r="S114" s="198">
        <f t="shared" si="34"/>
        <v>640</v>
      </c>
      <c r="T114" s="37"/>
      <c r="U114" s="138"/>
    </row>
    <row r="115" spans="2:21" ht="13.5" thickBot="1">
      <c r="B115" s="573" t="s">
        <v>76</v>
      </c>
      <c r="C115" s="207">
        <f t="shared" ref="C115:S115" si="35">C59</f>
        <v>0</v>
      </c>
      <c r="D115" s="208">
        <f t="shared" si="35"/>
        <v>0</v>
      </c>
      <c r="E115" s="208">
        <f t="shared" si="35"/>
        <v>971</v>
      </c>
      <c r="F115" s="208">
        <f t="shared" si="35"/>
        <v>2070</v>
      </c>
      <c r="G115" s="208">
        <f t="shared" si="35"/>
        <v>0</v>
      </c>
      <c r="H115" s="208">
        <f t="shared" si="35"/>
        <v>0</v>
      </c>
      <c r="I115" s="209">
        <f t="shared" si="35"/>
        <v>5923</v>
      </c>
      <c r="J115" s="332">
        <f t="shared" si="35"/>
        <v>7095.7539999999999</v>
      </c>
      <c r="K115" s="296">
        <f t="shared" si="35"/>
        <v>70957.540000000008</v>
      </c>
      <c r="L115" s="297">
        <f t="shared" si="35"/>
        <v>70957.540000000008</v>
      </c>
      <c r="M115" s="211">
        <f t="shared" si="35"/>
        <v>7214.2790000000005</v>
      </c>
      <c r="N115" s="208">
        <f t="shared" si="35"/>
        <v>72142.790000000008</v>
      </c>
      <c r="O115" s="209">
        <f t="shared" si="35"/>
        <v>72142.790000000008</v>
      </c>
      <c r="P115" s="332">
        <f t="shared" si="35"/>
        <v>7328.0630000000001</v>
      </c>
      <c r="Q115" s="296">
        <f t="shared" si="35"/>
        <v>73280.63</v>
      </c>
      <c r="R115" s="297">
        <f t="shared" si="35"/>
        <v>73280.63</v>
      </c>
      <c r="S115" s="209">
        <f t="shared" si="35"/>
        <v>51341.653333333335</v>
      </c>
      <c r="T115" s="209">
        <f>T59</f>
        <v>20785.333333333332</v>
      </c>
      <c r="U115" s="576" t="s">
        <v>12</v>
      </c>
    </row>
    <row r="116" spans="2:21">
      <c r="B116" s="574" t="s">
        <v>100</v>
      </c>
      <c r="C116" s="197">
        <f t="shared" ref="C116:U116" si="36">C72</f>
        <v>0</v>
      </c>
      <c r="D116" s="25">
        <f t="shared" si="36"/>
        <v>0</v>
      </c>
      <c r="E116" s="25">
        <f t="shared" si="36"/>
        <v>6</v>
      </c>
      <c r="F116" s="25">
        <f t="shared" si="36"/>
        <v>22</v>
      </c>
      <c r="G116" s="25">
        <f t="shared" si="36"/>
        <v>3.5</v>
      </c>
      <c r="H116" s="25">
        <f t="shared" si="36"/>
        <v>0.5</v>
      </c>
      <c r="I116" s="198">
        <f t="shared" si="36"/>
        <v>32</v>
      </c>
      <c r="J116" s="333" t="str">
        <f t="shared" si="36"/>
        <v>NA</v>
      </c>
      <c r="K116" s="334">
        <f t="shared" si="36"/>
        <v>320</v>
      </c>
      <c r="L116" s="335">
        <f t="shared" si="36"/>
        <v>320</v>
      </c>
      <c r="M116" s="199" t="str">
        <f t="shared" si="36"/>
        <v>NA</v>
      </c>
      <c r="N116" s="25">
        <f t="shared" si="36"/>
        <v>320</v>
      </c>
      <c r="O116" s="198">
        <f t="shared" si="36"/>
        <v>320</v>
      </c>
      <c r="P116" s="333" t="str">
        <f t="shared" si="36"/>
        <v>NA</v>
      </c>
      <c r="Q116" s="334">
        <f t="shared" si="36"/>
        <v>320</v>
      </c>
      <c r="R116" s="335">
        <f t="shared" si="36"/>
        <v>320</v>
      </c>
      <c r="S116" s="198">
        <f t="shared" si="36"/>
        <v>320</v>
      </c>
      <c r="T116" s="212" t="str">
        <f t="shared" si="36"/>
        <v>NA</v>
      </c>
      <c r="U116" s="577" t="str">
        <f t="shared" si="36"/>
        <v>NA</v>
      </c>
    </row>
    <row r="117" spans="2:21" ht="13.5" thickBot="1">
      <c r="B117" s="573" t="s">
        <v>76</v>
      </c>
      <c r="C117" s="207">
        <f t="shared" ref="C117:T117" si="37">C73</f>
        <v>0</v>
      </c>
      <c r="D117" s="208">
        <f t="shared" si="37"/>
        <v>0</v>
      </c>
      <c r="E117" s="208">
        <f t="shared" si="37"/>
        <v>265</v>
      </c>
      <c r="F117" s="208">
        <f t="shared" si="37"/>
        <v>1084</v>
      </c>
      <c r="G117" s="208">
        <f t="shared" si="37"/>
        <v>194</v>
      </c>
      <c r="H117" s="208">
        <f t="shared" si="37"/>
        <v>29</v>
      </c>
      <c r="I117" s="209">
        <f t="shared" si="37"/>
        <v>1572</v>
      </c>
      <c r="J117" s="332">
        <f t="shared" si="37"/>
        <v>1883.2559999999999</v>
      </c>
      <c r="K117" s="296">
        <f t="shared" si="37"/>
        <v>18832.559999999998</v>
      </c>
      <c r="L117" s="297">
        <f t="shared" si="37"/>
        <v>18832.559999999998</v>
      </c>
      <c r="M117" s="207">
        <f t="shared" si="37"/>
        <v>1922.556</v>
      </c>
      <c r="N117" s="208">
        <f t="shared" si="37"/>
        <v>19225.560000000001</v>
      </c>
      <c r="O117" s="209">
        <f t="shared" si="37"/>
        <v>19225.560000000001</v>
      </c>
      <c r="P117" s="339">
        <f t="shared" si="37"/>
        <v>1960.2840000000001</v>
      </c>
      <c r="Q117" s="296">
        <f t="shared" si="37"/>
        <v>19602.84</v>
      </c>
      <c r="R117" s="297">
        <f t="shared" si="37"/>
        <v>19602.84</v>
      </c>
      <c r="S117" s="209">
        <f t="shared" si="37"/>
        <v>19220.319999999996</v>
      </c>
      <c r="T117" s="210" t="str">
        <f t="shared" si="37"/>
        <v>NA</v>
      </c>
      <c r="U117" s="392" t="s">
        <v>12</v>
      </c>
    </row>
    <row r="118" spans="2:21">
      <c r="B118" s="574" t="s">
        <v>101</v>
      </c>
      <c r="C118" s="213">
        <f t="shared" ref="C118:S118" si="38">C93</f>
        <v>0</v>
      </c>
      <c r="D118" s="214">
        <f t="shared" si="38"/>
        <v>0.5</v>
      </c>
      <c r="E118" s="214">
        <f t="shared" si="38"/>
        <v>7</v>
      </c>
      <c r="F118" s="214">
        <f t="shared" si="38"/>
        <v>24</v>
      </c>
      <c r="G118" s="214">
        <f t="shared" si="38"/>
        <v>2.5</v>
      </c>
      <c r="H118" s="214">
        <f t="shared" si="38"/>
        <v>0</v>
      </c>
      <c r="I118" s="215">
        <f t="shared" si="38"/>
        <v>34</v>
      </c>
      <c r="J118" s="336" t="str">
        <f t="shared" si="38"/>
        <v>NA</v>
      </c>
      <c r="K118" s="337" t="str">
        <f t="shared" si="38"/>
        <v>NA</v>
      </c>
      <c r="L118" s="294">
        <f t="shared" si="38"/>
        <v>236.8</v>
      </c>
      <c r="M118" s="216" t="str">
        <f t="shared" si="38"/>
        <v>NA</v>
      </c>
      <c r="N118" s="217" t="str">
        <f t="shared" si="38"/>
        <v>NA</v>
      </c>
      <c r="O118" s="215">
        <f t="shared" si="38"/>
        <v>236.8</v>
      </c>
      <c r="P118" s="336" t="str">
        <f t="shared" si="38"/>
        <v>NA</v>
      </c>
      <c r="Q118" s="337" t="str">
        <f t="shared" si="38"/>
        <v>NA</v>
      </c>
      <c r="R118" s="294">
        <f t="shared" si="38"/>
        <v>236.8</v>
      </c>
      <c r="S118" s="215">
        <f t="shared" si="38"/>
        <v>236.80000000000004</v>
      </c>
      <c r="T118" s="136" t="s">
        <v>12</v>
      </c>
      <c r="U118" s="147" t="s">
        <v>12</v>
      </c>
    </row>
    <row r="119" spans="2:21" ht="13.5" thickBot="1">
      <c r="B119" s="573" t="s">
        <v>76</v>
      </c>
      <c r="C119" s="207">
        <f t="shared" ref="C119:S119" si="39">C94</f>
        <v>0</v>
      </c>
      <c r="D119" s="208">
        <f t="shared" si="39"/>
        <v>20</v>
      </c>
      <c r="E119" s="208">
        <f t="shared" si="39"/>
        <v>308</v>
      </c>
      <c r="F119" s="208">
        <f t="shared" si="39"/>
        <v>1182</v>
      </c>
      <c r="G119" s="208">
        <f t="shared" si="39"/>
        <v>138</v>
      </c>
      <c r="H119" s="208">
        <f t="shared" si="39"/>
        <v>0</v>
      </c>
      <c r="I119" s="209">
        <f t="shared" si="39"/>
        <v>1648</v>
      </c>
      <c r="J119" s="332">
        <f t="shared" si="39"/>
        <v>1974.3039999999999</v>
      </c>
      <c r="K119" s="338">
        <f t="shared" si="39"/>
        <v>17618.986000000001</v>
      </c>
      <c r="L119" s="297">
        <f t="shared" si="39"/>
        <v>13654.085200000001</v>
      </c>
      <c r="M119" s="211">
        <f t="shared" si="39"/>
        <v>2015.5040000000004</v>
      </c>
      <c r="N119" s="219">
        <f t="shared" si="39"/>
        <v>17986.661</v>
      </c>
      <c r="O119" s="209">
        <f t="shared" si="39"/>
        <v>13939.020200000001</v>
      </c>
      <c r="P119" s="332">
        <f t="shared" si="39"/>
        <v>2055.0560000000005</v>
      </c>
      <c r="Q119" s="338">
        <f t="shared" si="39"/>
        <v>18339.629000000001</v>
      </c>
      <c r="R119" s="297">
        <f t="shared" si="39"/>
        <v>14212.5578</v>
      </c>
      <c r="S119" s="209">
        <f t="shared" si="39"/>
        <v>13935.221066666667</v>
      </c>
      <c r="T119" s="209">
        <f>T94</f>
        <v>18340</v>
      </c>
      <c r="U119" s="392" t="s">
        <v>12</v>
      </c>
    </row>
    <row r="120" spans="2:21">
      <c r="B120" s="574" t="s">
        <v>102</v>
      </c>
      <c r="C120" s="197">
        <f t="shared" ref="C120:S120" si="40">C103</f>
        <v>0</v>
      </c>
      <c r="D120" s="25">
        <f t="shared" si="40"/>
        <v>0</v>
      </c>
      <c r="E120" s="25">
        <f t="shared" si="40"/>
        <v>0</v>
      </c>
      <c r="F120" s="25">
        <f t="shared" si="40"/>
        <v>6</v>
      </c>
      <c r="G120" s="25">
        <f t="shared" si="40"/>
        <v>9</v>
      </c>
      <c r="H120" s="25">
        <f t="shared" si="40"/>
        <v>3</v>
      </c>
      <c r="I120" s="198">
        <f t="shared" si="40"/>
        <v>18</v>
      </c>
      <c r="J120" s="333" t="str">
        <f t="shared" si="40"/>
        <v>NA</v>
      </c>
      <c r="K120" s="334">
        <f t="shared" si="40"/>
        <v>180</v>
      </c>
      <c r="L120" s="335">
        <f t="shared" si="40"/>
        <v>180</v>
      </c>
      <c r="M120" s="199" t="str">
        <f t="shared" si="40"/>
        <v>NA</v>
      </c>
      <c r="N120" s="25">
        <f t="shared" si="40"/>
        <v>180</v>
      </c>
      <c r="O120" s="198">
        <f t="shared" si="40"/>
        <v>180</v>
      </c>
      <c r="P120" s="333" t="str">
        <f t="shared" si="40"/>
        <v>NA</v>
      </c>
      <c r="Q120" s="334">
        <f t="shared" si="40"/>
        <v>180</v>
      </c>
      <c r="R120" s="335">
        <f t="shared" si="40"/>
        <v>180</v>
      </c>
      <c r="S120" s="198">
        <f t="shared" si="40"/>
        <v>180</v>
      </c>
      <c r="T120" s="136" t="s">
        <v>12</v>
      </c>
      <c r="U120" s="147" t="s">
        <v>12</v>
      </c>
    </row>
    <row r="121" spans="2:21" ht="13.5" thickBot="1">
      <c r="B121" s="578" t="s">
        <v>76</v>
      </c>
      <c r="C121" s="220">
        <f t="shared" ref="C121:S121" si="41">C104</f>
        <v>0</v>
      </c>
      <c r="D121" s="221">
        <f t="shared" si="41"/>
        <v>0</v>
      </c>
      <c r="E121" s="221">
        <f t="shared" si="41"/>
        <v>0</v>
      </c>
      <c r="F121" s="221">
        <f t="shared" si="41"/>
        <v>296</v>
      </c>
      <c r="G121" s="221">
        <f t="shared" si="41"/>
        <v>499</v>
      </c>
      <c r="H121" s="221">
        <f t="shared" si="41"/>
        <v>176</v>
      </c>
      <c r="I121" s="222">
        <f t="shared" si="41"/>
        <v>971</v>
      </c>
      <c r="J121" s="304">
        <f t="shared" si="41"/>
        <v>1163.2579999999998</v>
      </c>
      <c r="K121" s="305">
        <f t="shared" si="41"/>
        <v>11632.58</v>
      </c>
      <c r="L121" s="306">
        <f t="shared" si="41"/>
        <v>11632.58</v>
      </c>
      <c r="M121" s="220">
        <f t="shared" si="41"/>
        <v>1187.5330000000001</v>
      </c>
      <c r="N121" s="221">
        <f t="shared" si="41"/>
        <v>11875.330000000002</v>
      </c>
      <c r="O121" s="222">
        <f t="shared" si="41"/>
        <v>11875.330000000002</v>
      </c>
      <c r="P121" s="311">
        <f t="shared" si="41"/>
        <v>1210.837</v>
      </c>
      <c r="Q121" s="305">
        <f t="shared" si="41"/>
        <v>12108.37</v>
      </c>
      <c r="R121" s="306">
        <f t="shared" si="41"/>
        <v>12108.37</v>
      </c>
      <c r="S121" s="222">
        <f t="shared" si="41"/>
        <v>11872.093333333336</v>
      </c>
      <c r="T121" s="223" t="str">
        <f>T104</f>
        <v>NA</v>
      </c>
      <c r="U121" s="224" t="s">
        <v>12</v>
      </c>
    </row>
    <row r="122" spans="2:21" ht="18.75" thickTop="1">
      <c r="B122" s="579" t="s">
        <v>13</v>
      </c>
      <c r="C122" s="183" t="s">
        <v>45</v>
      </c>
      <c r="D122" s="108" t="s">
        <v>46</v>
      </c>
      <c r="E122" s="107" t="s">
        <v>47</v>
      </c>
      <c r="F122" s="107" t="s">
        <v>48</v>
      </c>
      <c r="G122" s="107" t="s">
        <v>49</v>
      </c>
      <c r="H122" s="107" t="s">
        <v>50</v>
      </c>
      <c r="I122" s="109" t="s">
        <v>13</v>
      </c>
      <c r="J122" s="110" t="s">
        <v>56</v>
      </c>
      <c r="K122" s="108" t="s">
        <v>13</v>
      </c>
      <c r="L122" s="111" t="s">
        <v>68</v>
      </c>
      <c r="M122" s="110" t="s">
        <v>56</v>
      </c>
      <c r="N122" s="108" t="s">
        <v>13</v>
      </c>
      <c r="O122" s="111" t="s">
        <v>68</v>
      </c>
      <c r="P122" s="110" t="s">
        <v>56</v>
      </c>
      <c r="Q122" s="108" t="s">
        <v>13</v>
      </c>
      <c r="R122" s="111" t="s">
        <v>68</v>
      </c>
      <c r="S122" s="111"/>
      <c r="T122" s="37"/>
      <c r="U122" s="138"/>
    </row>
    <row r="123" spans="2:21">
      <c r="B123" s="580" t="s">
        <v>75</v>
      </c>
      <c r="C123" s="195">
        <f t="shared" ref="C123:I124" si="42">C108+C110+C112+C114+C116+C118+C120</f>
        <v>0</v>
      </c>
      <c r="D123" s="101">
        <f t="shared" si="42"/>
        <v>22.5</v>
      </c>
      <c r="E123" s="101">
        <f t="shared" si="42"/>
        <v>51</v>
      </c>
      <c r="F123" s="101">
        <f t="shared" si="42"/>
        <v>102</v>
      </c>
      <c r="G123" s="101">
        <f t="shared" si="42"/>
        <v>15</v>
      </c>
      <c r="H123" s="101">
        <f t="shared" si="42"/>
        <v>3.5</v>
      </c>
      <c r="I123" s="102">
        <f t="shared" si="42"/>
        <v>194</v>
      </c>
      <c r="J123" s="340" t="s">
        <v>12</v>
      </c>
      <c r="K123" s="281">
        <f>K108+K110+K112+K114+K116+K120</f>
        <v>1600</v>
      </c>
      <c r="L123" s="289">
        <f>L108+L110+L112+L114+L116+L118+L120</f>
        <v>1724.8</v>
      </c>
      <c r="M123" s="103" t="s">
        <v>12</v>
      </c>
      <c r="N123" s="101">
        <f>N108+N110+N112+N114+N116+N120</f>
        <v>1600</v>
      </c>
      <c r="O123" s="102">
        <f>O108+O110+O112+O114+O116+O118+O120</f>
        <v>1724.8</v>
      </c>
      <c r="P123" s="340" t="s">
        <v>12</v>
      </c>
      <c r="Q123" s="281">
        <f>Q108+Q110+Q112+Q114+Q116+Q120</f>
        <v>1600</v>
      </c>
      <c r="R123" s="289">
        <f>R108+R110+R112+R114+R116+R118+R120</f>
        <v>1724.8</v>
      </c>
      <c r="S123" s="174">
        <f>S108+S110+S112+S114+S116+S118+S120</f>
        <v>1724.8</v>
      </c>
      <c r="T123" s="102"/>
      <c r="U123" s="140" t="s">
        <v>12</v>
      </c>
    </row>
    <row r="124" spans="2:21" s="235" customFormat="1" ht="16.5" thickBot="1">
      <c r="B124" s="581" t="s">
        <v>76</v>
      </c>
      <c r="C124" s="582">
        <f t="shared" si="42"/>
        <v>0</v>
      </c>
      <c r="D124" s="583">
        <f t="shared" si="42"/>
        <v>281</v>
      </c>
      <c r="E124" s="583">
        <f t="shared" si="42"/>
        <v>1560</v>
      </c>
      <c r="F124" s="583">
        <f t="shared" si="42"/>
        <v>5026</v>
      </c>
      <c r="G124" s="583">
        <f t="shared" si="42"/>
        <v>831</v>
      </c>
      <c r="H124" s="583">
        <f t="shared" si="42"/>
        <v>205</v>
      </c>
      <c r="I124" s="584">
        <f t="shared" si="42"/>
        <v>12238</v>
      </c>
      <c r="J124" s="585">
        <f>J109+J111+J113+J115+J117+J119+J121</f>
        <v>14661.124</v>
      </c>
      <c r="K124" s="586">
        <f>K109+K111+K113+K115+K117+K121</f>
        <v>119212.98000000001</v>
      </c>
      <c r="L124" s="587">
        <f>L109+L111+L113+L115+L117+L119+L121</f>
        <v>172734.10920000001</v>
      </c>
      <c r="M124" s="582">
        <f>M109+M111+M113+M115+M117+M119+M121</f>
        <v>14937.524000000001</v>
      </c>
      <c r="N124" s="588">
        <f>N109+N111+N113+N115+N117+N121</f>
        <v>121405.23000000001</v>
      </c>
      <c r="O124" s="584">
        <f>O109+O111+O113+O115+O117+O119+O121</f>
        <v>176043.24420000002</v>
      </c>
      <c r="P124" s="589">
        <f>P109+P111+P113+P115+P117+P119+P121</f>
        <v>15202.868</v>
      </c>
      <c r="Q124" s="586">
        <f>Q109+Q111+Q113+Q115+Q117+Q121</f>
        <v>123509.79</v>
      </c>
      <c r="R124" s="587">
        <f>R109+R111+R113+R115+R117+R119+R121</f>
        <v>179220.01379999999</v>
      </c>
      <c r="S124" s="590">
        <f>S109+S111+S113+S115+S117+S119+S121</f>
        <v>115200.12239999999</v>
      </c>
      <c r="T124" s="584">
        <f>SUM(T109,T111,T113,T115,T117,T119,T121)</f>
        <v>92818.739999999991</v>
      </c>
      <c r="U124" s="591">
        <f>SUM(U109,U111,U113,U115,U117,U119,U121)</f>
        <v>185845.33333333334</v>
      </c>
    </row>
  </sheetData>
  <mergeCells count="35">
    <mergeCell ref="Q97:R97"/>
    <mergeCell ref="Q32:R32"/>
    <mergeCell ref="Q48:R48"/>
    <mergeCell ref="Q62:R62"/>
    <mergeCell ref="Q90:R90"/>
    <mergeCell ref="Q77:R77"/>
    <mergeCell ref="G76:I76"/>
    <mergeCell ref="N90:O90"/>
    <mergeCell ref="K97:L97"/>
    <mergeCell ref="N32:O32"/>
    <mergeCell ref="N48:O48"/>
    <mergeCell ref="N77:O77"/>
    <mergeCell ref="N97:O97"/>
    <mergeCell ref="N62:O62"/>
    <mergeCell ref="K32:L32"/>
    <mergeCell ref="G96:I96"/>
    <mergeCell ref="K77:L77"/>
    <mergeCell ref="K62:L62"/>
    <mergeCell ref="G61:I61"/>
    <mergeCell ref="G32:I32"/>
    <mergeCell ref="K48:L48"/>
    <mergeCell ref="G18:I18"/>
    <mergeCell ref="G31:I31"/>
    <mergeCell ref="G48:I48"/>
    <mergeCell ref="G47:I47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disablePrompts="1" count="1">
    <dataValidation allowBlank="1" showInputMessage="1" showErrorMessage="1" sqref="D79 D39:D40 D21 D34:D37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74" max="16383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3"/>
  <sheetViews>
    <sheetView zoomScaleNormal="100" workbookViewId="0">
      <selection activeCell="C20" sqref="C2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2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2" ht="18.75" thickTop="1">
      <c r="A2" s="615"/>
      <c r="B2" s="596" t="s">
        <v>0</v>
      </c>
      <c r="C2" s="593" t="s">
        <v>292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2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22</v>
      </c>
      <c r="U3" s="37"/>
    </row>
    <row r="4" spans="1:22">
      <c r="A4" s="615"/>
      <c r="B4" s="5"/>
      <c r="C4" s="5"/>
      <c r="D4" s="5"/>
      <c r="E4" s="5"/>
      <c r="F4" s="7"/>
      <c r="G4" s="5"/>
      <c r="H4" s="5"/>
      <c r="I4" s="50">
        <v>0</v>
      </c>
      <c r="J4" s="425" t="s">
        <v>71</v>
      </c>
      <c r="K4" s="429" t="s">
        <v>72</v>
      </c>
      <c r="L4" s="20">
        <v>27</v>
      </c>
      <c r="M4" s="396" t="s">
        <v>71</v>
      </c>
      <c r="N4" s="431" t="s">
        <v>69</v>
      </c>
      <c r="O4" s="20">
        <v>27</v>
      </c>
      <c r="P4" s="425" t="s">
        <v>71</v>
      </c>
      <c r="Q4" s="429" t="s">
        <v>69</v>
      </c>
      <c r="R4" s="20">
        <v>27</v>
      </c>
      <c r="S4" s="115" t="s">
        <v>69</v>
      </c>
      <c r="T4" s="106">
        <f>AVERAGE(L4,O4,R4)</f>
        <v>27</v>
      </c>
      <c r="U4" s="37"/>
    </row>
    <row r="5" spans="1:22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22</v>
      </c>
      <c r="K5" s="342" t="s">
        <v>70</v>
      </c>
      <c r="L5" s="343">
        <f>L4*$I$4</f>
        <v>0</v>
      </c>
      <c r="M5" s="632">
        <v>22</v>
      </c>
      <c r="N5" s="344" t="s">
        <v>70</v>
      </c>
      <c r="O5" s="345">
        <f>O4*$I$4</f>
        <v>0</v>
      </c>
      <c r="P5" s="631">
        <v>22</v>
      </c>
      <c r="Q5" s="342" t="s">
        <v>70</v>
      </c>
      <c r="R5" s="343">
        <f>R4*$I$4</f>
        <v>0</v>
      </c>
      <c r="S5" s="237" t="s">
        <v>70</v>
      </c>
      <c r="T5" s="238">
        <f>AVERAGE(L5,O5,R5)</f>
        <v>0</v>
      </c>
      <c r="U5" s="37"/>
    </row>
    <row r="6" spans="1:22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2" ht="15.75">
      <c r="A7" s="615"/>
      <c r="B7" s="599" t="s">
        <v>3</v>
      </c>
      <c r="C7" s="549"/>
      <c r="D7" s="431"/>
      <c r="F7" s="112" t="s">
        <v>6</v>
      </c>
      <c r="G7" s="1421"/>
      <c r="H7" s="1422"/>
      <c r="I7" s="1423"/>
      <c r="J7" s="88" t="s">
        <v>3</v>
      </c>
      <c r="K7" s="179"/>
      <c r="L7" s="803"/>
      <c r="M7" s="88" t="s">
        <v>3</v>
      </c>
      <c r="N7" s="804"/>
      <c r="O7" s="803"/>
      <c r="P7" s="807" t="s">
        <v>3</v>
      </c>
      <c r="Q7" s="804"/>
      <c r="R7" s="803"/>
      <c r="S7" s="959"/>
      <c r="T7" s="117"/>
      <c r="U7" s="141"/>
    </row>
    <row r="8" spans="1:22" ht="13.5" thickBot="1">
      <c r="A8" s="615"/>
      <c r="B8" s="956" t="s">
        <v>291</v>
      </c>
      <c r="C8" s="4"/>
      <c r="D8" s="4"/>
      <c r="E8" s="4"/>
      <c r="F8" s="4"/>
      <c r="G8" s="4"/>
      <c r="H8" s="4"/>
      <c r="I8" s="54"/>
      <c r="J8" s="4"/>
      <c r="K8" s="4"/>
      <c r="L8" s="41"/>
      <c r="M8" s="4"/>
      <c r="N8" s="4"/>
      <c r="O8" s="41"/>
      <c r="P8" s="4"/>
      <c r="Q8" s="4"/>
      <c r="R8" s="41"/>
      <c r="S8" s="4"/>
      <c r="T8" s="130"/>
      <c r="U8" s="957"/>
      <c r="V8" s="555"/>
    </row>
    <row r="9" spans="1:22">
      <c r="A9" s="615"/>
      <c r="B9" s="605" t="s">
        <v>66</v>
      </c>
      <c r="C9" s="9"/>
      <c r="D9" s="72"/>
      <c r="E9" s="72"/>
      <c r="F9" s="72"/>
      <c r="G9" s="72"/>
      <c r="H9" s="72"/>
      <c r="I9" s="73"/>
      <c r="J9" s="284" t="s">
        <v>12</v>
      </c>
      <c r="K9" s="285" t="s">
        <v>12</v>
      </c>
      <c r="L9" s="286" t="s">
        <v>12</v>
      </c>
      <c r="M9" s="44" t="s">
        <v>12</v>
      </c>
      <c r="N9" s="33" t="s">
        <v>12</v>
      </c>
      <c r="O9" s="40" t="s">
        <v>12</v>
      </c>
      <c r="P9" s="284" t="s">
        <v>12</v>
      </c>
      <c r="Q9" s="285" t="s">
        <v>12</v>
      </c>
      <c r="R9" s="286" t="s">
        <v>12</v>
      </c>
      <c r="S9" s="44" t="s">
        <v>12</v>
      </c>
      <c r="T9" s="99" t="s">
        <v>12</v>
      </c>
      <c r="U9" s="958" t="s">
        <v>12</v>
      </c>
    </row>
    <row r="10" spans="1:22" s="1" customFormat="1" ht="13.5" thickBot="1">
      <c r="A10" s="616"/>
      <c r="B10" s="606" t="s">
        <v>67</v>
      </c>
      <c r="C10"/>
      <c r="D10"/>
      <c r="E10"/>
      <c r="F10"/>
      <c r="G10"/>
      <c r="H10"/>
      <c r="I10" s="236"/>
      <c r="J10" s="970" t="s">
        <v>12</v>
      </c>
      <c r="K10" s="971" t="s">
        <v>12</v>
      </c>
      <c r="L10" s="972" t="s">
        <v>12</v>
      </c>
      <c r="M10" s="960" t="s">
        <v>12</v>
      </c>
      <c r="N10" s="962" t="s">
        <v>12</v>
      </c>
      <c r="O10" s="961" t="s">
        <v>12</v>
      </c>
      <c r="P10" s="973" t="s">
        <v>12</v>
      </c>
      <c r="Q10" s="974" t="s">
        <v>12</v>
      </c>
      <c r="R10" s="975" t="s">
        <v>12</v>
      </c>
      <c r="S10" s="965" t="s">
        <v>12</v>
      </c>
      <c r="T10" s="964" t="s">
        <v>12</v>
      </c>
      <c r="U10" s="966" t="s">
        <v>12</v>
      </c>
    </row>
    <row r="11" spans="1:22" ht="14.25" thickTop="1" thickBot="1">
      <c r="A11" s="615"/>
      <c r="B11" s="617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618"/>
      <c r="N11" s="410"/>
      <c r="O11" s="618"/>
      <c r="P11" s="410"/>
      <c r="Q11" s="410"/>
      <c r="R11" s="410"/>
      <c r="S11" s="410"/>
      <c r="T11" s="410"/>
      <c r="U11" s="620"/>
    </row>
    <row r="12" spans="1:22" ht="16.5" thickTop="1">
      <c r="A12" s="615"/>
      <c r="B12" s="181" t="s">
        <v>16</v>
      </c>
      <c r="C12" s="72"/>
      <c r="D12" s="431"/>
      <c r="F12" s="112" t="s">
        <v>6</v>
      </c>
      <c r="G12" s="1412"/>
      <c r="H12" s="1413"/>
      <c r="I12" s="1414"/>
      <c r="J12" s="967" t="s">
        <v>16</v>
      </c>
      <c r="K12" s="968"/>
      <c r="L12" s="969"/>
      <c r="M12" s="181" t="s">
        <v>16</v>
      </c>
      <c r="N12" s="426"/>
      <c r="O12" s="67"/>
      <c r="P12" s="181" t="s">
        <v>16</v>
      </c>
      <c r="Q12" s="426"/>
      <c r="R12" s="180"/>
      <c r="S12" s="225"/>
      <c r="T12" s="37"/>
      <c r="U12" s="138"/>
    </row>
    <row r="13" spans="1:22" ht="13.5" thickBot="1">
      <c r="A13" s="615"/>
      <c r="B13" s="956" t="s">
        <v>291</v>
      </c>
      <c r="C13" s="4"/>
      <c r="D13" s="4"/>
      <c r="E13" s="4"/>
      <c r="F13" s="4"/>
      <c r="G13" s="4"/>
      <c r="H13" s="4"/>
      <c r="I13" s="54"/>
      <c r="J13" s="4"/>
      <c r="K13" s="4"/>
      <c r="L13" s="41"/>
      <c r="M13" s="4"/>
      <c r="N13" s="4"/>
      <c r="O13" s="41"/>
      <c r="P13" s="4"/>
      <c r="Q13" s="4"/>
      <c r="R13" s="41"/>
      <c r="S13" s="4"/>
      <c r="T13" s="130"/>
      <c r="U13" s="957"/>
      <c r="V13" s="555"/>
    </row>
    <row r="14" spans="1:22">
      <c r="A14" s="615"/>
      <c r="B14" s="605" t="s">
        <v>66</v>
      </c>
      <c r="C14" s="9"/>
      <c r="D14" s="72"/>
      <c r="E14" s="72"/>
      <c r="F14" s="72"/>
      <c r="G14" s="72"/>
      <c r="H14" s="72"/>
      <c r="I14" s="73"/>
      <c r="J14" s="284" t="s">
        <v>12</v>
      </c>
      <c r="K14" s="285" t="s">
        <v>12</v>
      </c>
      <c r="L14" s="286" t="s">
        <v>12</v>
      </c>
      <c r="M14" s="44" t="s">
        <v>12</v>
      </c>
      <c r="N14" s="33" t="s">
        <v>12</v>
      </c>
      <c r="O14" s="40" t="s">
        <v>12</v>
      </c>
      <c r="P14" s="284" t="s">
        <v>12</v>
      </c>
      <c r="Q14" s="285" t="s">
        <v>12</v>
      </c>
      <c r="R14" s="286" t="s">
        <v>12</v>
      </c>
      <c r="S14" s="44" t="s">
        <v>12</v>
      </c>
      <c r="T14" s="99" t="s">
        <v>12</v>
      </c>
      <c r="U14" s="958" t="s">
        <v>12</v>
      </c>
    </row>
    <row r="15" spans="1:22" s="1" customFormat="1" ht="13.5" thickBot="1">
      <c r="A15" s="616"/>
      <c r="B15" s="606" t="s">
        <v>67</v>
      </c>
      <c r="C15"/>
      <c r="D15"/>
      <c r="E15"/>
      <c r="F15"/>
      <c r="G15"/>
      <c r="H15"/>
      <c r="I15" s="236"/>
      <c r="J15" s="970" t="s">
        <v>12</v>
      </c>
      <c r="K15" s="971" t="s">
        <v>12</v>
      </c>
      <c r="L15" s="972" t="s">
        <v>12</v>
      </c>
      <c r="M15" s="960" t="s">
        <v>12</v>
      </c>
      <c r="N15" s="962" t="s">
        <v>12</v>
      </c>
      <c r="O15" s="961" t="s">
        <v>12</v>
      </c>
      <c r="P15" s="973" t="s">
        <v>12</v>
      </c>
      <c r="Q15" s="974" t="s">
        <v>12</v>
      </c>
      <c r="R15" s="975" t="s">
        <v>12</v>
      </c>
      <c r="S15" s="965" t="s">
        <v>12</v>
      </c>
      <c r="T15" s="964" t="s">
        <v>12</v>
      </c>
      <c r="U15" s="966" t="s">
        <v>12</v>
      </c>
    </row>
    <row r="16" spans="1:22" ht="14.25" thickTop="1" thickBot="1">
      <c r="A16" s="615"/>
      <c r="B16" s="5"/>
      <c r="C16" s="618"/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20"/>
    </row>
    <row r="17" spans="1:22" ht="16.5" thickTop="1">
      <c r="A17" s="615"/>
      <c r="B17" s="613" t="s">
        <v>22</v>
      </c>
      <c r="C17" s="5"/>
      <c r="D17" s="5"/>
      <c r="E17" s="5"/>
      <c r="F17" s="112" t="s">
        <v>6</v>
      </c>
      <c r="G17" s="1412"/>
      <c r="H17" s="1413"/>
      <c r="I17" s="1414"/>
      <c r="J17" s="244" t="s">
        <v>22</v>
      </c>
      <c r="K17" s="426"/>
      <c r="L17" s="180"/>
      <c r="M17" s="244" t="s">
        <v>22</v>
      </c>
      <c r="N17" s="426"/>
      <c r="O17" s="67"/>
      <c r="P17" s="244" t="s">
        <v>22</v>
      </c>
      <c r="Q17" s="426"/>
      <c r="R17" s="67"/>
      <c r="S17" s="225"/>
      <c r="T17" s="37"/>
      <c r="U17" s="138"/>
    </row>
    <row r="18" spans="1:22">
      <c r="A18" s="615"/>
      <c r="B18" s="5"/>
      <c r="C18" s="5"/>
      <c r="D18" s="5"/>
      <c r="E18" s="5"/>
      <c r="F18" s="112"/>
      <c r="G18" s="1415"/>
      <c r="H18" s="1415"/>
      <c r="I18" s="1416"/>
      <c r="J18" s="277" t="s">
        <v>61</v>
      </c>
      <c r="K18" s="1434" t="s">
        <v>57</v>
      </c>
      <c r="L18" s="1435"/>
      <c r="M18" s="57" t="s">
        <v>61</v>
      </c>
      <c r="N18" s="1429" t="s">
        <v>57</v>
      </c>
      <c r="O18" s="1430"/>
      <c r="P18" s="277" t="s">
        <v>61</v>
      </c>
      <c r="Q18" s="1419" t="s">
        <v>57</v>
      </c>
      <c r="R18" s="1420"/>
      <c r="S18" s="131"/>
      <c r="T18" s="37"/>
      <c r="U18" s="138"/>
    </row>
    <row r="19" spans="1:22">
      <c r="A19" s="615"/>
      <c r="B19" s="611" t="s">
        <v>18</v>
      </c>
      <c r="C19" s="23" t="s">
        <v>60</v>
      </c>
      <c r="D19" s="23" t="s">
        <v>62</v>
      </c>
      <c r="E19" s="9"/>
      <c r="F19" s="72"/>
      <c r="G19" s="72"/>
      <c r="H19" s="72"/>
      <c r="I19" s="37"/>
      <c r="J19" s="261" t="s">
        <v>56</v>
      </c>
      <c r="K19" s="261" t="s">
        <v>13</v>
      </c>
      <c r="L19" s="262" t="s">
        <v>68</v>
      </c>
      <c r="M19" s="77" t="s">
        <v>56</v>
      </c>
      <c r="N19" s="24" t="s">
        <v>13</v>
      </c>
      <c r="O19" s="38" t="s">
        <v>68</v>
      </c>
      <c r="P19" s="260" t="s">
        <v>56</v>
      </c>
      <c r="Q19" s="261" t="s">
        <v>13</v>
      </c>
      <c r="R19" s="262" t="s">
        <v>68</v>
      </c>
      <c r="S19" s="123"/>
      <c r="T19" s="37"/>
      <c r="U19" s="138"/>
    </row>
    <row r="20" spans="1:22" ht="13.5" thickBot="1">
      <c r="A20" s="615"/>
      <c r="B20" s="936" t="str">
        <f>VLOOKUP(C$2,Monitor_Costs,10,FALSE)</f>
        <v>Analysis (grant to RO)</v>
      </c>
      <c r="C20" s="935">
        <f>VLOOKUP(C$2,Monitor_Costs,11,FALSE)</f>
        <v>129385</v>
      </c>
      <c r="D20" s="34">
        <f>VLOOKUP(C$2,Monitor_Costs,12,FALSE)</f>
        <v>2013</v>
      </c>
      <c r="E20" s="4"/>
      <c r="F20" s="12"/>
      <c r="G20" s="4"/>
      <c r="H20" s="361"/>
      <c r="I20" s="363"/>
      <c r="J20" s="355">
        <f>HLOOKUP($D$20,InflationTable,2)*$C$20</f>
        <v>155003.22999999998</v>
      </c>
      <c r="K20" s="355">
        <f>J20*J$5</f>
        <v>3410071.0599999996</v>
      </c>
      <c r="L20" s="308">
        <f>K20</f>
        <v>3410071.0599999996</v>
      </c>
      <c r="M20" s="171">
        <f>HLOOKUP($D$20,InflationTable,3)*$C$20</f>
        <v>158237.85500000001</v>
      </c>
      <c r="N20" s="357">
        <f>M20*M$5</f>
        <v>3481232.81</v>
      </c>
      <c r="O20" s="95">
        <f>N20</f>
        <v>3481232.81</v>
      </c>
      <c r="P20" s="355">
        <f>HLOOKUP($D$20,InflationTable,4)*$C$20</f>
        <v>161343.095</v>
      </c>
      <c r="Q20" s="355">
        <f>P20*P$5</f>
        <v>3549548.09</v>
      </c>
      <c r="R20" s="308">
        <f>Q20</f>
        <v>3549548.09</v>
      </c>
      <c r="S20" s="1009" t="s">
        <v>12</v>
      </c>
      <c r="T20" s="137" t="s">
        <v>12</v>
      </c>
      <c r="U20" s="1010">
        <f>AVERAGE(L20,O20,R20)</f>
        <v>3480283.9866666663</v>
      </c>
    </row>
    <row r="21" spans="1:22">
      <c r="A21" s="615"/>
      <c r="B21" s="605" t="s">
        <v>66</v>
      </c>
      <c r="F21"/>
      <c r="J21" s="307" t="s">
        <v>12</v>
      </c>
      <c r="K21" s="307" t="s">
        <v>12</v>
      </c>
      <c r="L21" s="307" t="s">
        <v>12</v>
      </c>
      <c r="M21" s="85" t="s">
        <v>12</v>
      </c>
      <c r="N21" s="85" t="s">
        <v>12</v>
      </c>
      <c r="O21" s="85" t="s">
        <v>12</v>
      </c>
      <c r="P21" s="301" t="s">
        <v>12</v>
      </c>
      <c r="Q21" s="301" t="s">
        <v>12</v>
      </c>
      <c r="R21" s="301" t="s">
        <v>12</v>
      </c>
      <c r="S21" s="1011" t="s">
        <v>12</v>
      </c>
      <c r="T21" s="136" t="s">
        <v>12</v>
      </c>
      <c r="U21" s="147" t="s">
        <v>12</v>
      </c>
    </row>
    <row r="22" spans="1:22" ht="13.5" thickBot="1">
      <c r="A22" s="615"/>
      <c r="B22" s="606" t="s">
        <v>67</v>
      </c>
      <c r="F22"/>
      <c r="J22" s="305">
        <f t="shared" ref="J22:U22" si="0">J20</f>
        <v>155003.22999999998</v>
      </c>
      <c r="K22" s="305">
        <f t="shared" si="0"/>
        <v>3410071.0599999996</v>
      </c>
      <c r="L22" s="305">
        <f t="shared" si="0"/>
        <v>3410071.0599999996</v>
      </c>
      <c r="M22" s="253">
        <f t="shared" si="0"/>
        <v>158237.85500000001</v>
      </c>
      <c r="N22" s="253">
        <f t="shared" si="0"/>
        <v>3481232.81</v>
      </c>
      <c r="O22" s="253">
        <f t="shared" si="0"/>
        <v>3481232.81</v>
      </c>
      <c r="P22" s="305">
        <f t="shared" si="0"/>
        <v>161343.095</v>
      </c>
      <c r="Q22" s="305">
        <f t="shared" si="0"/>
        <v>3549548.09</v>
      </c>
      <c r="R22" s="1008">
        <f t="shared" si="0"/>
        <v>3549548.09</v>
      </c>
      <c r="S22" s="1001" t="str">
        <f t="shared" si="0"/>
        <v>NA</v>
      </c>
      <c r="T22" s="876" t="str">
        <f t="shared" si="0"/>
        <v>NA</v>
      </c>
      <c r="U22" s="224">
        <f t="shared" si="0"/>
        <v>3480283.9866666663</v>
      </c>
    </row>
    <row r="23" spans="1:22" ht="14.25" thickTop="1" thickBot="1">
      <c r="A23" s="615"/>
      <c r="B23" s="617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7"/>
      <c r="O23" s="618"/>
      <c r="P23" s="618"/>
      <c r="Q23" s="618"/>
      <c r="R23" s="618"/>
      <c r="S23" s="618"/>
      <c r="T23" s="618"/>
      <c r="U23" s="620"/>
    </row>
    <row r="24" spans="1:22" ht="16.5" thickTop="1">
      <c r="A24" s="615"/>
      <c r="B24" s="80" t="s">
        <v>24</v>
      </c>
      <c r="C24" s="5"/>
      <c r="D24" s="5"/>
      <c r="E24" s="5"/>
      <c r="F24" s="112" t="s">
        <v>6</v>
      </c>
      <c r="G24" s="1412"/>
      <c r="H24" s="1413"/>
      <c r="I24" s="1414"/>
      <c r="J24" s="181" t="s">
        <v>24</v>
      </c>
      <c r="K24" s="426"/>
      <c r="L24" s="67"/>
      <c r="M24" s="181" t="s">
        <v>24</v>
      </c>
      <c r="N24" s="426"/>
      <c r="O24" s="67"/>
      <c r="P24" s="181" t="s">
        <v>24</v>
      </c>
      <c r="Q24" s="426"/>
      <c r="R24" s="67"/>
      <c r="S24" s="225"/>
      <c r="T24" s="37"/>
      <c r="U24" s="138"/>
    </row>
    <row r="25" spans="1:22" ht="13.5" thickBot="1">
      <c r="A25" s="615"/>
      <c r="B25" s="956" t="s">
        <v>291</v>
      </c>
      <c r="C25" s="4"/>
      <c r="D25" s="4"/>
      <c r="E25" s="4"/>
      <c r="F25" s="4"/>
      <c r="G25" s="4"/>
      <c r="H25" s="4"/>
      <c r="I25" s="54"/>
      <c r="J25" s="4"/>
      <c r="K25" s="4"/>
      <c r="L25" s="41"/>
      <c r="M25" s="4"/>
      <c r="N25" s="4"/>
      <c r="O25" s="41"/>
      <c r="P25" s="4"/>
      <c r="Q25" s="4"/>
      <c r="R25" s="41"/>
      <c r="S25" s="4"/>
      <c r="T25" s="130"/>
      <c r="U25" s="957"/>
      <c r="V25" s="555"/>
    </row>
    <row r="26" spans="1:22">
      <c r="A26" s="615"/>
      <c r="B26" s="605" t="s">
        <v>66</v>
      </c>
      <c r="C26" s="9"/>
      <c r="D26" s="72"/>
      <c r="E26" s="72"/>
      <c r="F26" s="72"/>
      <c r="G26" s="72"/>
      <c r="H26" s="72"/>
      <c r="I26" s="73"/>
      <c r="J26" s="284" t="s">
        <v>12</v>
      </c>
      <c r="K26" s="285" t="s">
        <v>12</v>
      </c>
      <c r="L26" s="286" t="s">
        <v>12</v>
      </c>
      <c r="M26" s="44" t="s">
        <v>12</v>
      </c>
      <c r="N26" s="33" t="s">
        <v>12</v>
      </c>
      <c r="O26" s="40" t="s">
        <v>12</v>
      </c>
      <c r="P26" s="284" t="s">
        <v>12</v>
      </c>
      <c r="Q26" s="285" t="s">
        <v>12</v>
      </c>
      <c r="R26" s="286" t="s">
        <v>12</v>
      </c>
      <c r="S26" s="44" t="s">
        <v>12</v>
      </c>
      <c r="T26" s="99" t="s">
        <v>12</v>
      </c>
      <c r="U26" s="958" t="s">
        <v>12</v>
      </c>
    </row>
    <row r="27" spans="1:22" s="1" customFormat="1" ht="13.5" thickBot="1">
      <c r="A27" s="616"/>
      <c r="B27" s="606" t="s">
        <v>67</v>
      </c>
      <c r="C27"/>
      <c r="D27"/>
      <c r="E27"/>
      <c r="F27"/>
      <c r="G27"/>
      <c r="H27"/>
      <c r="I27" s="236"/>
      <c r="J27" s="970" t="s">
        <v>12</v>
      </c>
      <c r="K27" s="971" t="s">
        <v>12</v>
      </c>
      <c r="L27" s="972" t="s">
        <v>12</v>
      </c>
      <c r="M27" s="960" t="s">
        <v>12</v>
      </c>
      <c r="N27" s="962" t="s">
        <v>12</v>
      </c>
      <c r="O27" s="961" t="s">
        <v>12</v>
      </c>
      <c r="P27" s="973" t="s">
        <v>12</v>
      </c>
      <c r="Q27" s="974" t="s">
        <v>12</v>
      </c>
      <c r="R27" s="975" t="s">
        <v>12</v>
      </c>
      <c r="S27" s="965" t="s">
        <v>12</v>
      </c>
      <c r="T27" s="964" t="s">
        <v>12</v>
      </c>
      <c r="U27" s="966" t="s">
        <v>12</v>
      </c>
    </row>
    <row r="28" spans="1:22" ht="14.25" thickTop="1" thickBot="1">
      <c r="A28" s="615"/>
      <c r="B28" s="5"/>
      <c r="C28" s="618"/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20"/>
    </row>
    <row r="29" spans="1:22" ht="16.5" thickTop="1">
      <c r="A29" s="615"/>
      <c r="B29" s="613" t="s">
        <v>26</v>
      </c>
      <c r="C29" s="5"/>
      <c r="D29" s="5"/>
      <c r="E29" s="5"/>
      <c r="F29" s="112" t="s">
        <v>6</v>
      </c>
      <c r="G29" s="1412"/>
      <c r="H29" s="1413"/>
      <c r="I29" s="1414"/>
      <c r="J29" s="181" t="s">
        <v>26</v>
      </c>
      <c r="K29" s="426"/>
      <c r="L29" s="67"/>
      <c r="M29" s="980" t="s">
        <v>26</v>
      </c>
      <c r="N29" s="426"/>
      <c r="O29" s="426"/>
      <c r="P29" s="562" t="s">
        <v>26</v>
      </c>
      <c r="Q29" s="426"/>
      <c r="R29" s="67"/>
      <c r="S29" s="225"/>
      <c r="T29" s="37"/>
      <c r="U29" s="138"/>
    </row>
    <row r="30" spans="1:22" ht="13.5" thickBot="1">
      <c r="A30" s="615"/>
      <c r="B30" s="674" t="s">
        <v>291</v>
      </c>
      <c r="C30" s="4"/>
      <c r="D30" s="4"/>
      <c r="E30" s="4"/>
      <c r="F30" s="4"/>
      <c r="G30" s="4"/>
      <c r="H30" s="4"/>
      <c r="I30" s="54"/>
      <c r="J30" s="4"/>
      <c r="K30" s="4"/>
      <c r="L30" s="41"/>
      <c r="M30" s="4"/>
      <c r="N30" s="4"/>
      <c r="O30" s="41"/>
      <c r="P30" s="957"/>
      <c r="Q30" s="4"/>
      <c r="R30" s="41"/>
      <c r="S30" s="4"/>
      <c r="T30" s="130"/>
      <c r="U30" s="957"/>
      <c r="V30" s="555"/>
    </row>
    <row r="31" spans="1:22">
      <c r="A31" s="615"/>
      <c r="B31" s="605" t="s">
        <v>66</v>
      </c>
      <c r="C31" s="9"/>
      <c r="D31" s="72"/>
      <c r="E31" s="72"/>
      <c r="F31" s="72"/>
      <c r="G31" s="72"/>
      <c r="H31" s="72"/>
      <c r="I31" s="73"/>
      <c r="J31" s="284" t="s">
        <v>12</v>
      </c>
      <c r="K31" s="285" t="s">
        <v>12</v>
      </c>
      <c r="L31" s="286" t="s">
        <v>12</v>
      </c>
      <c r="M31" s="44" t="s">
        <v>12</v>
      </c>
      <c r="N31" s="33" t="s">
        <v>12</v>
      </c>
      <c r="O31" s="40" t="s">
        <v>12</v>
      </c>
      <c r="P31" s="284" t="s">
        <v>12</v>
      </c>
      <c r="Q31" s="285" t="s">
        <v>12</v>
      </c>
      <c r="R31" s="286" t="s">
        <v>12</v>
      </c>
      <c r="S31" s="44" t="s">
        <v>12</v>
      </c>
      <c r="T31" s="99" t="s">
        <v>12</v>
      </c>
      <c r="U31" s="958" t="s">
        <v>12</v>
      </c>
    </row>
    <row r="32" spans="1:22" s="1" customFormat="1" ht="13.5" thickBot="1">
      <c r="A32" s="616"/>
      <c r="B32" s="606" t="s">
        <v>67</v>
      </c>
      <c r="C32"/>
      <c r="D32"/>
      <c r="E32"/>
      <c r="F32"/>
      <c r="G32"/>
      <c r="H32"/>
      <c r="I32" s="236"/>
      <c r="J32" s="973" t="s">
        <v>12</v>
      </c>
      <c r="K32" s="974" t="s">
        <v>12</v>
      </c>
      <c r="L32" s="972" t="s">
        <v>12</v>
      </c>
      <c r="M32" s="963" t="s">
        <v>12</v>
      </c>
      <c r="N32" s="962" t="s">
        <v>12</v>
      </c>
      <c r="O32" s="964" t="s">
        <v>12</v>
      </c>
      <c r="P32" s="973" t="s">
        <v>12</v>
      </c>
      <c r="Q32" s="974" t="s">
        <v>12</v>
      </c>
      <c r="R32" s="975" t="s">
        <v>12</v>
      </c>
      <c r="S32" s="965" t="s">
        <v>12</v>
      </c>
      <c r="T32" s="964" t="s">
        <v>12</v>
      </c>
      <c r="U32" s="966" t="s">
        <v>12</v>
      </c>
    </row>
    <row r="33" spans="1:22" ht="13.5" thickTop="1">
      <c r="B33" s="624"/>
      <c r="C33" s="621"/>
      <c r="D33" s="621"/>
      <c r="E33" s="621"/>
      <c r="F33" s="621"/>
      <c r="G33" s="621"/>
      <c r="H33" s="621"/>
      <c r="I33" s="622"/>
      <c r="J33" s="622"/>
      <c r="K33" s="622"/>
      <c r="L33" s="622"/>
      <c r="M33" s="622"/>
      <c r="N33" s="622"/>
      <c r="O33" s="622"/>
      <c r="P33" s="622"/>
      <c r="Q33" s="622"/>
      <c r="R33" s="622"/>
      <c r="S33" s="625"/>
      <c r="T33" s="626"/>
      <c r="U33" s="627"/>
      <c r="V33" s="5"/>
    </row>
    <row r="34" spans="1:22" ht="13.5" thickBot="1">
      <c r="B34" s="410"/>
      <c r="C34" s="410"/>
      <c r="D34" s="410"/>
      <c r="E34" s="410"/>
      <c r="F34" s="410"/>
      <c r="G34" s="410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  <c r="T34" s="410"/>
      <c r="U34" s="410"/>
      <c r="V34" s="5"/>
    </row>
    <row r="35" spans="1:22" ht="27.75" thickTop="1" thickBot="1">
      <c r="A35" s="615"/>
      <c r="B35" s="613" t="s">
        <v>28</v>
      </c>
      <c r="C35" s="5"/>
      <c r="D35" s="5"/>
      <c r="E35" s="5"/>
      <c r="F35" s="112" t="s">
        <v>6</v>
      </c>
      <c r="G35" s="1412"/>
      <c r="H35" s="1413"/>
      <c r="I35" s="1414"/>
      <c r="J35" s="181" t="s">
        <v>28</v>
      </c>
      <c r="K35" s="426"/>
      <c r="L35" s="67"/>
      <c r="M35" s="181" t="s">
        <v>28</v>
      </c>
      <c r="N35" s="426"/>
      <c r="O35" s="67"/>
      <c r="P35" s="181" t="s">
        <v>28</v>
      </c>
      <c r="Q35" s="426"/>
      <c r="R35" s="67"/>
      <c r="S35" s="546" t="s">
        <v>17</v>
      </c>
      <c r="T35" s="547" t="s">
        <v>103</v>
      </c>
      <c r="U35" s="628" t="s">
        <v>79</v>
      </c>
    </row>
    <row r="36" spans="1:22" ht="13.5" thickBot="1">
      <c r="A36" s="615"/>
      <c r="B36" s="674" t="s">
        <v>291</v>
      </c>
      <c r="C36" s="4"/>
      <c r="D36" s="4"/>
      <c r="E36" s="4"/>
      <c r="F36" s="4"/>
      <c r="G36" s="4"/>
      <c r="H36" s="4"/>
      <c r="I36" s="54"/>
      <c r="J36" s="4"/>
      <c r="K36" s="4"/>
      <c r="L36" s="41"/>
      <c r="M36" s="4"/>
      <c r="N36" s="4"/>
      <c r="O36" s="41"/>
      <c r="P36" s="4"/>
      <c r="Q36" s="4"/>
      <c r="R36" s="41"/>
      <c r="S36" s="4"/>
      <c r="T36" s="130"/>
      <c r="U36" s="957"/>
      <c r="V36" s="555"/>
    </row>
    <row r="37" spans="1:22">
      <c r="A37" s="615"/>
      <c r="B37" s="605" t="s">
        <v>66</v>
      </c>
      <c r="C37" s="9"/>
      <c r="D37" s="72"/>
      <c r="E37" s="72"/>
      <c r="F37" s="72"/>
      <c r="G37" s="72"/>
      <c r="H37" s="72"/>
      <c r="I37" s="73"/>
      <c r="J37" s="284" t="s">
        <v>12</v>
      </c>
      <c r="K37" s="285" t="s">
        <v>12</v>
      </c>
      <c r="L37" s="286" t="s">
        <v>12</v>
      </c>
      <c r="M37" s="44" t="s">
        <v>12</v>
      </c>
      <c r="N37" s="33" t="s">
        <v>12</v>
      </c>
      <c r="O37" s="40" t="s">
        <v>12</v>
      </c>
      <c r="P37" s="284" t="s">
        <v>12</v>
      </c>
      <c r="Q37" s="285" t="s">
        <v>12</v>
      </c>
      <c r="R37" s="286" t="s">
        <v>12</v>
      </c>
      <c r="S37" s="44" t="s">
        <v>12</v>
      </c>
      <c r="T37" s="99" t="s">
        <v>12</v>
      </c>
      <c r="U37" s="958" t="s">
        <v>12</v>
      </c>
    </row>
    <row r="38" spans="1:22" s="1" customFormat="1" ht="13.5" thickBot="1">
      <c r="A38" s="616"/>
      <c r="B38" s="606" t="s">
        <v>67</v>
      </c>
      <c r="C38"/>
      <c r="D38"/>
      <c r="E38"/>
      <c r="F38"/>
      <c r="G38"/>
      <c r="H38"/>
      <c r="I38" s="236"/>
      <c r="J38" s="970" t="s">
        <v>12</v>
      </c>
      <c r="K38" s="971" t="s">
        <v>12</v>
      </c>
      <c r="L38" s="972" t="s">
        <v>12</v>
      </c>
      <c r="M38" s="960" t="s">
        <v>12</v>
      </c>
      <c r="N38" s="962" t="s">
        <v>12</v>
      </c>
      <c r="O38" s="961" t="s">
        <v>12</v>
      </c>
      <c r="P38" s="973" t="s">
        <v>12</v>
      </c>
      <c r="Q38" s="974" t="s">
        <v>12</v>
      </c>
      <c r="R38" s="975" t="s">
        <v>12</v>
      </c>
      <c r="S38" s="965" t="s">
        <v>12</v>
      </c>
      <c r="T38" s="964" t="s">
        <v>12</v>
      </c>
      <c r="U38" s="966" t="s">
        <v>12</v>
      </c>
    </row>
    <row r="39" spans="1:22" ht="14.25" thickTop="1" thickBot="1">
      <c r="A39" s="615"/>
      <c r="B39" s="618"/>
      <c r="C39" s="618"/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20"/>
    </row>
    <row r="40" spans="1:22" ht="16.5" thickTop="1">
      <c r="A40" s="615"/>
      <c r="B40" s="181" t="s">
        <v>30</v>
      </c>
      <c r="C40" s="5"/>
      <c r="D40" s="5"/>
      <c r="E40" s="5"/>
      <c r="F40" s="112" t="s">
        <v>6</v>
      </c>
      <c r="G40" s="1412"/>
      <c r="H40" s="1413"/>
      <c r="I40" s="1414"/>
      <c r="J40" s="181" t="s">
        <v>30</v>
      </c>
      <c r="K40" s="426"/>
      <c r="L40" s="67"/>
      <c r="M40" s="181" t="s">
        <v>30</v>
      </c>
      <c r="N40" s="426"/>
      <c r="O40" s="67"/>
      <c r="P40" s="181" t="s">
        <v>30</v>
      </c>
      <c r="Q40" s="319"/>
      <c r="R40" s="180"/>
      <c r="S40" s="225"/>
      <c r="T40" s="133"/>
      <c r="U40" s="37"/>
    </row>
    <row r="41" spans="1:22" ht="13.5" thickBot="1">
      <c r="A41" s="615"/>
      <c r="B41" s="674" t="s">
        <v>291</v>
      </c>
      <c r="C41" s="4"/>
      <c r="D41" s="4"/>
      <c r="E41" s="4"/>
      <c r="F41" s="4"/>
      <c r="G41" s="4"/>
      <c r="H41" s="4"/>
      <c r="I41" s="54"/>
      <c r="J41" s="4"/>
      <c r="K41" s="4"/>
      <c r="L41" s="41"/>
      <c r="M41" s="4"/>
      <c r="N41" s="4"/>
      <c r="O41" s="41"/>
      <c r="P41" s="4"/>
      <c r="Q41" s="4"/>
      <c r="R41" s="41"/>
      <c r="S41" s="4"/>
      <c r="T41" s="130"/>
      <c r="U41" s="957"/>
      <c r="V41" s="555"/>
    </row>
    <row r="42" spans="1:22">
      <c r="A42" s="615"/>
      <c r="B42" s="605" t="s">
        <v>66</v>
      </c>
      <c r="C42" s="9"/>
      <c r="D42" s="72"/>
      <c r="E42" s="72"/>
      <c r="F42" s="72"/>
      <c r="G42" s="72"/>
      <c r="H42" s="72"/>
      <c r="I42" s="73"/>
      <c r="J42" s="284" t="s">
        <v>12</v>
      </c>
      <c r="K42" s="285" t="s">
        <v>12</v>
      </c>
      <c r="L42" s="286" t="s">
        <v>12</v>
      </c>
      <c r="M42" s="44" t="s">
        <v>12</v>
      </c>
      <c r="N42" s="33" t="s">
        <v>12</v>
      </c>
      <c r="O42" s="40" t="s">
        <v>12</v>
      </c>
      <c r="P42" s="284" t="s">
        <v>12</v>
      </c>
      <c r="Q42" s="285" t="s">
        <v>12</v>
      </c>
      <c r="R42" s="286" t="s">
        <v>12</v>
      </c>
      <c r="S42" s="44" t="s">
        <v>12</v>
      </c>
      <c r="T42" s="99" t="s">
        <v>12</v>
      </c>
      <c r="U42" s="958" t="s">
        <v>12</v>
      </c>
    </row>
    <row r="43" spans="1:22" s="1" customFormat="1" ht="13.5" thickBot="1">
      <c r="A43" s="616"/>
      <c r="B43" s="606" t="s">
        <v>67</v>
      </c>
      <c r="C43" s="976"/>
      <c r="D43"/>
      <c r="E43"/>
      <c r="F43"/>
      <c r="G43"/>
      <c r="H43"/>
      <c r="I43" s="236"/>
      <c r="J43" s="970" t="s">
        <v>12</v>
      </c>
      <c r="K43" s="971" t="s">
        <v>12</v>
      </c>
      <c r="L43" s="972" t="s">
        <v>12</v>
      </c>
      <c r="M43" s="960" t="s">
        <v>12</v>
      </c>
      <c r="N43" s="962" t="s">
        <v>12</v>
      </c>
      <c r="O43" s="961" t="s">
        <v>12</v>
      </c>
      <c r="P43" s="973" t="s">
        <v>12</v>
      </c>
      <c r="Q43" s="974" t="s">
        <v>12</v>
      </c>
      <c r="R43" s="975" t="s">
        <v>12</v>
      </c>
      <c r="S43" s="965" t="s">
        <v>12</v>
      </c>
      <c r="T43" s="964" t="s">
        <v>12</v>
      </c>
      <c r="U43" s="966" t="s">
        <v>12</v>
      </c>
    </row>
    <row r="44" spans="1:22" ht="14.25" thickTop="1" thickBot="1">
      <c r="B44" s="555"/>
      <c r="C44" s="5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20"/>
    </row>
    <row r="45" spans="1:22" ht="19.5" thickTop="1" thickBot="1">
      <c r="B45" s="556" t="s">
        <v>121</v>
      </c>
      <c r="C45" s="234" t="str">
        <f>C2</f>
        <v>NATTS</v>
      </c>
      <c r="D45" s="5"/>
      <c r="E45" s="4"/>
      <c r="F45" s="12"/>
      <c r="G45" s="4"/>
      <c r="H45" s="4"/>
      <c r="I45" s="41"/>
      <c r="J45" s="233" t="str">
        <f>J2</f>
        <v>Year 1</v>
      </c>
      <c r="K45" s="233">
        <f>K2</f>
        <v>2013</v>
      </c>
      <c r="L45" s="83"/>
      <c r="M45" s="79" t="str">
        <f>M2</f>
        <v>Year 2</v>
      </c>
      <c r="N45" s="79">
        <f>N2</f>
        <v>2014</v>
      </c>
      <c r="O45" s="41"/>
      <c r="P45" s="233" t="str">
        <f>P2</f>
        <v>Year 3</v>
      </c>
      <c r="Q45" s="233">
        <f>Q2</f>
        <v>2015</v>
      </c>
      <c r="R45" s="83"/>
      <c r="S45" s="152"/>
      <c r="T45" s="130"/>
      <c r="U45" s="570"/>
    </row>
    <row r="46" spans="1:22" ht="13.5" thickBot="1">
      <c r="B46" s="555"/>
      <c r="C46" s="194" t="s">
        <v>45</v>
      </c>
      <c r="D46" s="190" t="s">
        <v>46</v>
      </c>
      <c r="E46" s="187" t="s">
        <v>47</v>
      </c>
      <c r="F46" s="202" t="s">
        <v>48</v>
      </c>
      <c r="G46" s="201" t="s">
        <v>49</v>
      </c>
      <c r="H46" s="187" t="s">
        <v>50</v>
      </c>
      <c r="I46" s="188" t="s">
        <v>13</v>
      </c>
      <c r="J46" s="323" t="s">
        <v>56</v>
      </c>
      <c r="K46" s="324" t="s">
        <v>13</v>
      </c>
      <c r="L46" s="325" t="s">
        <v>68</v>
      </c>
      <c r="M46" s="189" t="s">
        <v>56</v>
      </c>
      <c r="N46" s="190" t="s">
        <v>13</v>
      </c>
      <c r="O46" s="191" t="s">
        <v>68</v>
      </c>
      <c r="P46" s="323" t="s">
        <v>56</v>
      </c>
      <c r="Q46" s="324" t="s">
        <v>13</v>
      </c>
      <c r="R46" s="325" t="s">
        <v>68</v>
      </c>
      <c r="S46" s="192"/>
      <c r="T46" s="193"/>
      <c r="U46" s="571"/>
      <c r="V46" s="5"/>
    </row>
    <row r="47" spans="1:22">
      <c r="B47" s="572" t="s">
        <v>97</v>
      </c>
      <c r="C47" s="196">
        <f t="shared" ref="C47:S47" si="1">C9</f>
        <v>0</v>
      </c>
      <c r="D47" s="184">
        <f t="shared" si="1"/>
        <v>0</v>
      </c>
      <c r="E47" s="184">
        <f t="shared" si="1"/>
        <v>0</v>
      </c>
      <c r="F47" s="184">
        <f t="shared" si="1"/>
        <v>0</v>
      </c>
      <c r="G47" s="184">
        <f t="shared" si="1"/>
        <v>0</v>
      </c>
      <c r="H47" s="184">
        <f t="shared" si="1"/>
        <v>0</v>
      </c>
      <c r="I47" s="185">
        <f t="shared" si="1"/>
        <v>0</v>
      </c>
      <c r="J47" s="326" t="str">
        <f t="shared" si="1"/>
        <v>NA</v>
      </c>
      <c r="K47" s="985" t="str">
        <f t="shared" si="1"/>
        <v>NA</v>
      </c>
      <c r="L47" s="986" t="str">
        <f t="shared" si="1"/>
        <v>NA</v>
      </c>
      <c r="M47" s="186" t="str">
        <f t="shared" si="1"/>
        <v>NA</v>
      </c>
      <c r="N47" s="995" t="str">
        <f t="shared" si="1"/>
        <v>NA</v>
      </c>
      <c r="O47" s="135" t="str">
        <f t="shared" si="1"/>
        <v>NA</v>
      </c>
      <c r="P47" s="326" t="str">
        <f t="shared" si="1"/>
        <v>NA</v>
      </c>
      <c r="Q47" s="985" t="str">
        <f t="shared" si="1"/>
        <v>NA</v>
      </c>
      <c r="R47" s="986" t="str">
        <f t="shared" si="1"/>
        <v>NA</v>
      </c>
      <c r="S47" s="135" t="str">
        <f t="shared" si="1"/>
        <v>NA</v>
      </c>
      <c r="T47" s="1006"/>
      <c r="U47" s="840"/>
    </row>
    <row r="48" spans="1:22" ht="13.5" thickBot="1">
      <c r="B48" s="573" t="s">
        <v>76</v>
      </c>
      <c r="C48" s="203">
        <f t="shared" ref="C48:S48" si="2">C10</f>
        <v>0</v>
      </c>
      <c r="D48" s="204">
        <f t="shared" si="2"/>
        <v>0</v>
      </c>
      <c r="E48" s="204">
        <f t="shared" si="2"/>
        <v>0</v>
      </c>
      <c r="F48" s="204">
        <f t="shared" si="2"/>
        <v>0</v>
      </c>
      <c r="G48" s="204">
        <f t="shared" si="2"/>
        <v>0</v>
      </c>
      <c r="H48" s="204">
        <f t="shared" si="2"/>
        <v>0</v>
      </c>
      <c r="I48" s="205">
        <f t="shared" si="2"/>
        <v>0</v>
      </c>
      <c r="J48" s="982" t="str">
        <f t="shared" si="2"/>
        <v>NA</v>
      </c>
      <c r="K48" s="983" t="str">
        <f t="shared" si="2"/>
        <v>NA</v>
      </c>
      <c r="L48" s="984" t="str">
        <f t="shared" si="2"/>
        <v>NA</v>
      </c>
      <c r="M48" s="996" t="str">
        <f t="shared" si="2"/>
        <v>NA</v>
      </c>
      <c r="N48" s="997" t="str">
        <f t="shared" si="2"/>
        <v>NA</v>
      </c>
      <c r="O48" s="206" t="str">
        <f t="shared" si="2"/>
        <v>NA</v>
      </c>
      <c r="P48" s="982" t="str">
        <f t="shared" si="2"/>
        <v>NA</v>
      </c>
      <c r="Q48" s="983" t="str">
        <f t="shared" si="2"/>
        <v>NA</v>
      </c>
      <c r="R48" s="984" t="str">
        <f t="shared" si="2"/>
        <v>NA</v>
      </c>
      <c r="S48" s="206" t="str">
        <f t="shared" si="2"/>
        <v>NA</v>
      </c>
      <c r="T48" s="206" t="str">
        <f>T10</f>
        <v>NA</v>
      </c>
      <c r="U48" s="392" t="s">
        <v>12</v>
      </c>
    </row>
    <row r="49" spans="2:21">
      <c r="B49" s="574" t="s">
        <v>98</v>
      </c>
      <c r="C49" s="196">
        <f t="shared" ref="C49:S49" si="3">C14</f>
        <v>0</v>
      </c>
      <c r="D49" s="184">
        <f t="shared" si="3"/>
        <v>0</v>
      </c>
      <c r="E49" s="184">
        <f t="shared" si="3"/>
        <v>0</v>
      </c>
      <c r="F49" s="184">
        <f t="shared" si="3"/>
        <v>0</v>
      </c>
      <c r="G49" s="184">
        <f t="shared" si="3"/>
        <v>0</v>
      </c>
      <c r="H49" s="184">
        <f t="shared" si="3"/>
        <v>0</v>
      </c>
      <c r="I49" s="185">
        <f t="shared" si="3"/>
        <v>0</v>
      </c>
      <c r="J49" s="326" t="str">
        <f t="shared" si="3"/>
        <v>NA</v>
      </c>
      <c r="K49" s="985" t="str">
        <f t="shared" si="3"/>
        <v>NA</v>
      </c>
      <c r="L49" s="986" t="str">
        <f t="shared" si="3"/>
        <v>NA</v>
      </c>
      <c r="M49" s="186" t="str">
        <f t="shared" si="3"/>
        <v>NA</v>
      </c>
      <c r="N49" s="995" t="str">
        <f t="shared" si="3"/>
        <v>NA</v>
      </c>
      <c r="O49" s="135" t="str">
        <f t="shared" si="3"/>
        <v>NA</v>
      </c>
      <c r="P49" s="326" t="str">
        <f t="shared" si="3"/>
        <v>NA</v>
      </c>
      <c r="Q49" s="985" t="str">
        <f t="shared" si="3"/>
        <v>NA</v>
      </c>
      <c r="R49" s="986" t="str">
        <f t="shared" si="3"/>
        <v>NA</v>
      </c>
      <c r="S49" s="135" t="str">
        <f t="shared" si="3"/>
        <v>NA</v>
      </c>
      <c r="T49" s="1006"/>
      <c r="U49" s="840"/>
    </row>
    <row r="50" spans="2:21" ht="13.5" thickBot="1">
      <c r="B50" s="573" t="s">
        <v>76</v>
      </c>
      <c r="C50" s="207">
        <f t="shared" ref="C50:S50" si="4">C15</f>
        <v>0</v>
      </c>
      <c r="D50" s="208">
        <f t="shared" si="4"/>
        <v>0</v>
      </c>
      <c r="E50" s="208">
        <f t="shared" si="4"/>
        <v>0</v>
      </c>
      <c r="F50" s="208">
        <f t="shared" si="4"/>
        <v>0</v>
      </c>
      <c r="G50" s="208">
        <f t="shared" si="4"/>
        <v>0</v>
      </c>
      <c r="H50" s="208">
        <f t="shared" si="4"/>
        <v>0</v>
      </c>
      <c r="I50" s="209">
        <f t="shared" si="4"/>
        <v>0</v>
      </c>
      <c r="J50" s="987" t="str">
        <f t="shared" si="4"/>
        <v>NA</v>
      </c>
      <c r="K50" s="338" t="str">
        <f t="shared" si="4"/>
        <v>NA</v>
      </c>
      <c r="L50" s="988" t="str">
        <f t="shared" si="4"/>
        <v>NA</v>
      </c>
      <c r="M50" s="998" t="str">
        <f t="shared" si="4"/>
        <v>NA</v>
      </c>
      <c r="N50" s="219" t="str">
        <f t="shared" si="4"/>
        <v>NA</v>
      </c>
      <c r="O50" s="210" t="str">
        <f t="shared" si="4"/>
        <v>NA</v>
      </c>
      <c r="P50" s="987" t="str">
        <f t="shared" si="4"/>
        <v>NA</v>
      </c>
      <c r="Q50" s="338" t="str">
        <f t="shared" si="4"/>
        <v>NA</v>
      </c>
      <c r="R50" s="988" t="str">
        <f t="shared" si="4"/>
        <v>NA</v>
      </c>
      <c r="S50" s="210" t="str">
        <f t="shared" si="4"/>
        <v>NA</v>
      </c>
      <c r="T50" s="210" t="str">
        <f>T15</f>
        <v>NA</v>
      </c>
      <c r="U50" s="1007" t="str">
        <f>U15</f>
        <v>NA</v>
      </c>
    </row>
    <row r="51" spans="2:21">
      <c r="B51" s="574" t="s">
        <v>96</v>
      </c>
      <c r="C51" s="197">
        <f t="shared" ref="C51:T51" si="5">C21</f>
        <v>0</v>
      </c>
      <c r="D51" s="25">
        <f t="shared" si="5"/>
        <v>0</v>
      </c>
      <c r="E51" s="25">
        <f t="shared" si="5"/>
        <v>0</v>
      </c>
      <c r="F51" s="25">
        <f t="shared" si="5"/>
        <v>0</v>
      </c>
      <c r="G51" s="25">
        <f t="shared" si="5"/>
        <v>0</v>
      </c>
      <c r="H51" s="25">
        <f t="shared" si="5"/>
        <v>0</v>
      </c>
      <c r="I51" s="198">
        <f t="shared" si="5"/>
        <v>0</v>
      </c>
      <c r="J51" s="333" t="str">
        <f t="shared" si="5"/>
        <v>NA</v>
      </c>
      <c r="K51" s="989" t="str">
        <f t="shared" si="5"/>
        <v>NA</v>
      </c>
      <c r="L51" s="990" t="str">
        <f t="shared" si="5"/>
        <v>NA</v>
      </c>
      <c r="M51" s="199" t="str">
        <f t="shared" si="5"/>
        <v>NA</v>
      </c>
      <c r="N51" s="447" t="str">
        <f t="shared" si="5"/>
        <v>NA</v>
      </c>
      <c r="O51" s="999" t="str">
        <f t="shared" si="5"/>
        <v>NA</v>
      </c>
      <c r="P51" s="333" t="str">
        <f t="shared" si="5"/>
        <v>NA</v>
      </c>
      <c r="Q51" s="989" t="str">
        <f t="shared" si="5"/>
        <v>NA</v>
      </c>
      <c r="R51" s="990" t="str">
        <f t="shared" si="5"/>
        <v>NA</v>
      </c>
      <c r="S51" s="999" t="str">
        <f t="shared" si="5"/>
        <v>NA</v>
      </c>
      <c r="T51" s="999" t="str">
        <f t="shared" si="5"/>
        <v>NA</v>
      </c>
      <c r="U51" s="147" t="s">
        <v>12</v>
      </c>
    </row>
    <row r="52" spans="2:21" ht="13.5" thickBot="1">
      <c r="B52" s="573" t="s">
        <v>76</v>
      </c>
      <c r="C52" s="211">
        <f t="shared" ref="C52:S52" si="6">C22</f>
        <v>0</v>
      </c>
      <c r="D52" s="208">
        <f t="shared" si="6"/>
        <v>0</v>
      </c>
      <c r="E52" s="208">
        <f t="shared" si="6"/>
        <v>0</v>
      </c>
      <c r="F52" s="208">
        <f t="shared" si="6"/>
        <v>0</v>
      </c>
      <c r="G52" s="208">
        <f t="shared" si="6"/>
        <v>0</v>
      </c>
      <c r="H52" s="208">
        <f t="shared" si="6"/>
        <v>0</v>
      </c>
      <c r="I52" s="209">
        <f t="shared" si="6"/>
        <v>0</v>
      </c>
      <c r="J52" s="332">
        <f t="shared" si="6"/>
        <v>155003.22999999998</v>
      </c>
      <c r="K52" s="296">
        <f t="shared" si="6"/>
        <v>3410071.0599999996</v>
      </c>
      <c r="L52" s="297">
        <f t="shared" si="6"/>
        <v>3410071.0599999996</v>
      </c>
      <c r="M52" s="207">
        <f t="shared" si="6"/>
        <v>158237.85500000001</v>
      </c>
      <c r="N52" s="208">
        <f t="shared" si="6"/>
        <v>3481232.81</v>
      </c>
      <c r="O52" s="209">
        <f t="shared" si="6"/>
        <v>3481232.81</v>
      </c>
      <c r="P52" s="332">
        <f t="shared" si="6"/>
        <v>161343.095</v>
      </c>
      <c r="Q52" s="296">
        <f t="shared" si="6"/>
        <v>3549548.09</v>
      </c>
      <c r="R52" s="297">
        <f t="shared" si="6"/>
        <v>3549548.09</v>
      </c>
      <c r="S52" s="210" t="str">
        <f t="shared" si="6"/>
        <v>NA</v>
      </c>
      <c r="T52" s="210" t="str">
        <f>T22</f>
        <v>NA</v>
      </c>
      <c r="U52" s="392">
        <f>U22</f>
        <v>3480283.9866666663</v>
      </c>
    </row>
    <row r="53" spans="2:21">
      <c r="B53" s="574" t="s">
        <v>99</v>
      </c>
      <c r="C53" s="197">
        <f t="shared" ref="C53:S53" si="7">C26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  <c r="H53" s="25">
        <f t="shared" si="7"/>
        <v>0</v>
      </c>
      <c r="I53" s="198">
        <f t="shared" si="7"/>
        <v>0</v>
      </c>
      <c r="J53" s="333" t="str">
        <f t="shared" si="7"/>
        <v>NA</v>
      </c>
      <c r="K53" s="989" t="str">
        <f t="shared" si="7"/>
        <v>NA</v>
      </c>
      <c r="L53" s="990" t="str">
        <f t="shared" si="7"/>
        <v>NA</v>
      </c>
      <c r="M53" s="199" t="str">
        <f t="shared" si="7"/>
        <v>NA</v>
      </c>
      <c r="N53" s="447" t="str">
        <f t="shared" si="7"/>
        <v>NA</v>
      </c>
      <c r="O53" s="999" t="str">
        <f t="shared" si="7"/>
        <v>NA</v>
      </c>
      <c r="P53" s="333" t="str">
        <f t="shared" si="7"/>
        <v>NA</v>
      </c>
      <c r="Q53" s="989" t="str">
        <f t="shared" si="7"/>
        <v>NA</v>
      </c>
      <c r="R53" s="990" t="str">
        <f t="shared" si="7"/>
        <v>NA</v>
      </c>
      <c r="S53" s="999" t="str">
        <f t="shared" si="7"/>
        <v>NA</v>
      </c>
      <c r="T53" s="1006"/>
      <c r="U53" s="840"/>
    </row>
    <row r="54" spans="2:21" ht="13.5" thickBot="1">
      <c r="B54" s="573" t="s">
        <v>76</v>
      </c>
      <c r="C54" s="207">
        <f t="shared" ref="C54:S54" si="8">C27</f>
        <v>0</v>
      </c>
      <c r="D54" s="208">
        <f t="shared" si="8"/>
        <v>0</v>
      </c>
      <c r="E54" s="208">
        <f t="shared" si="8"/>
        <v>0</v>
      </c>
      <c r="F54" s="208">
        <f t="shared" si="8"/>
        <v>0</v>
      </c>
      <c r="G54" s="208">
        <f t="shared" si="8"/>
        <v>0</v>
      </c>
      <c r="H54" s="208">
        <f t="shared" si="8"/>
        <v>0</v>
      </c>
      <c r="I54" s="209">
        <f t="shared" si="8"/>
        <v>0</v>
      </c>
      <c r="J54" s="987" t="str">
        <f t="shared" si="8"/>
        <v>NA</v>
      </c>
      <c r="K54" s="338" t="str">
        <f t="shared" si="8"/>
        <v>NA</v>
      </c>
      <c r="L54" s="988" t="str">
        <f t="shared" si="8"/>
        <v>NA</v>
      </c>
      <c r="M54" s="1000" t="str">
        <f t="shared" si="8"/>
        <v>NA</v>
      </c>
      <c r="N54" s="219" t="str">
        <f t="shared" si="8"/>
        <v>NA</v>
      </c>
      <c r="O54" s="210" t="str">
        <f t="shared" si="8"/>
        <v>NA</v>
      </c>
      <c r="P54" s="987" t="str">
        <f t="shared" si="8"/>
        <v>NA</v>
      </c>
      <c r="Q54" s="338" t="str">
        <f t="shared" si="8"/>
        <v>NA</v>
      </c>
      <c r="R54" s="988" t="str">
        <f t="shared" si="8"/>
        <v>NA</v>
      </c>
      <c r="S54" s="210" t="str">
        <f t="shared" si="8"/>
        <v>NA</v>
      </c>
      <c r="T54" s="210" t="str">
        <f>T27</f>
        <v>NA</v>
      </c>
      <c r="U54" s="576" t="s">
        <v>12</v>
      </c>
    </row>
    <row r="55" spans="2:21">
      <c r="B55" s="574" t="s">
        <v>100</v>
      </c>
      <c r="C55" s="197">
        <f t="shared" ref="C55:U55" si="9">C31</f>
        <v>0</v>
      </c>
      <c r="D55" s="25">
        <f t="shared" si="9"/>
        <v>0</v>
      </c>
      <c r="E55" s="25">
        <f t="shared" si="9"/>
        <v>0</v>
      </c>
      <c r="F55" s="25">
        <f t="shared" si="9"/>
        <v>0</v>
      </c>
      <c r="G55" s="25">
        <f t="shared" si="9"/>
        <v>0</v>
      </c>
      <c r="H55" s="25">
        <f t="shared" si="9"/>
        <v>0</v>
      </c>
      <c r="I55" s="198">
        <f t="shared" si="9"/>
        <v>0</v>
      </c>
      <c r="J55" s="333" t="str">
        <f t="shared" si="9"/>
        <v>NA</v>
      </c>
      <c r="K55" s="989" t="str">
        <f t="shared" si="9"/>
        <v>NA</v>
      </c>
      <c r="L55" s="990" t="str">
        <f t="shared" si="9"/>
        <v>NA</v>
      </c>
      <c r="M55" s="199" t="str">
        <f t="shared" si="9"/>
        <v>NA</v>
      </c>
      <c r="N55" s="447" t="str">
        <f t="shared" si="9"/>
        <v>NA</v>
      </c>
      <c r="O55" s="999" t="str">
        <f t="shared" si="9"/>
        <v>NA</v>
      </c>
      <c r="P55" s="333" t="str">
        <f t="shared" si="9"/>
        <v>NA</v>
      </c>
      <c r="Q55" s="989" t="str">
        <f t="shared" si="9"/>
        <v>NA</v>
      </c>
      <c r="R55" s="990" t="str">
        <f t="shared" si="9"/>
        <v>NA</v>
      </c>
      <c r="S55" s="999" t="str">
        <f t="shared" si="9"/>
        <v>NA</v>
      </c>
      <c r="T55" s="212" t="str">
        <f t="shared" si="9"/>
        <v>NA</v>
      </c>
      <c r="U55" s="577" t="str">
        <f t="shared" si="9"/>
        <v>NA</v>
      </c>
    </row>
    <row r="56" spans="2:21" ht="13.5" thickBot="1">
      <c r="B56" s="573" t="s">
        <v>76</v>
      </c>
      <c r="C56" s="207">
        <f t="shared" ref="C56:T56" si="10">C32</f>
        <v>0</v>
      </c>
      <c r="D56" s="208">
        <f t="shared" si="10"/>
        <v>0</v>
      </c>
      <c r="E56" s="208">
        <f t="shared" si="10"/>
        <v>0</v>
      </c>
      <c r="F56" s="208">
        <f t="shared" si="10"/>
        <v>0</v>
      </c>
      <c r="G56" s="208">
        <f t="shared" si="10"/>
        <v>0</v>
      </c>
      <c r="H56" s="208">
        <f t="shared" si="10"/>
        <v>0</v>
      </c>
      <c r="I56" s="209">
        <f t="shared" si="10"/>
        <v>0</v>
      </c>
      <c r="J56" s="987" t="str">
        <f t="shared" si="10"/>
        <v>NA</v>
      </c>
      <c r="K56" s="338" t="str">
        <f t="shared" si="10"/>
        <v>NA</v>
      </c>
      <c r="L56" s="988" t="str">
        <f t="shared" si="10"/>
        <v>NA</v>
      </c>
      <c r="M56" s="998" t="str">
        <f t="shared" si="10"/>
        <v>NA</v>
      </c>
      <c r="N56" s="219" t="str">
        <f t="shared" si="10"/>
        <v>NA</v>
      </c>
      <c r="O56" s="210" t="str">
        <f t="shared" si="10"/>
        <v>NA</v>
      </c>
      <c r="P56" s="1004" t="str">
        <f t="shared" si="10"/>
        <v>NA</v>
      </c>
      <c r="Q56" s="338" t="str">
        <f t="shared" si="10"/>
        <v>NA</v>
      </c>
      <c r="R56" s="988" t="str">
        <f t="shared" si="10"/>
        <v>NA</v>
      </c>
      <c r="S56" s="210" t="str">
        <f t="shared" si="10"/>
        <v>NA</v>
      </c>
      <c r="T56" s="210" t="str">
        <f t="shared" si="10"/>
        <v>NA</v>
      </c>
      <c r="U56" s="392" t="s">
        <v>12</v>
      </c>
    </row>
    <row r="57" spans="2:21">
      <c r="B57" s="574" t="s">
        <v>101</v>
      </c>
      <c r="C57" s="213">
        <f t="shared" ref="C57:S57" si="11">C37</f>
        <v>0</v>
      </c>
      <c r="D57" s="214">
        <f t="shared" si="11"/>
        <v>0</v>
      </c>
      <c r="E57" s="214">
        <f t="shared" si="11"/>
        <v>0</v>
      </c>
      <c r="F57" s="214">
        <f t="shared" si="11"/>
        <v>0</v>
      </c>
      <c r="G57" s="214">
        <f t="shared" si="11"/>
        <v>0</v>
      </c>
      <c r="H57" s="214">
        <f t="shared" si="11"/>
        <v>0</v>
      </c>
      <c r="I57" s="215">
        <f t="shared" si="11"/>
        <v>0</v>
      </c>
      <c r="J57" s="336" t="str">
        <f t="shared" si="11"/>
        <v>NA</v>
      </c>
      <c r="K57" s="337" t="str">
        <f t="shared" si="11"/>
        <v>NA</v>
      </c>
      <c r="L57" s="991" t="str">
        <f t="shared" si="11"/>
        <v>NA</v>
      </c>
      <c r="M57" s="216" t="str">
        <f t="shared" si="11"/>
        <v>NA</v>
      </c>
      <c r="N57" s="217" t="str">
        <f t="shared" si="11"/>
        <v>NA</v>
      </c>
      <c r="O57" s="888" t="str">
        <f t="shared" si="11"/>
        <v>NA</v>
      </c>
      <c r="P57" s="336" t="str">
        <f t="shared" si="11"/>
        <v>NA</v>
      </c>
      <c r="Q57" s="337" t="str">
        <f t="shared" si="11"/>
        <v>NA</v>
      </c>
      <c r="R57" s="991" t="str">
        <f t="shared" si="11"/>
        <v>NA</v>
      </c>
      <c r="S57" s="888" t="str">
        <f t="shared" si="11"/>
        <v>NA</v>
      </c>
      <c r="T57" s="136" t="s">
        <v>12</v>
      </c>
      <c r="U57" s="147" t="s">
        <v>12</v>
      </c>
    </row>
    <row r="58" spans="2:21" ht="13.5" thickBot="1">
      <c r="B58" s="573" t="s">
        <v>76</v>
      </c>
      <c r="C58" s="207">
        <f t="shared" ref="C58:S58" si="12">C38</f>
        <v>0</v>
      </c>
      <c r="D58" s="208">
        <f t="shared" si="12"/>
        <v>0</v>
      </c>
      <c r="E58" s="208">
        <f t="shared" si="12"/>
        <v>0</v>
      </c>
      <c r="F58" s="208">
        <f t="shared" si="12"/>
        <v>0</v>
      </c>
      <c r="G58" s="208">
        <f t="shared" si="12"/>
        <v>0</v>
      </c>
      <c r="H58" s="208">
        <f t="shared" si="12"/>
        <v>0</v>
      </c>
      <c r="I58" s="209">
        <f t="shared" si="12"/>
        <v>0</v>
      </c>
      <c r="J58" s="987" t="str">
        <f t="shared" si="12"/>
        <v>NA</v>
      </c>
      <c r="K58" s="338" t="str">
        <f t="shared" si="12"/>
        <v>NA</v>
      </c>
      <c r="L58" s="988" t="str">
        <f t="shared" si="12"/>
        <v>NA</v>
      </c>
      <c r="M58" s="1000" t="str">
        <f t="shared" si="12"/>
        <v>NA</v>
      </c>
      <c r="N58" s="219" t="str">
        <f t="shared" si="12"/>
        <v>NA</v>
      </c>
      <c r="O58" s="210" t="str">
        <f t="shared" si="12"/>
        <v>NA</v>
      </c>
      <c r="P58" s="987" t="str">
        <f t="shared" si="12"/>
        <v>NA</v>
      </c>
      <c r="Q58" s="338" t="str">
        <f t="shared" si="12"/>
        <v>NA</v>
      </c>
      <c r="R58" s="988" t="str">
        <f t="shared" si="12"/>
        <v>NA</v>
      </c>
      <c r="S58" s="210" t="str">
        <f t="shared" si="12"/>
        <v>NA</v>
      </c>
      <c r="T58" s="210" t="str">
        <f>T38</f>
        <v>NA</v>
      </c>
      <c r="U58" s="392" t="s">
        <v>12</v>
      </c>
    </row>
    <row r="59" spans="2:21">
      <c r="B59" s="574" t="s">
        <v>102</v>
      </c>
      <c r="C59" s="197">
        <f t="shared" ref="C59:S59" si="13">C42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198">
        <f t="shared" si="13"/>
        <v>0</v>
      </c>
      <c r="J59" s="333" t="str">
        <f t="shared" si="13"/>
        <v>NA</v>
      </c>
      <c r="K59" s="989" t="str">
        <f t="shared" si="13"/>
        <v>NA</v>
      </c>
      <c r="L59" s="990" t="str">
        <f t="shared" si="13"/>
        <v>NA</v>
      </c>
      <c r="M59" s="199" t="str">
        <f t="shared" si="13"/>
        <v>NA</v>
      </c>
      <c r="N59" s="447" t="str">
        <f t="shared" si="13"/>
        <v>NA</v>
      </c>
      <c r="O59" s="999" t="str">
        <f t="shared" si="13"/>
        <v>NA</v>
      </c>
      <c r="P59" s="333" t="str">
        <f t="shared" si="13"/>
        <v>NA</v>
      </c>
      <c r="Q59" s="989" t="str">
        <f t="shared" si="13"/>
        <v>NA</v>
      </c>
      <c r="R59" s="990" t="str">
        <f t="shared" si="13"/>
        <v>NA</v>
      </c>
      <c r="S59" s="999" t="str">
        <f t="shared" si="13"/>
        <v>NA</v>
      </c>
      <c r="T59" s="136" t="s">
        <v>12</v>
      </c>
      <c r="U59" s="147" t="s">
        <v>12</v>
      </c>
    </row>
    <row r="60" spans="2:21" ht="13.5" thickBot="1">
      <c r="B60" s="578" t="s">
        <v>76</v>
      </c>
      <c r="C60" s="220">
        <f t="shared" ref="C60:S60" si="14">C43</f>
        <v>0</v>
      </c>
      <c r="D60" s="221">
        <f t="shared" si="14"/>
        <v>0</v>
      </c>
      <c r="E60" s="221">
        <f t="shared" si="14"/>
        <v>0</v>
      </c>
      <c r="F60" s="221">
        <f t="shared" si="14"/>
        <v>0</v>
      </c>
      <c r="G60" s="221">
        <f t="shared" si="14"/>
        <v>0</v>
      </c>
      <c r="H60" s="221">
        <f t="shared" si="14"/>
        <v>0</v>
      </c>
      <c r="I60" s="222">
        <f t="shared" si="14"/>
        <v>0</v>
      </c>
      <c r="J60" s="992" t="str">
        <f t="shared" si="14"/>
        <v>NA</v>
      </c>
      <c r="K60" s="993" t="str">
        <f t="shared" si="14"/>
        <v>NA</v>
      </c>
      <c r="L60" s="994" t="str">
        <f t="shared" si="14"/>
        <v>NA</v>
      </c>
      <c r="M60" s="1001" t="str">
        <f t="shared" si="14"/>
        <v>NA</v>
      </c>
      <c r="N60" s="1002" t="str">
        <f t="shared" si="14"/>
        <v>NA</v>
      </c>
      <c r="O60" s="1003" t="str">
        <f t="shared" si="14"/>
        <v>NA</v>
      </c>
      <c r="P60" s="1005" t="str">
        <f t="shared" si="14"/>
        <v>NA</v>
      </c>
      <c r="Q60" s="993" t="str">
        <f t="shared" si="14"/>
        <v>NA</v>
      </c>
      <c r="R60" s="994" t="str">
        <f t="shared" si="14"/>
        <v>NA</v>
      </c>
      <c r="S60" s="1003" t="str">
        <f t="shared" si="14"/>
        <v>NA</v>
      </c>
      <c r="T60" s="223" t="str">
        <f>T43</f>
        <v>NA</v>
      </c>
      <c r="U60" s="224" t="s">
        <v>12</v>
      </c>
    </row>
    <row r="61" spans="2:21" ht="18.75" thickTop="1">
      <c r="B61" s="579" t="s">
        <v>13</v>
      </c>
      <c r="C61" s="183" t="s">
        <v>45</v>
      </c>
      <c r="D61" s="108" t="s">
        <v>46</v>
      </c>
      <c r="E61" s="107" t="s">
        <v>47</v>
      </c>
      <c r="F61" s="107" t="s">
        <v>48</v>
      </c>
      <c r="G61" s="107" t="s">
        <v>49</v>
      </c>
      <c r="H61" s="107" t="s">
        <v>50</v>
      </c>
      <c r="I61" s="109" t="s">
        <v>13</v>
      </c>
      <c r="J61" s="110" t="s">
        <v>56</v>
      </c>
      <c r="K61" s="108" t="s">
        <v>13</v>
      </c>
      <c r="L61" s="111" t="s">
        <v>68</v>
      </c>
      <c r="M61" s="110" t="s">
        <v>56</v>
      </c>
      <c r="N61" s="108" t="s">
        <v>13</v>
      </c>
      <c r="O61" s="111" t="s">
        <v>68</v>
      </c>
      <c r="P61" s="110" t="s">
        <v>56</v>
      </c>
      <c r="Q61" s="108" t="s">
        <v>13</v>
      </c>
      <c r="R61" s="111" t="s">
        <v>68</v>
      </c>
      <c r="S61" s="111"/>
      <c r="T61" s="37"/>
      <c r="U61" s="138"/>
    </row>
    <row r="62" spans="2:21">
      <c r="B62" s="580" t="s">
        <v>75</v>
      </c>
      <c r="C62" s="195">
        <f t="shared" ref="C62:I63" si="15">C47+C49+C51+C53+C55+C57+C59</f>
        <v>0</v>
      </c>
      <c r="D62" s="101">
        <f t="shared" si="15"/>
        <v>0</v>
      </c>
      <c r="E62" s="101">
        <f t="shared" si="15"/>
        <v>0</v>
      </c>
      <c r="F62" s="101">
        <f t="shared" si="15"/>
        <v>0</v>
      </c>
      <c r="G62" s="101">
        <f t="shared" si="15"/>
        <v>0</v>
      </c>
      <c r="H62" s="101">
        <f t="shared" si="15"/>
        <v>0</v>
      </c>
      <c r="I62" s="102">
        <f t="shared" si="15"/>
        <v>0</v>
      </c>
      <c r="J62" s="340" t="s">
        <v>12</v>
      </c>
      <c r="K62" s="340" t="s">
        <v>12</v>
      </c>
      <c r="L62" s="340" t="s">
        <v>12</v>
      </c>
      <c r="M62" s="103" t="s">
        <v>12</v>
      </c>
      <c r="N62" s="103" t="s">
        <v>12</v>
      </c>
      <c r="O62" s="103" t="s">
        <v>12</v>
      </c>
      <c r="P62" s="981" t="s">
        <v>12</v>
      </c>
      <c r="Q62" s="981" t="s">
        <v>12</v>
      </c>
      <c r="R62" s="981" t="s">
        <v>12</v>
      </c>
      <c r="S62" s="103" t="s">
        <v>12</v>
      </c>
      <c r="T62" s="103" t="s">
        <v>12</v>
      </c>
      <c r="U62" s="140" t="s">
        <v>12</v>
      </c>
    </row>
    <row r="63" spans="2:21" s="235" customFormat="1" ht="16.5" thickBot="1">
      <c r="B63" s="581" t="s">
        <v>76</v>
      </c>
      <c r="C63" s="582">
        <f t="shared" si="15"/>
        <v>0</v>
      </c>
      <c r="D63" s="583">
        <f t="shared" si="15"/>
        <v>0</v>
      </c>
      <c r="E63" s="583">
        <f t="shared" si="15"/>
        <v>0</v>
      </c>
      <c r="F63" s="583">
        <f t="shared" si="15"/>
        <v>0</v>
      </c>
      <c r="G63" s="583">
        <f t="shared" si="15"/>
        <v>0</v>
      </c>
      <c r="H63" s="583">
        <f t="shared" si="15"/>
        <v>0</v>
      </c>
      <c r="I63" s="584">
        <f t="shared" si="15"/>
        <v>0</v>
      </c>
      <c r="J63" s="585">
        <f>J52</f>
        <v>155003.22999999998</v>
      </c>
      <c r="K63" s="585">
        <f>K52</f>
        <v>3410071.0599999996</v>
      </c>
      <c r="L63" s="585">
        <f>L52</f>
        <v>3410071.0599999996</v>
      </c>
      <c r="M63" s="582">
        <f>M52</f>
        <v>158237.85500000001</v>
      </c>
      <c r="N63" s="582">
        <f t="shared" ref="N63:T63" si="16">N52</f>
        <v>3481232.81</v>
      </c>
      <c r="O63" s="582">
        <f t="shared" si="16"/>
        <v>3481232.81</v>
      </c>
      <c r="P63" s="585">
        <f t="shared" si="16"/>
        <v>161343.095</v>
      </c>
      <c r="Q63" s="585">
        <f t="shared" si="16"/>
        <v>3549548.09</v>
      </c>
      <c r="R63" s="585">
        <f t="shared" si="16"/>
        <v>3549548.09</v>
      </c>
      <c r="S63" s="1012" t="str">
        <f t="shared" si="16"/>
        <v>NA</v>
      </c>
      <c r="T63" s="1012" t="str">
        <f t="shared" si="16"/>
        <v>NA</v>
      </c>
      <c r="U63" s="591">
        <f>SUM(U48,U50,U52,U54,U56,U58,U60)</f>
        <v>3480283.9866666663</v>
      </c>
    </row>
  </sheetData>
  <sheetProtection sheet="1" objects="1" scenarios="1"/>
  <mergeCells count="14">
    <mergeCell ref="G40:I40"/>
    <mergeCell ref="G29:I29"/>
    <mergeCell ref="G35:I35"/>
    <mergeCell ref="G24:I24"/>
    <mergeCell ref="C5:I5"/>
    <mergeCell ref="G12:I12"/>
    <mergeCell ref="G17:I17"/>
    <mergeCell ref="S2:T2"/>
    <mergeCell ref="G7:I7"/>
    <mergeCell ref="F2:G2"/>
    <mergeCell ref="Q18:R18"/>
    <mergeCell ref="N18:O18"/>
    <mergeCell ref="K18:L18"/>
    <mergeCell ref="G18:I18"/>
  </mergeCells>
  <phoneticPr fontId="2" type="noConversion"/>
  <dataValidations count="1">
    <dataValidation allowBlank="1" showInputMessage="1" showErrorMessage="1" sqref="D20"/>
  </dataValidations>
  <pageMargins left="0.25" right="0.28000000000000003" top="0.64" bottom="0.47" header="0.5" footer="0.44"/>
  <pageSetup scale="46" fitToHeight="2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8"/>
  <sheetViews>
    <sheetView workbookViewId="0">
      <selection activeCell="G10" sqref="G10"/>
    </sheetView>
  </sheetViews>
  <sheetFormatPr defaultRowHeight="12.75"/>
  <cols>
    <col min="1" max="1" width="1.42578125" customWidth="1"/>
    <col min="2" max="2" width="22.5703125" bestFit="1" customWidth="1"/>
    <col min="3" max="9" width="5" bestFit="1" customWidth="1"/>
    <col min="10" max="18" width="5.5703125" bestFit="1" customWidth="1"/>
    <col min="19" max="21" width="5.5703125" customWidth="1"/>
    <col min="22" max="22" width="32.85546875" bestFit="1" customWidth="1"/>
  </cols>
  <sheetData>
    <row r="1" spans="2:22"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2:22">
      <c r="B2" s="26" t="s">
        <v>9</v>
      </c>
      <c r="C2" s="26">
        <v>1997</v>
      </c>
      <c r="D2" s="26">
        <v>1998</v>
      </c>
      <c r="E2" s="26">
        <v>1999</v>
      </c>
      <c r="F2" s="26">
        <v>2000</v>
      </c>
      <c r="G2" s="26">
        <v>2001</v>
      </c>
      <c r="H2" s="26">
        <v>2002</v>
      </c>
      <c r="I2" s="26">
        <v>2003</v>
      </c>
      <c r="J2" s="23">
        <v>2004</v>
      </c>
      <c r="K2" s="23">
        <v>2005</v>
      </c>
      <c r="L2" s="23">
        <v>2006</v>
      </c>
      <c r="M2" s="23">
        <v>2007</v>
      </c>
      <c r="N2" s="23">
        <v>2008</v>
      </c>
      <c r="O2" s="23">
        <v>2009</v>
      </c>
      <c r="P2" s="23">
        <v>2010</v>
      </c>
      <c r="Q2" s="23">
        <v>2011</v>
      </c>
      <c r="R2" s="23">
        <v>2012</v>
      </c>
      <c r="S2" s="400">
        <v>2013</v>
      </c>
      <c r="T2" s="400">
        <v>2014</v>
      </c>
      <c r="U2" s="400">
        <v>2015</v>
      </c>
      <c r="V2" s="400" t="s">
        <v>6</v>
      </c>
    </row>
    <row r="3" spans="2:22">
      <c r="B3" s="26" t="s">
        <v>5</v>
      </c>
      <c r="C3" s="798"/>
      <c r="D3" s="798">
        <v>1.1579999999999999</v>
      </c>
      <c r="E3" s="798"/>
      <c r="F3" s="798"/>
      <c r="G3" s="798"/>
      <c r="H3" s="798"/>
      <c r="I3" s="798"/>
      <c r="J3" s="401">
        <v>1.0448</v>
      </c>
      <c r="K3" s="402">
        <v>1.0319</v>
      </c>
      <c r="L3" s="402">
        <f>K3*1.02</f>
        <v>1.052538</v>
      </c>
      <c r="M3" s="402">
        <f>L3*1.02</f>
        <v>1.07358876</v>
      </c>
      <c r="N3" s="402">
        <v>1.0864</v>
      </c>
      <c r="O3" s="402">
        <f>N3*1.02</f>
        <v>1.108128</v>
      </c>
      <c r="P3" s="402">
        <f>O3*1.02</f>
        <v>1.1302905599999999</v>
      </c>
      <c r="Q3" s="402">
        <v>1.3360000000000001</v>
      </c>
      <c r="R3" s="402">
        <v>1.175</v>
      </c>
      <c r="S3" s="402">
        <v>1.198</v>
      </c>
      <c r="T3" s="402"/>
      <c r="U3" s="402"/>
      <c r="V3" s="2"/>
    </row>
    <row r="4" spans="2:22">
      <c r="B4" s="26" t="s">
        <v>10</v>
      </c>
      <c r="C4" s="167"/>
      <c r="D4" s="167">
        <v>1.1802999999999999</v>
      </c>
      <c r="E4" s="167"/>
      <c r="F4" s="167"/>
      <c r="G4" s="167"/>
      <c r="H4" s="167"/>
      <c r="I4" s="167"/>
      <c r="J4" s="402">
        <v>1.0648</v>
      </c>
      <c r="K4" s="402">
        <v>1.0517000000000001</v>
      </c>
      <c r="L4" s="402">
        <f t="shared" ref="L4:Q4" si="0">K4*1.02</f>
        <v>1.0727340000000001</v>
      </c>
      <c r="M4" s="402">
        <f t="shared" si="0"/>
        <v>1.09418868</v>
      </c>
      <c r="N4" s="402">
        <f t="shared" si="0"/>
        <v>1.1160724536</v>
      </c>
      <c r="O4" s="402">
        <f t="shared" si="0"/>
        <v>1.138393902672</v>
      </c>
      <c r="P4" s="402">
        <f t="shared" si="0"/>
        <v>1.16116178072544</v>
      </c>
      <c r="Q4" s="402">
        <f t="shared" si="0"/>
        <v>1.1843850163399487</v>
      </c>
      <c r="R4" s="402">
        <v>1.198</v>
      </c>
      <c r="S4" s="402">
        <v>1.2230000000000001</v>
      </c>
      <c r="T4" s="402"/>
      <c r="U4" s="402"/>
      <c r="V4" s="2"/>
    </row>
    <row r="5" spans="2:22">
      <c r="B5" s="398" t="s">
        <v>11</v>
      </c>
      <c r="C5" s="726"/>
      <c r="D5" s="726">
        <v>1.2041999999999999</v>
      </c>
      <c r="E5" s="726"/>
      <c r="F5" s="726"/>
      <c r="G5" s="726"/>
      <c r="H5" s="726"/>
      <c r="I5" s="726"/>
      <c r="J5" s="402">
        <v>1.0864</v>
      </c>
      <c r="K5" s="402">
        <v>1.073</v>
      </c>
      <c r="L5" s="402">
        <f t="shared" ref="L5:Q5" si="1">K5*1.02</f>
        <v>1.09446</v>
      </c>
      <c r="M5" s="402">
        <f t="shared" si="1"/>
        <v>1.1163491999999999</v>
      </c>
      <c r="N5" s="402">
        <f t="shared" si="1"/>
        <v>1.1386761839999999</v>
      </c>
      <c r="O5" s="402">
        <f t="shared" si="1"/>
        <v>1.1614497076799999</v>
      </c>
      <c r="P5" s="402">
        <f t="shared" si="1"/>
        <v>1.1846787018335998</v>
      </c>
      <c r="Q5" s="402">
        <f t="shared" si="1"/>
        <v>1.2083722758702717</v>
      </c>
      <c r="R5" s="402">
        <v>1.2230000000000001</v>
      </c>
      <c r="S5" s="402">
        <v>1.2470000000000001</v>
      </c>
      <c r="T5" s="402"/>
      <c r="U5" s="402"/>
      <c r="V5" s="2"/>
    </row>
    <row r="8" spans="2:22">
      <c r="K8" s="1406" t="s">
        <v>375</v>
      </c>
    </row>
  </sheetData>
  <phoneticPr fontId="2" type="noConversion"/>
  <pageMargins left="0.75" right="0.75" top="1" bottom="1" header="0.5" footer="0.5"/>
  <pageSetup scale="85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V103"/>
  <sheetViews>
    <sheetView topLeftCell="A52" zoomScaleNormal="100" workbookViewId="0">
      <selection activeCell="L69" sqref="L69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5.7109375" customWidth="1"/>
    <col min="12" max="12" width="14.7109375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  <col min="22" max="22" width="3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8.75" thickTop="1">
      <c r="A2" s="615"/>
      <c r="B2" s="596" t="s">
        <v>0</v>
      </c>
      <c r="C2" s="645" t="s">
        <v>248</v>
      </c>
      <c r="D2" s="5"/>
      <c r="F2" s="431" t="s">
        <v>31</v>
      </c>
      <c r="G2" s="1453">
        <v>41306</v>
      </c>
      <c r="H2" s="1454"/>
      <c r="I2" s="1455"/>
      <c r="J2" s="594" t="s">
        <v>5</v>
      </c>
      <c r="K2" s="595">
        <v>2013</v>
      </c>
      <c r="L2" s="426"/>
      <c r="M2" s="592" t="s">
        <v>10</v>
      </c>
      <c r="N2" s="596">
        <f>K2+1</f>
        <v>2014</v>
      </c>
      <c r="O2" s="5"/>
      <c r="P2" s="1210" t="s">
        <v>11</v>
      </c>
      <c r="Q2" s="1211">
        <f>N2+1</f>
        <v>2015</v>
      </c>
      <c r="R2" s="67"/>
      <c r="S2" s="1456" t="s">
        <v>77</v>
      </c>
      <c r="T2" s="1457"/>
      <c r="U2" s="1212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AVERAGE(J11,M11,P11)</f>
        <v>168</v>
      </c>
      <c r="U3" s="227"/>
    </row>
    <row r="4" spans="1:21">
      <c r="A4" s="615"/>
      <c r="B4" s="5"/>
      <c r="C4" s="5"/>
      <c r="D4" s="5"/>
      <c r="E4" s="5"/>
      <c r="F4" s="7"/>
      <c r="G4" s="5"/>
      <c r="H4" s="5"/>
      <c r="I4" s="37"/>
      <c r="K4" s="825" t="s">
        <v>243</v>
      </c>
      <c r="L4" s="824">
        <v>1294</v>
      </c>
      <c r="N4" s="825" t="s">
        <v>243</v>
      </c>
      <c r="O4" s="824">
        <v>1294</v>
      </c>
      <c r="Q4" s="825" t="s">
        <v>243</v>
      </c>
      <c r="R4" s="824">
        <v>1294</v>
      </c>
      <c r="S4" s="115" t="s">
        <v>69</v>
      </c>
      <c r="T4" s="106">
        <f>AVERAGE(L4,O4,R4)</f>
        <v>1294</v>
      </c>
      <c r="U4" s="227"/>
    </row>
    <row r="5" spans="1:21">
      <c r="A5" s="615"/>
      <c r="B5" s="5"/>
      <c r="C5" s="5"/>
      <c r="D5" s="5"/>
      <c r="E5" s="5"/>
      <c r="F5" s="7"/>
      <c r="G5" s="5"/>
      <c r="H5" s="5"/>
      <c r="I5" s="822"/>
      <c r="J5" s="425"/>
      <c r="K5" s="825" t="s">
        <v>244</v>
      </c>
      <c r="L5" s="799">
        <v>269</v>
      </c>
      <c r="M5" s="396"/>
      <c r="N5" s="825" t="s">
        <v>244</v>
      </c>
      <c r="O5" s="799">
        <v>269</v>
      </c>
      <c r="P5" s="425"/>
      <c r="Q5" s="825" t="s">
        <v>244</v>
      </c>
      <c r="R5" s="799">
        <v>269</v>
      </c>
      <c r="S5" s="115"/>
      <c r="T5" s="160"/>
      <c r="U5" s="227"/>
    </row>
    <row r="6" spans="1:21">
      <c r="A6" s="615"/>
      <c r="B6" s="5"/>
      <c r="C6" s="5"/>
      <c r="D6" s="5"/>
      <c r="E6" s="5"/>
      <c r="F6" s="7"/>
      <c r="G6" s="5"/>
      <c r="H6" s="5"/>
      <c r="I6" s="822"/>
      <c r="J6" s="425"/>
      <c r="K6" s="826" t="s">
        <v>246</v>
      </c>
      <c r="L6" s="800">
        <f>SUM(L4:L5)</f>
        <v>1563</v>
      </c>
      <c r="M6" s="396"/>
      <c r="N6" s="826" t="s">
        <v>246</v>
      </c>
      <c r="O6" s="800">
        <f>SUM(O4:O5)</f>
        <v>1563</v>
      </c>
      <c r="P6" s="425"/>
      <c r="Q6" s="826" t="s">
        <v>246</v>
      </c>
      <c r="R6" s="800">
        <f>SUM(R4:R5)</f>
        <v>1563</v>
      </c>
      <c r="S6" s="115"/>
      <c r="T6" s="160"/>
      <c r="U6" s="227"/>
    </row>
    <row r="7" spans="1:21">
      <c r="A7" s="615"/>
      <c r="B7" s="5"/>
      <c r="C7" s="5"/>
      <c r="D7" s="5"/>
      <c r="E7" s="5"/>
      <c r="F7" s="7"/>
      <c r="G7" s="5"/>
      <c r="H7" s="5"/>
      <c r="I7" s="822"/>
      <c r="J7" s="425"/>
      <c r="K7" s="825" t="s">
        <v>245</v>
      </c>
      <c r="L7" s="799">
        <f>2905-L6</f>
        <v>1342</v>
      </c>
      <c r="M7" s="396"/>
      <c r="N7" s="825" t="s">
        <v>245</v>
      </c>
      <c r="O7" s="799">
        <f>2905-O6</f>
        <v>1342</v>
      </c>
      <c r="P7" s="425"/>
      <c r="Q7" s="825" t="s">
        <v>245</v>
      </c>
      <c r="R7" s="799">
        <f>2905-R6</f>
        <v>1342</v>
      </c>
      <c r="S7" s="115"/>
      <c r="T7" s="160"/>
      <c r="U7" s="227"/>
    </row>
    <row r="8" spans="1:21">
      <c r="A8" s="615"/>
      <c r="B8" s="5"/>
      <c r="C8" s="5"/>
      <c r="D8" s="5"/>
      <c r="E8" s="5"/>
      <c r="F8" s="7"/>
      <c r="G8" s="5"/>
      <c r="H8" s="5"/>
      <c r="I8" s="822"/>
      <c r="J8" s="425"/>
      <c r="K8" s="825" t="s">
        <v>89</v>
      </c>
      <c r="L8" s="800">
        <f>L6+L7</f>
        <v>2905</v>
      </c>
      <c r="M8" s="396"/>
      <c r="N8" s="825" t="s">
        <v>89</v>
      </c>
      <c r="O8" s="800">
        <f>O6+O7</f>
        <v>2905</v>
      </c>
      <c r="P8" s="425"/>
      <c r="Q8" s="825" t="s">
        <v>89</v>
      </c>
      <c r="R8" s="800">
        <f>R6+R7</f>
        <v>2905</v>
      </c>
      <c r="S8" s="115"/>
      <c r="T8" s="160"/>
      <c r="U8" s="227"/>
    </row>
    <row r="9" spans="1:21">
      <c r="A9" s="615"/>
      <c r="B9" s="5"/>
      <c r="C9" s="5"/>
      <c r="D9" s="5"/>
      <c r="E9" s="5"/>
      <c r="F9" s="7"/>
      <c r="G9" s="5"/>
      <c r="H9" s="5"/>
      <c r="I9" s="822"/>
      <c r="J9" s="425"/>
      <c r="K9" s="429"/>
      <c r="L9" s="776"/>
      <c r="M9" s="396"/>
      <c r="N9" s="431"/>
      <c r="P9" s="869"/>
      <c r="Q9" s="429"/>
      <c r="S9" s="115"/>
      <c r="T9" s="160"/>
      <c r="U9" s="227"/>
    </row>
    <row r="10" spans="1:21">
      <c r="A10" s="615"/>
      <c r="B10" s="5"/>
      <c r="C10" s="5"/>
      <c r="D10" s="5"/>
      <c r="E10" s="5"/>
      <c r="F10" s="7"/>
      <c r="G10" s="5"/>
      <c r="H10" s="5"/>
      <c r="I10" s="823"/>
      <c r="J10" s="425" t="s">
        <v>71</v>
      </c>
      <c r="K10" s="429"/>
      <c r="L10" s="867" t="s">
        <v>272</v>
      </c>
      <c r="M10" s="396" t="s">
        <v>71</v>
      </c>
      <c r="N10" s="431"/>
      <c r="O10" s="867" t="s">
        <v>272</v>
      </c>
      <c r="P10" s="425" t="s">
        <v>71</v>
      </c>
      <c r="Q10" s="429"/>
      <c r="R10" s="867" t="s">
        <v>272</v>
      </c>
      <c r="S10" s="115"/>
      <c r="T10" s="160"/>
      <c r="U10" s="227"/>
    </row>
    <row r="11" spans="1:21" ht="12.75" customHeight="1" thickBot="1">
      <c r="A11" s="615"/>
      <c r="B11" s="597" t="s">
        <v>2</v>
      </c>
      <c r="C11" s="1426"/>
      <c r="D11" s="1427"/>
      <c r="E11" s="1427"/>
      <c r="F11" s="1427"/>
      <c r="G11" s="1427"/>
      <c r="H11" s="1427"/>
      <c r="I11" s="1443"/>
      <c r="J11" s="821">
        <v>168</v>
      </c>
      <c r="K11" s="342"/>
      <c r="L11" s="868">
        <v>156</v>
      </c>
      <c r="M11" s="632">
        <v>168</v>
      </c>
      <c r="N11" s="344"/>
      <c r="O11" s="868">
        <v>156</v>
      </c>
      <c r="P11" s="631">
        <v>168</v>
      </c>
      <c r="Q11" s="342"/>
      <c r="R11" s="868">
        <v>156</v>
      </c>
      <c r="S11" s="237"/>
      <c r="T11" s="238"/>
      <c r="U11" s="227"/>
    </row>
    <row r="12" spans="1:21" ht="30" customHeight="1" thickTop="1" thickBot="1">
      <c r="A12" s="615"/>
      <c r="B12" s="598" t="s">
        <v>73</v>
      </c>
      <c r="C12" s="4"/>
      <c r="D12" s="4"/>
      <c r="E12" s="4"/>
      <c r="F12" s="12"/>
      <c r="G12" s="4"/>
      <c r="H12" s="4"/>
      <c r="I12" s="4"/>
      <c r="J12" s="1177"/>
      <c r="K12" s="87"/>
      <c r="L12" s="87"/>
      <c r="M12" s="1176"/>
      <c r="N12" s="4"/>
      <c r="O12" s="548"/>
      <c r="P12" s="544"/>
      <c r="Q12" s="87"/>
      <c r="R12" s="1175"/>
      <c r="S12" s="546" t="s">
        <v>17</v>
      </c>
      <c r="T12" s="547" t="s">
        <v>103</v>
      </c>
      <c r="U12" s="1209"/>
    </row>
    <row r="13" spans="1:21" ht="15.75">
      <c r="A13" s="615"/>
      <c r="B13" s="55" t="s">
        <v>3</v>
      </c>
      <c r="C13" s="239"/>
      <c r="D13" s="431" t="s">
        <v>54</v>
      </c>
      <c r="E13" s="28">
        <v>7</v>
      </c>
      <c r="F13" s="112" t="s">
        <v>6</v>
      </c>
      <c r="G13" s="1421"/>
      <c r="H13" s="1422"/>
      <c r="I13" s="1423"/>
      <c r="J13" s="88" t="s">
        <v>3</v>
      </c>
      <c r="K13" s="179"/>
      <c r="L13" s="180"/>
      <c r="M13" s="88" t="s">
        <v>3</v>
      </c>
      <c r="N13" s="804"/>
      <c r="O13" s="803"/>
      <c r="P13" s="807" t="s">
        <v>3</v>
      </c>
      <c r="Q13" s="804"/>
      <c r="R13" s="803"/>
      <c r="S13" s="124"/>
      <c r="T13" s="117"/>
      <c r="U13" s="515"/>
    </row>
    <row r="14" spans="1:21">
      <c r="A14" s="615"/>
      <c r="B14" s="791" t="s">
        <v>236</v>
      </c>
      <c r="C14" s="76"/>
      <c r="D14" s="76"/>
      <c r="E14" s="76"/>
      <c r="F14" s="75"/>
      <c r="G14" s="76"/>
      <c r="H14" s="76"/>
      <c r="I14" s="47"/>
      <c r="J14" s="801"/>
      <c r="K14" s="649"/>
      <c r="L14" s="805" t="s">
        <v>57</v>
      </c>
      <c r="M14" s="76"/>
      <c r="N14" s="649"/>
      <c r="O14" s="808" t="s">
        <v>57</v>
      </c>
      <c r="P14" s="72"/>
      <c r="Q14" s="197"/>
      <c r="R14" s="796" t="s">
        <v>57</v>
      </c>
      <c r="S14" s="125"/>
      <c r="T14" s="145"/>
      <c r="U14" s="538"/>
    </row>
    <row r="15" spans="1:21">
      <c r="A15" s="615"/>
      <c r="B15" s="787" t="s">
        <v>237</v>
      </c>
      <c r="C15" s="72"/>
      <c r="D15" s="72"/>
      <c r="E15" s="72"/>
      <c r="F15" s="790"/>
      <c r="G15" s="72"/>
      <c r="H15" s="797" t="s">
        <v>242</v>
      </c>
      <c r="I15" s="811">
        <v>1998</v>
      </c>
      <c r="J15" s="76"/>
      <c r="K15" s="649"/>
      <c r="L15" s="356" t="s">
        <v>56</v>
      </c>
      <c r="M15" s="76"/>
      <c r="N15" s="649"/>
      <c r="O15" s="111" t="s">
        <v>56</v>
      </c>
      <c r="P15" s="76"/>
      <c r="Q15" s="649"/>
      <c r="R15" s="259" t="s">
        <v>56</v>
      </c>
      <c r="S15" s="122"/>
      <c r="T15" s="37"/>
      <c r="U15" s="227"/>
    </row>
    <row r="16" spans="1:21">
      <c r="A16" s="615"/>
      <c r="B16" s="789" t="s">
        <v>238</v>
      </c>
      <c r="C16" s="5"/>
      <c r="D16" s="5"/>
      <c r="E16" s="5"/>
      <c r="F16" s="5"/>
      <c r="G16" s="5"/>
      <c r="H16" s="614" t="s">
        <v>239</v>
      </c>
      <c r="I16" s="812">
        <v>24595</v>
      </c>
      <c r="J16" s="76"/>
      <c r="K16" s="649"/>
      <c r="L16" s="806">
        <f>I16</f>
        <v>24595</v>
      </c>
      <c r="M16" s="76"/>
      <c r="N16" s="649"/>
      <c r="O16" s="809">
        <f>I16</f>
        <v>24595</v>
      </c>
      <c r="P16" s="76"/>
      <c r="Q16" s="649"/>
      <c r="R16" s="786">
        <f>I16</f>
        <v>24595</v>
      </c>
      <c r="S16" s="121">
        <f t="shared" ref="S16:S21" si="0">AVERAGE(L16,O16,R16)</f>
        <v>24595</v>
      </c>
      <c r="T16" s="119" t="s">
        <v>12</v>
      </c>
      <c r="U16" s="232" t="s">
        <v>12</v>
      </c>
    </row>
    <row r="17" spans="1:22" s="1" customFormat="1" ht="13.5" thickBot="1">
      <c r="A17" s="616"/>
      <c r="B17" s="788"/>
      <c r="C17" s="72"/>
      <c r="D17" s="72"/>
      <c r="E17" s="72"/>
      <c r="F17" s="72"/>
      <c r="G17" s="72"/>
      <c r="H17" s="603" t="s">
        <v>240</v>
      </c>
      <c r="I17" s="813">
        <f>1052498</f>
        <v>1052498</v>
      </c>
      <c r="J17" s="460"/>
      <c r="K17" s="607"/>
      <c r="L17" s="297">
        <f>HLOOKUP($I$15,InflationTable,2)*$I17</f>
        <v>1218792.6839999999</v>
      </c>
      <c r="M17" s="76"/>
      <c r="N17" s="649"/>
      <c r="O17" s="388">
        <f>HLOOKUP($I$15,InflationTable,3)*$I17</f>
        <v>1242263.3894</v>
      </c>
      <c r="P17" s="76"/>
      <c r="Q17" s="649"/>
      <c r="R17" s="332">
        <f>HLOOKUP($I$15,InflationTable,4)*$I17</f>
        <v>1267418.0915999999</v>
      </c>
      <c r="S17" s="379">
        <f t="shared" si="0"/>
        <v>1242824.7216666667</v>
      </c>
      <c r="T17" s="380" t="s">
        <v>12</v>
      </c>
      <c r="U17" s="511" t="s">
        <v>12</v>
      </c>
    </row>
    <row r="18" spans="1:22">
      <c r="A18" s="615"/>
      <c r="B18" s="112" t="s">
        <v>241</v>
      </c>
      <c r="F18"/>
      <c r="H18" s="614" t="s">
        <v>239</v>
      </c>
      <c r="I18" s="812">
        <v>16909</v>
      </c>
      <c r="J18" s="76"/>
      <c r="K18" s="649"/>
      <c r="L18" s="806">
        <f>I18</f>
        <v>16909</v>
      </c>
      <c r="M18" s="76"/>
      <c r="N18" s="649"/>
      <c r="O18" s="810">
        <f>I18</f>
        <v>16909</v>
      </c>
      <c r="P18" s="76"/>
      <c r="Q18" s="649"/>
      <c r="R18" s="786">
        <f>I18</f>
        <v>16909</v>
      </c>
      <c r="S18" s="121">
        <f t="shared" si="0"/>
        <v>16909</v>
      </c>
      <c r="T18" s="119" t="s">
        <v>12</v>
      </c>
      <c r="U18" s="232" t="s">
        <v>12</v>
      </c>
    </row>
    <row r="19" spans="1:22" s="1" customFormat="1" ht="13.5" thickBot="1">
      <c r="A19" s="616"/>
      <c r="B19" s="788"/>
      <c r="C19" s="72"/>
      <c r="D19" s="72"/>
      <c r="E19" s="72"/>
      <c r="F19" s="72"/>
      <c r="G19" s="72"/>
      <c r="H19" s="603" t="s">
        <v>240</v>
      </c>
      <c r="I19" s="813">
        <f>828343</f>
        <v>828343</v>
      </c>
      <c r="J19" s="460"/>
      <c r="K19" s="607"/>
      <c r="L19" s="297">
        <f>HLOOKUP($I$15,InflationTable,2)*$I19</f>
        <v>959221.1939999999</v>
      </c>
      <c r="M19" s="76"/>
      <c r="N19" s="649"/>
      <c r="O19" s="388">
        <f>HLOOKUP($I$15,InflationTable,3)*$I19</f>
        <v>977693.24289999995</v>
      </c>
      <c r="P19" s="76"/>
      <c r="Q19" s="649"/>
      <c r="R19" s="332">
        <f>HLOOKUP($I$15,InflationTable,4)*$I19</f>
        <v>997490.64059999993</v>
      </c>
      <c r="S19" s="379">
        <f t="shared" si="0"/>
        <v>978135.02583333326</v>
      </c>
      <c r="T19" s="380" t="s">
        <v>12</v>
      </c>
      <c r="U19" s="511" t="s">
        <v>12</v>
      </c>
    </row>
    <row r="20" spans="1:22" ht="13.5" thickBot="1">
      <c r="A20" s="615"/>
      <c r="B20" s="112" t="s">
        <v>257</v>
      </c>
      <c r="D20" s="1" t="s">
        <v>242</v>
      </c>
      <c r="E20">
        <v>2005</v>
      </c>
      <c r="F20" s="72"/>
      <c r="G20" s="72"/>
      <c r="H20" s="603" t="s">
        <v>240</v>
      </c>
      <c r="I20" s="813">
        <f>4345772/1.0319</f>
        <v>4211427.4639015403</v>
      </c>
      <c r="J20" s="460"/>
      <c r="K20" s="607"/>
      <c r="L20" s="297">
        <f>HLOOKUP($E$20,InflationTable,2)*$I20</f>
        <v>4345772</v>
      </c>
      <c r="M20" s="76"/>
      <c r="N20" s="649"/>
      <c r="O20" s="378">
        <f>HLOOKUP($E$20,InflationTable,3)*$I20</f>
        <v>4429158.2637852505</v>
      </c>
      <c r="P20" s="76"/>
      <c r="Q20" s="649"/>
      <c r="R20" s="297">
        <f>HLOOKUP($E$20,InflationTable,4)*$I20</f>
        <v>4518861.6687663523</v>
      </c>
      <c r="T20" s="380" t="s">
        <v>12</v>
      </c>
      <c r="U20" s="509">
        <f>AVERAGE(L20,O20,R20)</f>
        <v>4431263.9775172016</v>
      </c>
    </row>
    <row r="21" spans="1:22">
      <c r="A21" s="615"/>
      <c r="B21" s="792" t="s">
        <v>66</v>
      </c>
      <c r="C21" s="794"/>
      <c r="D21" s="794"/>
      <c r="E21" s="794"/>
      <c r="F21" s="794"/>
      <c r="G21" s="794"/>
      <c r="H21" s="793"/>
      <c r="I21" s="40">
        <f>I16+I18</f>
        <v>41504</v>
      </c>
      <c r="J21" s="76"/>
      <c r="K21" s="649"/>
      <c r="L21" s="806">
        <f>I21</f>
        <v>41504</v>
      </c>
      <c r="M21" s="76"/>
      <c r="N21" s="649"/>
      <c r="O21" s="810">
        <f>I21</f>
        <v>41504</v>
      </c>
      <c r="P21" s="76"/>
      <c r="Q21" s="649"/>
      <c r="R21" s="786">
        <f>I21</f>
        <v>41504</v>
      </c>
      <c r="S21" s="121">
        <f t="shared" si="0"/>
        <v>41504</v>
      </c>
      <c r="T21" s="119" t="s">
        <v>12</v>
      </c>
      <c r="U21" s="232" t="s">
        <v>12</v>
      </c>
    </row>
    <row r="22" spans="1:22" ht="13.5" thickBot="1">
      <c r="A22" s="615"/>
      <c r="B22" s="795" t="s">
        <v>67</v>
      </c>
      <c r="C22" s="692"/>
      <c r="D22" s="692"/>
      <c r="E22" s="692"/>
      <c r="F22" s="692"/>
      <c r="G22" s="692"/>
      <c r="H22" s="242"/>
      <c r="I22" s="241">
        <f>I20+I19+I17</f>
        <v>6092268.4639015403</v>
      </c>
      <c r="K22" s="802"/>
      <c r="L22" s="241">
        <f>+L20</f>
        <v>4345772</v>
      </c>
      <c r="N22" s="802"/>
      <c r="O22" s="241">
        <f>+O20</f>
        <v>4429158.2637852505</v>
      </c>
      <c r="P22" s="410"/>
      <c r="Q22" s="802"/>
      <c r="R22" s="241">
        <f>+R20</f>
        <v>4518861.6687663523</v>
      </c>
      <c r="S22" s="255">
        <f>SUM(S20+S17+S19)</f>
        <v>2220959.7475000001</v>
      </c>
      <c r="T22" s="249" t="s">
        <v>12</v>
      </c>
      <c r="U22" s="1213">
        <f>U20</f>
        <v>4431263.9775172016</v>
      </c>
      <c r="V22" s="288"/>
    </row>
    <row r="23" spans="1:22" ht="14.25" thickTop="1" thickBot="1">
      <c r="A23" s="5"/>
      <c r="B23" s="618"/>
      <c r="C23" s="618"/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410"/>
      <c r="O23" s="410"/>
      <c r="P23" s="410"/>
      <c r="Q23" s="410"/>
      <c r="R23" s="410"/>
      <c r="S23" s="410"/>
      <c r="T23" s="410"/>
      <c r="U23" s="236"/>
    </row>
    <row r="24" spans="1:22" ht="16.5" thickTop="1">
      <c r="A24" s="615"/>
      <c r="B24" s="181" t="s">
        <v>16</v>
      </c>
      <c r="F24" s="112" t="s">
        <v>6</v>
      </c>
      <c r="G24" s="1412"/>
      <c r="H24" s="1413"/>
      <c r="I24" s="1414"/>
      <c r="J24" s="181" t="s">
        <v>16</v>
      </c>
      <c r="K24" s="426"/>
      <c r="L24" s="180"/>
      <c r="M24" s="181" t="s">
        <v>16</v>
      </c>
      <c r="N24" s="426"/>
      <c r="O24" s="67"/>
      <c r="P24" s="181" t="s">
        <v>16</v>
      </c>
      <c r="Q24" s="426"/>
      <c r="R24" s="180"/>
      <c r="S24" s="225"/>
      <c r="T24" s="37"/>
      <c r="U24" s="508"/>
    </row>
    <row r="25" spans="1:22">
      <c r="A25" s="615"/>
      <c r="H25" s="6"/>
      <c r="I25" s="43"/>
      <c r="J25" s="277" t="s">
        <v>61</v>
      </c>
      <c r="K25" s="1419" t="s">
        <v>57</v>
      </c>
      <c r="L25" s="1420"/>
      <c r="M25" s="93" t="s">
        <v>61</v>
      </c>
      <c r="N25" s="1429" t="s">
        <v>57</v>
      </c>
      <c r="O25" s="1430"/>
      <c r="P25" s="262" t="s">
        <v>61</v>
      </c>
      <c r="Q25" s="1419" t="s">
        <v>57</v>
      </c>
      <c r="R25" s="1420"/>
      <c r="S25" s="131"/>
      <c r="T25" s="37"/>
      <c r="U25" s="227"/>
    </row>
    <row r="26" spans="1:22">
      <c r="A26" s="615"/>
      <c r="B26" s="607" t="s">
        <v>58</v>
      </c>
      <c r="C26" s="23" t="s">
        <v>60</v>
      </c>
      <c r="D26" s="23" t="s">
        <v>62</v>
      </c>
      <c r="E26" s="72"/>
      <c r="F26" s="431" t="s">
        <v>54</v>
      </c>
      <c r="G26" s="70">
        <v>7</v>
      </c>
      <c r="H26" s="72"/>
      <c r="I26" s="73"/>
      <c r="J26" s="260" t="s">
        <v>56</v>
      </c>
      <c r="K26" s="261" t="s">
        <v>13</v>
      </c>
      <c r="L26" s="262" t="s">
        <v>68</v>
      </c>
      <c r="M26" s="77" t="s">
        <v>56</v>
      </c>
      <c r="N26" s="24" t="s">
        <v>13</v>
      </c>
      <c r="O26" s="38" t="s">
        <v>68</v>
      </c>
      <c r="P26" s="260" t="s">
        <v>56</v>
      </c>
      <c r="Q26" s="261" t="s">
        <v>13</v>
      </c>
      <c r="R26" s="262" t="s">
        <v>68</v>
      </c>
      <c r="S26" s="123"/>
      <c r="T26" s="37"/>
      <c r="U26" s="227"/>
    </row>
    <row r="27" spans="1:22" s="1" customFormat="1">
      <c r="A27" s="616"/>
      <c r="B27" s="1214" t="str">
        <f>VLOOKUP($C$2,Monitor_Costs,10,FALSE)</f>
        <v>Multigas calibrator</v>
      </c>
      <c r="C27" s="458">
        <f>VLOOKUP($C$2,Monitor_Costs,11,FALSE)</f>
        <v>14000</v>
      </c>
      <c r="D27" s="879">
        <f>VLOOKUP($C$2,Monitor_Costs,12,FALSE)</f>
        <v>2013</v>
      </c>
      <c r="E27" s="459"/>
      <c r="F27" s="93"/>
      <c r="G27" s="460"/>
      <c r="H27" s="460"/>
      <c r="I27" s="461"/>
      <c r="J27" s="384">
        <f>HLOOKUP(D27,InflationTable,2)*$C27</f>
        <v>16772</v>
      </c>
      <c r="K27" s="384">
        <f>J27*$L$6</f>
        <v>26214636</v>
      </c>
      <c r="L27" s="385">
        <f>K27/$G$26</f>
        <v>3744948</v>
      </c>
      <c r="M27" s="467">
        <f>HLOOKUP($D$27,InflationTable,3)*$C$27</f>
        <v>17122</v>
      </c>
      <c r="N27" s="468">
        <f>M27*O$6</f>
        <v>26761686</v>
      </c>
      <c r="O27" s="672">
        <f>N27/$G$26</f>
        <v>3823098</v>
      </c>
      <c r="P27" s="383">
        <f>HLOOKUP($D$27,InflationTable,4)*$C$27</f>
        <v>17458</v>
      </c>
      <c r="Q27" s="384">
        <f>P27*$L$6</f>
        <v>27286854</v>
      </c>
      <c r="R27" s="385">
        <f>Q27/$G$26</f>
        <v>3898122</v>
      </c>
      <c r="S27" s="462" t="s">
        <v>12</v>
      </c>
      <c r="T27" s="380" t="s">
        <v>12</v>
      </c>
      <c r="U27" s="509">
        <f>AVERAGE(L27,O27,R27)</f>
        <v>3822056</v>
      </c>
    </row>
    <row r="28" spans="1:22" s="1" customFormat="1">
      <c r="A28" s="616"/>
      <c r="B28" s="1214" t="str">
        <f>VLOOKUP($C$2,Monitor_Costs,13,FALSE)</f>
        <v>Zero air supply</v>
      </c>
      <c r="C28" s="458">
        <f>VLOOKUP($C$2,Monitor_Costs,14,FALSE)</f>
        <v>4000</v>
      </c>
      <c r="D28" s="879">
        <f>VLOOKUP($C$2,Monitor_Costs,15,FALSE)</f>
        <v>2013</v>
      </c>
      <c r="E28" s="459"/>
      <c r="F28" s="93"/>
      <c r="G28" s="460"/>
      <c r="H28" s="460"/>
      <c r="I28" s="1178"/>
      <c r="J28" s="384">
        <f>HLOOKUP(D28,InflationTable,2)*$C28</f>
        <v>4792</v>
      </c>
      <c r="K28" s="384">
        <f>J28*$L$6</f>
        <v>7489896</v>
      </c>
      <c r="L28" s="385">
        <f>K28/$G$26</f>
        <v>1069985.142857143</v>
      </c>
      <c r="M28" s="467">
        <f>HLOOKUP($D$27,InflationTable,3)*$C28</f>
        <v>4892</v>
      </c>
      <c r="N28" s="468">
        <f>M28*O$6</f>
        <v>7646196</v>
      </c>
      <c r="O28" s="672">
        <f>N28/$G$26</f>
        <v>1092313.7142857143</v>
      </c>
      <c r="P28" s="383">
        <f>HLOOKUP($D$27,InflationTable,4)*$C28</f>
        <v>4988</v>
      </c>
      <c r="Q28" s="384">
        <f>P28*$L$6</f>
        <v>7796244</v>
      </c>
      <c r="R28" s="385">
        <f>Q28/$G$26</f>
        <v>1113749.142857143</v>
      </c>
      <c r="S28" s="462" t="s">
        <v>12</v>
      </c>
      <c r="T28" s="380" t="s">
        <v>12</v>
      </c>
      <c r="U28" s="509">
        <f>AVERAGE(L28,O28,R28)</f>
        <v>1092016</v>
      </c>
    </row>
    <row r="29" spans="1:22" s="1" customFormat="1">
      <c r="A29" s="616"/>
      <c r="B29" s="1214" t="str">
        <f>VLOOKUP($C$2,Monitor_Costs,16,FALSE)</f>
        <v>Ambient air intake manifold assembly</v>
      </c>
      <c r="C29" s="458">
        <f>VLOOKUP($C$2,Monitor_Costs,17,FALSE)</f>
        <v>1500</v>
      </c>
      <c r="D29" s="879">
        <f>VLOOKUP($C$2,Monitor_Costs,18,FALSE)</f>
        <v>2013</v>
      </c>
      <c r="E29" s="459"/>
      <c r="F29" s="93"/>
      <c r="G29" s="460"/>
      <c r="H29" s="460"/>
      <c r="I29" s="1178"/>
      <c r="J29" s="384">
        <f>HLOOKUP(D29,InflationTable,2)*$C29</f>
        <v>1797</v>
      </c>
      <c r="K29" s="384">
        <f>J29*$L$6</f>
        <v>2808711</v>
      </c>
      <c r="L29" s="385">
        <f>K29/$G$26</f>
        <v>401244.42857142858</v>
      </c>
      <c r="M29" s="467">
        <f>HLOOKUP($D$27,InflationTable,3)*$C29</f>
        <v>1834.5000000000002</v>
      </c>
      <c r="N29" s="468">
        <f>M29*O$6</f>
        <v>2867323.5000000005</v>
      </c>
      <c r="O29" s="672">
        <f>N29/$G$26</f>
        <v>409617.6428571429</v>
      </c>
      <c r="P29" s="383">
        <f>HLOOKUP($D$27,InflationTable,4)*$C29</f>
        <v>1870.5000000000002</v>
      </c>
      <c r="Q29" s="384">
        <f>P29*$L$6</f>
        <v>2923591.5000000005</v>
      </c>
      <c r="R29" s="385">
        <f>Q29/$G$26</f>
        <v>417655.92857142864</v>
      </c>
      <c r="S29" s="462" t="s">
        <v>12</v>
      </c>
      <c r="T29" s="380" t="s">
        <v>12</v>
      </c>
      <c r="U29" s="509">
        <f>AVERAGE(L29,O29,R29)</f>
        <v>409506</v>
      </c>
    </row>
    <row r="30" spans="1:22" s="1" customFormat="1">
      <c r="A30" s="616"/>
      <c r="B30" s="1215" t="s">
        <v>247</v>
      </c>
      <c r="C30" s="107" t="s">
        <v>60</v>
      </c>
      <c r="D30" s="23" t="s">
        <v>62</v>
      </c>
      <c r="E30" s="1135"/>
      <c r="F30" s="431" t="s">
        <v>54</v>
      </c>
      <c r="G30" s="1179">
        <v>10</v>
      </c>
      <c r="H30" s="1135"/>
      <c r="I30" s="1178"/>
      <c r="J30" s="260" t="s">
        <v>56</v>
      </c>
      <c r="K30" s="261" t="s">
        <v>13</v>
      </c>
      <c r="L30" s="262" t="s">
        <v>68</v>
      </c>
      <c r="M30" s="77" t="s">
        <v>56</v>
      </c>
      <c r="N30" s="24" t="s">
        <v>13</v>
      </c>
      <c r="O30" s="38" t="s">
        <v>68</v>
      </c>
      <c r="P30" s="260" t="s">
        <v>56</v>
      </c>
      <c r="Q30" s="261" t="s">
        <v>13</v>
      </c>
      <c r="R30" s="262" t="s">
        <v>68</v>
      </c>
      <c r="S30" s="123"/>
      <c r="T30" s="466"/>
      <c r="U30" s="1205"/>
    </row>
    <row r="31" spans="1:22" s="1" customFormat="1">
      <c r="A31" s="616"/>
      <c r="B31" s="1214" t="str">
        <f>VLOOKUP($C$2,Monitor_Costs,19,FALSE)</f>
        <v>Shelter (large, temp controlled)</v>
      </c>
      <c r="C31" s="458">
        <f>VLOOKUP($C$2,Monitor_Costs,20,FALSE)</f>
        <v>25500</v>
      </c>
      <c r="D31" s="879">
        <f>VLOOKUP($C$2,Monitor_Costs,21,FALSE)</f>
        <v>2013</v>
      </c>
      <c r="E31" s="459"/>
      <c r="F31" s="93"/>
      <c r="G31" s="460"/>
      <c r="H31" s="460"/>
      <c r="I31" s="466"/>
      <c r="J31" s="384">
        <f>HLOOKUP(D31,InflationTable,2)*$C31</f>
        <v>30549</v>
      </c>
      <c r="K31" s="384">
        <f>J31*L$5</f>
        <v>8217681</v>
      </c>
      <c r="L31" s="385">
        <f>K31/$G$30</f>
        <v>821768.1</v>
      </c>
      <c r="M31" s="467">
        <f>HLOOKUP($D$27,InflationTable,3)*$C31</f>
        <v>31186.500000000004</v>
      </c>
      <c r="N31" s="387">
        <f>M31*O$5</f>
        <v>8389168.5000000019</v>
      </c>
      <c r="O31" s="388">
        <f>N31/$G$30</f>
        <v>838916.85000000021</v>
      </c>
      <c r="P31" s="383">
        <f>HLOOKUP($D$27,InflationTable,4)*$C31</f>
        <v>31798.500000000004</v>
      </c>
      <c r="Q31" s="384">
        <f>P31*R$5</f>
        <v>8553796.5000000019</v>
      </c>
      <c r="R31" s="385">
        <f>Q31/$G$30</f>
        <v>855379.65000000014</v>
      </c>
      <c r="S31" s="462" t="s">
        <v>12</v>
      </c>
      <c r="T31" s="380" t="s">
        <v>12</v>
      </c>
      <c r="U31" s="509">
        <f>AVERAGE(L31,O31,R31)</f>
        <v>838688.20000000019</v>
      </c>
    </row>
    <row r="32" spans="1:22" s="1" customFormat="1">
      <c r="A32" s="616"/>
      <c r="B32" s="1214" t="str">
        <f>VLOOKUP($C$2,Monitor_Costs,22,FALSE)</f>
        <v>Shelter (small, temp controlled)</v>
      </c>
      <c r="C32" s="458">
        <f>VLOOKUP($C$2,Monitor_Costs,23,FALSE)</f>
        <v>13000</v>
      </c>
      <c r="D32" s="879">
        <f>VLOOKUP($C$2,Monitor_Costs,24,FALSE)</f>
        <v>2013</v>
      </c>
      <c r="E32" s="459"/>
      <c r="F32" s="93"/>
      <c r="G32" s="460"/>
      <c r="H32" s="460"/>
      <c r="I32" s="1180"/>
      <c r="J32" s="384">
        <f>HLOOKUP(D32,InflationTable,2)*$C32</f>
        <v>15574</v>
      </c>
      <c r="K32" s="384">
        <f>J32*L$4</f>
        <v>20152756</v>
      </c>
      <c r="L32" s="385">
        <f>K32/$G$30</f>
        <v>2015275.6</v>
      </c>
      <c r="M32" s="467">
        <f>HLOOKUP($D$27,InflationTable,3)*$C32</f>
        <v>15899.000000000002</v>
      </c>
      <c r="N32" s="387">
        <f>M32*O$4</f>
        <v>20573306.000000004</v>
      </c>
      <c r="O32" s="388">
        <f>N32/$G$30</f>
        <v>2057330.6000000003</v>
      </c>
      <c r="P32" s="383">
        <f>HLOOKUP($D$27,InflationTable,4)*$C32</f>
        <v>16211.000000000002</v>
      </c>
      <c r="Q32" s="384">
        <f>P32*R$4</f>
        <v>20977034.000000004</v>
      </c>
      <c r="R32" s="385">
        <f>Q32/$G$30</f>
        <v>2097703.4000000004</v>
      </c>
      <c r="S32" s="462" t="s">
        <v>12</v>
      </c>
      <c r="T32" s="380" t="s">
        <v>12</v>
      </c>
      <c r="U32" s="509">
        <f>AVERAGE(L32,O32,R32)</f>
        <v>2056769.8666666669</v>
      </c>
    </row>
    <row r="33" spans="1:21" s="1" customFormat="1">
      <c r="A33" s="616"/>
      <c r="B33" s="1214" t="str">
        <f>VLOOKUP($C$2,Monitor_Costs,25,FALSE)</f>
        <v>Shelter delivery charges</v>
      </c>
      <c r="C33" s="458">
        <f>VLOOKUP($C$2,Monitor_Costs,26,FALSE)</f>
        <v>500</v>
      </c>
      <c r="D33" s="879">
        <f>VLOOKUP($C$2,Monitor_Costs,27,FALSE)</f>
        <v>2013</v>
      </c>
      <c r="E33" s="459"/>
      <c r="F33" s="93"/>
      <c r="G33" s="460"/>
      <c r="H33" s="460"/>
      <c r="I33" s="461"/>
      <c r="J33" s="384">
        <f>HLOOKUP(D33,InflationTable,2)*$C33</f>
        <v>599</v>
      </c>
      <c r="K33" s="384">
        <f>J33*L$6</f>
        <v>936237</v>
      </c>
      <c r="L33" s="385">
        <f>K33/$G$30</f>
        <v>93623.7</v>
      </c>
      <c r="M33" s="467">
        <f>HLOOKUP($D$27,InflationTable,3)*$C33</f>
        <v>611.5</v>
      </c>
      <c r="N33" s="387">
        <f>M33*O$6</f>
        <v>955774.5</v>
      </c>
      <c r="O33" s="388">
        <f>N33/$G$30</f>
        <v>95577.45</v>
      </c>
      <c r="P33" s="383">
        <f>HLOOKUP($D$27,InflationTable,4)*$C33</f>
        <v>623.5</v>
      </c>
      <c r="Q33" s="384">
        <f>P33*R$6</f>
        <v>974530.5</v>
      </c>
      <c r="R33" s="385">
        <f>Q33/$G$30</f>
        <v>97453.05</v>
      </c>
      <c r="S33" s="462" t="s">
        <v>12</v>
      </c>
      <c r="T33" s="380" t="s">
        <v>12</v>
      </c>
      <c r="U33" s="509">
        <f>AVERAGE(L33,O33,R33)</f>
        <v>95551.400000000009</v>
      </c>
    </row>
    <row r="34" spans="1:21" s="1" customFormat="1">
      <c r="A34" s="616"/>
      <c r="B34" s="1214" t="str">
        <f>VLOOKUP($C$2,Monitor_Costs,28,FALSE)</f>
        <v>Other shelter equipment/accessories</v>
      </c>
      <c r="C34" s="458">
        <f>VLOOKUP($C$2,Monitor_Costs,29,FALSE)</f>
        <v>4000</v>
      </c>
      <c r="D34" s="879">
        <f>VLOOKUP($C$2,Monitor_Costs,30,FALSE)</f>
        <v>2013</v>
      </c>
      <c r="E34" s="459"/>
      <c r="F34" s="93"/>
      <c r="G34" s="460"/>
      <c r="H34" s="460"/>
      <c r="I34" s="466"/>
      <c r="J34" s="384">
        <f>HLOOKUP(D34,InflationTable,2)*$C34</f>
        <v>4792</v>
      </c>
      <c r="K34" s="384">
        <f>J34*L$6</f>
        <v>7489896</v>
      </c>
      <c r="L34" s="385">
        <f>K34/$G$30</f>
        <v>748989.6</v>
      </c>
      <c r="M34" s="467">
        <f>HLOOKUP($D$27,InflationTable,3)*$C34</f>
        <v>4892</v>
      </c>
      <c r="N34" s="387">
        <f>M34*O$6</f>
        <v>7646196</v>
      </c>
      <c r="O34" s="388">
        <f>N34/$G$30</f>
        <v>764619.6</v>
      </c>
      <c r="P34" s="383">
        <f>HLOOKUP($D$27,InflationTable,4)*$C34</f>
        <v>4988</v>
      </c>
      <c r="Q34" s="384">
        <f>P34*R$6</f>
        <v>7796244</v>
      </c>
      <c r="R34" s="385">
        <f>Q34/$G$30</f>
        <v>779624.4</v>
      </c>
      <c r="S34" s="462" t="s">
        <v>12</v>
      </c>
      <c r="T34" s="380" t="s">
        <v>12</v>
      </c>
      <c r="U34" s="509">
        <f>AVERAGE(L34,O34,R34)</f>
        <v>764411.20000000007</v>
      </c>
    </row>
    <row r="35" spans="1:21" s="1" customFormat="1">
      <c r="A35" s="616"/>
      <c r="B35" s="818" t="s">
        <v>152</v>
      </c>
      <c r="C35" s="1132"/>
      <c r="D35" s="1181"/>
      <c r="E35" s="1134"/>
      <c r="F35" s="159"/>
      <c r="G35" s="1135"/>
      <c r="H35" s="1135"/>
      <c r="I35" s="1180"/>
      <c r="J35" s="1139"/>
      <c r="K35" s="750"/>
      <c r="L35" s="751"/>
      <c r="M35" s="1136"/>
      <c r="N35" s="753"/>
      <c r="O35" s="754"/>
      <c r="P35" s="1139"/>
      <c r="Q35" s="750"/>
      <c r="R35" s="751"/>
      <c r="S35" s="1182"/>
      <c r="T35" s="666"/>
      <c r="U35" s="1206"/>
    </row>
    <row r="36" spans="1:21" s="1" customFormat="1">
      <c r="A36" s="616"/>
      <c r="B36" s="1214" t="str">
        <f>VLOOKUP($C$2,Monitor_Costs,31,FALSE)</f>
        <v>Site preparation</v>
      </c>
      <c r="C36" s="458">
        <f>VLOOKUP($C$2,Monitor_Costs,32,FALSE)</f>
        <v>4500</v>
      </c>
      <c r="D36" s="879">
        <f>VLOOKUP($C$2,Monitor_Costs,33,FALSE)</f>
        <v>2013</v>
      </c>
      <c r="E36" s="459"/>
      <c r="F36" s="93"/>
      <c r="G36" s="460"/>
      <c r="H36" s="460"/>
      <c r="I36" s="1180"/>
      <c r="J36" s="384">
        <f>HLOOKUP(D36,InflationTable,2)*$C36</f>
        <v>5391</v>
      </c>
      <c r="K36" s="384">
        <f>J36*L$8</f>
        <v>15660855</v>
      </c>
      <c r="L36" s="385">
        <f>K36/$G$26</f>
        <v>2237265</v>
      </c>
      <c r="M36" s="467">
        <f>HLOOKUP($D$27,InflationTable,3)*$C36</f>
        <v>5503.5</v>
      </c>
      <c r="N36" s="387">
        <f>M36*O$8</f>
        <v>15987667.5</v>
      </c>
      <c r="O36" s="388">
        <f>N36/$G$26</f>
        <v>2283952.5</v>
      </c>
      <c r="P36" s="383">
        <f>HLOOKUP($D$27,InflationTable,4)*$C36</f>
        <v>5611.5000000000009</v>
      </c>
      <c r="Q36" s="384">
        <f>P36*R$8</f>
        <v>16301407.500000002</v>
      </c>
      <c r="R36" s="385">
        <f>Q36/$G$26</f>
        <v>2328772.5000000005</v>
      </c>
      <c r="S36" s="462" t="s">
        <v>12</v>
      </c>
      <c r="T36" s="380" t="s">
        <v>12</v>
      </c>
      <c r="U36" s="509">
        <f>AVERAGE(L36,O36,R36)</f>
        <v>2283330</v>
      </c>
    </row>
    <row r="37" spans="1:21" s="1" customFormat="1">
      <c r="A37" s="616"/>
      <c r="B37" s="1214" t="str">
        <f>VLOOKUP($C$2,Monitor_Costs,34,FALSE)</f>
        <v>Power drop</v>
      </c>
      <c r="C37" s="458">
        <f>VLOOKUP($C$2,Monitor_Costs,35,FALSE)</f>
        <v>700</v>
      </c>
      <c r="D37" s="879">
        <f>VLOOKUP($C$2,Monitor_Costs,36,FALSE)</f>
        <v>2013</v>
      </c>
      <c r="E37" s="459"/>
      <c r="F37" s="93"/>
      <c r="G37" s="460"/>
      <c r="H37" s="460"/>
      <c r="I37" s="1180"/>
      <c r="J37" s="384">
        <f>HLOOKUP(D37,InflationTable,2)*$C37</f>
        <v>838.6</v>
      </c>
      <c r="K37" s="384">
        <f>J37*L$8</f>
        <v>2436133</v>
      </c>
      <c r="L37" s="385">
        <f>K37/$G$26</f>
        <v>348019</v>
      </c>
      <c r="M37" s="467">
        <f>HLOOKUP($D$27,InflationTable,3)*$C37</f>
        <v>856.1</v>
      </c>
      <c r="N37" s="387">
        <f>M37*O$8</f>
        <v>2486970.5</v>
      </c>
      <c r="O37" s="388">
        <f>N37/$G$26</f>
        <v>355281.5</v>
      </c>
      <c r="P37" s="383">
        <f>HLOOKUP($D$27,InflationTable,4)*$C37</f>
        <v>872.90000000000009</v>
      </c>
      <c r="Q37" s="384">
        <f>P37*R$8</f>
        <v>2535774.5000000005</v>
      </c>
      <c r="R37" s="385">
        <f>Q37/$G$26</f>
        <v>362253.50000000006</v>
      </c>
      <c r="S37" s="462" t="s">
        <v>12</v>
      </c>
      <c r="T37" s="380" t="s">
        <v>12</v>
      </c>
      <c r="U37" s="509">
        <f>AVERAGE(L37,O37,R37)</f>
        <v>355184.66666666669</v>
      </c>
    </row>
    <row r="38" spans="1:21" s="1" customFormat="1">
      <c r="A38" s="616"/>
      <c r="B38" s="1214" t="str">
        <f>VLOOKUP($C$2,Monitor_Costs,37,FALSE)</f>
        <v>Land/Lease</v>
      </c>
      <c r="C38" s="458">
        <f>VLOOKUP($C$2,Monitor_Costs,38,FALSE)</f>
        <v>3000</v>
      </c>
      <c r="D38" s="879">
        <f>VLOOKUP($C$2,Monitor_Costs,39,FALSE)</f>
        <v>2013</v>
      </c>
      <c r="E38" s="459"/>
      <c r="F38" s="93"/>
      <c r="G38" s="460"/>
      <c r="H38" s="460"/>
      <c r="I38" s="1180"/>
      <c r="J38" s="384">
        <f>HLOOKUP(D38,InflationTable,2)*$C38</f>
        <v>3594</v>
      </c>
      <c r="K38" s="384">
        <f>J38*L$8</f>
        <v>10440570</v>
      </c>
      <c r="L38" s="385">
        <f>K38</f>
        <v>10440570</v>
      </c>
      <c r="M38" s="467">
        <f>HLOOKUP($D$27,InflationTable,3)*$C38</f>
        <v>3669.0000000000005</v>
      </c>
      <c r="N38" s="387">
        <f>M38*O$8</f>
        <v>10658445.000000002</v>
      </c>
      <c r="O38" s="388">
        <f>N38</f>
        <v>10658445.000000002</v>
      </c>
      <c r="P38" s="383">
        <f>HLOOKUP($D$27,InflationTable,4)*$C38</f>
        <v>3741.0000000000005</v>
      </c>
      <c r="Q38" s="384">
        <f>P38*R$8</f>
        <v>10867605.000000002</v>
      </c>
      <c r="R38" s="385">
        <f>Q38</f>
        <v>10867605.000000002</v>
      </c>
      <c r="S38" s="462" t="s">
        <v>12</v>
      </c>
      <c r="T38" s="380" t="s">
        <v>12</v>
      </c>
      <c r="U38" s="509">
        <f>AVERAGE(L38,O38,R38)</f>
        <v>10655540</v>
      </c>
    </row>
    <row r="39" spans="1:21" s="1" customFormat="1">
      <c r="A39" s="616"/>
      <c r="B39" s="1214" t="str">
        <f>VLOOKUP($C$2,Monitor_Costs,40,FALSE)</f>
        <v>Rent</v>
      </c>
      <c r="C39" s="458">
        <f>VLOOKUP($C$2,Monitor_Costs,41,FALSE)</f>
        <v>283.84991394148022</v>
      </c>
      <c r="D39" s="879">
        <f>VLOOKUP($C$2,Monitor_Costs,42,FALSE)</f>
        <v>2013</v>
      </c>
      <c r="E39" s="459"/>
      <c r="F39" s="93"/>
      <c r="G39" s="460"/>
      <c r="H39" s="460"/>
      <c r="I39" s="461"/>
      <c r="J39" s="384">
        <f>HLOOKUP(D39,InflationTable,2)*$C39</f>
        <v>340.0521969018933</v>
      </c>
      <c r="K39" s="384">
        <f>J39*L$8</f>
        <v>987851.63199999998</v>
      </c>
      <c r="L39" s="385">
        <f>K39</f>
        <v>987851.63199999998</v>
      </c>
      <c r="M39" s="467">
        <f>HLOOKUP($D$27,InflationTable,3)*$C39</f>
        <v>347.14844475043031</v>
      </c>
      <c r="N39" s="387">
        <f>M39*O$8</f>
        <v>1008466.2320000001</v>
      </c>
      <c r="O39" s="388">
        <f>N39</f>
        <v>1008466.2320000001</v>
      </c>
      <c r="P39" s="383">
        <f>HLOOKUP($D$27,InflationTable,4)*$C39</f>
        <v>353.96084268502585</v>
      </c>
      <c r="Q39" s="384">
        <f>P39*R$8</f>
        <v>1028256.2480000001</v>
      </c>
      <c r="R39" s="385">
        <f>Q39</f>
        <v>1028256.2480000001</v>
      </c>
      <c r="S39" s="462" t="s">
        <v>12</v>
      </c>
      <c r="T39" s="380" t="s">
        <v>12</v>
      </c>
      <c r="U39" s="509">
        <f>AVERAGE(L39,O39,R39)</f>
        <v>1008191.3706666668</v>
      </c>
    </row>
    <row r="40" spans="1:21">
      <c r="A40" s="615"/>
      <c r="B40" s="605" t="s">
        <v>66</v>
      </c>
      <c r="C40" s="5"/>
      <c r="D40" s="5"/>
      <c r="E40" s="5"/>
      <c r="F40" s="112"/>
      <c r="G40" s="784"/>
      <c r="H40" s="784"/>
      <c r="I40" s="785"/>
      <c r="J40" s="834">
        <v>0</v>
      </c>
      <c r="K40" s="835">
        <v>0</v>
      </c>
      <c r="L40" s="836">
        <v>0</v>
      </c>
      <c r="M40" s="837">
        <v>0</v>
      </c>
      <c r="N40" s="838">
        <v>0</v>
      </c>
      <c r="O40" s="839">
        <v>0</v>
      </c>
      <c r="P40" s="834">
        <v>0</v>
      </c>
      <c r="Q40" s="835">
        <v>0</v>
      </c>
      <c r="R40" s="836">
        <v>0</v>
      </c>
      <c r="S40" s="131">
        <v>0</v>
      </c>
      <c r="T40" s="37">
        <v>0</v>
      </c>
      <c r="U40" s="1207" t="s">
        <v>12</v>
      </c>
    </row>
    <row r="41" spans="1:21" ht="13.5" thickBot="1">
      <c r="A41" s="615"/>
      <c r="B41" s="606" t="s">
        <v>67</v>
      </c>
      <c r="C41" s="247"/>
      <c r="D41" s="871"/>
      <c r="E41" s="692"/>
      <c r="F41" s="692"/>
      <c r="G41" s="692"/>
      <c r="H41" s="692"/>
      <c r="I41" s="241"/>
      <c r="J41" s="274"/>
      <c r="K41" s="287">
        <f>SUM(K27:K39)</f>
        <v>102835222.632</v>
      </c>
      <c r="L41" s="287">
        <f>SUM(L27:L39)</f>
        <v>22909540.20342857</v>
      </c>
      <c r="M41" s="408"/>
      <c r="N41" s="243">
        <f>SUM(N27:N39)</f>
        <v>104981199.73199999</v>
      </c>
      <c r="O41" s="243">
        <f>SUM(O27:O39)</f>
        <v>23387619.089142859</v>
      </c>
      <c r="P41" s="274"/>
      <c r="Q41" s="287">
        <f>SUM(Q27:Q39)</f>
        <v>107041337.748</v>
      </c>
      <c r="R41" s="287">
        <f>SUM(R27:R39)</f>
        <v>23846574.819428574</v>
      </c>
      <c r="S41" s="820" t="s">
        <v>12</v>
      </c>
      <c r="T41" s="249" t="s">
        <v>12</v>
      </c>
      <c r="U41" s="1208">
        <f>SUM(U27:U39)</f>
        <v>23381244.704000004</v>
      </c>
    </row>
    <row r="42" spans="1:21" ht="14.25" thickTop="1" thickBot="1">
      <c r="A42" s="615"/>
      <c r="B42" s="5"/>
      <c r="C42" s="618"/>
      <c r="D42" s="618"/>
      <c r="E42" s="618"/>
      <c r="F42" s="618"/>
      <c r="G42" s="618"/>
      <c r="H42" s="410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20"/>
    </row>
    <row r="43" spans="1:21" ht="16.5" thickTop="1">
      <c r="A43" s="615"/>
      <c r="B43" s="710" t="s">
        <v>155</v>
      </c>
      <c r="C43" s="5"/>
      <c r="D43" s="5"/>
      <c r="E43" s="5"/>
      <c r="F43" s="112" t="s">
        <v>6</v>
      </c>
      <c r="G43" s="1412"/>
      <c r="H43" s="1413"/>
      <c r="I43" s="1414"/>
      <c r="J43" s="244" t="s">
        <v>22</v>
      </c>
      <c r="K43" s="426"/>
      <c r="L43" s="180"/>
      <c r="M43" s="244" t="s">
        <v>22</v>
      </c>
      <c r="N43" s="426"/>
      <c r="O43" s="67"/>
      <c r="P43" s="244" t="s">
        <v>22</v>
      </c>
      <c r="Q43" s="426"/>
      <c r="R43" s="67"/>
      <c r="S43" s="225"/>
      <c r="T43" s="37"/>
      <c r="U43" s="508"/>
    </row>
    <row r="44" spans="1:21">
      <c r="A44" s="615"/>
      <c r="B44" s="5"/>
      <c r="C44" s="5"/>
      <c r="D44" s="5"/>
      <c r="E44" s="5"/>
      <c r="F44" s="112"/>
      <c r="G44" s="1415"/>
      <c r="H44" s="1415"/>
      <c r="I44" s="1416"/>
      <c r="J44" s="277" t="s">
        <v>61</v>
      </c>
      <c r="K44" s="1434" t="s">
        <v>57</v>
      </c>
      <c r="L44" s="1435"/>
      <c r="M44" s="57" t="s">
        <v>61</v>
      </c>
      <c r="N44" s="1429" t="s">
        <v>57</v>
      </c>
      <c r="O44" s="1430"/>
      <c r="P44" s="277" t="s">
        <v>61</v>
      </c>
      <c r="Q44" s="1419" t="s">
        <v>57</v>
      </c>
      <c r="R44" s="1420"/>
      <c r="S44" s="131"/>
      <c r="T44" s="37"/>
      <c r="U44" s="227"/>
    </row>
    <row r="45" spans="1:21">
      <c r="A45" s="615"/>
      <c r="B45" s="611" t="s">
        <v>18</v>
      </c>
      <c r="C45" s="23" t="s">
        <v>60</v>
      </c>
      <c r="D45" s="23" t="s">
        <v>62</v>
      </c>
      <c r="E45" s="9"/>
      <c r="F45" s="72"/>
      <c r="G45" s="72"/>
      <c r="H45" s="72"/>
      <c r="I45" s="37"/>
      <c r="J45" s="261" t="s">
        <v>56</v>
      </c>
      <c r="K45" s="261" t="s">
        <v>13</v>
      </c>
      <c r="L45" s="262" t="s">
        <v>68</v>
      </c>
      <c r="M45" s="77" t="s">
        <v>56</v>
      </c>
      <c r="N45" s="24" t="s">
        <v>13</v>
      </c>
      <c r="O45" s="38" t="s">
        <v>68</v>
      </c>
      <c r="P45" s="260" t="s">
        <v>56</v>
      </c>
      <c r="Q45" s="261" t="s">
        <v>13</v>
      </c>
      <c r="R45" s="262" t="s">
        <v>68</v>
      </c>
      <c r="S45" s="123"/>
      <c r="T45" s="37"/>
      <c r="U45" s="227"/>
    </row>
    <row r="46" spans="1:21" s="1" customFormat="1">
      <c r="A46" s="616"/>
      <c r="B46" s="877" t="str">
        <f>VLOOKUP($C$2,Monitor_Costs,46,FALSE)</f>
        <v>Utilities</v>
      </c>
      <c r="C46" s="878">
        <f>VLOOKUP($C$2,Monitor_Costs,47,FALSE)</f>
        <v>1000</v>
      </c>
      <c r="D46" s="879">
        <f>VLOOKUP($C$2,Monitor_Costs,48,FALSE)</f>
        <v>2013</v>
      </c>
      <c r="E46" s="460"/>
      <c r="F46" s="93"/>
      <c r="G46" s="460"/>
      <c r="H46" s="460"/>
      <c r="I46" s="461"/>
      <c r="J46" s="383">
        <f>HLOOKUP(D46,InflationTable,2)*$C46</f>
        <v>1198</v>
      </c>
      <c r="K46" s="384">
        <f>$J46*L8</f>
        <v>3480190</v>
      </c>
      <c r="L46" s="385">
        <f>K46</f>
        <v>3480190</v>
      </c>
      <c r="M46" s="467">
        <f>HLOOKUP($D$27,InflationTable,3)*$C46</f>
        <v>1223</v>
      </c>
      <c r="N46" s="387">
        <f>M46*O8</f>
        <v>3552815</v>
      </c>
      <c r="O46" s="388">
        <f>N46</f>
        <v>3552815</v>
      </c>
      <c r="P46" s="383">
        <f>HLOOKUP($D$27,InflationTable,4)*$C46</f>
        <v>1247</v>
      </c>
      <c r="Q46" s="384">
        <f>P46*R8</f>
        <v>3622535</v>
      </c>
      <c r="R46" s="385">
        <f>Q46</f>
        <v>3622535</v>
      </c>
      <c r="S46" s="462" t="s">
        <v>12</v>
      </c>
      <c r="T46" s="382">
        <f>AVERAGE(L46,O46,R46)</f>
        <v>3551846.6666666665</v>
      </c>
      <c r="U46" s="538" t="s">
        <v>12</v>
      </c>
    </row>
    <row r="47" spans="1:21" s="1" customFormat="1" ht="13.5" thickBot="1">
      <c r="A47" s="616"/>
      <c r="B47" s="880" t="str">
        <f>VLOOKUP($C$2,Monitor_Costs,49,FALSE)</f>
        <v>Vehicle</v>
      </c>
      <c r="C47" s="881">
        <f>VLOOKUP($C$2,Monitor_Costs,50,FALSE)</f>
        <v>65362</v>
      </c>
      <c r="D47" s="882">
        <f>VLOOKUP($C$2,Monitor_Costs,51,FALSE)</f>
        <v>2013</v>
      </c>
      <c r="E47" s="469"/>
      <c r="F47" s="470"/>
      <c r="G47" s="469"/>
      <c r="H47" s="469"/>
      <c r="I47" s="461"/>
      <c r="J47" s="383">
        <f>HLOOKUP(D47,InflationTable,2)*$C47</f>
        <v>78303.675999999992</v>
      </c>
      <c r="K47" s="384">
        <f>J47</f>
        <v>78303.675999999992</v>
      </c>
      <c r="L47" s="385">
        <f>K47</f>
        <v>78303.675999999992</v>
      </c>
      <c r="M47" s="467">
        <f>HLOOKUP($D$27,InflationTable,3)*$C47</f>
        <v>79937.72600000001</v>
      </c>
      <c r="N47" s="387">
        <f>M47</f>
        <v>79937.72600000001</v>
      </c>
      <c r="O47" s="388">
        <f>N47</f>
        <v>79937.72600000001</v>
      </c>
      <c r="P47" s="749">
        <f>HLOOKUP($D$27,InflationTable,4)*$C$47</f>
        <v>81506.414000000004</v>
      </c>
      <c r="Q47" s="384">
        <f>P47</f>
        <v>81506.414000000004</v>
      </c>
      <c r="R47" s="385">
        <f>Q47</f>
        <v>81506.414000000004</v>
      </c>
      <c r="S47" s="462" t="s">
        <v>12</v>
      </c>
      <c r="T47" s="382">
        <f>AVERAGE(L47,O47,R47)</f>
        <v>79915.938666666669</v>
      </c>
      <c r="U47" s="538" t="s">
        <v>12</v>
      </c>
    </row>
    <row r="48" spans="1:21" s="1" customFormat="1" ht="13.5" thickBot="1">
      <c r="A48" s="616"/>
      <c r="B48" s="874" t="s">
        <v>276</v>
      </c>
      <c r="C48" s="883">
        <f>SUM(C46:C47)</f>
        <v>66362</v>
      </c>
      <c r="D48" s="884"/>
      <c r="E48" s="885"/>
      <c r="F48" s="886"/>
      <c r="G48" s="885"/>
      <c r="H48" s="885"/>
      <c r="I48" s="1185"/>
      <c r="J48" s="1186">
        <f t="shared" ref="J48:R48" si="1">SUM(J46:J47)</f>
        <v>79501.675999999992</v>
      </c>
      <c r="K48" s="1186">
        <f t="shared" si="1"/>
        <v>3558493.676</v>
      </c>
      <c r="L48" s="1187">
        <f t="shared" si="1"/>
        <v>3558493.676</v>
      </c>
      <c r="M48" s="1188">
        <f t="shared" si="1"/>
        <v>81160.72600000001</v>
      </c>
      <c r="N48" s="1188">
        <f t="shared" si="1"/>
        <v>3632752.7259999998</v>
      </c>
      <c r="O48" s="1189">
        <f t="shared" si="1"/>
        <v>3632752.7259999998</v>
      </c>
      <c r="P48" s="1186">
        <f t="shared" si="1"/>
        <v>82753.414000000004</v>
      </c>
      <c r="Q48" s="1186">
        <f t="shared" si="1"/>
        <v>3704041.4139999999</v>
      </c>
      <c r="R48" s="1186">
        <f t="shared" si="1"/>
        <v>3704041.4139999999</v>
      </c>
      <c r="S48" s="755" t="s">
        <v>12</v>
      </c>
      <c r="T48" s="756">
        <f>SUM(T46:T47)</f>
        <v>3631762.6053333334</v>
      </c>
      <c r="U48" s="229">
        <f>SUM(U46:U47)</f>
        <v>0</v>
      </c>
    </row>
    <row r="49" spans="1:22">
      <c r="A49" s="615"/>
      <c r="B49" s="789" t="s">
        <v>273</v>
      </c>
      <c r="C49" s="5"/>
      <c r="D49" s="5"/>
      <c r="E49" s="5"/>
      <c r="F49" s="5"/>
      <c r="G49" s="5"/>
      <c r="H49" s="614" t="s">
        <v>239</v>
      </c>
      <c r="I49" s="872">
        <v>2610</v>
      </c>
      <c r="J49" s="1195"/>
      <c r="K49" s="875">
        <f>I49</f>
        <v>2610</v>
      </c>
      <c r="L49" s="873">
        <f>K49</f>
        <v>2610</v>
      </c>
      <c r="M49" s="1193"/>
      <c r="N49" s="1192">
        <f>L49</f>
        <v>2610</v>
      </c>
      <c r="O49" s="1191">
        <f>N49</f>
        <v>2610</v>
      </c>
      <c r="P49" s="1195"/>
      <c r="Q49" s="875">
        <f>O49</f>
        <v>2610</v>
      </c>
      <c r="R49" s="873">
        <f>Q49</f>
        <v>2610</v>
      </c>
      <c r="S49" s="129">
        <f>AVERAGE(L49,O49,R49)</f>
        <v>2610</v>
      </c>
      <c r="T49" s="136" t="s">
        <v>12</v>
      </c>
      <c r="U49" s="230" t="s">
        <v>12</v>
      </c>
    </row>
    <row r="50" spans="1:22" s="1" customFormat="1" ht="13.5" thickBot="1">
      <c r="A50" s="616"/>
      <c r="B50" s="788"/>
      <c r="C50" s="72"/>
      <c r="D50" s="72"/>
      <c r="E50" s="72"/>
      <c r="F50" s="72"/>
      <c r="G50" s="72"/>
      <c r="H50" s="603" t="s">
        <v>240</v>
      </c>
      <c r="I50" s="813">
        <v>108460</v>
      </c>
      <c r="J50" s="1196"/>
      <c r="K50" s="1201">
        <f>HLOOKUP($I$15,InflationTable,2)*$I50</f>
        <v>125596.68</v>
      </c>
      <c r="L50" s="297">
        <f>K50</f>
        <v>125596.68</v>
      </c>
      <c r="M50" s="1183"/>
      <c r="N50" s="377">
        <f>HLOOKUP($I$15,InflationTable,3)*$I50</f>
        <v>128015.33799999999</v>
      </c>
      <c r="O50" s="1184">
        <f>N50</f>
        <v>128015.33799999999</v>
      </c>
      <c r="P50" s="1197"/>
      <c r="Q50" s="1194">
        <f>HLOOKUP($I$15,InflationTable,4)*$I50</f>
        <v>130607.53199999999</v>
      </c>
      <c r="R50" s="1198">
        <f>Q50</f>
        <v>130607.53199999999</v>
      </c>
      <c r="S50" s="211">
        <f>AVERAGE(K50,O50,R50)</f>
        <v>128073.18333333333</v>
      </c>
      <c r="T50" s="218" t="s">
        <v>12</v>
      </c>
      <c r="U50" s="228" t="s">
        <v>12</v>
      </c>
    </row>
    <row r="51" spans="1:22">
      <c r="A51" s="615"/>
      <c r="B51" s="465" t="s">
        <v>23</v>
      </c>
      <c r="C51" s="107" t="s">
        <v>45</v>
      </c>
      <c r="D51" s="108" t="s">
        <v>46</v>
      </c>
      <c r="E51" s="107" t="s">
        <v>47</v>
      </c>
      <c r="F51" s="107" t="s">
        <v>48</v>
      </c>
      <c r="G51" s="107" t="s">
        <v>49</v>
      </c>
      <c r="H51" s="107" t="s">
        <v>50</v>
      </c>
      <c r="I51" s="350" t="s">
        <v>74</v>
      </c>
      <c r="J51" s="352"/>
      <c r="K51" s="352"/>
      <c r="L51" s="356"/>
      <c r="M51" s="110"/>
      <c r="N51" s="108"/>
      <c r="O51" s="111"/>
      <c r="P51" s="351"/>
      <c r="Q51" s="352"/>
      <c r="R51" s="356"/>
      <c r="S51" s="123"/>
      <c r="T51" s="37"/>
      <c r="U51" s="227"/>
    </row>
    <row r="52" spans="1:22">
      <c r="A52" s="615"/>
      <c r="B52" s="614" t="s">
        <v>4</v>
      </c>
      <c r="C52" s="21">
        <v>0</v>
      </c>
      <c r="D52" s="21">
        <v>0</v>
      </c>
      <c r="E52" s="21">
        <v>0</v>
      </c>
      <c r="F52" s="21">
        <v>0</v>
      </c>
      <c r="G52" s="21">
        <v>1.6</v>
      </c>
      <c r="H52" s="21">
        <v>1.6</v>
      </c>
      <c r="I52" s="48">
        <f>SUM(C52:H52)</f>
        <v>3.2</v>
      </c>
      <c r="J52" s="299">
        <f>I52</f>
        <v>3.2</v>
      </c>
      <c r="K52" s="281">
        <f>$I52*L$8</f>
        <v>9296</v>
      </c>
      <c r="L52" s="289">
        <f>K52</f>
        <v>9296</v>
      </c>
      <c r="M52" s="58">
        <f>I52</f>
        <v>3.2</v>
      </c>
      <c r="N52" s="69">
        <f>$I52*O$8</f>
        <v>9296</v>
      </c>
      <c r="O52" s="68">
        <f>N52</f>
        <v>9296</v>
      </c>
      <c r="P52" s="263">
        <f>I52</f>
        <v>3.2</v>
      </c>
      <c r="Q52" s="281">
        <f>$I52*R$8</f>
        <v>9296</v>
      </c>
      <c r="R52" s="289">
        <f>Q52</f>
        <v>9296</v>
      </c>
      <c r="S52" s="121">
        <f>AVERAGE(L52,O52,R52)</f>
        <v>9296</v>
      </c>
      <c r="T52" s="119" t="s">
        <v>12</v>
      </c>
      <c r="U52" s="232" t="s">
        <v>12</v>
      </c>
    </row>
    <row r="53" spans="1:22" s="1" customFormat="1" ht="13.5" thickBot="1">
      <c r="A53" s="616"/>
      <c r="B53" s="604" t="s">
        <v>8</v>
      </c>
      <c r="C53" s="373">
        <f>ROUND(C52*Labor!$D$3,0)</f>
        <v>0</v>
      </c>
      <c r="D53" s="374">
        <f>ROUND(D52*Labor!$D$4,0)</f>
        <v>0</v>
      </c>
      <c r="E53" s="374">
        <f>ROUND(E52*Labor!$D$5,0)</f>
        <v>0</v>
      </c>
      <c r="F53" s="374">
        <f>ROUND(F52*Labor!$D$6,0)</f>
        <v>0</v>
      </c>
      <c r="G53" s="374">
        <f>ROUND(G52*Labor!$D$7,0)</f>
        <v>89</v>
      </c>
      <c r="H53" s="374">
        <f>ROUND(H52*Labor!$D$8,0)</f>
        <v>94</v>
      </c>
      <c r="I53" s="375">
        <f>SUM(C53:H53)</f>
        <v>183</v>
      </c>
      <c r="J53" s="296">
        <f>HLOOKUP(Labor!$B$11,InflationTable,2)*I53</f>
        <v>219.23399999999998</v>
      </c>
      <c r="K53" s="296">
        <f>J53*L$8</f>
        <v>636874.7699999999</v>
      </c>
      <c r="L53" s="390">
        <f>K53</f>
        <v>636874.7699999999</v>
      </c>
      <c r="M53" s="376">
        <f>HLOOKUP(Labor!$B$11,InflationTable,3)*I53</f>
        <v>223.80900000000003</v>
      </c>
      <c r="N53" s="377">
        <f>M53*O$8</f>
        <v>650165.14500000002</v>
      </c>
      <c r="O53" s="378">
        <f>N53</f>
        <v>650165.14500000002</v>
      </c>
      <c r="P53" s="332">
        <f>HLOOKUP(Labor!$B$11,InflationTable,4)*$I$53</f>
        <v>228.20100000000002</v>
      </c>
      <c r="Q53" s="296">
        <f>P53*R$8</f>
        <v>662923.90500000003</v>
      </c>
      <c r="R53" s="297">
        <f>Q53</f>
        <v>662923.90500000003</v>
      </c>
      <c r="S53" s="211">
        <f>AVERAGE(L53,O53,R53)</f>
        <v>649987.94000000006</v>
      </c>
      <c r="T53" s="218" t="s">
        <v>12</v>
      </c>
      <c r="U53" s="228" t="s">
        <v>12</v>
      </c>
    </row>
    <row r="54" spans="1:22">
      <c r="A54" s="615"/>
      <c r="B54" s="605" t="s">
        <v>66</v>
      </c>
      <c r="C54" s="36">
        <f t="shared" ref="C54:J54" si="2">C52</f>
        <v>0</v>
      </c>
      <c r="D54" s="36">
        <f t="shared" si="2"/>
        <v>0</v>
      </c>
      <c r="E54" s="36">
        <f t="shared" si="2"/>
        <v>0</v>
      </c>
      <c r="F54" s="36">
        <f t="shared" si="2"/>
        <v>0</v>
      </c>
      <c r="G54" s="36">
        <f t="shared" si="2"/>
        <v>1.6</v>
      </c>
      <c r="H54" s="36">
        <f t="shared" si="2"/>
        <v>1.6</v>
      </c>
      <c r="I54" s="51">
        <f t="shared" si="2"/>
        <v>3.2</v>
      </c>
      <c r="J54" s="1200">
        <f t="shared" si="2"/>
        <v>3.2</v>
      </c>
      <c r="K54" s="1199">
        <f>K52+K49</f>
        <v>11906</v>
      </c>
      <c r="L54" s="303">
        <f>L52+L49</f>
        <v>11906</v>
      </c>
      <c r="M54" s="1203">
        <f>M52</f>
        <v>3.2</v>
      </c>
      <c r="N54" s="1202">
        <f>N52+N49</f>
        <v>11906</v>
      </c>
      <c r="O54" s="90">
        <f>O52+O49</f>
        <v>11906</v>
      </c>
      <c r="P54" s="854">
        <f>P52</f>
        <v>3.2</v>
      </c>
      <c r="Q54" s="1199">
        <f>Q52+Q49</f>
        <v>11906</v>
      </c>
      <c r="R54" s="302">
        <f>R52+R49</f>
        <v>11906</v>
      </c>
      <c r="S54" s="1190">
        <f>AVERAGE(L54,O54,R54)</f>
        <v>11906</v>
      </c>
      <c r="T54" s="136" t="s">
        <v>12</v>
      </c>
      <c r="U54" s="230" t="s">
        <v>12</v>
      </c>
    </row>
    <row r="55" spans="1:22" ht="13.5" thickBot="1">
      <c r="A55" s="615"/>
      <c r="B55" s="606" t="s">
        <v>67</v>
      </c>
      <c r="C55" s="240">
        <f t="shared" ref="C55:H55" si="3">C54</f>
        <v>0</v>
      </c>
      <c r="D55" s="240">
        <f t="shared" si="3"/>
        <v>0</v>
      </c>
      <c r="E55" s="240">
        <f t="shared" si="3"/>
        <v>0</v>
      </c>
      <c r="F55" s="240">
        <f t="shared" si="3"/>
        <v>0</v>
      </c>
      <c r="G55" s="240">
        <f t="shared" si="3"/>
        <v>1.6</v>
      </c>
      <c r="H55" s="240">
        <f t="shared" si="3"/>
        <v>1.6</v>
      </c>
      <c r="I55" s="251">
        <f>I53</f>
        <v>183</v>
      </c>
      <c r="J55" s="305">
        <f>J53</f>
        <v>219.23399999999998</v>
      </c>
      <c r="K55" s="305">
        <f>K53+K50</f>
        <v>762471.45</v>
      </c>
      <c r="L55" s="306">
        <f>L53+L50</f>
        <v>762471.45</v>
      </c>
      <c r="M55" s="252">
        <f>M53</f>
        <v>223.80900000000003</v>
      </c>
      <c r="N55" s="253">
        <f>N53+N50</f>
        <v>778180.48300000001</v>
      </c>
      <c r="O55" s="254">
        <f>O53+O50</f>
        <v>778180.48300000001</v>
      </c>
      <c r="P55" s="311">
        <f>P53</f>
        <v>228.20100000000002</v>
      </c>
      <c r="Q55" s="305">
        <f>Q53+Q50</f>
        <v>793531.43700000003</v>
      </c>
      <c r="R55" s="305">
        <f>R53+R50</f>
        <v>793531.43700000003</v>
      </c>
      <c r="S55" s="255">
        <f>AVERAGE(L55,O55,R55)</f>
        <v>778061.12333333341</v>
      </c>
      <c r="T55" s="876" t="s">
        <v>12</v>
      </c>
      <c r="U55" s="1204" t="s">
        <v>12</v>
      </c>
    </row>
    <row r="56" spans="1:22" ht="14.25" thickTop="1" thickBot="1">
      <c r="A56" s="5"/>
      <c r="B56" s="618"/>
      <c r="C56" s="618"/>
      <c r="D56" s="618"/>
      <c r="E56" s="618"/>
      <c r="F56" s="618"/>
      <c r="G56" s="618"/>
      <c r="H56" s="618"/>
      <c r="I56" s="618"/>
      <c r="J56" s="618"/>
      <c r="K56" s="618"/>
      <c r="L56" s="618"/>
      <c r="M56" s="618"/>
      <c r="N56" s="618"/>
      <c r="O56" s="618"/>
      <c r="P56" s="618"/>
      <c r="Q56" s="618"/>
      <c r="R56" s="618"/>
      <c r="S56" s="618"/>
      <c r="T56" s="618"/>
      <c r="U56" s="618"/>
      <c r="V56" s="5"/>
    </row>
    <row r="57" spans="1:22" ht="16.5" thickTop="1">
      <c r="A57" s="833"/>
      <c r="B57" s="181" t="s">
        <v>266</v>
      </c>
      <c r="C57" s="5"/>
      <c r="D57" s="5"/>
      <c r="E57" s="5"/>
      <c r="F57" s="112" t="s">
        <v>6</v>
      </c>
      <c r="G57" s="1412"/>
      <c r="H57" s="1413"/>
      <c r="I57" s="1414"/>
      <c r="J57" s="181" t="s">
        <v>24</v>
      </c>
      <c r="K57" s="426"/>
      <c r="L57" s="180"/>
      <c r="M57" s="181" t="s">
        <v>24</v>
      </c>
      <c r="N57" s="319"/>
      <c r="O57" s="67"/>
      <c r="P57" s="181" t="s">
        <v>24</v>
      </c>
      <c r="Q57" s="426"/>
      <c r="R57" s="67"/>
      <c r="S57" s="225"/>
      <c r="T57" s="37"/>
      <c r="U57" s="138"/>
    </row>
    <row r="58" spans="1:22">
      <c r="A58" s="615"/>
      <c r="B58" s="5"/>
      <c r="C58" s="5"/>
      <c r="D58" s="5"/>
      <c r="E58" s="5"/>
      <c r="F58" s="112"/>
      <c r="G58" s="1415"/>
      <c r="H58" s="1415"/>
      <c r="I58" s="1416"/>
      <c r="J58" s="277" t="s">
        <v>61</v>
      </c>
      <c r="K58" s="1419" t="s">
        <v>57</v>
      </c>
      <c r="L58" s="1420"/>
      <c r="M58" s="57" t="s">
        <v>61</v>
      </c>
      <c r="N58" s="1429" t="s">
        <v>57</v>
      </c>
      <c r="O58" s="1430"/>
      <c r="P58" s="277" t="s">
        <v>61</v>
      </c>
      <c r="Q58" s="1419" t="s">
        <v>57</v>
      </c>
      <c r="R58" s="1420"/>
      <c r="S58" s="131"/>
      <c r="T58" s="37"/>
      <c r="U58" s="138"/>
    </row>
    <row r="59" spans="1:22">
      <c r="A59" s="615"/>
      <c r="B59" s="1217" t="s">
        <v>66</v>
      </c>
      <c r="C59" s="76"/>
      <c r="D59" s="76"/>
      <c r="E59" s="76"/>
      <c r="F59" s="460"/>
      <c r="G59" s="1216"/>
      <c r="H59" s="1216"/>
      <c r="I59" s="785"/>
      <c r="J59" s="834">
        <v>0</v>
      </c>
      <c r="K59" s="835">
        <v>0</v>
      </c>
      <c r="L59" s="836">
        <v>0</v>
      </c>
      <c r="M59" s="837">
        <v>0</v>
      </c>
      <c r="N59" s="838">
        <v>0</v>
      </c>
      <c r="O59" s="839">
        <v>0</v>
      </c>
      <c r="P59" s="834">
        <v>0</v>
      </c>
      <c r="Q59" s="835">
        <v>0</v>
      </c>
      <c r="R59" s="836">
        <v>0</v>
      </c>
      <c r="S59" s="131">
        <v>0</v>
      </c>
      <c r="T59" s="37">
        <v>0</v>
      </c>
      <c r="U59" s="840" t="s">
        <v>12</v>
      </c>
    </row>
    <row r="60" spans="1:22" ht="13.5" thickBot="1">
      <c r="A60" s="615"/>
      <c r="B60" s="795" t="s">
        <v>67</v>
      </c>
      <c r="C60" s="692"/>
      <c r="D60" s="692"/>
      <c r="E60" s="871"/>
      <c r="F60" s="692"/>
      <c r="G60" s="692"/>
      <c r="H60" s="692"/>
      <c r="I60" s="251"/>
      <c r="J60" s="311">
        <v>0</v>
      </c>
      <c r="K60" s="305">
        <v>0</v>
      </c>
      <c r="L60" s="306">
        <v>0</v>
      </c>
      <c r="M60" s="252">
        <v>0</v>
      </c>
      <c r="N60" s="253">
        <v>0</v>
      </c>
      <c r="O60" s="254">
        <v>0</v>
      </c>
      <c r="P60" s="311">
        <v>0</v>
      </c>
      <c r="Q60" s="305">
        <v>0</v>
      </c>
      <c r="R60" s="306">
        <v>0</v>
      </c>
      <c r="S60" s="257">
        <v>0</v>
      </c>
      <c r="T60" s="251">
        <v>0</v>
      </c>
      <c r="U60" s="224" t="s">
        <v>12</v>
      </c>
    </row>
    <row r="61" spans="1:22" ht="14.25" thickTop="1" thickBot="1">
      <c r="B61" s="555"/>
      <c r="C61" s="618"/>
      <c r="D61" s="618"/>
      <c r="E61" s="618"/>
      <c r="F61" s="618"/>
      <c r="G61" s="618"/>
      <c r="H61" s="618"/>
      <c r="I61" s="618"/>
      <c r="J61" s="618"/>
      <c r="K61" s="618"/>
      <c r="L61" s="618"/>
      <c r="M61" s="618"/>
      <c r="N61" s="618"/>
      <c r="O61" s="618"/>
      <c r="P61" s="618"/>
      <c r="Q61" s="618"/>
      <c r="R61" s="618"/>
      <c r="S61" s="618"/>
      <c r="T61" s="618"/>
      <c r="U61" s="618"/>
      <c r="V61" s="5"/>
    </row>
    <row r="62" spans="1:22" ht="16.5" thickTop="1">
      <c r="B62" s="653" t="s">
        <v>26</v>
      </c>
      <c r="C62" s="5"/>
      <c r="D62" s="5"/>
      <c r="E62" s="5"/>
      <c r="F62" s="112" t="s">
        <v>6</v>
      </c>
      <c r="G62" s="1412"/>
      <c r="H62" s="1413"/>
      <c r="I62" s="1414"/>
      <c r="J62" s="181" t="s">
        <v>26</v>
      </c>
      <c r="K62" s="426"/>
      <c r="L62" s="67"/>
      <c r="M62" s="245" t="s">
        <v>26</v>
      </c>
      <c r="N62" s="426"/>
      <c r="O62" s="426"/>
      <c r="P62" s="245" t="s">
        <v>26</v>
      </c>
      <c r="Q62" s="426"/>
      <c r="R62" s="67"/>
      <c r="S62" s="225"/>
      <c r="T62" s="37"/>
      <c r="U62" s="138"/>
    </row>
    <row r="63" spans="1:22">
      <c r="B63" s="555"/>
      <c r="C63" s="5"/>
      <c r="D63" s="5"/>
      <c r="E63" s="5"/>
      <c r="F63" s="7"/>
      <c r="G63" s="5"/>
      <c r="H63" s="5"/>
      <c r="I63" s="45" t="s">
        <v>61</v>
      </c>
      <c r="J63" s="277" t="s">
        <v>61</v>
      </c>
      <c r="K63" s="1419" t="s">
        <v>57</v>
      </c>
      <c r="L63" s="1420"/>
      <c r="M63" s="57" t="s">
        <v>61</v>
      </c>
      <c r="N63" s="1429" t="s">
        <v>57</v>
      </c>
      <c r="O63" s="1430"/>
      <c r="P63" s="277" t="s">
        <v>61</v>
      </c>
      <c r="Q63" s="1419" t="s">
        <v>57</v>
      </c>
      <c r="R63" s="1420"/>
      <c r="S63" s="131"/>
      <c r="T63" s="37"/>
      <c r="U63" s="138"/>
    </row>
    <row r="64" spans="1:22">
      <c r="B64" s="563" t="s">
        <v>265</v>
      </c>
      <c r="C64" s="23" t="s">
        <v>45</v>
      </c>
      <c r="D64" s="24" t="s">
        <v>46</v>
      </c>
      <c r="E64" s="23" t="s">
        <v>47</v>
      </c>
      <c r="F64" s="23" t="s">
        <v>48</v>
      </c>
      <c r="G64" s="23" t="s">
        <v>49</v>
      </c>
      <c r="H64" s="23" t="s">
        <v>50</v>
      </c>
      <c r="I64" s="45" t="s">
        <v>13</v>
      </c>
      <c r="J64" s="260" t="s">
        <v>56</v>
      </c>
      <c r="K64" s="261" t="s">
        <v>13</v>
      </c>
      <c r="L64" s="262" t="s">
        <v>68</v>
      </c>
      <c r="M64" s="77" t="s">
        <v>56</v>
      </c>
      <c r="N64" s="24" t="s">
        <v>13</v>
      </c>
      <c r="O64" s="38" t="s">
        <v>68</v>
      </c>
      <c r="P64" s="260" t="s">
        <v>56</v>
      </c>
      <c r="Q64" s="261" t="s">
        <v>13</v>
      </c>
      <c r="R64" s="262" t="s">
        <v>68</v>
      </c>
      <c r="S64" s="123"/>
      <c r="T64" s="37"/>
      <c r="U64" s="138"/>
    </row>
    <row r="65" spans="1:22">
      <c r="B65" s="566" t="s">
        <v>4</v>
      </c>
      <c r="C65" s="21">
        <v>0</v>
      </c>
      <c r="D65" s="21">
        <v>0</v>
      </c>
      <c r="E65" s="21">
        <v>1040</v>
      </c>
      <c r="F65" s="21">
        <v>0</v>
      </c>
      <c r="G65" s="21">
        <v>0</v>
      </c>
      <c r="H65" s="21">
        <v>0</v>
      </c>
      <c r="I65" s="52">
        <f>SUM(C65:H65)</f>
        <v>1040</v>
      </c>
      <c r="J65" s="263">
        <f>I65</f>
        <v>1040</v>
      </c>
      <c r="K65" s="281">
        <f>$I65*J$11</f>
        <v>174720</v>
      </c>
      <c r="L65" s="289">
        <f>K65</f>
        <v>174720</v>
      </c>
      <c r="M65" s="828">
        <f>I65</f>
        <v>1040</v>
      </c>
      <c r="N65" s="89">
        <f>$I65*M$11</f>
        <v>174720</v>
      </c>
      <c r="O65" s="829">
        <f>N65</f>
        <v>174720</v>
      </c>
      <c r="P65" s="263">
        <f>I65</f>
        <v>1040</v>
      </c>
      <c r="Q65" s="281">
        <f>$I65*P$11</f>
        <v>174720</v>
      </c>
      <c r="R65" s="289">
        <f>Q65</f>
        <v>174720</v>
      </c>
      <c r="S65" s="121">
        <f>AVERAGE(L65,O65,R65)</f>
        <v>174720</v>
      </c>
      <c r="T65" s="119" t="s">
        <v>12</v>
      </c>
      <c r="U65" s="140" t="s">
        <v>12</v>
      </c>
    </row>
    <row r="66" spans="1:22" ht="13.5" thickBot="1">
      <c r="B66" s="567" t="s">
        <v>8</v>
      </c>
      <c r="C66" s="34">
        <f>ROUND(C65*Labor!$D$3,0)</f>
        <v>0</v>
      </c>
      <c r="D66" s="35">
        <f>ROUND(D65*Labor!$D$4,0)</f>
        <v>0</v>
      </c>
      <c r="E66" s="35">
        <f>ROUND(E65*Labor!$D$5,0)</f>
        <v>45885</v>
      </c>
      <c r="F66" s="35">
        <f>ROUND(F65*Labor!$D$6,0)</f>
        <v>0</v>
      </c>
      <c r="G66" s="35">
        <f>ROUND(G65*Labor!$D$7,0)</f>
        <v>0</v>
      </c>
      <c r="H66" s="35">
        <f>ROUND(H65*Labor!$D$8,0)</f>
        <v>0</v>
      </c>
      <c r="I66" s="39">
        <f>SUM(C66:H66)</f>
        <v>45885</v>
      </c>
      <c r="J66" s="268">
        <f>HLOOKUP(Labor!$B$11,InflationTable,2)*I66</f>
        <v>54970.229999999996</v>
      </c>
      <c r="K66" s="832">
        <f>J66*J$11</f>
        <v>9234998.6399999987</v>
      </c>
      <c r="L66" s="308">
        <f>K66</f>
        <v>9234998.6399999987</v>
      </c>
      <c r="M66" s="827">
        <f>HLOOKUP(Labor!$B$11,InflationTable,3)*$I$66</f>
        <v>56117.355000000003</v>
      </c>
      <c r="N66" s="831">
        <f>M66*M$11</f>
        <v>9427715.6400000006</v>
      </c>
      <c r="O66" s="830">
        <f>N66</f>
        <v>9427715.6400000006</v>
      </c>
      <c r="P66" s="268">
        <f>HLOOKUP(Labor!$B$11,InflationTable,4)*$I$66</f>
        <v>57218.595000000008</v>
      </c>
      <c r="Q66" s="281">
        <f>P66*P$11</f>
        <v>9612723.9600000009</v>
      </c>
      <c r="R66" s="308">
        <f>Q66</f>
        <v>9612723.9600000009</v>
      </c>
      <c r="S66" s="128">
        <f>AVERAGE(L66,O66,R66)</f>
        <v>9425146.0800000001</v>
      </c>
      <c r="T66" s="149" t="s">
        <v>12</v>
      </c>
      <c r="U66" s="142" t="s">
        <v>12</v>
      </c>
    </row>
    <row r="67" spans="1:22">
      <c r="B67" s="560" t="s">
        <v>66</v>
      </c>
      <c r="C67" s="36">
        <f>C65</f>
        <v>0</v>
      </c>
      <c r="D67" s="36">
        <f t="shared" ref="D67:I67" si="4">D65</f>
        <v>0</v>
      </c>
      <c r="E67" s="36">
        <f t="shared" si="4"/>
        <v>1040</v>
      </c>
      <c r="F67" s="36">
        <f t="shared" si="4"/>
        <v>0</v>
      </c>
      <c r="G67" s="36">
        <f t="shared" si="4"/>
        <v>0</v>
      </c>
      <c r="H67" s="36">
        <f t="shared" si="4"/>
        <v>0</v>
      </c>
      <c r="I67" s="36">
        <f t="shared" si="4"/>
        <v>1040</v>
      </c>
      <c r="J67" s="285">
        <f t="shared" ref="J67:R67" si="5">J65</f>
        <v>1040</v>
      </c>
      <c r="K67" s="285">
        <f t="shared" si="5"/>
        <v>174720</v>
      </c>
      <c r="L67" s="285">
        <f t="shared" si="5"/>
        <v>174720</v>
      </c>
      <c r="M67" s="33">
        <f t="shared" si="5"/>
        <v>1040</v>
      </c>
      <c r="N67" s="33">
        <f t="shared" si="5"/>
        <v>174720</v>
      </c>
      <c r="O67" s="33">
        <f t="shared" si="5"/>
        <v>174720</v>
      </c>
      <c r="P67" s="285">
        <f t="shared" si="5"/>
        <v>1040</v>
      </c>
      <c r="Q67" s="285">
        <f t="shared" si="5"/>
        <v>174720</v>
      </c>
      <c r="R67" s="285">
        <f t="shared" si="5"/>
        <v>174720</v>
      </c>
      <c r="S67" s="129">
        <f>AVERAGE(L67,O67,R67)</f>
        <v>174720</v>
      </c>
      <c r="T67" s="136" t="s">
        <v>12</v>
      </c>
      <c r="U67" s="147" t="s">
        <v>12</v>
      </c>
    </row>
    <row r="68" spans="1:22" ht="13.5" thickBot="1">
      <c r="B68" s="561" t="s">
        <v>67</v>
      </c>
      <c r="C68" s="240">
        <f>C66</f>
        <v>0</v>
      </c>
      <c r="D68" s="240">
        <f t="shared" ref="D68:I68" si="6">D66</f>
        <v>0</v>
      </c>
      <c r="E68" s="240">
        <f t="shared" si="6"/>
        <v>45885</v>
      </c>
      <c r="F68" s="240">
        <f t="shared" si="6"/>
        <v>0</v>
      </c>
      <c r="G68" s="240">
        <f t="shared" si="6"/>
        <v>0</v>
      </c>
      <c r="H68" s="240">
        <f t="shared" si="6"/>
        <v>0</v>
      </c>
      <c r="I68" s="240">
        <f t="shared" si="6"/>
        <v>45885</v>
      </c>
      <c r="J68" s="275">
        <f t="shared" ref="J68:R68" si="7">J66</f>
        <v>54970.229999999996</v>
      </c>
      <c r="K68" s="275">
        <f t="shared" si="7"/>
        <v>9234998.6399999987</v>
      </c>
      <c r="L68" s="275">
        <f t="shared" si="7"/>
        <v>9234998.6399999987</v>
      </c>
      <c r="M68" s="240">
        <f t="shared" si="7"/>
        <v>56117.355000000003</v>
      </c>
      <c r="N68" s="240">
        <f t="shared" si="7"/>
        <v>9427715.6400000006</v>
      </c>
      <c r="O68" s="240">
        <f t="shared" si="7"/>
        <v>9427715.6400000006</v>
      </c>
      <c r="P68" s="275">
        <f t="shared" si="7"/>
        <v>57218.595000000008</v>
      </c>
      <c r="Q68" s="275">
        <f t="shared" si="7"/>
        <v>9612723.9600000009</v>
      </c>
      <c r="R68" s="275">
        <f t="shared" si="7"/>
        <v>9612723.9600000009</v>
      </c>
      <c r="S68" s="255">
        <f>AVERAGE(L68,O68,R68)</f>
        <v>9425146.0800000001</v>
      </c>
      <c r="T68" s="249" t="s">
        <v>12</v>
      </c>
      <c r="U68" s="224" t="s">
        <v>12</v>
      </c>
    </row>
    <row r="69" spans="1:22" ht="13.5" thickTop="1">
      <c r="B69" s="624"/>
      <c r="C69" s="621"/>
      <c r="D69" s="621"/>
      <c r="E69" s="621"/>
      <c r="F69" s="621"/>
      <c r="G69" s="621"/>
      <c r="H69" s="621"/>
      <c r="I69" s="622"/>
      <c r="J69" s="622"/>
      <c r="K69" s="622"/>
      <c r="L69" s="622"/>
      <c r="M69" s="622"/>
      <c r="N69" s="622"/>
      <c r="O69" s="622"/>
      <c r="P69" s="622"/>
      <c r="Q69" s="622"/>
      <c r="R69" s="622"/>
      <c r="S69" s="625"/>
      <c r="T69" s="626"/>
      <c r="U69" s="627"/>
      <c r="V69" s="5"/>
    </row>
    <row r="70" spans="1:22" ht="13.5" thickBot="1">
      <c r="B70" s="410"/>
      <c r="C70" s="410"/>
      <c r="D70" s="410"/>
      <c r="E70" s="410"/>
      <c r="F70" s="410"/>
      <c r="G70" s="41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  <c r="T70" s="410"/>
      <c r="U70" s="410"/>
      <c r="V70" s="5"/>
    </row>
    <row r="71" spans="1:22" ht="27.75" thickTop="1" thickBot="1">
      <c r="A71" s="870"/>
      <c r="B71" s="653" t="s">
        <v>28</v>
      </c>
      <c r="C71" s="5"/>
      <c r="D71" s="5"/>
      <c r="E71" s="5"/>
      <c r="F71" s="112" t="s">
        <v>6</v>
      </c>
      <c r="G71" s="1412"/>
      <c r="H71" s="1413"/>
      <c r="I71" s="1414"/>
      <c r="J71" s="181" t="s">
        <v>28</v>
      </c>
      <c r="K71" s="426"/>
      <c r="L71" s="67"/>
      <c r="M71" s="181" t="s">
        <v>28</v>
      </c>
      <c r="N71" s="426"/>
      <c r="O71" s="67"/>
      <c r="P71" s="181" t="s">
        <v>28</v>
      </c>
      <c r="Q71" s="426"/>
      <c r="R71" s="180"/>
      <c r="S71" s="546" t="s">
        <v>17</v>
      </c>
      <c r="T71" s="547" t="s">
        <v>103</v>
      </c>
      <c r="U71" s="628" t="s">
        <v>79</v>
      </c>
    </row>
    <row r="72" spans="1:22">
      <c r="B72" s="555"/>
      <c r="C72" s="72"/>
      <c r="D72" s="72"/>
      <c r="E72" s="5"/>
      <c r="F72" s="7"/>
      <c r="G72" s="76"/>
      <c r="H72" s="5"/>
      <c r="I72" s="43"/>
      <c r="J72" s="277" t="s">
        <v>61</v>
      </c>
      <c r="K72" s="1419" t="s">
        <v>57</v>
      </c>
      <c r="L72" s="1420"/>
      <c r="M72" s="57" t="s">
        <v>61</v>
      </c>
      <c r="N72" s="1429" t="s">
        <v>57</v>
      </c>
      <c r="O72" s="1433"/>
      <c r="P72" s="318" t="s">
        <v>61</v>
      </c>
      <c r="Q72" s="1419" t="s">
        <v>57</v>
      </c>
      <c r="R72" s="1420"/>
      <c r="S72" s="1219"/>
      <c r="T72" s="198"/>
      <c r="U72" s="73"/>
    </row>
    <row r="73" spans="1:22">
      <c r="B73" s="563" t="s">
        <v>79</v>
      </c>
      <c r="C73" s="671" t="s">
        <v>60</v>
      </c>
      <c r="D73" s="865" t="s">
        <v>62</v>
      </c>
      <c r="E73" s="72"/>
      <c r="F73" s="863" t="s">
        <v>54</v>
      </c>
      <c r="G73" s="70">
        <v>7</v>
      </c>
      <c r="H73" s="72"/>
      <c r="I73" s="73"/>
      <c r="J73" s="260" t="s">
        <v>56</v>
      </c>
      <c r="K73" s="261" t="s">
        <v>13</v>
      </c>
      <c r="L73" s="262" t="s">
        <v>68</v>
      </c>
      <c r="M73" s="77" t="s">
        <v>56</v>
      </c>
      <c r="N73" s="24" t="s">
        <v>13</v>
      </c>
      <c r="O73" s="38" t="s">
        <v>68</v>
      </c>
      <c r="P73" s="260" t="s">
        <v>56</v>
      </c>
      <c r="Q73" s="261" t="s">
        <v>13</v>
      </c>
      <c r="R73" s="262" t="s">
        <v>68</v>
      </c>
      <c r="S73" s="77"/>
      <c r="T73" s="133"/>
      <c r="U73" s="37"/>
    </row>
    <row r="74" spans="1:22">
      <c r="A74" s="615"/>
      <c r="B74" s="681" t="str">
        <f>VLOOKUP($C$2,Monitor_Costs,10,FALSE)</f>
        <v>Multigas calibrator</v>
      </c>
      <c r="C74" s="866">
        <f>VLOOKUP($C$2,Monitor_Costs,11,FALSE)</f>
        <v>14000</v>
      </c>
      <c r="D74" s="816">
        <f>VLOOKUP($C$2,Monitor_Costs,12,FALSE)</f>
        <v>2013</v>
      </c>
      <c r="E74" s="76"/>
      <c r="F74" s="75"/>
      <c r="G74" s="76"/>
      <c r="H74" s="76"/>
      <c r="I74" s="864"/>
      <c r="J74" s="298">
        <f>HLOOKUP(D74,InflationTable,2)*$C74</f>
        <v>16772</v>
      </c>
      <c r="K74" s="279">
        <f>J74*L$11</f>
        <v>2616432</v>
      </c>
      <c r="L74" s="280">
        <f>K74/$G$73</f>
        <v>373776</v>
      </c>
      <c r="M74" s="78">
        <f>HLOOKUP($D$27,InflationTable,3)*$C$27</f>
        <v>17122</v>
      </c>
      <c r="N74" s="707">
        <f>M74*O$11</f>
        <v>2671032</v>
      </c>
      <c r="O74" s="708">
        <f>N74/$G$73</f>
        <v>381576</v>
      </c>
      <c r="P74" s="298">
        <f>HLOOKUP($D$27,InflationTable,4)*$C$27</f>
        <v>17458</v>
      </c>
      <c r="Q74" s="279">
        <f>P74*R$11</f>
        <v>2723448</v>
      </c>
      <c r="R74" s="280">
        <f>Q74/$G$73</f>
        <v>389064</v>
      </c>
      <c r="S74" s="103" t="s">
        <v>12</v>
      </c>
      <c r="T74" s="119" t="s">
        <v>12</v>
      </c>
      <c r="U74" s="139">
        <f>AVERAGE(L74,O74,R74)</f>
        <v>381472</v>
      </c>
    </row>
    <row r="75" spans="1:22">
      <c r="A75" s="615"/>
      <c r="B75" s="681" t="str">
        <f>VLOOKUP($C$2,Monitor_Costs,13,FALSE)</f>
        <v>Zero air supply</v>
      </c>
      <c r="C75" s="163">
        <f>VLOOKUP($C$2,Monitor_Costs,14,FALSE)</f>
        <v>4000</v>
      </c>
      <c r="D75" s="816">
        <f>VLOOKUP($C$2,Monitor_Costs,15,FALSE)</f>
        <v>2013</v>
      </c>
      <c r="E75" s="74"/>
      <c r="F75" s="75"/>
      <c r="G75" s="76"/>
      <c r="H75" s="76"/>
      <c r="I75" s="864"/>
      <c r="J75" s="279">
        <f>HLOOKUP(D75,InflationTable,2)*$C75</f>
        <v>4792</v>
      </c>
      <c r="K75" s="279">
        <f>J75*L$11</f>
        <v>747552</v>
      </c>
      <c r="L75" s="280">
        <f>K75/$G$73</f>
        <v>106793.14285714286</v>
      </c>
      <c r="M75" s="78">
        <f>HLOOKUP($D$27,InflationTable,3)*$C75</f>
        <v>4892</v>
      </c>
      <c r="N75" s="707">
        <f>M75*O$11</f>
        <v>763152</v>
      </c>
      <c r="O75" s="708">
        <f>N75/$G$73</f>
        <v>109021.71428571429</v>
      </c>
      <c r="P75" s="298">
        <f>HLOOKUP($D$27,InflationTable,4)*$C75</f>
        <v>4988</v>
      </c>
      <c r="Q75" s="279">
        <f>P75*R$11</f>
        <v>778128</v>
      </c>
      <c r="R75" s="280">
        <f>Q75/$G$73</f>
        <v>111161.14285714286</v>
      </c>
      <c r="S75" s="103" t="s">
        <v>12</v>
      </c>
      <c r="T75" s="119" t="s">
        <v>12</v>
      </c>
      <c r="U75" s="139">
        <f>AVERAGE(L75,O75,R75)</f>
        <v>108992</v>
      </c>
    </row>
    <row r="76" spans="1:22" ht="13.5" thickBot="1">
      <c r="A76" s="615"/>
      <c r="B76" s="859" t="str">
        <f>VLOOKUP($C$2,Monitor_Costs,43,FALSE)</f>
        <v>Miscellaneous equipment</v>
      </c>
      <c r="C76" s="353">
        <f>VLOOKUP($C$2,Monitor_Costs,44,FALSE)</f>
        <v>2000</v>
      </c>
      <c r="D76" s="860">
        <f>VLOOKUP($C$2,Monitor_Costs,45,FALSE)</f>
        <v>2013</v>
      </c>
      <c r="E76" s="642"/>
      <c r="F76" s="12"/>
      <c r="G76" s="4"/>
      <c r="H76" s="4"/>
      <c r="I76" s="41"/>
      <c r="J76" s="424">
        <f>HLOOKUP(D76,InflationTable,2)*$C76</f>
        <v>2396</v>
      </c>
      <c r="K76" s="355">
        <f>J76*L$11</f>
        <v>373776</v>
      </c>
      <c r="L76" s="308">
        <f>K76/$G$73</f>
        <v>53396.571428571428</v>
      </c>
      <c r="M76" s="78">
        <f>HLOOKUP($D$27,InflationTable,3)*$C76</f>
        <v>2446</v>
      </c>
      <c r="N76" s="357">
        <f>M76*O$11</f>
        <v>381576</v>
      </c>
      <c r="O76" s="95">
        <f>N76/$G$73</f>
        <v>54510.857142857145</v>
      </c>
      <c r="P76" s="843">
        <f>HLOOKUP($D$27,InflationTable,4)*$C76</f>
        <v>2494</v>
      </c>
      <c r="Q76" s="279">
        <f>P76*R$11</f>
        <v>389064</v>
      </c>
      <c r="R76" s="300">
        <f>Q76/$G$73</f>
        <v>55580.571428571428</v>
      </c>
      <c r="S76" s="103" t="s">
        <v>12</v>
      </c>
      <c r="T76" s="137" t="s">
        <v>12</v>
      </c>
      <c r="U76" s="372">
        <f>AVERAGE(L76,O76,R76)</f>
        <v>54496</v>
      </c>
    </row>
    <row r="77" spans="1:22">
      <c r="B77" s="560" t="s">
        <v>66</v>
      </c>
      <c r="C77" s="861"/>
      <c r="D77" s="239"/>
      <c r="E77" s="239"/>
      <c r="F77" s="239"/>
      <c r="G77" s="239"/>
      <c r="H77" s="239"/>
      <c r="I77" s="862"/>
      <c r="J77" s="293">
        <v>0</v>
      </c>
      <c r="K77" s="315">
        <v>0</v>
      </c>
      <c r="L77" s="316">
        <v>0</v>
      </c>
      <c r="M77" s="92">
        <v>0</v>
      </c>
      <c r="N77" s="42">
        <v>0</v>
      </c>
      <c r="O77" s="90">
        <v>0</v>
      </c>
      <c r="P77" s="759">
        <v>0</v>
      </c>
      <c r="Q77" s="858">
        <v>0</v>
      </c>
      <c r="R77" s="303">
        <v>0</v>
      </c>
      <c r="S77" s="1218">
        <f>AVERAGE(L77,O77,R77)</f>
        <v>0</v>
      </c>
      <c r="T77" s="133"/>
      <c r="U77" s="37"/>
    </row>
    <row r="78" spans="1:22" ht="13.5" thickBot="1">
      <c r="B78" s="561" t="s">
        <v>67</v>
      </c>
      <c r="F78"/>
      <c r="I78" s="236"/>
      <c r="J78" s="274">
        <f>SUM(J74:J76)</f>
        <v>23960</v>
      </c>
      <c r="K78" s="274">
        <f t="shared" ref="K78:R78" si="8">SUM(K74:K76)</f>
        <v>3737760</v>
      </c>
      <c r="L78" s="276">
        <f t="shared" si="8"/>
        <v>533965.71428571432</v>
      </c>
      <c r="M78" s="242">
        <f t="shared" si="8"/>
        <v>24460</v>
      </c>
      <c r="N78" s="242">
        <f t="shared" si="8"/>
        <v>3815760</v>
      </c>
      <c r="O78" s="243">
        <f t="shared" si="8"/>
        <v>545108.57142857148</v>
      </c>
      <c r="P78" s="274">
        <f t="shared" si="8"/>
        <v>24940</v>
      </c>
      <c r="Q78" s="274">
        <f t="shared" si="8"/>
        <v>3890640</v>
      </c>
      <c r="R78" s="1221">
        <f t="shared" si="8"/>
        <v>555805.71428571432</v>
      </c>
      <c r="S78" s="1220"/>
      <c r="T78" s="1222"/>
      <c r="U78" s="257">
        <f>SUM(U74:U76)</f>
        <v>544960</v>
      </c>
    </row>
    <row r="79" spans="1:22" ht="14.25" thickTop="1" thickBot="1">
      <c r="B79" s="619"/>
      <c r="C79" s="618"/>
      <c r="D79" s="618"/>
      <c r="E79" s="618"/>
      <c r="F79" s="618"/>
      <c r="G79" s="618"/>
      <c r="H79" s="618"/>
      <c r="I79" s="618"/>
      <c r="J79" s="618"/>
      <c r="K79" s="618"/>
      <c r="L79" s="618"/>
      <c r="M79" s="618"/>
      <c r="N79" s="618"/>
      <c r="O79" s="618"/>
      <c r="P79" s="618"/>
      <c r="Q79" s="618"/>
      <c r="R79" s="618"/>
      <c r="S79" s="618"/>
      <c r="T79" s="618"/>
      <c r="U79" s="618"/>
      <c r="V79" s="5"/>
    </row>
    <row r="80" spans="1:22" ht="16.5" thickTop="1">
      <c r="B80" s="562" t="s">
        <v>267</v>
      </c>
      <c r="C80" s="5"/>
      <c r="D80" s="5"/>
      <c r="E80" s="5"/>
      <c r="F80" s="112" t="s">
        <v>6</v>
      </c>
      <c r="G80" s="1412"/>
      <c r="H80" s="1413"/>
      <c r="I80" s="1414"/>
      <c r="J80" s="181" t="s">
        <v>30</v>
      </c>
      <c r="K80" s="426"/>
      <c r="L80" s="67"/>
      <c r="M80" s="181" t="s">
        <v>30</v>
      </c>
      <c r="N80" s="426"/>
      <c r="O80" s="67"/>
      <c r="P80" s="181" t="s">
        <v>30</v>
      </c>
      <c r="Q80" s="319"/>
      <c r="R80" s="180"/>
      <c r="S80" s="225"/>
      <c r="T80" s="133"/>
      <c r="U80" s="37"/>
    </row>
    <row r="81" spans="2:22" ht="13.5" thickBot="1">
      <c r="B81" s="857"/>
      <c r="C81" s="72"/>
      <c r="D81" s="72"/>
      <c r="E81" s="72"/>
      <c r="F81" s="790"/>
      <c r="G81" s="72"/>
      <c r="H81" s="197"/>
      <c r="I81" s="45" t="s">
        <v>61</v>
      </c>
      <c r="J81" s="277" t="s">
        <v>61</v>
      </c>
      <c r="K81" s="1419" t="s">
        <v>57</v>
      </c>
      <c r="L81" s="1420"/>
      <c r="M81" s="57" t="s">
        <v>61</v>
      </c>
      <c r="N81" s="1429" t="s">
        <v>57</v>
      </c>
      <c r="O81" s="1433"/>
      <c r="P81" s="318" t="s">
        <v>61</v>
      </c>
      <c r="Q81" s="1428" t="s">
        <v>57</v>
      </c>
      <c r="R81" s="1436"/>
      <c r="S81" s="131"/>
      <c r="T81" s="133"/>
      <c r="U81" s="37"/>
    </row>
    <row r="82" spans="2:22">
      <c r="B82" s="560" t="s">
        <v>66</v>
      </c>
      <c r="C82" s="74"/>
      <c r="D82" s="76"/>
      <c r="E82" s="76"/>
      <c r="F82" s="76"/>
      <c r="G82" s="76"/>
      <c r="H82" s="649"/>
      <c r="I82" s="46">
        <v>0</v>
      </c>
      <c r="J82" s="301">
        <v>0</v>
      </c>
      <c r="K82" s="320">
        <v>0</v>
      </c>
      <c r="L82" s="321">
        <v>0</v>
      </c>
      <c r="M82" s="85">
        <v>0</v>
      </c>
      <c r="N82" s="36">
        <v>0</v>
      </c>
      <c r="O82" s="100">
        <v>0</v>
      </c>
      <c r="P82" s="301">
        <v>0</v>
      </c>
      <c r="Q82" s="320">
        <v>0</v>
      </c>
      <c r="R82" s="322">
        <v>0</v>
      </c>
      <c r="S82" s="121">
        <f>AVERAGE(L82,O82,R82)</f>
        <v>0</v>
      </c>
      <c r="T82" s="135" t="s">
        <v>12</v>
      </c>
      <c r="U82" s="136" t="s">
        <v>12</v>
      </c>
    </row>
    <row r="83" spans="2:22" ht="13.5" thickBot="1">
      <c r="B83" s="561" t="s">
        <v>67</v>
      </c>
      <c r="F83"/>
      <c r="I83" s="243">
        <v>0</v>
      </c>
      <c r="J83" s="274">
        <v>0</v>
      </c>
      <c r="K83" s="275">
        <v>0</v>
      </c>
      <c r="L83" s="276">
        <v>0</v>
      </c>
      <c r="M83" s="242">
        <v>0</v>
      </c>
      <c r="N83" s="240">
        <v>0</v>
      </c>
      <c r="O83" s="243">
        <v>0</v>
      </c>
      <c r="P83" s="313">
        <v>0</v>
      </c>
      <c r="Q83" s="275">
        <v>0</v>
      </c>
      <c r="R83" s="276">
        <v>0</v>
      </c>
      <c r="S83" s="257">
        <f>AVERAGE(L83,O83,R83)</f>
        <v>0</v>
      </c>
      <c r="T83" s="258" t="s">
        <v>12</v>
      </c>
      <c r="U83" s="249" t="s">
        <v>12</v>
      </c>
    </row>
    <row r="84" spans="2:22" ht="14.25" thickTop="1" thickBot="1">
      <c r="B84" s="555"/>
      <c r="C84" s="618"/>
      <c r="D84" s="618"/>
      <c r="E84" s="618"/>
      <c r="F84" s="618"/>
      <c r="G84" s="618"/>
      <c r="H84" s="618"/>
      <c r="I84" s="618"/>
      <c r="J84" s="618"/>
      <c r="K84" s="618"/>
      <c r="L84" s="618"/>
      <c r="M84" s="618"/>
      <c r="N84" s="618"/>
      <c r="O84" s="618"/>
      <c r="P84" s="618"/>
      <c r="Q84" s="618"/>
      <c r="R84" s="618"/>
      <c r="S84" s="618"/>
      <c r="T84" s="618"/>
      <c r="U84" s="620"/>
    </row>
    <row r="85" spans="2:22" ht="19.5" thickTop="1" thickBot="1">
      <c r="B85" s="953" t="s">
        <v>121</v>
      </c>
      <c r="C85" s="648" t="str">
        <f>C2</f>
        <v>Generic Network</v>
      </c>
      <c r="D85" s="5"/>
      <c r="E85" s="4"/>
      <c r="F85" s="12"/>
      <c r="G85" s="4"/>
      <c r="H85" s="4"/>
      <c r="I85" s="41"/>
      <c r="J85" s="233" t="str">
        <f>J2</f>
        <v>Year 1</v>
      </c>
      <c r="K85" s="233">
        <f>K2</f>
        <v>2013</v>
      </c>
      <c r="L85" s="83"/>
      <c r="M85" s="79" t="str">
        <f>M2</f>
        <v>Year 2</v>
      </c>
      <c r="N85" s="79">
        <f>N2</f>
        <v>2014</v>
      </c>
      <c r="O85" s="41"/>
      <c r="P85" s="233" t="str">
        <f>P2</f>
        <v>Year 3</v>
      </c>
      <c r="Q85" s="233">
        <f>Q2</f>
        <v>2015</v>
      </c>
      <c r="R85" s="83"/>
      <c r="S85" s="152"/>
      <c r="T85" s="130"/>
      <c r="U85" s="570"/>
    </row>
    <row r="86" spans="2:22" ht="13.5" thickBot="1">
      <c r="B86" s="555"/>
      <c r="C86" s="194" t="s">
        <v>45</v>
      </c>
      <c r="D86" s="190" t="s">
        <v>46</v>
      </c>
      <c r="E86" s="187" t="s">
        <v>47</v>
      </c>
      <c r="F86" s="202" t="s">
        <v>48</v>
      </c>
      <c r="G86" s="201" t="s">
        <v>49</v>
      </c>
      <c r="H86" s="187" t="s">
        <v>50</v>
      </c>
      <c r="I86" s="188" t="s">
        <v>13</v>
      </c>
      <c r="J86" s="323" t="s">
        <v>56</v>
      </c>
      <c r="K86" s="324" t="s">
        <v>13</v>
      </c>
      <c r="L86" s="325" t="s">
        <v>68</v>
      </c>
      <c r="M86" s="189" t="s">
        <v>56</v>
      </c>
      <c r="N86" s="190" t="s">
        <v>13</v>
      </c>
      <c r="O86" s="191" t="s">
        <v>68</v>
      </c>
      <c r="P86" s="323" t="s">
        <v>56</v>
      </c>
      <c r="Q86" s="324" t="s">
        <v>13</v>
      </c>
      <c r="R86" s="325" t="s">
        <v>68</v>
      </c>
      <c r="S86" s="192"/>
      <c r="T86" s="193"/>
      <c r="U86" s="571"/>
      <c r="V86" s="5"/>
    </row>
    <row r="87" spans="2:22">
      <c r="B87" s="572" t="s">
        <v>97</v>
      </c>
      <c r="C87" s="196">
        <f t="shared" ref="C87:S87" si="9">C21</f>
        <v>0</v>
      </c>
      <c r="D87" s="184">
        <f t="shared" si="9"/>
        <v>0</v>
      </c>
      <c r="E87" s="184">
        <f t="shared" si="9"/>
        <v>0</v>
      </c>
      <c r="F87" s="184">
        <f t="shared" si="9"/>
        <v>0</v>
      </c>
      <c r="G87" s="184">
        <f t="shared" si="9"/>
        <v>0</v>
      </c>
      <c r="H87" s="184">
        <f t="shared" si="9"/>
        <v>0</v>
      </c>
      <c r="I87" s="185">
        <f t="shared" si="9"/>
        <v>41504</v>
      </c>
      <c r="J87" s="326">
        <f>L21</f>
        <v>41504</v>
      </c>
      <c r="K87" s="327"/>
      <c r="L87" s="328"/>
      <c r="M87" s="186">
        <f t="shared" si="9"/>
        <v>0</v>
      </c>
      <c r="N87" s="184">
        <f t="shared" si="9"/>
        <v>0</v>
      </c>
      <c r="O87" s="185">
        <f t="shared" si="9"/>
        <v>41504</v>
      </c>
      <c r="P87" s="326">
        <f t="shared" si="9"/>
        <v>0</v>
      </c>
      <c r="Q87" s="327">
        <f t="shared" si="9"/>
        <v>0</v>
      </c>
      <c r="R87" s="328">
        <f t="shared" si="9"/>
        <v>41504</v>
      </c>
      <c r="S87" s="185">
        <f t="shared" si="9"/>
        <v>41504</v>
      </c>
      <c r="T87" s="37"/>
      <c r="U87" s="138"/>
    </row>
    <row r="88" spans="2:22" ht="13.5" thickBot="1">
      <c r="B88" s="573" t="s">
        <v>76</v>
      </c>
      <c r="C88" s="203">
        <f t="shared" ref="C88:S88" si="10">C22</f>
        <v>0</v>
      </c>
      <c r="D88" s="204">
        <f t="shared" si="10"/>
        <v>0</v>
      </c>
      <c r="E88" s="204">
        <f t="shared" si="10"/>
        <v>0</v>
      </c>
      <c r="F88" s="204">
        <f t="shared" si="10"/>
        <v>0</v>
      </c>
      <c r="G88" s="204">
        <f t="shared" si="10"/>
        <v>0</v>
      </c>
      <c r="H88" s="204">
        <f t="shared" si="10"/>
        <v>0</v>
      </c>
      <c r="I88" s="205">
        <f t="shared" si="10"/>
        <v>6092268.4639015403</v>
      </c>
      <c r="J88" s="329">
        <f>L22</f>
        <v>4345772</v>
      </c>
      <c r="K88" s="330"/>
      <c r="L88" s="331"/>
      <c r="M88" s="203">
        <f t="shared" si="10"/>
        <v>0</v>
      </c>
      <c r="N88" s="204">
        <f t="shared" si="10"/>
        <v>0</v>
      </c>
      <c r="O88" s="205">
        <f t="shared" si="10"/>
        <v>4429158.2637852505</v>
      </c>
      <c r="P88" s="329">
        <f t="shared" si="10"/>
        <v>0</v>
      </c>
      <c r="Q88" s="330">
        <f t="shared" si="10"/>
        <v>0</v>
      </c>
      <c r="R88" s="331">
        <f t="shared" si="10"/>
        <v>4518861.6687663523</v>
      </c>
      <c r="S88" s="205">
        <f t="shared" si="10"/>
        <v>2220959.7475000001</v>
      </c>
      <c r="T88" s="206" t="str">
        <f>T22</f>
        <v>NA</v>
      </c>
      <c r="U88" s="392">
        <f>U22</f>
        <v>4431263.9775172016</v>
      </c>
    </row>
    <row r="89" spans="2:22">
      <c r="B89" s="574" t="s">
        <v>98</v>
      </c>
      <c r="C89" s="849">
        <f t="shared" ref="C89:S90" si="11">C40</f>
        <v>0</v>
      </c>
      <c r="D89" s="850">
        <f t="shared" si="11"/>
        <v>0</v>
      </c>
      <c r="E89" s="850">
        <f t="shared" si="11"/>
        <v>0</v>
      </c>
      <c r="F89" s="850">
        <f t="shared" si="11"/>
        <v>0</v>
      </c>
      <c r="G89" s="850">
        <f t="shared" si="11"/>
        <v>0</v>
      </c>
      <c r="H89" s="850">
        <f t="shared" si="11"/>
        <v>0</v>
      </c>
      <c r="I89" s="853">
        <f t="shared" si="11"/>
        <v>0</v>
      </c>
      <c r="J89" s="854">
        <f t="shared" si="11"/>
        <v>0</v>
      </c>
      <c r="K89" s="855">
        <f t="shared" si="11"/>
        <v>0</v>
      </c>
      <c r="L89" s="856">
        <f t="shared" si="11"/>
        <v>0</v>
      </c>
      <c r="M89" s="849">
        <f t="shared" si="11"/>
        <v>0</v>
      </c>
      <c r="N89" s="850">
        <f t="shared" si="11"/>
        <v>0</v>
      </c>
      <c r="O89" s="853">
        <f t="shared" si="11"/>
        <v>0</v>
      </c>
      <c r="P89" s="854">
        <f t="shared" si="11"/>
        <v>0</v>
      </c>
      <c r="Q89" s="855">
        <f t="shared" si="11"/>
        <v>0</v>
      </c>
      <c r="R89" s="303">
        <f t="shared" si="11"/>
        <v>0</v>
      </c>
      <c r="S89" s="846">
        <f t="shared" si="11"/>
        <v>0</v>
      </c>
      <c r="T89" s="844"/>
      <c r="U89" s="844"/>
    </row>
    <row r="90" spans="2:22" ht="13.5" thickBot="1">
      <c r="B90" s="573" t="s">
        <v>76</v>
      </c>
      <c r="C90" s="851">
        <f t="shared" si="11"/>
        <v>0</v>
      </c>
      <c r="D90" s="852">
        <f t="shared" si="11"/>
        <v>0</v>
      </c>
      <c r="E90" s="852">
        <f t="shared" si="11"/>
        <v>0</v>
      </c>
      <c r="F90" s="852">
        <f t="shared" si="11"/>
        <v>0</v>
      </c>
      <c r="G90" s="852">
        <f t="shared" si="11"/>
        <v>0</v>
      </c>
      <c r="H90" s="852">
        <f t="shared" si="11"/>
        <v>0</v>
      </c>
      <c r="I90" s="676">
        <f t="shared" si="11"/>
        <v>0</v>
      </c>
      <c r="J90" s="848">
        <f t="shared" si="11"/>
        <v>0</v>
      </c>
      <c r="K90" s="744">
        <f t="shared" si="11"/>
        <v>102835222.632</v>
      </c>
      <c r="L90" s="745">
        <f t="shared" si="11"/>
        <v>22909540.20342857</v>
      </c>
      <c r="M90" s="851">
        <f t="shared" si="11"/>
        <v>0</v>
      </c>
      <c r="N90" s="852">
        <f t="shared" si="11"/>
        <v>104981199.73199999</v>
      </c>
      <c r="O90" s="676">
        <f t="shared" si="11"/>
        <v>23387619.089142859</v>
      </c>
      <c r="P90" s="848">
        <f t="shared" si="11"/>
        <v>0</v>
      </c>
      <c r="Q90" s="744">
        <f t="shared" si="11"/>
        <v>107041337.748</v>
      </c>
      <c r="R90" s="745">
        <f t="shared" si="11"/>
        <v>23846574.819428574</v>
      </c>
      <c r="S90" s="676" t="str">
        <f t="shared" si="11"/>
        <v>NA</v>
      </c>
      <c r="T90" s="847" t="str">
        <f>T41</f>
        <v>NA</v>
      </c>
      <c r="U90" s="845">
        <f>U41</f>
        <v>23381244.704000004</v>
      </c>
    </row>
    <row r="91" spans="2:22">
      <c r="B91" s="574" t="s">
        <v>156</v>
      </c>
      <c r="C91" s="197">
        <f t="shared" ref="C91:S91" si="12">C54</f>
        <v>0</v>
      </c>
      <c r="D91" s="25">
        <f t="shared" si="12"/>
        <v>0</v>
      </c>
      <c r="E91" s="25">
        <f t="shared" si="12"/>
        <v>0</v>
      </c>
      <c r="F91" s="25">
        <f t="shared" si="12"/>
        <v>0</v>
      </c>
      <c r="G91" s="25">
        <f t="shared" si="12"/>
        <v>1.6</v>
      </c>
      <c r="H91" s="25">
        <f t="shared" si="12"/>
        <v>1.6</v>
      </c>
      <c r="I91" s="198">
        <f t="shared" si="12"/>
        <v>3.2</v>
      </c>
      <c r="J91" s="333">
        <f t="shared" si="12"/>
        <v>3.2</v>
      </c>
      <c r="K91" s="327">
        <f t="shared" si="12"/>
        <v>11906</v>
      </c>
      <c r="L91" s="328">
        <f t="shared" si="12"/>
        <v>11906</v>
      </c>
      <c r="M91" s="199">
        <f t="shared" si="12"/>
        <v>3.2</v>
      </c>
      <c r="N91" s="184">
        <f t="shared" si="12"/>
        <v>11906</v>
      </c>
      <c r="O91" s="185">
        <f t="shared" si="12"/>
        <v>11906</v>
      </c>
      <c r="P91" s="333">
        <f t="shared" si="12"/>
        <v>3.2</v>
      </c>
      <c r="Q91" s="327">
        <f t="shared" si="12"/>
        <v>11906</v>
      </c>
      <c r="R91" s="328">
        <f t="shared" si="12"/>
        <v>11906</v>
      </c>
      <c r="S91" s="198">
        <f t="shared" si="12"/>
        <v>11906</v>
      </c>
      <c r="T91" s="200" t="str">
        <f>T27</f>
        <v>NA</v>
      </c>
      <c r="U91" s="887" t="str">
        <f>U55</f>
        <v>NA</v>
      </c>
    </row>
    <row r="92" spans="2:22" ht="13.5" thickBot="1">
      <c r="B92" s="573" t="s">
        <v>76</v>
      </c>
      <c r="C92" s="211">
        <f t="shared" ref="C92:S92" si="13">C55</f>
        <v>0</v>
      </c>
      <c r="D92" s="208">
        <f t="shared" si="13"/>
        <v>0</v>
      </c>
      <c r="E92" s="208">
        <f t="shared" si="13"/>
        <v>0</v>
      </c>
      <c r="F92" s="208">
        <f t="shared" si="13"/>
        <v>0</v>
      </c>
      <c r="G92" s="208">
        <f t="shared" si="13"/>
        <v>1.6</v>
      </c>
      <c r="H92" s="208">
        <f t="shared" si="13"/>
        <v>1.6</v>
      </c>
      <c r="I92" s="209">
        <f>I55</f>
        <v>183</v>
      </c>
      <c r="J92" s="332">
        <f t="shared" si="13"/>
        <v>219.23399999999998</v>
      </c>
      <c r="K92" s="297">
        <f t="shared" si="13"/>
        <v>762471.45</v>
      </c>
      <c r="L92" s="297">
        <f t="shared" si="13"/>
        <v>762471.45</v>
      </c>
      <c r="M92" s="207">
        <f t="shared" si="13"/>
        <v>223.80900000000003</v>
      </c>
      <c r="N92" s="208">
        <f t="shared" si="13"/>
        <v>778180.48300000001</v>
      </c>
      <c r="O92" s="209">
        <f t="shared" si="13"/>
        <v>778180.48300000001</v>
      </c>
      <c r="P92" s="332">
        <f t="shared" si="13"/>
        <v>228.20100000000002</v>
      </c>
      <c r="Q92" s="296">
        <f t="shared" si="13"/>
        <v>793531.43700000003</v>
      </c>
      <c r="R92" s="297">
        <f t="shared" si="13"/>
        <v>793531.43700000003</v>
      </c>
      <c r="S92" s="209">
        <f t="shared" si="13"/>
        <v>778061.12333333341</v>
      </c>
      <c r="T92" s="209">
        <f>T48</f>
        <v>3631762.6053333334</v>
      </c>
      <c r="U92" s="392" t="s">
        <v>12</v>
      </c>
    </row>
    <row r="93" spans="2:22" ht="13.5" thickBot="1">
      <c r="B93" s="574" t="s">
        <v>99</v>
      </c>
      <c r="C93" s="841">
        <f t="shared" ref="C93:S94" si="14">C59</f>
        <v>0</v>
      </c>
      <c r="D93" s="841">
        <f t="shared" si="14"/>
        <v>0</v>
      </c>
      <c r="E93" s="841">
        <f t="shared" si="14"/>
        <v>0</v>
      </c>
      <c r="F93" s="841">
        <f t="shared" si="14"/>
        <v>0</v>
      </c>
      <c r="G93" s="841">
        <f t="shared" si="14"/>
        <v>0</v>
      </c>
      <c r="H93" s="841">
        <f t="shared" si="14"/>
        <v>0</v>
      </c>
      <c r="I93" s="841">
        <f t="shared" si="14"/>
        <v>0</v>
      </c>
      <c r="J93" s="842">
        <f t="shared" si="14"/>
        <v>0</v>
      </c>
      <c r="K93" s="842">
        <f t="shared" si="14"/>
        <v>0</v>
      </c>
      <c r="L93" s="842">
        <f t="shared" si="14"/>
        <v>0</v>
      </c>
      <c r="M93" s="841">
        <f t="shared" si="14"/>
        <v>0</v>
      </c>
      <c r="N93" s="841">
        <f t="shared" si="14"/>
        <v>0</v>
      </c>
      <c r="O93" s="841">
        <f t="shared" si="14"/>
        <v>0</v>
      </c>
      <c r="P93" s="842">
        <f t="shared" si="14"/>
        <v>0</v>
      </c>
      <c r="Q93" s="842">
        <f t="shared" si="14"/>
        <v>0</v>
      </c>
      <c r="R93" s="842">
        <f t="shared" si="14"/>
        <v>0</v>
      </c>
      <c r="S93" s="841">
        <f t="shared" si="14"/>
        <v>0</v>
      </c>
      <c r="T93" s="37"/>
      <c r="U93" s="138"/>
    </row>
    <row r="94" spans="2:22" ht="13.5" thickBot="1">
      <c r="B94" s="573" t="s">
        <v>76</v>
      </c>
      <c r="C94" s="207">
        <f t="shared" si="14"/>
        <v>0</v>
      </c>
      <c r="D94" s="208">
        <f t="shared" si="14"/>
        <v>0</v>
      </c>
      <c r="E94" s="208">
        <f t="shared" si="14"/>
        <v>0</v>
      </c>
      <c r="F94" s="208">
        <f t="shared" si="14"/>
        <v>0</v>
      </c>
      <c r="G94" s="208">
        <f t="shared" si="14"/>
        <v>0</v>
      </c>
      <c r="H94" s="208">
        <f t="shared" si="14"/>
        <v>0</v>
      </c>
      <c r="I94" s="209">
        <f t="shared" si="14"/>
        <v>0</v>
      </c>
      <c r="J94" s="332">
        <f t="shared" si="14"/>
        <v>0</v>
      </c>
      <c r="K94" s="296">
        <f t="shared" si="14"/>
        <v>0</v>
      </c>
      <c r="L94" s="297">
        <f t="shared" si="14"/>
        <v>0</v>
      </c>
      <c r="M94" s="211">
        <f t="shared" si="14"/>
        <v>0</v>
      </c>
      <c r="N94" s="208">
        <f t="shared" si="14"/>
        <v>0</v>
      </c>
      <c r="O94" s="209">
        <f t="shared" si="14"/>
        <v>0</v>
      </c>
      <c r="P94" s="332">
        <f t="shared" si="14"/>
        <v>0</v>
      </c>
      <c r="Q94" s="296">
        <f t="shared" si="14"/>
        <v>0</v>
      </c>
      <c r="R94" s="297">
        <f t="shared" si="14"/>
        <v>0</v>
      </c>
      <c r="S94" s="209">
        <f t="shared" si="14"/>
        <v>0</v>
      </c>
      <c r="T94" s="209">
        <f>T60</f>
        <v>0</v>
      </c>
      <c r="U94" s="576" t="s">
        <v>12</v>
      </c>
    </row>
    <row r="95" spans="2:22">
      <c r="B95" s="574" t="s">
        <v>100</v>
      </c>
      <c r="C95" s="197">
        <f t="shared" ref="C95:U95" si="15">C67</f>
        <v>0</v>
      </c>
      <c r="D95" s="25">
        <f t="shared" si="15"/>
        <v>0</v>
      </c>
      <c r="E95" s="25">
        <f t="shared" si="15"/>
        <v>1040</v>
      </c>
      <c r="F95" s="25">
        <f t="shared" si="15"/>
        <v>0</v>
      </c>
      <c r="G95" s="25">
        <f t="shared" si="15"/>
        <v>0</v>
      </c>
      <c r="H95" s="25">
        <f t="shared" si="15"/>
        <v>0</v>
      </c>
      <c r="I95" s="198">
        <f t="shared" si="15"/>
        <v>1040</v>
      </c>
      <c r="J95" s="333">
        <f t="shared" si="15"/>
        <v>1040</v>
      </c>
      <c r="K95" s="327">
        <f t="shared" si="15"/>
        <v>174720</v>
      </c>
      <c r="L95" s="328">
        <f t="shared" si="15"/>
        <v>174720</v>
      </c>
      <c r="M95" s="199">
        <f t="shared" si="15"/>
        <v>1040</v>
      </c>
      <c r="N95" s="184">
        <f t="shared" si="15"/>
        <v>174720</v>
      </c>
      <c r="O95" s="185">
        <f t="shared" si="15"/>
        <v>174720</v>
      </c>
      <c r="P95" s="333">
        <f t="shared" si="15"/>
        <v>1040</v>
      </c>
      <c r="Q95" s="327">
        <f t="shared" si="15"/>
        <v>174720</v>
      </c>
      <c r="R95" s="328">
        <f t="shared" si="15"/>
        <v>174720</v>
      </c>
      <c r="S95" s="198">
        <f t="shared" si="15"/>
        <v>174720</v>
      </c>
      <c r="T95" s="212" t="str">
        <f t="shared" si="15"/>
        <v>NA</v>
      </c>
      <c r="U95" s="577" t="str">
        <f t="shared" si="15"/>
        <v>NA</v>
      </c>
    </row>
    <row r="96" spans="2:22" ht="13.5" thickBot="1">
      <c r="B96" s="573" t="s">
        <v>76</v>
      </c>
      <c r="C96" s="207">
        <f t="shared" ref="C96:T96" si="16">C68</f>
        <v>0</v>
      </c>
      <c r="D96" s="208">
        <f t="shared" si="16"/>
        <v>0</v>
      </c>
      <c r="E96" s="208">
        <f t="shared" si="16"/>
        <v>45885</v>
      </c>
      <c r="F96" s="208">
        <f t="shared" si="16"/>
        <v>0</v>
      </c>
      <c r="G96" s="208">
        <f t="shared" si="16"/>
        <v>0</v>
      </c>
      <c r="H96" s="208">
        <f t="shared" si="16"/>
        <v>0</v>
      </c>
      <c r="I96" s="209">
        <f t="shared" si="16"/>
        <v>45885</v>
      </c>
      <c r="J96" s="332">
        <f t="shared" si="16"/>
        <v>54970.229999999996</v>
      </c>
      <c r="K96" s="296">
        <f t="shared" si="16"/>
        <v>9234998.6399999987</v>
      </c>
      <c r="L96" s="297">
        <f t="shared" si="16"/>
        <v>9234998.6399999987</v>
      </c>
      <c r="M96" s="207">
        <f t="shared" si="16"/>
        <v>56117.355000000003</v>
      </c>
      <c r="N96" s="208">
        <f t="shared" si="16"/>
        <v>9427715.6400000006</v>
      </c>
      <c r="O96" s="209">
        <f t="shared" si="16"/>
        <v>9427715.6400000006</v>
      </c>
      <c r="P96" s="339">
        <f t="shared" si="16"/>
        <v>57218.595000000008</v>
      </c>
      <c r="Q96" s="296">
        <f t="shared" si="16"/>
        <v>9612723.9600000009</v>
      </c>
      <c r="R96" s="297">
        <f t="shared" si="16"/>
        <v>9612723.9600000009</v>
      </c>
      <c r="S96" s="209">
        <f t="shared" si="16"/>
        <v>9425146.0800000001</v>
      </c>
      <c r="T96" s="210" t="str">
        <f t="shared" si="16"/>
        <v>NA</v>
      </c>
      <c r="U96" s="392" t="s">
        <v>12</v>
      </c>
    </row>
    <row r="97" spans="2:21">
      <c r="B97" s="574" t="s">
        <v>101</v>
      </c>
      <c r="C97" s="213">
        <f t="shared" ref="C97:R97" si="17">C77</f>
        <v>0</v>
      </c>
      <c r="D97" s="214">
        <f t="shared" si="17"/>
        <v>0</v>
      </c>
      <c r="E97" s="214">
        <f t="shared" si="17"/>
        <v>0</v>
      </c>
      <c r="F97" s="214">
        <f t="shared" si="17"/>
        <v>0</v>
      </c>
      <c r="G97" s="214">
        <f t="shared" si="17"/>
        <v>0</v>
      </c>
      <c r="H97" s="214">
        <f t="shared" si="17"/>
        <v>0</v>
      </c>
      <c r="I97" s="215">
        <f t="shared" si="17"/>
        <v>0</v>
      </c>
      <c r="J97" s="336">
        <f t="shared" si="17"/>
        <v>0</v>
      </c>
      <c r="K97" s="337">
        <f t="shared" si="17"/>
        <v>0</v>
      </c>
      <c r="L97" s="294">
        <f t="shared" si="17"/>
        <v>0</v>
      </c>
      <c r="M97" s="216">
        <f t="shared" si="17"/>
        <v>0</v>
      </c>
      <c r="N97" s="217">
        <f t="shared" si="17"/>
        <v>0</v>
      </c>
      <c r="O97" s="215">
        <f t="shared" si="17"/>
        <v>0</v>
      </c>
      <c r="P97" s="336">
        <f t="shared" si="17"/>
        <v>0</v>
      </c>
      <c r="Q97" s="337">
        <f t="shared" si="17"/>
        <v>0</v>
      </c>
      <c r="R97" s="294">
        <f t="shared" si="17"/>
        <v>0</v>
      </c>
      <c r="S97" s="888" t="s">
        <v>12</v>
      </c>
      <c r="T97" s="136" t="s">
        <v>12</v>
      </c>
      <c r="U97" s="147" t="s">
        <v>12</v>
      </c>
    </row>
    <row r="98" spans="2:21" ht="13.5" thickBot="1">
      <c r="B98" s="573" t="s">
        <v>76</v>
      </c>
      <c r="C98" s="207">
        <f t="shared" ref="C98:R98" si="18">C78</f>
        <v>0</v>
      </c>
      <c r="D98" s="208">
        <f t="shared" si="18"/>
        <v>0</v>
      </c>
      <c r="E98" s="208">
        <f t="shared" si="18"/>
        <v>0</v>
      </c>
      <c r="F98" s="208">
        <f t="shared" si="18"/>
        <v>0</v>
      </c>
      <c r="G98" s="208">
        <f t="shared" si="18"/>
        <v>0</v>
      </c>
      <c r="H98" s="208">
        <f t="shared" si="18"/>
        <v>0</v>
      </c>
      <c r="I98" s="209">
        <f t="shared" si="18"/>
        <v>0</v>
      </c>
      <c r="J98" s="332">
        <f t="shared" si="18"/>
        <v>23960</v>
      </c>
      <c r="K98" s="338">
        <f t="shared" si="18"/>
        <v>3737760</v>
      </c>
      <c r="L98" s="297">
        <f t="shared" si="18"/>
        <v>533965.71428571432</v>
      </c>
      <c r="M98" s="211">
        <f t="shared" si="18"/>
        <v>24460</v>
      </c>
      <c r="N98" s="219">
        <f t="shared" si="18"/>
        <v>3815760</v>
      </c>
      <c r="O98" s="209">
        <f t="shared" si="18"/>
        <v>545108.57142857148</v>
      </c>
      <c r="P98" s="332">
        <f t="shared" si="18"/>
        <v>24940</v>
      </c>
      <c r="Q98" s="338">
        <f t="shared" si="18"/>
        <v>3890640</v>
      </c>
      <c r="R98" s="297">
        <f t="shared" si="18"/>
        <v>555805.71428571432</v>
      </c>
      <c r="S98" s="210" t="s">
        <v>12</v>
      </c>
      <c r="T98" s="209">
        <f>T78</f>
        <v>0</v>
      </c>
      <c r="U98" s="392">
        <f>R98</f>
        <v>555805.71428571432</v>
      </c>
    </row>
    <row r="99" spans="2:21">
      <c r="B99" s="574" t="s">
        <v>102</v>
      </c>
      <c r="C99" s="197">
        <f t="shared" ref="C99:S99" si="19">C82</f>
        <v>0</v>
      </c>
      <c r="D99" s="25">
        <f t="shared" si="19"/>
        <v>0</v>
      </c>
      <c r="E99" s="25">
        <f t="shared" si="19"/>
        <v>0</v>
      </c>
      <c r="F99" s="25">
        <f t="shared" si="19"/>
        <v>0</v>
      </c>
      <c r="G99" s="25">
        <f t="shared" si="19"/>
        <v>0</v>
      </c>
      <c r="H99" s="25">
        <f t="shared" si="19"/>
        <v>0</v>
      </c>
      <c r="I99" s="198">
        <f t="shared" si="19"/>
        <v>0</v>
      </c>
      <c r="J99" s="333">
        <f t="shared" si="19"/>
        <v>0</v>
      </c>
      <c r="K99" s="334">
        <f t="shared" si="19"/>
        <v>0</v>
      </c>
      <c r="L99" s="335">
        <f t="shared" si="19"/>
        <v>0</v>
      </c>
      <c r="M99" s="199">
        <f t="shared" si="19"/>
        <v>0</v>
      </c>
      <c r="N99" s="25">
        <f t="shared" si="19"/>
        <v>0</v>
      </c>
      <c r="O99" s="198">
        <f t="shared" si="19"/>
        <v>0</v>
      </c>
      <c r="P99" s="333">
        <f t="shared" si="19"/>
        <v>0</v>
      </c>
      <c r="Q99" s="334">
        <f t="shared" si="19"/>
        <v>0</v>
      </c>
      <c r="R99" s="335">
        <f t="shared" si="19"/>
        <v>0</v>
      </c>
      <c r="S99" s="198">
        <f t="shared" si="19"/>
        <v>0</v>
      </c>
      <c r="T99" s="136" t="s">
        <v>12</v>
      </c>
      <c r="U99" s="147" t="s">
        <v>12</v>
      </c>
    </row>
    <row r="100" spans="2:21" ht="13.5" thickBot="1">
      <c r="B100" s="578" t="s">
        <v>76</v>
      </c>
      <c r="C100" s="220">
        <f t="shared" ref="C100:S100" si="20">C83</f>
        <v>0</v>
      </c>
      <c r="D100" s="221">
        <f t="shared" si="20"/>
        <v>0</v>
      </c>
      <c r="E100" s="221">
        <f t="shared" si="20"/>
        <v>0</v>
      </c>
      <c r="F100" s="221">
        <f t="shared" si="20"/>
        <v>0</v>
      </c>
      <c r="G100" s="221">
        <f t="shared" si="20"/>
        <v>0</v>
      </c>
      <c r="H100" s="221">
        <f t="shared" si="20"/>
        <v>0</v>
      </c>
      <c r="I100" s="222">
        <f t="shared" si="20"/>
        <v>0</v>
      </c>
      <c r="J100" s="304">
        <f t="shared" si="20"/>
        <v>0</v>
      </c>
      <c r="K100" s="305">
        <f t="shared" si="20"/>
        <v>0</v>
      </c>
      <c r="L100" s="306">
        <f t="shared" si="20"/>
        <v>0</v>
      </c>
      <c r="M100" s="220">
        <f t="shared" si="20"/>
        <v>0</v>
      </c>
      <c r="N100" s="221">
        <f t="shared" si="20"/>
        <v>0</v>
      </c>
      <c r="O100" s="222">
        <f t="shared" si="20"/>
        <v>0</v>
      </c>
      <c r="P100" s="311">
        <f t="shared" si="20"/>
        <v>0</v>
      </c>
      <c r="Q100" s="305">
        <f t="shared" si="20"/>
        <v>0</v>
      </c>
      <c r="R100" s="306">
        <f t="shared" si="20"/>
        <v>0</v>
      </c>
      <c r="S100" s="222">
        <f t="shared" si="20"/>
        <v>0</v>
      </c>
      <c r="T100" s="223" t="str">
        <f>T83</f>
        <v>NA</v>
      </c>
      <c r="U100" s="224" t="s">
        <v>12</v>
      </c>
    </row>
    <row r="101" spans="2:21" ht="18.75" thickTop="1">
      <c r="B101" s="579" t="s">
        <v>13</v>
      </c>
      <c r="C101" s="183" t="s">
        <v>45</v>
      </c>
      <c r="D101" s="108" t="s">
        <v>46</v>
      </c>
      <c r="E101" s="107" t="s">
        <v>47</v>
      </c>
      <c r="F101" s="107" t="s">
        <v>48</v>
      </c>
      <c r="G101" s="107" t="s">
        <v>49</v>
      </c>
      <c r="H101" s="107" t="s">
        <v>50</v>
      </c>
      <c r="I101" s="109" t="s">
        <v>13</v>
      </c>
      <c r="J101" s="110" t="s">
        <v>56</v>
      </c>
      <c r="K101" s="108" t="s">
        <v>13</v>
      </c>
      <c r="L101" s="111" t="s">
        <v>68</v>
      </c>
      <c r="M101" s="110" t="s">
        <v>56</v>
      </c>
      <c r="N101" s="108" t="s">
        <v>13</v>
      </c>
      <c r="O101" s="111" t="s">
        <v>68</v>
      </c>
      <c r="P101" s="110" t="s">
        <v>56</v>
      </c>
      <c r="Q101" s="108" t="s">
        <v>13</v>
      </c>
      <c r="R101" s="111" t="s">
        <v>68</v>
      </c>
      <c r="S101" s="111"/>
      <c r="T101" s="37"/>
      <c r="U101" s="138"/>
    </row>
    <row r="102" spans="2:21">
      <c r="B102" s="580" t="s">
        <v>75</v>
      </c>
      <c r="C102" s="195">
        <f t="shared" ref="C102:I103" si="21">C87+C89+C91+C93+C95+C97+C99</f>
        <v>0</v>
      </c>
      <c r="D102" s="101">
        <f t="shared" si="21"/>
        <v>0</v>
      </c>
      <c r="E102" s="101">
        <f t="shared" si="21"/>
        <v>1040</v>
      </c>
      <c r="F102" s="101">
        <f t="shared" si="21"/>
        <v>0</v>
      </c>
      <c r="G102" s="101">
        <f t="shared" si="21"/>
        <v>1.6</v>
      </c>
      <c r="H102" s="101">
        <f t="shared" si="21"/>
        <v>1.6</v>
      </c>
      <c r="I102" s="102">
        <f t="shared" si="21"/>
        <v>42547.199999999997</v>
      </c>
      <c r="J102" s="340" t="s">
        <v>12</v>
      </c>
      <c r="K102" s="281">
        <f>K87+K89+K91+K93+K95+K99</f>
        <v>186626</v>
      </c>
      <c r="L102" s="289">
        <f>L87+L89+L91+L93+L95+L97+L99</f>
        <v>186626</v>
      </c>
      <c r="M102" s="103" t="s">
        <v>12</v>
      </c>
      <c r="N102" s="101">
        <f>N87+N89+N91+N93+N95+N99</f>
        <v>186626</v>
      </c>
      <c r="O102" s="102">
        <f>O87+O89+O91+O93+O95+O97+O99</f>
        <v>228130</v>
      </c>
      <c r="P102" s="340" t="s">
        <v>12</v>
      </c>
      <c r="Q102" s="281">
        <f>Q87+Q89+Q91+Q93+Q95+Q99</f>
        <v>186626</v>
      </c>
      <c r="R102" s="289">
        <f>R87+R89+R91+R93+R95+R97+R99</f>
        <v>228130</v>
      </c>
      <c r="S102" s="68">
        <f>S87+S89+S91+S93+S95+S99</f>
        <v>228130</v>
      </c>
      <c r="T102" s="102"/>
      <c r="U102" s="140" t="s">
        <v>12</v>
      </c>
    </row>
    <row r="103" spans="2:21" s="235" customFormat="1" ht="16.5" thickBot="1">
      <c r="B103" s="581" t="s">
        <v>76</v>
      </c>
      <c r="C103" s="582">
        <f t="shared" si="21"/>
        <v>0</v>
      </c>
      <c r="D103" s="583">
        <f t="shared" si="21"/>
        <v>0</v>
      </c>
      <c r="E103" s="583">
        <f t="shared" si="21"/>
        <v>45885</v>
      </c>
      <c r="F103" s="583">
        <f t="shared" si="21"/>
        <v>0</v>
      </c>
      <c r="G103" s="583">
        <f t="shared" si="21"/>
        <v>1.6</v>
      </c>
      <c r="H103" s="583">
        <f t="shared" si="21"/>
        <v>1.6</v>
      </c>
      <c r="I103" s="584">
        <f>I88+I90+I92+I94+I96+I98+I100</f>
        <v>6138336.4639015403</v>
      </c>
      <c r="J103" s="585">
        <f>J88+J90+J92+J94+J96+J98+J100</f>
        <v>4424921.4640000006</v>
      </c>
      <c r="K103" s="587">
        <f>K88+K90+K92+K94+K96+K98+K100</f>
        <v>116570452.722</v>
      </c>
      <c r="L103" s="587">
        <f>L88+L90+L92+L94+L96+L98+L100</f>
        <v>33440976.007714283</v>
      </c>
      <c r="M103" s="582">
        <f>M88+M90+M92+M94+M96+M98+M100</f>
        <v>80801.164000000004</v>
      </c>
      <c r="N103" s="588">
        <f>N88+N90+N92+N94+N96+N100</f>
        <v>115187095.85499999</v>
      </c>
      <c r="O103" s="584">
        <f>O88+O90+O92+O94+O96+O98+O100</f>
        <v>38567782.047356687</v>
      </c>
      <c r="P103" s="589">
        <f>P88+P90+P92+P94+P96+P98+P100</f>
        <v>82386.796000000002</v>
      </c>
      <c r="Q103" s="586">
        <f>Q88+Q90+Q92+Q94+Q96+Q100</f>
        <v>117447593.14500001</v>
      </c>
      <c r="R103" s="587">
        <f>R88+R90+R92+R94+R96+R98+R100</f>
        <v>39327497.599480644</v>
      </c>
      <c r="S103" s="889">
        <f>S88+S92+S94+S96+S100</f>
        <v>12424166.950833334</v>
      </c>
      <c r="T103" s="584">
        <f>SUM(T88,T90,T92,T94,T96,T98,T100)</f>
        <v>3631762.6053333334</v>
      </c>
      <c r="U103" s="591">
        <f>SUM(U88,U90,U92,U94,U96,U98,U100,U91,U78)</f>
        <v>28913274.395802919</v>
      </c>
    </row>
  </sheetData>
  <mergeCells count="30">
    <mergeCell ref="G80:I80"/>
    <mergeCell ref="Q81:R81"/>
    <mergeCell ref="Q44:R44"/>
    <mergeCell ref="Q58:R58"/>
    <mergeCell ref="Q63:R63"/>
    <mergeCell ref="Q72:R72"/>
    <mergeCell ref="K81:L81"/>
    <mergeCell ref="N44:O44"/>
    <mergeCell ref="N58:O58"/>
    <mergeCell ref="N72:O72"/>
    <mergeCell ref="N81:O81"/>
    <mergeCell ref="N63:O63"/>
    <mergeCell ref="K44:L44"/>
    <mergeCell ref="S2:T2"/>
    <mergeCell ref="Q25:R25"/>
    <mergeCell ref="N25:O25"/>
    <mergeCell ref="K72:L72"/>
    <mergeCell ref="K58:L58"/>
    <mergeCell ref="K63:L63"/>
    <mergeCell ref="G13:I13"/>
    <mergeCell ref="K25:L25"/>
    <mergeCell ref="G2:I2"/>
    <mergeCell ref="C11:I11"/>
    <mergeCell ref="G24:I24"/>
    <mergeCell ref="G43:I43"/>
    <mergeCell ref="G62:I62"/>
    <mergeCell ref="G71:I71"/>
    <mergeCell ref="G58:I58"/>
    <mergeCell ref="G57:I57"/>
    <mergeCell ref="G44:I44"/>
  </mergeCells>
  <phoneticPr fontId="2" type="noConversion"/>
  <pageMargins left="0.25" right="0.28000000000000003" top="0.64" bottom="0.47" header="0.5" footer="0.44"/>
  <pageSetup scale="46" fitToHeight="25" orientation="landscape" r:id="rId1"/>
  <headerFooter alignWithMargins="0"/>
  <rowBreaks count="1" manualBreakCount="1">
    <brk id="69" max="21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B5:R64"/>
  <sheetViews>
    <sheetView tabSelected="1" topLeftCell="A15" workbookViewId="0">
      <selection activeCell="C55" sqref="C55"/>
    </sheetView>
  </sheetViews>
  <sheetFormatPr defaultRowHeight="12.75"/>
  <cols>
    <col min="1" max="1" width="2" customWidth="1"/>
    <col min="2" max="2" width="20.7109375" bestFit="1" customWidth="1"/>
    <col min="3" max="3" width="11.140625" bestFit="1" customWidth="1"/>
    <col min="4" max="4" width="12.140625" bestFit="1" customWidth="1"/>
    <col min="5" max="5" width="11.7109375" customWidth="1"/>
    <col min="6" max="6" width="11" customWidth="1"/>
    <col min="7" max="7" width="12.42578125" customWidth="1"/>
    <col min="9" max="9" width="11.140625" bestFit="1" customWidth="1"/>
    <col min="10" max="10" width="10.140625" bestFit="1" customWidth="1"/>
    <col min="11" max="11" width="10.28515625" customWidth="1"/>
    <col min="12" max="12" width="11.140625" bestFit="1" customWidth="1"/>
    <col min="14" max="14" width="11.140625" bestFit="1" customWidth="1"/>
    <col min="15" max="15" width="9.28515625" bestFit="1" customWidth="1"/>
    <col min="16" max="16" width="10.140625" customWidth="1"/>
    <col min="17" max="17" width="11.140625" bestFit="1" customWidth="1"/>
  </cols>
  <sheetData>
    <row r="5" spans="2:18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18">
      <c r="B6" s="1464" t="s">
        <v>277</v>
      </c>
      <c r="C6" s="1458" t="s">
        <v>378</v>
      </c>
      <c r="D6" s="1459"/>
      <c r="E6" s="1459"/>
      <c r="F6" s="1459"/>
      <c r="G6" s="1460"/>
      <c r="H6" s="1458" t="s">
        <v>379</v>
      </c>
      <c r="I6" s="1459"/>
      <c r="J6" s="1459"/>
      <c r="K6" s="1459"/>
      <c r="L6" s="1460"/>
      <c r="M6" s="1458" t="s">
        <v>380</v>
      </c>
      <c r="N6" s="1459"/>
      <c r="O6" s="1459"/>
      <c r="P6" s="1459"/>
      <c r="Q6" s="1460"/>
    </row>
    <row r="7" spans="2:18" ht="26.25" thickBot="1">
      <c r="B7" s="1465"/>
      <c r="C7" s="910" t="s">
        <v>278</v>
      </c>
      <c r="D7" s="911" t="s">
        <v>279</v>
      </c>
      <c r="E7" s="911" t="s">
        <v>280</v>
      </c>
      <c r="F7" s="912" t="s">
        <v>281</v>
      </c>
      <c r="G7" s="913" t="s">
        <v>282</v>
      </c>
      <c r="H7" s="910" t="s">
        <v>278</v>
      </c>
      <c r="I7" s="911" t="s">
        <v>279</v>
      </c>
      <c r="J7" s="911" t="s">
        <v>280</v>
      </c>
      <c r="K7" s="912" t="s">
        <v>281</v>
      </c>
      <c r="L7" s="913" t="s">
        <v>282</v>
      </c>
      <c r="M7" s="910" t="s">
        <v>278</v>
      </c>
      <c r="N7" s="911" t="s">
        <v>279</v>
      </c>
      <c r="O7" s="911" t="s">
        <v>280</v>
      </c>
      <c r="P7" s="912" t="s">
        <v>281</v>
      </c>
      <c r="Q7" s="913" t="s">
        <v>282</v>
      </c>
    </row>
    <row r="8" spans="2:18">
      <c r="B8" s="905" t="s">
        <v>283</v>
      </c>
      <c r="C8" s="902">
        <f>'SO2'!S103</f>
        <v>613.42857142857144</v>
      </c>
      <c r="D8" s="896">
        <f>'SO2'!S104</f>
        <v>40520.745333333332</v>
      </c>
      <c r="E8" s="896"/>
      <c r="F8" s="893"/>
      <c r="G8" s="900">
        <f t="shared" ref="G8:G14" si="0">SUM(D8:F8)</f>
        <v>40520.745333333332</v>
      </c>
      <c r="H8" s="890">
        <f>CO!S103</f>
        <v>499.42857142857139</v>
      </c>
      <c r="I8" s="654">
        <f>CO!S104</f>
        <v>32990.341333333337</v>
      </c>
      <c r="J8" s="924"/>
      <c r="K8" s="654"/>
      <c r="L8" s="900">
        <f t="shared" ref="L8:L14" si="1">SUM(I8:K8)</f>
        <v>32990.341333333337</v>
      </c>
      <c r="M8" s="926">
        <f>'NO2'!S103</f>
        <v>472.28571428571428</v>
      </c>
      <c r="N8" s="924">
        <f>'NO2'!S104</f>
        <v>31197.388000000003</v>
      </c>
      <c r="O8" s="924"/>
      <c r="P8" s="654"/>
      <c r="Q8" s="900">
        <f t="shared" ref="Q8:Q14" si="2">SUM(N8:P8)</f>
        <v>31197.388000000003</v>
      </c>
    </row>
    <row r="9" spans="2:18">
      <c r="B9" s="906" t="s">
        <v>284</v>
      </c>
      <c r="C9" s="918">
        <f>'SO2'!S105</f>
        <v>1261.0571428571429</v>
      </c>
      <c r="D9" s="919">
        <f>'SO2'!S106</f>
        <v>67186.383957142854</v>
      </c>
      <c r="E9" s="898"/>
      <c r="F9" s="899">
        <f>'SO2'!U106</f>
        <v>801458</v>
      </c>
      <c r="G9" s="920">
        <f t="shared" si="0"/>
        <v>868644.38395714283</v>
      </c>
      <c r="H9" s="923">
        <f>CO!S105</f>
        <v>874.37142857142851</v>
      </c>
      <c r="I9" s="899">
        <f>CO!S106</f>
        <v>46584.609471428572</v>
      </c>
      <c r="J9" s="817"/>
      <c r="K9" s="817">
        <f>CO!U106</f>
        <v>555702</v>
      </c>
      <c r="L9" s="635">
        <f t="shared" si="1"/>
        <v>602286.60947142856</v>
      </c>
      <c r="M9" s="175">
        <f>'NO2'!S105</f>
        <v>1161.9809523809524</v>
      </c>
      <c r="N9" s="817">
        <f>'NO2'!S106</f>
        <v>62428.496590476199</v>
      </c>
      <c r="O9" s="817"/>
      <c r="P9" s="817">
        <f>'NO2'!U106</f>
        <v>864784.44</v>
      </c>
      <c r="Q9" s="920">
        <f t="shared" si="2"/>
        <v>927212.93659047619</v>
      </c>
    </row>
    <row r="10" spans="2:18">
      <c r="B10" s="907" t="s">
        <v>285</v>
      </c>
      <c r="C10" s="902">
        <f>'SO2'!S107</f>
        <v>52440</v>
      </c>
      <c r="D10" s="917">
        <f>'SO2'!S108</f>
        <v>3151332.8560000001</v>
      </c>
      <c r="E10" s="896">
        <f>'SO2'!T108</f>
        <v>427444.26666666678</v>
      </c>
      <c r="F10" s="893"/>
      <c r="G10" s="914">
        <f t="shared" si="0"/>
        <v>3578777.1226666667</v>
      </c>
      <c r="H10" s="890">
        <f>CO!S107</f>
        <v>36360</v>
      </c>
      <c r="I10" s="922">
        <f>CO!S108</f>
        <v>2185020.264</v>
      </c>
      <c r="J10" s="894">
        <f>CO!T108</f>
        <v>296374.40000000002</v>
      </c>
      <c r="K10" s="654"/>
      <c r="L10" s="914">
        <f t="shared" si="1"/>
        <v>2481394.6639999999</v>
      </c>
      <c r="M10" s="927">
        <f>'NO2'!S107</f>
        <v>48320</v>
      </c>
      <c r="N10" s="930">
        <f>'NO2'!S108</f>
        <v>2906267.0240000002</v>
      </c>
      <c r="O10" s="894">
        <f>'NO2'!T108</f>
        <v>394203.7333333334</v>
      </c>
      <c r="P10" s="654"/>
      <c r="Q10" s="914">
        <f t="shared" si="2"/>
        <v>3300470.7573333336</v>
      </c>
    </row>
    <row r="11" spans="2:18">
      <c r="B11" s="906" t="s">
        <v>286</v>
      </c>
      <c r="C11" s="196">
        <f>'SO2'!S109</f>
        <v>29716</v>
      </c>
      <c r="D11" s="898">
        <f>'SO2'!S110</f>
        <v>1660620.976</v>
      </c>
      <c r="E11" s="898">
        <f>'SO2'!T110</f>
        <v>534305.33333333337</v>
      </c>
      <c r="F11" s="899"/>
      <c r="G11" s="635">
        <f t="shared" si="0"/>
        <v>2194926.3093333333</v>
      </c>
      <c r="H11" s="923">
        <f>CO!S109</f>
        <v>20604</v>
      </c>
      <c r="I11" s="899">
        <f>CO!S110</f>
        <v>1151414.544</v>
      </c>
      <c r="J11" s="817">
        <f>CO!T110</f>
        <v>370468</v>
      </c>
      <c r="K11" s="817"/>
      <c r="L11" s="635">
        <f t="shared" si="1"/>
        <v>1521882.544</v>
      </c>
      <c r="M11" s="129">
        <f>'NO2'!S109</f>
        <v>34629.333333333336</v>
      </c>
      <c r="N11" s="817">
        <f>'NO2'!S110</f>
        <v>1991714.362666667</v>
      </c>
      <c r="O11" s="817">
        <f>'NO2'!T110</f>
        <v>492754.66666666669</v>
      </c>
      <c r="P11" s="817"/>
      <c r="Q11" s="635">
        <f t="shared" si="2"/>
        <v>2484469.0293333335</v>
      </c>
    </row>
    <row r="12" spans="2:18">
      <c r="B12" s="907" t="s">
        <v>287</v>
      </c>
      <c r="C12" s="902">
        <f>'SO2'!S111</f>
        <v>17043</v>
      </c>
      <c r="D12" s="896">
        <f>'SO2'!S112</f>
        <v>976175.84400000004</v>
      </c>
      <c r="E12" s="896"/>
      <c r="F12" s="893"/>
      <c r="G12" s="900">
        <f t="shared" si="0"/>
        <v>976175.84400000004</v>
      </c>
      <c r="H12" s="890">
        <f>CO!S111</f>
        <v>11817</v>
      </c>
      <c r="I12" s="654">
        <f>CO!S112</f>
        <v>676845.03599999996</v>
      </c>
      <c r="J12" s="894"/>
      <c r="K12" s="654"/>
      <c r="L12" s="900">
        <f t="shared" si="1"/>
        <v>676845.03599999996</v>
      </c>
      <c r="M12" s="927">
        <f>'NO2'!S111</f>
        <v>20133.333333333332</v>
      </c>
      <c r="N12" s="894">
        <f>'NO2'!S112</f>
        <v>1189509.7653333333</v>
      </c>
      <c r="O12" s="894"/>
      <c r="P12" s="654"/>
      <c r="Q12" s="900">
        <f t="shared" si="2"/>
        <v>1189509.7653333333</v>
      </c>
    </row>
    <row r="13" spans="2:18">
      <c r="B13" s="906" t="s">
        <v>288</v>
      </c>
      <c r="C13" s="196">
        <f>'SO2'!S113</f>
        <v>34044.5</v>
      </c>
      <c r="D13" s="898">
        <f>'SO2'!S114</f>
        <v>2001190.6189333338</v>
      </c>
      <c r="E13" s="898"/>
      <c r="F13" s="899"/>
      <c r="G13" s="635">
        <f t="shared" si="0"/>
        <v>2001190.6189333338</v>
      </c>
      <c r="H13" s="923">
        <f>CO!S113</f>
        <v>23653</v>
      </c>
      <c r="I13" s="899">
        <f>CO!S114</f>
        <v>1390677.4504000002</v>
      </c>
      <c r="J13" s="817"/>
      <c r="K13" s="817"/>
      <c r="L13" s="635">
        <f t="shared" si="1"/>
        <v>1390677.4504000002</v>
      </c>
      <c r="M13" s="129">
        <f>'NO2'!S113</f>
        <v>54664.5</v>
      </c>
      <c r="N13" s="817">
        <f>'NO2'!S114</f>
        <v>3258789.2623999999</v>
      </c>
      <c r="O13" s="817"/>
      <c r="P13" s="817"/>
      <c r="Q13" s="635">
        <f t="shared" si="2"/>
        <v>3258789.2623999999</v>
      </c>
    </row>
    <row r="14" spans="2:18" ht="13.5" thickBot="1">
      <c r="B14" s="908" t="s">
        <v>289</v>
      </c>
      <c r="C14" s="903">
        <f>'SO2'!S115</f>
        <v>18354</v>
      </c>
      <c r="D14" s="897">
        <f>'SO2'!S116</f>
        <v>1131124.3906666667</v>
      </c>
      <c r="E14" s="897"/>
      <c r="F14" s="891"/>
      <c r="G14" s="370">
        <f t="shared" si="0"/>
        <v>1131124.3906666667</v>
      </c>
      <c r="H14" s="890">
        <f>CO!S115</f>
        <v>12726</v>
      </c>
      <c r="I14" s="654">
        <f>CO!S116</f>
        <v>784280.75600000005</v>
      </c>
      <c r="J14" s="894"/>
      <c r="K14" s="654"/>
      <c r="L14" s="370">
        <f t="shared" si="1"/>
        <v>784280.75600000005</v>
      </c>
      <c r="M14" s="928">
        <f>'NO2'!S115</f>
        <v>16912</v>
      </c>
      <c r="N14" s="894">
        <f>'NO2'!S116</f>
        <v>1043161.6293333335</v>
      </c>
      <c r="O14" s="895"/>
      <c r="P14" s="654"/>
      <c r="Q14" s="370">
        <f t="shared" si="2"/>
        <v>1043161.6293333335</v>
      </c>
    </row>
    <row r="15" spans="2:18" ht="13.5" thickBot="1">
      <c r="B15" s="909" t="s">
        <v>290</v>
      </c>
      <c r="C15" s="921">
        <f t="shared" ref="C15:Q15" si="3">SUM(C8:C14)</f>
        <v>153471.98571428572</v>
      </c>
      <c r="D15" s="915">
        <f t="shared" si="3"/>
        <v>9028151.8148904759</v>
      </c>
      <c r="E15" s="901">
        <f t="shared" si="3"/>
        <v>961749.60000000009</v>
      </c>
      <c r="F15" s="892">
        <f t="shared" si="3"/>
        <v>801458</v>
      </c>
      <c r="G15" s="916">
        <f t="shared" si="3"/>
        <v>10791359.414890477</v>
      </c>
      <c r="H15" s="904">
        <f t="shared" si="3"/>
        <v>106533.8</v>
      </c>
      <c r="I15" s="915">
        <f t="shared" si="3"/>
        <v>6267813.0012047617</v>
      </c>
      <c r="J15" s="901">
        <f t="shared" si="3"/>
        <v>666842.4</v>
      </c>
      <c r="K15" s="925">
        <f t="shared" si="3"/>
        <v>555702</v>
      </c>
      <c r="L15" s="929">
        <f t="shared" si="3"/>
        <v>7490357.401204762</v>
      </c>
      <c r="M15" s="933">
        <f t="shared" si="3"/>
        <v>176293.43333333335</v>
      </c>
      <c r="N15" s="931">
        <f t="shared" si="3"/>
        <v>10483067.928323811</v>
      </c>
      <c r="O15" s="925">
        <f t="shared" si="3"/>
        <v>886958.40000000014</v>
      </c>
      <c r="P15" s="901">
        <f t="shared" si="3"/>
        <v>864784.44</v>
      </c>
      <c r="Q15" s="929">
        <f t="shared" si="3"/>
        <v>12234810.768323811</v>
      </c>
      <c r="R15" s="555"/>
    </row>
    <row r="16" spans="2:18">
      <c r="B16" s="932"/>
    </row>
    <row r="17" spans="2:17" ht="13.5" thickBot="1">
      <c r="B17" s="93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</row>
    <row r="18" spans="2:17">
      <c r="B18" s="1464" t="s">
        <v>277</v>
      </c>
      <c r="C18" s="1458" t="s">
        <v>381</v>
      </c>
      <c r="D18" s="1459"/>
      <c r="E18" s="1459"/>
      <c r="F18" s="1459"/>
      <c r="G18" s="1460"/>
      <c r="H18" s="1458" t="s">
        <v>382</v>
      </c>
      <c r="I18" s="1459"/>
      <c r="J18" s="1459"/>
      <c r="K18" s="1459"/>
      <c r="L18" s="1460"/>
      <c r="M18" s="1458" t="s">
        <v>377</v>
      </c>
      <c r="N18" s="1459"/>
      <c r="O18" s="1459"/>
      <c r="P18" s="1459"/>
      <c r="Q18" s="1460"/>
    </row>
    <row r="19" spans="2:17" ht="26.25" thickBot="1">
      <c r="B19" s="1465"/>
      <c r="C19" s="910" t="s">
        <v>278</v>
      </c>
      <c r="D19" s="911" t="s">
        <v>279</v>
      </c>
      <c r="E19" s="911" t="s">
        <v>280</v>
      </c>
      <c r="F19" s="912" t="s">
        <v>281</v>
      </c>
      <c r="G19" s="913" t="s">
        <v>282</v>
      </c>
      <c r="H19" s="910" t="s">
        <v>278</v>
      </c>
      <c r="I19" s="911" t="s">
        <v>279</v>
      </c>
      <c r="J19" s="911" t="s">
        <v>280</v>
      </c>
      <c r="K19" s="912" t="s">
        <v>281</v>
      </c>
      <c r="L19" s="913" t="s">
        <v>282</v>
      </c>
      <c r="M19" s="910" t="s">
        <v>278</v>
      </c>
      <c r="N19" s="911" t="s">
        <v>279</v>
      </c>
      <c r="O19" s="911" t="s">
        <v>280</v>
      </c>
      <c r="P19" s="912" t="s">
        <v>281</v>
      </c>
      <c r="Q19" s="913" t="s">
        <v>282</v>
      </c>
    </row>
    <row r="20" spans="2:17">
      <c r="B20" s="905" t="s">
        <v>283</v>
      </c>
      <c r="C20" s="926">
        <f>'O3'!R112</f>
        <v>830.57142857142856</v>
      </c>
      <c r="D20" s="924">
        <f>'O3'!R113</f>
        <v>54864.372000000003</v>
      </c>
      <c r="E20" s="924"/>
      <c r="F20" s="654"/>
      <c r="G20" s="900">
        <f t="shared" ref="G20:G26" si="4">SUM(D20:F20)</f>
        <v>54864.372000000003</v>
      </c>
      <c r="H20" s="1017">
        <f>'PM10'!S152</f>
        <v>625.71428571428567</v>
      </c>
      <c r="I20" s="1243">
        <f>'PM10'!S153</f>
        <v>52685.754666666668</v>
      </c>
      <c r="J20" s="1057"/>
      <c r="K20" s="890"/>
      <c r="L20" s="777">
        <f t="shared" ref="L20:L26" si="5">SUM(I20:K20)</f>
        <v>52685.754666666668</v>
      </c>
      <c r="M20" s="1017">
        <f>'PM25'!S231</f>
        <v>399</v>
      </c>
      <c r="N20" s="1248">
        <f>'PM25'!S232</f>
        <v>25878.96266666667</v>
      </c>
      <c r="O20" s="902"/>
      <c r="P20" s="890"/>
      <c r="Q20" s="1223">
        <f t="shared" ref="Q20:Q26" si="6">SUM(N20:P20)</f>
        <v>25878.96266666667</v>
      </c>
    </row>
    <row r="21" spans="2:17">
      <c r="B21" s="906" t="s">
        <v>284</v>
      </c>
      <c r="C21" s="175">
        <f>'O3'!R114</f>
        <v>3610.2857142857151</v>
      </c>
      <c r="D21" s="934">
        <f>'O3'!R115</f>
        <v>188847.86657142857</v>
      </c>
      <c r="E21" s="817"/>
      <c r="F21" s="817">
        <f>'O3'!T115</f>
        <v>1833580.8</v>
      </c>
      <c r="G21" s="920">
        <f t="shared" si="4"/>
        <v>2022428.6665714285</v>
      </c>
      <c r="H21" s="175">
        <f>'PM10'!S154</f>
        <v>1512.3714285714286</v>
      </c>
      <c r="I21" s="934">
        <f>'PM10'!S155</f>
        <v>82005.545866666667</v>
      </c>
      <c r="J21" s="196"/>
      <c r="K21" s="952">
        <f>'PM10'!U155</f>
        <v>2040596.524761905</v>
      </c>
      <c r="L21" s="920">
        <f t="shared" si="5"/>
        <v>2122602.0706285718</v>
      </c>
      <c r="M21" s="175">
        <f>'PM25'!S233</f>
        <v>5625.0285714285719</v>
      </c>
      <c r="N21" s="196">
        <f>'PM25'!S234</f>
        <v>405122.76620000007</v>
      </c>
      <c r="O21" s="196"/>
      <c r="P21" s="952">
        <f>'PM25'!U234</f>
        <v>5191172.731428571</v>
      </c>
      <c r="Q21" s="1250">
        <f t="shared" si="6"/>
        <v>5596295.4976285715</v>
      </c>
    </row>
    <row r="22" spans="2:17">
      <c r="B22" s="907" t="s">
        <v>285</v>
      </c>
      <c r="C22" s="927">
        <f>'O3'!R116</f>
        <v>104960.00000000001</v>
      </c>
      <c r="D22" s="894">
        <f>'O3'!R117</f>
        <v>5451932.6151111117</v>
      </c>
      <c r="E22" s="894">
        <f>'O3'!S117</f>
        <v>855540.62222222239</v>
      </c>
      <c r="F22" s="654"/>
      <c r="G22" s="777">
        <f t="shared" si="4"/>
        <v>6307473.2373333341</v>
      </c>
      <c r="H22" s="943">
        <f>'PM10'!S156</f>
        <v>20117.333333333332</v>
      </c>
      <c r="I22" s="930">
        <f>'PM10'!S157</f>
        <v>9941131.1763333324</v>
      </c>
      <c r="J22" s="1018">
        <f>'PM10'!T157</f>
        <v>909308.60450267838</v>
      </c>
      <c r="K22" s="1050">
        <f>'PM10'!U62</f>
        <v>161915.99999999997</v>
      </c>
      <c r="L22" s="914">
        <f t="shared" si="5"/>
        <v>11012355.78083601</v>
      </c>
      <c r="M22" s="943">
        <f>'PM25'!S235</f>
        <v>19392</v>
      </c>
      <c r="N22" s="1018">
        <f>'PM25'!S236</f>
        <v>15274202.458666667</v>
      </c>
      <c r="O22" s="1018">
        <f>'PM25'!T236</f>
        <v>455565.60000000003</v>
      </c>
      <c r="P22" s="1244">
        <f>'PM25'!U236</f>
        <v>8642232.0906666666</v>
      </c>
      <c r="Q22" s="1223">
        <f t="shared" si="6"/>
        <v>24372000.149333335</v>
      </c>
    </row>
    <row r="23" spans="2:17">
      <c r="B23" s="906" t="s">
        <v>286</v>
      </c>
      <c r="C23" s="129">
        <f>'O3'!R118</f>
        <v>59477.333333333343</v>
      </c>
      <c r="D23" s="817">
        <f>'O3'!R119</f>
        <v>3323775.3173333341</v>
      </c>
      <c r="E23" s="817">
        <f>'O3'!S119</f>
        <v>1069425.777777778</v>
      </c>
      <c r="F23" s="817"/>
      <c r="G23" s="635">
        <f t="shared" si="4"/>
        <v>4393201.0951111121</v>
      </c>
      <c r="H23" s="175">
        <f>'PM10'!S158</f>
        <v>49440</v>
      </c>
      <c r="I23" s="934">
        <f>'PM10'!S159</f>
        <v>2611003.4440000001</v>
      </c>
      <c r="J23" s="918">
        <f>'PM10'!T159</f>
        <v>1121539.9066666667</v>
      </c>
      <c r="K23" s="948"/>
      <c r="L23" s="920">
        <f t="shared" si="5"/>
        <v>3732543.3506666669</v>
      </c>
      <c r="M23" s="175">
        <f>'PM25'!S237</f>
        <v>53138</v>
      </c>
      <c r="N23" s="918">
        <f>'PM25'!S238</f>
        <v>2995437.9653333328</v>
      </c>
      <c r="O23" s="918">
        <f>'PM25'!T238</f>
        <v>624330.28</v>
      </c>
      <c r="P23" s="948"/>
      <c r="Q23" s="1250">
        <f t="shared" si="6"/>
        <v>3619768.2453333326</v>
      </c>
    </row>
    <row r="24" spans="2:17">
      <c r="B24" s="907" t="s">
        <v>287</v>
      </c>
      <c r="C24" s="927">
        <f>'O3'!R120</f>
        <v>34112</v>
      </c>
      <c r="D24" s="894">
        <f>'O3'!R121</f>
        <v>1953840.8960000004</v>
      </c>
      <c r="E24" s="894"/>
      <c r="F24" s="654"/>
      <c r="G24" s="900">
        <f t="shared" si="4"/>
        <v>1953840.8960000004</v>
      </c>
      <c r="H24" s="943">
        <f>'PM10'!S160</f>
        <v>152422.75772558714</v>
      </c>
      <c r="I24" s="930">
        <f>'PM10'!S161</f>
        <v>8378209.5999505566</v>
      </c>
      <c r="J24" s="902"/>
      <c r="K24" s="890"/>
      <c r="L24" s="914">
        <f t="shared" si="5"/>
        <v>8378209.5999505566</v>
      </c>
      <c r="M24" s="943">
        <f>'PM25'!S239</f>
        <v>193214.5</v>
      </c>
      <c r="N24" s="1018">
        <f>'PM25'!S240</f>
        <v>11149626.936000001</v>
      </c>
      <c r="O24" s="902"/>
      <c r="P24" s="890"/>
      <c r="Q24" s="1223">
        <f t="shared" si="6"/>
        <v>11149626.936000001</v>
      </c>
    </row>
    <row r="25" spans="2:17">
      <c r="B25" s="906" t="s">
        <v>288</v>
      </c>
      <c r="C25" s="129">
        <f>'O3'!R122</f>
        <v>68711.833333333343</v>
      </c>
      <c r="D25" s="817">
        <f>'O3'!R123</f>
        <v>4029319.1113777789</v>
      </c>
      <c r="E25" s="817"/>
      <c r="F25" s="817"/>
      <c r="G25" s="635">
        <f t="shared" si="4"/>
        <v>4029319.1113777789</v>
      </c>
      <c r="H25" s="175">
        <f>'PM10'!S162</f>
        <v>41943.066666666666</v>
      </c>
      <c r="I25" s="934">
        <f>'PM10'!S163</f>
        <v>2487051.4136000001</v>
      </c>
      <c r="J25" s="196"/>
      <c r="K25" s="1056">
        <f>'PM10'!T131</f>
        <v>6243.6346666666668</v>
      </c>
      <c r="L25" s="920">
        <f t="shared" si="5"/>
        <v>2493295.0482666669</v>
      </c>
      <c r="M25" s="175">
        <f>'PM25'!S241</f>
        <v>59263</v>
      </c>
      <c r="N25" s="918">
        <f>'PM25'!S242</f>
        <v>3361085.3559999997</v>
      </c>
      <c r="O25" s="196"/>
      <c r="P25" s="952">
        <f>'PM25'!U242</f>
        <v>6010.2800000000007</v>
      </c>
      <c r="Q25" s="1250">
        <f t="shared" si="6"/>
        <v>3367095.6359999995</v>
      </c>
    </row>
    <row r="26" spans="2:17" ht="13.5" thickBot="1">
      <c r="B26" s="908" t="s">
        <v>289</v>
      </c>
      <c r="C26" s="927">
        <f>'O3'!R124</f>
        <v>36736.000000000007</v>
      </c>
      <c r="D26" s="895">
        <f>'O3'!R125</f>
        <v>2263974.3715555561</v>
      </c>
      <c r="E26" s="895"/>
      <c r="F26" s="654"/>
      <c r="G26" s="370">
        <f t="shared" si="4"/>
        <v>2263974.3715555561</v>
      </c>
      <c r="H26" s="928">
        <f>'PM10'!S164</f>
        <v>13012</v>
      </c>
      <c r="I26" s="895">
        <f>'PM10'!S165</f>
        <v>862204.97066666663</v>
      </c>
      <c r="J26" s="903"/>
      <c r="K26" s="890"/>
      <c r="L26" s="900">
        <f t="shared" si="5"/>
        <v>862204.97066666663</v>
      </c>
      <c r="M26" s="943">
        <f>'PM25'!S243</f>
        <v>79830</v>
      </c>
      <c r="N26" s="1249">
        <f>'PM25'!S244</f>
        <v>5080565.1400000006</v>
      </c>
      <c r="O26" s="902"/>
      <c r="P26" s="890"/>
      <c r="Q26" s="1223">
        <f t="shared" si="6"/>
        <v>5080565.1400000006</v>
      </c>
    </row>
    <row r="27" spans="2:17" ht="13.5" thickBot="1">
      <c r="B27" s="909" t="s">
        <v>290</v>
      </c>
      <c r="C27" s="933">
        <f t="shared" ref="C27:L27" si="7">SUM(C20:C26)</f>
        <v>308438.02380952385</v>
      </c>
      <c r="D27" s="931">
        <f t="shared" si="7"/>
        <v>17266554.54994921</v>
      </c>
      <c r="E27" s="901">
        <f t="shared" si="7"/>
        <v>1924966.4000000004</v>
      </c>
      <c r="F27" s="892">
        <f t="shared" si="7"/>
        <v>1833580.8</v>
      </c>
      <c r="G27" s="916">
        <f t="shared" si="7"/>
        <v>21025101.749949209</v>
      </c>
      <c r="H27" s="933">
        <f t="shared" si="7"/>
        <v>279073.24343987287</v>
      </c>
      <c r="I27" s="915">
        <f t="shared" si="7"/>
        <v>24414291.905083891</v>
      </c>
      <c r="J27" s="915">
        <f t="shared" si="7"/>
        <v>2030848.5111693451</v>
      </c>
      <c r="K27" s="915">
        <f t="shared" si="7"/>
        <v>2208756.1594285718</v>
      </c>
      <c r="L27" s="915">
        <f t="shared" si="7"/>
        <v>28653896.575681806</v>
      </c>
      <c r="M27" s="933">
        <f>SUM(M20:M26)</f>
        <v>410861.52857142856</v>
      </c>
      <c r="N27" s="1245">
        <f>SUM(N20:N26)</f>
        <v>38291919.584866665</v>
      </c>
      <c r="O27" s="1246">
        <f>SUM(O20:O26)</f>
        <v>1079895.8800000001</v>
      </c>
      <c r="P27" s="1245">
        <f>SUM(P20:P26)</f>
        <v>13839415.102095237</v>
      </c>
      <c r="Q27" s="1224">
        <f>SUM(Q20:Q26)</f>
        <v>53211230.566961907</v>
      </c>
    </row>
    <row r="28" spans="2:17">
      <c r="H28" s="870"/>
      <c r="I28" s="870"/>
      <c r="J28" s="870"/>
      <c r="K28" s="870"/>
      <c r="L28" s="870"/>
      <c r="M28" s="870"/>
      <c r="N28" s="870"/>
      <c r="O28" s="870"/>
      <c r="P28" s="870"/>
      <c r="Q28" s="870"/>
    </row>
    <row r="29" spans="2:17" ht="13.5" thickBot="1"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5"/>
      <c r="P29" s="5"/>
      <c r="Q29" s="5"/>
    </row>
    <row r="30" spans="2:17">
      <c r="B30" s="1464" t="s">
        <v>277</v>
      </c>
      <c r="C30" s="1458" t="s">
        <v>383</v>
      </c>
      <c r="D30" s="1459"/>
      <c r="E30" s="1459"/>
      <c r="F30" s="1459"/>
      <c r="G30" s="1460"/>
      <c r="H30" s="1458" t="s">
        <v>384</v>
      </c>
      <c r="I30" s="1459"/>
      <c r="J30" s="1459"/>
      <c r="K30" s="1459"/>
      <c r="L30" s="1460"/>
      <c r="M30" s="1461" t="s">
        <v>385</v>
      </c>
      <c r="N30" s="1462"/>
      <c r="O30" s="1462"/>
      <c r="P30" s="1462"/>
      <c r="Q30" s="1463"/>
    </row>
    <row r="31" spans="2:17" ht="26.25" thickBot="1">
      <c r="B31" s="1465"/>
      <c r="C31" s="910" t="s">
        <v>278</v>
      </c>
      <c r="D31" s="911" t="s">
        <v>279</v>
      </c>
      <c r="E31" s="911" t="s">
        <v>280</v>
      </c>
      <c r="F31" s="912" t="s">
        <v>281</v>
      </c>
      <c r="G31" s="913" t="s">
        <v>282</v>
      </c>
      <c r="H31" s="910" t="s">
        <v>278</v>
      </c>
      <c r="I31" s="911" t="s">
        <v>279</v>
      </c>
      <c r="J31" s="911" t="s">
        <v>280</v>
      </c>
      <c r="K31" s="912" t="s">
        <v>281</v>
      </c>
      <c r="L31" s="913" t="s">
        <v>282</v>
      </c>
      <c r="M31" s="910" t="s">
        <v>278</v>
      </c>
      <c r="N31" s="911" t="s">
        <v>279</v>
      </c>
      <c r="O31" s="911" t="s">
        <v>280</v>
      </c>
      <c r="P31" s="912" t="s">
        <v>281</v>
      </c>
      <c r="Q31" s="913" t="s">
        <v>282</v>
      </c>
    </row>
    <row r="32" spans="2:17" ht="13.5" thickBot="1">
      <c r="B32" s="905" t="s">
        <v>283</v>
      </c>
      <c r="C32" s="926">
        <f>Pb!S102</f>
        <v>267.85714285714289</v>
      </c>
      <c r="D32" s="949">
        <f>Pb!S103</f>
        <v>16348.800000000003</v>
      </c>
      <c r="E32" s="949"/>
      <c r="F32" s="654"/>
      <c r="G32" s="900">
        <f t="shared" ref="G32:G38" si="8">SUM(D32:F32)</f>
        <v>16348.800000000003</v>
      </c>
      <c r="H32" s="926"/>
      <c r="I32" s="949"/>
      <c r="J32" s="949"/>
      <c r="K32" s="949"/>
      <c r="L32" s="1013">
        <f t="shared" ref="L32:L38" si="9">SUM(H32:K32)</f>
        <v>0</v>
      </c>
      <c r="M32" s="1017">
        <f>PAMSNMOC!S103+PAMSNOx!S104+NF_PAMSSurfMet!S100+PAMS_Upper_Air!S101+PAMSCarbE!S108+PAMSCarbD!S108+PAMSHalfD!S108+PAMSVOC!S104</f>
        <v>197.60000000000002</v>
      </c>
      <c r="N32" s="1017">
        <f>PAMSNMOC!S104+PAMSNOx!S105+NF_PAMSSurfMet!S101+PAMS_Upper_Air!S102+PAMSCarbE!S109+PAMSCarbD!S109+PAMSHalfD!S109+PAMSVOC!S105</f>
        <v>13097.419066666667</v>
      </c>
      <c r="O32" s="1017"/>
      <c r="P32" s="1399"/>
      <c r="Q32" s="1402">
        <f>+N32+O32+P32</f>
        <v>13097.419066666667</v>
      </c>
    </row>
    <row r="33" spans="2:17" ht="13.5" thickBot="1">
      <c r="B33" s="906" t="s">
        <v>284</v>
      </c>
      <c r="C33" s="129">
        <f>Pb!S104</f>
        <v>539.42857142857144</v>
      </c>
      <c r="D33" s="919">
        <f>Pb!S105</f>
        <v>22836.618666666669</v>
      </c>
      <c r="E33" s="898"/>
      <c r="F33" s="899">
        <f>Pb!U105</f>
        <v>87595.333333333343</v>
      </c>
      <c r="G33" s="920">
        <f>SUM(D33:F33)</f>
        <v>110431.95200000002</v>
      </c>
      <c r="H33" s="129"/>
      <c r="I33" s="898"/>
      <c r="J33" s="898"/>
      <c r="K33" s="898"/>
      <c r="L33" s="1015">
        <f t="shared" si="9"/>
        <v>0</v>
      </c>
      <c r="M33" s="1017">
        <f>PAMSNMOC!S105+PAMSNOx!S106+NF_PAMSSurfMet!S102+PAMS_Upper_Air!S103+PAMSCarbE!S110+PAMSCarbD!S110+PAMSHalfD!S110+PAMSVOC!S106</f>
        <v>1027.8400000000001</v>
      </c>
      <c r="N33" s="1017">
        <f>PAMSNMOC!S106+PAMSNOx!S107+NF_PAMSSurfMet!S103+PAMS_Upper_Air!S104+PAMSCarbE!S111+PAMSCarbD!S111+PAMSHalfD!S111+PAMSVOC!S107</f>
        <v>485130.70322000002</v>
      </c>
      <c r="O33" s="1017"/>
      <c r="P33" s="1017">
        <f>PAMSNMOC!U106+PAMSNOx!U107+NF_PAMSSurfMet!U103+PAMS_Upper_Air!V104+PAMSCarbE!U111+PAMSCarbD!U111+PAMSHalfD!U111+PAMSVOC!U107</f>
        <v>1868641.1217999998</v>
      </c>
      <c r="Q33" s="1402">
        <f t="shared" ref="Q33:Q39" si="10">+N33+O33+P33</f>
        <v>2353771.8250199999</v>
      </c>
    </row>
    <row r="34" spans="2:17" ht="13.5" thickBot="1">
      <c r="B34" s="907" t="s">
        <v>285</v>
      </c>
      <c r="C34" s="927">
        <f>Pb!S106</f>
        <v>21240</v>
      </c>
      <c r="D34" s="896">
        <f>Pb!S107</f>
        <v>1117551.568</v>
      </c>
      <c r="E34" s="896">
        <f>Pb!T107</f>
        <v>86564.800000000003</v>
      </c>
      <c r="F34" s="654">
        <f>Pb!U107</f>
        <v>464564.42666666675</v>
      </c>
      <c r="G34" s="900">
        <f t="shared" si="8"/>
        <v>1668680.7946666668</v>
      </c>
      <c r="H34" s="927"/>
      <c r="I34" s="896"/>
      <c r="J34" s="896"/>
      <c r="K34" s="896">
        <f>NATTS!U52</f>
        <v>3480283.9866666663</v>
      </c>
      <c r="L34" s="1014">
        <f t="shared" si="9"/>
        <v>3480283.9866666663</v>
      </c>
      <c r="M34" s="1017">
        <f>PAMSNMOC!S107+PAMSNOx!S108+NF_PAMSSurfMet!S104+PAMS_Upper_Air!S105+PAMSCarbE!S112+PAMSCarbD!S112+PAMSHalfD!S112+PAMSVOC!S108</f>
        <v>16728</v>
      </c>
      <c r="N34" s="1017">
        <f>PAMSNMOC!S108+PAMSNOx!S109+NF_PAMSSurfMet!S105+PAMS_Upper_Air!S106+PAMSCarbE!S113+PAMSCarbD!S113+PAMSHalfD!S113+PAMSVOC!S109</f>
        <v>1741506.1600000001</v>
      </c>
      <c r="O34" s="1017">
        <f>PAMSNMOC!T108+PAMSNOx!T109+NF_PAMSSurfMet!T105+PAMS_Upper_Air!T106+PAMSCarbE!T113+PAMSCarbD!T113+PAMSHalfD!T113+PAMSVOC!T109</f>
        <v>1059515.2493333335</v>
      </c>
      <c r="P34" s="1017">
        <f>PAMSCarbE!U113+PAMSCarbD!U113+PAMSHalfD!U113</f>
        <v>293440</v>
      </c>
      <c r="Q34" s="1402">
        <f t="shared" si="10"/>
        <v>3094461.4093333334</v>
      </c>
    </row>
    <row r="35" spans="2:17" ht="13.5" thickBot="1">
      <c r="B35" s="906" t="s">
        <v>286</v>
      </c>
      <c r="C35" s="129">
        <f>Pb!S108</f>
        <v>3776</v>
      </c>
      <c r="D35" s="898">
        <f>Pb!S109</f>
        <v>188711.264</v>
      </c>
      <c r="E35" s="919">
        <f>Pb!T109</f>
        <v>86564.800000000003</v>
      </c>
      <c r="F35" s="899"/>
      <c r="G35" s="920">
        <f t="shared" si="8"/>
        <v>275276.06400000001</v>
      </c>
      <c r="H35" s="129"/>
      <c r="I35" s="898"/>
      <c r="J35" s="898"/>
      <c r="K35" s="898"/>
      <c r="L35" s="1015">
        <f t="shared" si="9"/>
        <v>0</v>
      </c>
      <c r="M35" s="1017">
        <f>PAMSNMOC!S109+PAMSNOx!S110+NF_PAMSSurfMet!S106+PAMS_Upper_Air!S107+PAMSCarbE!S114+PAMSCarbD!S114+PAMSHalfD!S114+PAMSVOC!S110</f>
        <v>14192</v>
      </c>
      <c r="N35" s="1017">
        <f>PAMSNMOC!S110+PAMSNOx!S111+NF_PAMSSurfMet!S107+PAMS_Upper_Air!S108+PAMSCarbE!S115+PAMSCarbD!S115+PAMSHalfD!S115+PAMSVOC!S111</f>
        <v>899032.55066666671</v>
      </c>
      <c r="O35" s="1017">
        <f>PAMSNMOC!T110+PAMSNOx!T111+NF_PAMSSurfMet!T107+PAMS_Upper_Air!T108+PAMSCarbE!T115+PAMSCarbD!T115+PAMSHalfD!T115+PAMSVOC!T111</f>
        <v>561257.79733333329</v>
      </c>
      <c r="P35" s="1017"/>
      <c r="Q35" s="1402">
        <f t="shared" si="10"/>
        <v>1460290.348</v>
      </c>
    </row>
    <row r="36" spans="2:17" ht="13.5" thickBot="1">
      <c r="B36" s="907" t="s">
        <v>287</v>
      </c>
      <c r="C36" s="943">
        <f>Pb!S110</f>
        <v>4956</v>
      </c>
      <c r="D36" s="896">
        <f>Pb!S111</f>
        <v>292300.47466666671</v>
      </c>
      <c r="E36" s="896"/>
      <c r="F36" s="654"/>
      <c r="G36" s="900">
        <f t="shared" si="8"/>
        <v>292300.47466666671</v>
      </c>
      <c r="H36" s="927"/>
      <c r="I36" s="896"/>
      <c r="J36" s="896"/>
      <c r="K36" s="896"/>
      <c r="L36" s="1014">
        <f t="shared" si="9"/>
        <v>0</v>
      </c>
      <c r="M36" s="1017">
        <f>PAMSNMOC!S111+PAMSNOx!S112+NF_PAMSSurfMet!S108+PAMS_Upper_Air!S109+PAMSCarbE!S116+PAMSCarbD!S116+PAMSHalfD!S116+PAMSVOC!S112</f>
        <v>14340</v>
      </c>
      <c r="N36" s="1017">
        <f>PAMSNMOC!S112+PAMSNOx!S113+NF_PAMSSurfMet!S109+PAMS_Upper_Air!S110+PAMSCarbE!S117+PAMSCarbD!S117+PAMSHalfD!S117+PAMSVOC!S113</f>
        <v>864450.89266666677</v>
      </c>
      <c r="O36" s="1017"/>
      <c r="P36" s="1017"/>
      <c r="Q36" s="1402">
        <f t="shared" si="10"/>
        <v>864450.89266666677</v>
      </c>
    </row>
    <row r="37" spans="2:17" ht="13.5" thickBot="1">
      <c r="B37" s="906" t="s">
        <v>288</v>
      </c>
      <c r="C37" s="129">
        <f>Pb!S112</f>
        <v>4937.5</v>
      </c>
      <c r="D37" s="919">
        <f>Pb!S113</f>
        <v>234236.03466666667</v>
      </c>
      <c r="E37" s="898"/>
      <c r="F37" s="899"/>
      <c r="G37" s="920">
        <f t="shared" si="8"/>
        <v>234236.03466666667</v>
      </c>
      <c r="H37" s="129"/>
      <c r="I37" s="898"/>
      <c r="J37" s="898"/>
      <c r="K37" s="898"/>
      <c r="L37" s="1015">
        <f t="shared" si="9"/>
        <v>0</v>
      </c>
      <c r="M37" s="1017">
        <f>PAMSNMOC!S113+PAMSNOx!S114+NF_PAMSSurfMet!S110+PAMS_Upper_Air!S111+PAMSCarbE!S118+PAMSCarbD!S118+PAMSHalfD!S118+PAMSVOC!S114</f>
        <v>31144.9</v>
      </c>
      <c r="N37" s="1017">
        <f>PAMSNMOC!S114+PAMSNOx!S115+NF_PAMSSurfMet!S111+PAMS_Upper_Air!S112+PAMSCarbE!S119+PAMSCarbD!S119+PAMSHalfD!S119+PAMSVOC!S115</f>
        <v>1808283.5707999999</v>
      </c>
      <c r="O37" s="1017">
        <f>PAMSNMOC!T114+PAMSNOx!T115+NF_PAMSSurfMet!T111+PAMS_Upper_Air!T112+PAMSCarbE!T119+PAMSCarbD!T119+PAMSHalfD!T119</f>
        <v>113310.3888</v>
      </c>
      <c r="P37" s="1017"/>
      <c r="Q37" s="1402">
        <f t="shared" si="10"/>
        <v>1921593.9595999999</v>
      </c>
    </row>
    <row r="38" spans="2:17" ht="13.5" thickBot="1">
      <c r="B38" s="908" t="s">
        <v>289</v>
      </c>
      <c r="C38" s="928">
        <f>Pb!S114</f>
        <v>2360</v>
      </c>
      <c r="D38" s="897">
        <f>Pb!S115</f>
        <v>151199.85066666667</v>
      </c>
      <c r="E38" s="897"/>
      <c r="F38" s="654"/>
      <c r="G38" s="900">
        <f t="shared" si="8"/>
        <v>151199.85066666667</v>
      </c>
      <c r="H38" s="1016"/>
      <c r="I38" s="104"/>
      <c r="J38" s="104"/>
      <c r="K38" s="104"/>
      <c r="L38" s="360">
        <f t="shared" si="9"/>
        <v>0</v>
      </c>
      <c r="M38" s="1017">
        <f>PAMSNMOC!S115+PAMSNOx!S116+NF_PAMSSurfMet!S112+PAMS_Upper_Air!S113+PAMSCarbE!S120+PAMSCarbD!S120+PAMSHalfD!S120+PAMSVOC!S116</f>
        <v>11512</v>
      </c>
      <c r="N38" s="1017">
        <f>PAMSNMOC!S116+PAMSNOx!S117+NF_PAMSSurfMet!S113+PAMS_Upper_Air!S114+PAMSCarbE!S121+PAMSCarbD!S121+PAMSHalfD!S121+PAMSVOC!S117</f>
        <v>722622.65600000008</v>
      </c>
      <c r="O38" s="1017"/>
      <c r="P38" s="1017"/>
      <c r="Q38" s="1402">
        <f t="shared" si="10"/>
        <v>722622.65600000008</v>
      </c>
    </row>
    <row r="39" spans="2:17" ht="13.5" thickBot="1">
      <c r="B39" s="909" t="s">
        <v>290</v>
      </c>
      <c r="C39" s="933">
        <f t="shared" ref="C39:N39" si="11">SUM(C32:C38)</f>
        <v>38076.78571428571</v>
      </c>
      <c r="D39" s="915">
        <f t="shared" si="11"/>
        <v>2023184.6106666666</v>
      </c>
      <c r="E39" s="915">
        <f t="shared" si="11"/>
        <v>173129.60000000001</v>
      </c>
      <c r="F39" s="901">
        <f t="shared" si="11"/>
        <v>552159.76000000013</v>
      </c>
      <c r="G39" s="901">
        <f t="shared" si="11"/>
        <v>2748473.970666667</v>
      </c>
      <c r="H39" s="928">
        <f t="shared" si="11"/>
        <v>0</v>
      </c>
      <c r="I39" s="897">
        <f t="shared" si="11"/>
        <v>0</v>
      </c>
      <c r="J39" s="897">
        <f t="shared" si="11"/>
        <v>0</v>
      </c>
      <c r="K39" s="901">
        <f t="shared" si="11"/>
        <v>3480283.9866666663</v>
      </c>
      <c r="L39" s="895">
        <f t="shared" si="11"/>
        <v>3480283.9866666663</v>
      </c>
      <c r="M39" s="903">
        <f t="shared" si="11"/>
        <v>89142.34</v>
      </c>
      <c r="N39" s="903">
        <f t="shared" si="11"/>
        <v>6534123.9524200009</v>
      </c>
      <c r="O39" s="903">
        <f t="shared" ref="O39:P39" si="12">SUM(O32:O38)</f>
        <v>1734083.4354666669</v>
      </c>
      <c r="P39" s="903">
        <f t="shared" si="12"/>
        <v>2162081.1217999998</v>
      </c>
      <c r="Q39" s="1403">
        <f t="shared" si="10"/>
        <v>10430288.509686667</v>
      </c>
    </row>
    <row r="41" spans="2:17" ht="13.5" thickBot="1">
      <c r="C41" s="4"/>
      <c r="D41" s="4"/>
      <c r="E41" s="4"/>
      <c r="F41" s="4"/>
      <c r="G41" s="4"/>
    </row>
    <row r="42" spans="2:17">
      <c r="B42" s="1464" t="s">
        <v>277</v>
      </c>
      <c r="C42" s="1466" t="s">
        <v>386</v>
      </c>
      <c r="D42" s="1459"/>
      <c r="E42" s="1459"/>
      <c r="F42" s="1459"/>
      <c r="G42" s="1460"/>
    </row>
    <row r="43" spans="2:17" ht="26.25" thickBot="1">
      <c r="B43" s="1465"/>
      <c r="C43" s="910" t="s">
        <v>278</v>
      </c>
      <c r="D43" s="911" t="s">
        <v>279</v>
      </c>
      <c r="E43" s="911" t="s">
        <v>280</v>
      </c>
      <c r="F43" s="912" t="s">
        <v>281</v>
      </c>
      <c r="G43" s="913" t="s">
        <v>282</v>
      </c>
    </row>
    <row r="44" spans="2:17">
      <c r="B44" s="905" t="s">
        <v>283</v>
      </c>
      <c r="C44" s="926">
        <f>Generic!S87</f>
        <v>41504</v>
      </c>
      <c r="D44" s="944">
        <f>Generic!S88</f>
        <v>2220959.7475000001</v>
      </c>
      <c r="E44" s="951"/>
      <c r="F44" s="890">
        <f>Generic!U88</f>
        <v>4431263.9775172016</v>
      </c>
      <c r="G44" s="900">
        <f t="shared" ref="G44:G50" si="13">SUM(D44:F44)</f>
        <v>6652223.7250172012</v>
      </c>
    </row>
    <row r="45" spans="2:17">
      <c r="B45" s="906" t="s">
        <v>284</v>
      </c>
      <c r="C45" s="129"/>
      <c r="D45" s="184"/>
      <c r="E45" s="25"/>
      <c r="F45" s="948">
        <f>Generic!U90</f>
        <v>23381244.704000004</v>
      </c>
      <c r="G45" s="635">
        <f t="shared" si="13"/>
        <v>23381244.704000004</v>
      </c>
    </row>
    <row r="46" spans="2:17">
      <c r="B46" s="907" t="s">
        <v>285</v>
      </c>
      <c r="C46" s="954">
        <f>Generic!S91</f>
        <v>11906</v>
      </c>
      <c r="D46" s="945">
        <f>Generic!S92</f>
        <v>778061.12333333341</v>
      </c>
      <c r="E46" s="945">
        <f>Generic!T92</f>
        <v>3631762.6053333334</v>
      </c>
      <c r="F46" s="890"/>
      <c r="G46" s="900">
        <f t="shared" si="13"/>
        <v>4409823.7286666669</v>
      </c>
    </row>
    <row r="47" spans="2:17">
      <c r="B47" s="906" t="s">
        <v>286</v>
      </c>
      <c r="C47" s="129"/>
      <c r="D47" s="25"/>
      <c r="E47" s="184"/>
      <c r="F47" s="948"/>
      <c r="G47" s="635">
        <f t="shared" si="13"/>
        <v>0</v>
      </c>
    </row>
    <row r="48" spans="2:17">
      <c r="B48" s="907" t="s">
        <v>287</v>
      </c>
      <c r="C48" s="927">
        <f>Generic!S95</f>
        <v>174720</v>
      </c>
      <c r="D48" s="945">
        <f>Generic!S96</f>
        <v>9425146.0800000001</v>
      </c>
      <c r="E48" s="946"/>
      <c r="F48" s="890"/>
      <c r="G48" s="914">
        <f t="shared" si="13"/>
        <v>9425146.0800000001</v>
      </c>
    </row>
    <row r="49" spans="2:7">
      <c r="B49" s="906" t="s">
        <v>288</v>
      </c>
      <c r="C49" s="129"/>
      <c r="D49" s="25"/>
      <c r="E49" s="184"/>
      <c r="F49" s="952">
        <f>Generic!U98</f>
        <v>555805.71428571432</v>
      </c>
      <c r="G49" s="920">
        <f t="shared" si="13"/>
        <v>555805.71428571432</v>
      </c>
    </row>
    <row r="50" spans="2:7" ht="13.5" thickBot="1">
      <c r="B50" s="908" t="s">
        <v>289</v>
      </c>
      <c r="C50" s="927"/>
      <c r="D50" s="950"/>
      <c r="E50" s="947"/>
      <c r="F50" s="890"/>
      <c r="G50" s="900">
        <f t="shared" si="13"/>
        <v>0</v>
      </c>
    </row>
    <row r="51" spans="2:7" ht="13.5" thickBot="1">
      <c r="B51" s="909" t="s">
        <v>290</v>
      </c>
      <c r="C51" s="955">
        <f>SUM(C44:C50)</f>
        <v>228130</v>
      </c>
      <c r="D51" s="931">
        <f>SUM(D44:D50)</f>
        <v>12424166.950833334</v>
      </c>
      <c r="E51" s="915">
        <f>SUM(E44:E50)</f>
        <v>3631762.6053333334</v>
      </c>
      <c r="F51" s="915">
        <f>SUM(F44:F50)</f>
        <v>28368314.395802919</v>
      </c>
      <c r="G51" s="915">
        <f>SUM(G44:G50)</f>
        <v>44424243.951969586</v>
      </c>
    </row>
    <row r="53" spans="2:7" ht="13.5" thickBot="1">
      <c r="C53" s="5"/>
    </row>
    <row r="54" spans="2:7">
      <c r="B54" s="1464" t="s">
        <v>277</v>
      </c>
      <c r="C54" s="1461" t="s">
        <v>387</v>
      </c>
      <c r="D54" s="1462"/>
      <c r="E54" s="1462"/>
      <c r="F54" s="1462"/>
      <c r="G54" s="1463"/>
    </row>
    <row r="55" spans="2:7" ht="26.25" thickBot="1">
      <c r="B55" s="1465"/>
      <c r="C55" s="910" t="s">
        <v>278</v>
      </c>
      <c r="D55" s="911" t="s">
        <v>279</v>
      </c>
      <c r="E55" s="911" t="s">
        <v>280</v>
      </c>
      <c r="F55" s="912" t="s">
        <v>281</v>
      </c>
      <c r="G55" s="913" t="s">
        <v>282</v>
      </c>
    </row>
    <row r="56" spans="2:7">
      <c r="B56" s="905" t="s">
        <v>283</v>
      </c>
      <c r="C56" s="1017">
        <f>C8+H8+M8+C32+H32+C20+H20+M20+M32+C44</f>
        <v>45409.885714285716</v>
      </c>
      <c r="D56" s="1256">
        <f t="shared" ref="D56:F62" si="14">D8+I8+N8+D32+I32+D20+I20+N20+N32+D44</f>
        <v>2488543.5305666667</v>
      </c>
      <c r="E56" s="1256">
        <f t="shared" si="14"/>
        <v>0</v>
      </c>
      <c r="F56" s="1254">
        <f t="shared" si="14"/>
        <v>4431263.9775172016</v>
      </c>
      <c r="G56" s="1251">
        <f>SUM(D56:F56)</f>
        <v>6919807.5080838688</v>
      </c>
    </row>
    <row r="57" spans="2:7">
      <c r="B57" s="906" t="s">
        <v>284</v>
      </c>
      <c r="C57" s="175">
        <f t="shared" ref="C57:C62" si="15">C9+H9+M9+C33+H33+C21+H21+M21+M33+C45</f>
        <v>15612.363809523813</v>
      </c>
      <c r="D57" s="919">
        <f t="shared" si="14"/>
        <v>1360142.9905438097</v>
      </c>
      <c r="E57" s="919">
        <f t="shared" si="14"/>
        <v>0</v>
      </c>
      <c r="F57" s="934">
        <f t="shared" si="14"/>
        <v>36624775.655323811</v>
      </c>
      <c r="G57" s="920">
        <f t="shared" ref="G57:G62" si="16">SUM(D57:F57)</f>
        <v>37984918.645867623</v>
      </c>
    </row>
    <row r="58" spans="2:7">
      <c r="B58" s="907" t="s">
        <v>285</v>
      </c>
      <c r="C58" s="1252">
        <f t="shared" si="15"/>
        <v>331463.33333333331</v>
      </c>
      <c r="D58" s="1257">
        <f t="shared" si="14"/>
        <v>42547005.245444447</v>
      </c>
      <c r="E58" s="1257">
        <f t="shared" si="14"/>
        <v>8116279.8813915681</v>
      </c>
      <c r="F58" s="1255">
        <f t="shared" si="14"/>
        <v>13042436.504000001</v>
      </c>
      <c r="G58" s="1253">
        <f t="shared" si="16"/>
        <v>63705721.630836017</v>
      </c>
    </row>
    <row r="59" spans="2:7">
      <c r="B59" s="906" t="s">
        <v>286</v>
      </c>
      <c r="C59" s="175">
        <f t="shared" si="15"/>
        <v>264972.66666666669</v>
      </c>
      <c r="D59" s="919">
        <f t="shared" si="14"/>
        <v>14821710.424000002</v>
      </c>
      <c r="E59" s="919">
        <f t="shared" si="14"/>
        <v>4860646.561777778</v>
      </c>
      <c r="F59" s="934">
        <f t="shared" si="14"/>
        <v>0</v>
      </c>
      <c r="G59" s="920">
        <f t="shared" si="16"/>
        <v>19682356.98577778</v>
      </c>
    </row>
    <row r="60" spans="2:7">
      <c r="B60" s="907" t="s">
        <v>287</v>
      </c>
      <c r="C60" s="1252">
        <f t="shared" si="15"/>
        <v>622758.59105892049</v>
      </c>
      <c r="D60" s="1257">
        <f t="shared" si="14"/>
        <v>34906105.524617225</v>
      </c>
      <c r="E60" s="1257">
        <f t="shared" si="14"/>
        <v>0</v>
      </c>
      <c r="F60" s="1255">
        <f t="shared" si="14"/>
        <v>0</v>
      </c>
      <c r="G60" s="1253">
        <f t="shared" si="16"/>
        <v>34906105.524617225</v>
      </c>
    </row>
    <row r="61" spans="2:7">
      <c r="B61" s="906" t="s">
        <v>288</v>
      </c>
      <c r="C61" s="175">
        <f t="shared" si="15"/>
        <v>318362.30000000005</v>
      </c>
      <c r="D61" s="919">
        <f t="shared" si="14"/>
        <v>18570632.818177778</v>
      </c>
      <c r="E61" s="919">
        <f t="shared" si="14"/>
        <v>113310.3888</v>
      </c>
      <c r="F61" s="934">
        <f t="shared" si="14"/>
        <v>568059.62895238097</v>
      </c>
      <c r="G61" s="919">
        <f t="shared" si="16"/>
        <v>19252002.835930157</v>
      </c>
    </row>
    <row r="62" spans="2:7" ht="13.5" thickBot="1">
      <c r="B62" s="908" t="s">
        <v>289</v>
      </c>
      <c r="C62" s="943">
        <f t="shared" si="15"/>
        <v>191442</v>
      </c>
      <c r="D62" s="917">
        <f t="shared" si="14"/>
        <v>12039133.76488889</v>
      </c>
      <c r="E62" s="917">
        <f t="shared" si="14"/>
        <v>0</v>
      </c>
      <c r="F62" s="930">
        <f t="shared" si="14"/>
        <v>0</v>
      </c>
      <c r="G62" s="1247">
        <f t="shared" si="16"/>
        <v>12039133.76488889</v>
      </c>
    </row>
    <row r="63" spans="2:7" ht="13.5" thickBot="1">
      <c r="B63" s="909" t="s">
        <v>290</v>
      </c>
      <c r="C63" s="933">
        <f>SUM(C56:C62)</f>
        <v>1790021.1405827301</v>
      </c>
      <c r="D63" s="915">
        <f>SUM(D56:D62)</f>
        <v>126733274.29823881</v>
      </c>
      <c r="E63" s="915">
        <f>SUM(E56:E62)</f>
        <v>13090236.831969347</v>
      </c>
      <c r="F63" s="931">
        <f>SUM(F56:F62)</f>
        <v>54666535.765793398</v>
      </c>
      <c r="G63" s="1019">
        <f>SUM(G56:G62)</f>
        <v>194490046.89600158</v>
      </c>
    </row>
    <row r="64" spans="2:7">
      <c r="C64" s="549"/>
    </row>
  </sheetData>
  <mergeCells count="16">
    <mergeCell ref="B42:B43"/>
    <mergeCell ref="C42:G42"/>
    <mergeCell ref="B54:B55"/>
    <mergeCell ref="C54:G54"/>
    <mergeCell ref="C6:G6"/>
    <mergeCell ref="B6:B7"/>
    <mergeCell ref="B30:B31"/>
    <mergeCell ref="C30:G30"/>
    <mergeCell ref="H30:L30"/>
    <mergeCell ref="M30:Q30"/>
    <mergeCell ref="H6:L6"/>
    <mergeCell ref="M6:Q6"/>
    <mergeCell ref="B18:B19"/>
    <mergeCell ref="C18:G18"/>
    <mergeCell ref="H18:L18"/>
    <mergeCell ref="M18:Q18"/>
  </mergeCells>
  <phoneticPr fontId="2" type="noConversion"/>
  <pageMargins left="0.75" right="0.6" top="1" bottom="1" header="0.5" footer="0.5"/>
  <pageSetup scale="50" fitToHeight="6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B1:G12"/>
  <sheetViews>
    <sheetView workbookViewId="0">
      <selection activeCell="B2" sqref="B2"/>
    </sheetView>
  </sheetViews>
  <sheetFormatPr defaultRowHeight="12.75"/>
  <cols>
    <col min="1" max="1" width="1.7109375" customWidth="1"/>
    <col min="2" max="2" width="26.42578125" customWidth="1"/>
    <col min="3" max="3" width="11.42578125" bestFit="1" customWidth="1"/>
    <col min="4" max="4" width="16.7109375" customWidth="1"/>
    <col min="5" max="5" width="19.85546875" customWidth="1"/>
    <col min="6" max="6" width="14" customWidth="1"/>
    <col min="7" max="7" width="15.42578125" bestFit="1" customWidth="1"/>
  </cols>
  <sheetData>
    <row r="1" spans="2:7" ht="20.25">
      <c r="B1" s="1020" t="s">
        <v>388</v>
      </c>
    </row>
    <row r="3" spans="2:7" ht="13.5" thickBot="1"/>
    <row r="4" spans="2:7" ht="31.5">
      <c r="B4" s="1023" t="s">
        <v>277</v>
      </c>
      <c r="C4" s="1024" t="s">
        <v>278</v>
      </c>
      <c r="D4" s="1024" t="s">
        <v>279</v>
      </c>
      <c r="E4" s="1024" t="s">
        <v>280</v>
      </c>
      <c r="F4" s="1024" t="s">
        <v>281</v>
      </c>
      <c r="G4" s="1025" t="s">
        <v>282</v>
      </c>
    </row>
    <row r="5" spans="2:7" ht="15">
      <c r="B5" s="1026" t="s">
        <v>283</v>
      </c>
      <c r="C5" s="1021">
        <f>Summary!C56</f>
        <v>45409.885714285716</v>
      </c>
      <c r="D5" s="1022">
        <f>Summary!D56</f>
        <v>2488543.5305666667</v>
      </c>
      <c r="E5" s="1022">
        <f>Summary!E56</f>
        <v>0</v>
      </c>
      <c r="F5" s="1022">
        <f>Summary!F56</f>
        <v>4431263.9775172016</v>
      </c>
      <c r="G5" s="1027">
        <f>SUM(D5:F5)</f>
        <v>6919807.5080838688</v>
      </c>
    </row>
    <row r="6" spans="2:7" ht="15">
      <c r="B6" s="1026" t="s">
        <v>284</v>
      </c>
      <c r="C6" s="1021">
        <f>Summary!C57</f>
        <v>15612.363809523813</v>
      </c>
      <c r="D6" s="1022">
        <f>Summary!D57</f>
        <v>1360142.9905438097</v>
      </c>
      <c r="E6" s="1022">
        <f>Summary!E57</f>
        <v>0</v>
      </c>
      <c r="F6" s="1022">
        <f>Summary!F57</f>
        <v>36624775.655323811</v>
      </c>
      <c r="G6" s="1027">
        <f t="shared" ref="G6:G12" si="0">SUM(D6:F6)</f>
        <v>37984918.645867623</v>
      </c>
    </row>
    <row r="7" spans="2:7" ht="15">
      <c r="B7" s="1026" t="s">
        <v>285</v>
      </c>
      <c r="C7" s="1021">
        <f>Summary!C58</f>
        <v>331463.33333333331</v>
      </c>
      <c r="D7" s="1022">
        <f>Summary!D58</f>
        <v>42547005.245444447</v>
      </c>
      <c r="E7" s="1022">
        <f>Summary!E58</f>
        <v>8116279.8813915681</v>
      </c>
      <c r="F7" s="1022">
        <f>Summary!F58</f>
        <v>13042436.504000001</v>
      </c>
      <c r="G7" s="1027">
        <f t="shared" si="0"/>
        <v>63705721.630836017</v>
      </c>
    </row>
    <row r="8" spans="2:7" ht="15">
      <c r="B8" s="1026" t="s">
        <v>286</v>
      </c>
      <c r="C8" s="1021">
        <f>Summary!C59</f>
        <v>264972.66666666669</v>
      </c>
      <c r="D8" s="1022">
        <f>Summary!D59</f>
        <v>14821710.424000002</v>
      </c>
      <c r="E8" s="1022">
        <f>Summary!E59</f>
        <v>4860646.561777778</v>
      </c>
      <c r="F8" s="1022">
        <f>Summary!F59</f>
        <v>0</v>
      </c>
      <c r="G8" s="1027">
        <f t="shared" si="0"/>
        <v>19682356.98577778</v>
      </c>
    </row>
    <row r="9" spans="2:7" ht="15">
      <c r="B9" s="1026" t="s">
        <v>287</v>
      </c>
      <c r="C9" s="1021">
        <f>Summary!C60</f>
        <v>622758.59105892049</v>
      </c>
      <c r="D9" s="1022">
        <f>Summary!D60</f>
        <v>34906105.524617225</v>
      </c>
      <c r="E9" s="1022">
        <f>Summary!E60</f>
        <v>0</v>
      </c>
      <c r="F9" s="1022">
        <f>Summary!F60</f>
        <v>0</v>
      </c>
      <c r="G9" s="1027">
        <f t="shared" si="0"/>
        <v>34906105.524617225</v>
      </c>
    </row>
    <row r="10" spans="2:7" ht="15">
      <c r="B10" s="1026" t="s">
        <v>288</v>
      </c>
      <c r="C10" s="1021">
        <f>Summary!C61</f>
        <v>318362.30000000005</v>
      </c>
      <c r="D10" s="1022">
        <f>Summary!D61</f>
        <v>18570632.818177778</v>
      </c>
      <c r="E10" s="1022">
        <f>Summary!E61</f>
        <v>113310.3888</v>
      </c>
      <c r="F10" s="1022">
        <f>Summary!F61</f>
        <v>568059.62895238097</v>
      </c>
      <c r="G10" s="1027">
        <f t="shared" si="0"/>
        <v>19252002.835930157</v>
      </c>
    </row>
    <row r="11" spans="2:7" ht="15.75" thickBot="1">
      <c r="B11" s="1028" t="s">
        <v>289</v>
      </c>
      <c r="C11" s="1029">
        <f>Summary!C62</f>
        <v>191442</v>
      </c>
      <c r="D11" s="1030">
        <f>Summary!D62</f>
        <v>12039133.76488889</v>
      </c>
      <c r="E11" s="1030">
        <f>Summary!E62</f>
        <v>0</v>
      </c>
      <c r="F11" s="1030">
        <f>Summary!F62</f>
        <v>0</v>
      </c>
      <c r="G11" s="1031">
        <f t="shared" si="0"/>
        <v>12039133.76488889</v>
      </c>
    </row>
    <row r="12" spans="2:7" ht="15.75" thickBot="1">
      <c r="B12" s="1032" t="s">
        <v>290</v>
      </c>
      <c r="C12" s="1033">
        <f>SUM(C5:C11)</f>
        <v>1790021.1405827301</v>
      </c>
      <c r="D12" s="1034">
        <f>SUM(D5:D11)</f>
        <v>126733274.29823881</v>
      </c>
      <c r="E12" s="1034">
        <f>SUM(E5:E11)</f>
        <v>13090236.831969347</v>
      </c>
      <c r="F12" s="1034">
        <f>SUM(F5:F11)</f>
        <v>54666535.765793398</v>
      </c>
      <c r="G12" s="1035">
        <f t="shared" si="0"/>
        <v>194490046.89600158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AZ21"/>
  <sheetViews>
    <sheetView zoomScaleNormal="100" workbookViewId="0">
      <selection activeCell="L8" sqref="L8"/>
    </sheetView>
  </sheetViews>
  <sheetFormatPr defaultRowHeight="12.75"/>
  <cols>
    <col min="1" max="1" width="1.7109375" customWidth="1"/>
    <col min="2" max="2" width="13.85546875" customWidth="1"/>
    <col min="3" max="3" width="14.28515625" customWidth="1"/>
    <col min="4" max="4" width="9.28515625" bestFit="1" customWidth="1"/>
    <col min="5" max="5" width="12.7109375" bestFit="1" customWidth="1"/>
    <col min="6" max="6" width="9.28515625" bestFit="1" customWidth="1"/>
    <col min="7" max="7" width="12.28515625" customWidth="1"/>
    <col min="8" max="10" width="9.28515625" bestFit="1" customWidth="1"/>
    <col min="11" max="11" width="24" bestFit="1" customWidth="1"/>
    <col min="12" max="12" width="13.5703125" bestFit="1" customWidth="1"/>
    <col min="13" max="13" width="9.28515625" bestFit="1" customWidth="1"/>
    <col min="14" max="14" width="24" bestFit="1" customWidth="1"/>
    <col min="15" max="15" width="9.42578125" bestFit="1" customWidth="1"/>
    <col min="16" max="16" width="9.28515625" bestFit="1" customWidth="1"/>
    <col min="17" max="17" width="18.7109375" bestFit="1" customWidth="1"/>
    <col min="18" max="19" width="9.28515625" bestFit="1" customWidth="1"/>
    <col min="20" max="20" width="16" bestFit="1" customWidth="1"/>
    <col min="22" max="22" width="9" customWidth="1"/>
    <col min="23" max="23" width="19.7109375" hidden="1" customWidth="1"/>
    <col min="24" max="24" width="9.140625" hidden="1" customWidth="1"/>
    <col min="26" max="26" width="30.85546875" bestFit="1" customWidth="1"/>
    <col min="27" max="27" width="10.140625" bestFit="1" customWidth="1"/>
    <col min="29" max="29" width="32.140625" bestFit="1" customWidth="1"/>
    <col min="32" max="32" width="22.28515625" bestFit="1" customWidth="1"/>
    <col min="35" max="35" width="10.28515625" bestFit="1" customWidth="1"/>
    <col min="38" max="38" width="10.5703125" bestFit="1" customWidth="1"/>
    <col min="44" max="44" width="22.42578125" bestFit="1" customWidth="1"/>
  </cols>
  <sheetData>
    <row r="1" spans="2:52" ht="15.75">
      <c r="B1" s="3" t="s">
        <v>337</v>
      </c>
    </row>
    <row r="2" spans="2:52" ht="15.75">
      <c r="B2" s="3" t="s">
        <v>79</v>
      </c>
      <c r="E2" s="72"/>
      <c r="F2" s="72"/>
      <c r="G2" s="72"/>
      <c r="H2" s="72"/>
      <c r="I2" s="72"/>
      <c r="J2" s="72"/>
      <c r="K2" s="5"/>
    </row>
    <row r="3" spans="2:52" ht="15.75">
      <c r="B3" s="399" t="s">
        <v>76</v>
      </c>
      <c r="C3" s="72"/>
      <c r="D3" s="197"/>
      <c r="E3" s="1408" t="s">
        <v>95</v>
      </c>
      <c r="F3" s="1409"/>
      <c r="G3" s="1410" t="s">
        <v>94</v>
      </c>
      <c r="H3" s="1408"/>
      <c r="I3" s="1408"/>
      <c r="J3" s="1409"/>
      <c r="K3" s="1411" t="s">
        <v>153</v>
      </c>
      <c r="L3" s="1411"/>
      <c r="M3" s="1411"/>
      <c r="N3" s="1411"/>
      <c r="O3" s="1411"/>
      <c r="P3" s="1411"/>
    </row>
    <row r="4" spans="2:52" ht="25.5">
      <c r="B4" s="26" t="s">
        <v>90</v>
      </c>
      <c r="C4" s="159" t="s">
        <v>91</v>
      </c>
      <c r="D4" s="183" t="s">
        <v>62</v>
      </c>
      <c r="E4" s="159" t="s">
        <v>18</v>
      </c>
      <c r="F4" s="183" t="s">
        <v>62</v>
      </c>
      <c r="G4" s="646" t="s">
        <v>120</v>
      </c>
      <c r="H4" s="647" t="s">
        <v>62</v>
      </c>
      <c r="I4" s="647" t="s">
        <v>154</v>
      </c>
      <c r="J4" s="397" t="s">
        <v>62</v>
      </c>
      <c r="K4" s="24" t="s">
        <v>170</v>
      </c>
      <c r="L4" s="633" t="s">
        <v>107</v>
      </c>
      <c r="M4" s="496" t="s">
        <v>62</v>
      </c>
      <c r="N4" s="23" t="s">
        <v>173</v>
      </c>
      <c r="O4" s="633" t="s">
        <v>107</v>
      </c>
      <c r="P4" s="496" t="s">
        <v>62</v>
      </c>
      <c r="Q4" s="23" t="s">
        <v>181</v>
      </c>
      <c r="R4" s="633" t="s">
        <v>107</v>
      </c>
      <c r="S4" s="496" t="s">
        <v>62</v>
      </c>
      <c r="T4" s="23" t="s">
        <v>182</v>
      </c>
      <c r="U4" s="633" t="s">
        <v>107</v>
      </c>
      <c r="V4" s="496" t="s">
        <v>62</v>
      </c>
      <c r="W4" s="23" t="s">
        <v>183</v>
      </c>
      <c r="X4" s="633" t="s">
        <v>107</v>
      </c>
      <c r="Y4" s="496" t="s">
        <v>62</v>
      </c>
      <c r="Z4" s="23" t="s">
        <v>183</v>
      </c>
      <c r="AA4" s="633" t="s">
        <v>107</v>
      </c>
      <c r="AB4" s="496" t="s">
        <v>62</v>
      </c>
      <c r="AC4" s="23" t="s">
        <v>231</v>
      </c>
      <c r="AD4" s="633" t="s">
        <v>107</v>
      </c>
      <c r="AE4" s="496" t="s">
        <v>62</v>
      </c>
      <c r="AF4" s="23" t="s">
        <v>256</v>
      </c>
      <c r="AG4" s="633" t="s">
        <v>107</v>
      </c>
      <c r="AH4" s="496" t="s">
        <v>62</v>
      </c>
      <c r="AI4" s="23" t="s">
        <v>260</v>
      </c>
      <c r="AJ4" s="633" t="s">
        <v>107</v>
      </c>
      <c r="AK4" s="496" t="s">
        <v>62</v>
      </c>
      <c r="AL4" s="23" t="s">
        <v>261</v>
      </c>
      <c r="AM4" s="633" t="s">
        <v>107</v>
      </c>
      <c r="AN4" s="496" t="s">
        <v>62</v>
      </c>
      <c r="AO4" s="23" t="s">
        <v>262</v>
      </c>
      <c r="AP4" s="633" t="s">
        <v>107</v>
      </c>
      <c r="AQ4" s="496" t="s">
        <v>62</v>
      </c>
      <c r="AR4" s="23" t="s">
        <v>268</v>
      </c>
      <c r="AS4" s="633" t="s">
        <v>107</v>
      </c>
      <c r="AT4" s="496" t="s">
        <v>62</v>
      </c>
      <c r="AU4" s="23" t="s">
        <v>269</v>
      </c>
      <c r="AV4" s="633" t="s">
        <v>107</v>
      </c>
      <c r="AW4" s="496" t="s">
        <v>62</v>
      </c>
      <c r="AX4" s="23" t="s">
        <v>270</v>
      </c>
      <c r="AY4" s="633" t="s">
        <v>107</v>
      </c>
      <c r="AZ4" s="496" t="s">
        <v>62</v>
      </c>
    </row>
    <row r="5" spans="2:52" s="166" customFormat="1">
      <c r="B5" s="394" t="s">
        <v>93</v>
      </c>
      <c r="C5" s="168">
        <v>10000</v>
      </c>
      <c r="D5" s="167">
        <v>2013</v>
      </c>
      <c r="E5" s="395">
        <v>800</v>
      </c>
      <c r="F5" s="167">
        <v>2013</v>
      </c>
      <c r="G5" s="395">
        <v>1000</v>
      </c>
      <c r="H5" s="167">
        <v>2013</v>
      </c>
      <c r="I5" s="13"/>
      <c r="J5" s="13"/>
      <c r="K5" s="13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</row>
    <row r="6" spans="2:52" s="166" customFormat="1">
      <c r="B6" s="394" t="s">
        <v>248</v>
      </c>
      <c r="C6" s="814"/>
      <c r="D6" s="815"/>
      <c r="E6" s="657"/>
      <c r="F6" s="815"/>
      <c r="G6" s="657"/>
      <c r="H6" s="815"/>
      <c r="I6" s="13"/>
      <c r="J6" s="13"/>
      <c r="K6" s="13" t="s">
        <v>249</v>
      </c>
      <c r="L6" s="30">
        <v>14000</v>
      </c>
      <c r="M6" s="167">
        <v>2013</v>
      </c>
      <c r="N6" s="394" t="s">
        <v>250</v>
      </c>
      <c r="O6" s="977">
        <v>4000</v>
      </c>
      <c r="P6" s="978">
        <v>2013</v>
      </c>
      <c r="Q6" s="979" t="s">
        <v>251</v>
      </c>
      <c r="R6" s="977">
        <v>1500</v>
      </c>
      <c r="S6" s="978">
        <v>2013</v>
      </c>
      <c r="T6" s="979" t="s">
        <v>252</v>
      </c>
      <c r="U6" s="977">
        <v>25500</v>
      </c>
      <c r="V6" s="978">
        <v>2013</v>
      </c>
      <c r="W6" s="979" t="s">
        <v>253</v>
      </c>
      <c r="X6" s="977">
        <v>13000</v>
      </c>
      <c r="Y6" s="978">
        <v>2013</v>
      </c>
      <c r="Z6" s="979" t="s">
        <v>254</v>
      </c>
      <c r="AA6" s="977">
        <v>500</v>
      </c>
      <c r="AB6" s="978">
        <v>2013</v>
      </c>
      <c r="AC6" s="727" t="s">
        <v>255</v>
      </c>
      <c r="AD6" s="977">
        <v>4000</v>
      </c>
      <c r="AE6" s="978">
        <v>2013</v>
      </c>
      <c r="AF6" s="679" t="s">
        <v>258</v>
      </c>
      <c r="AG6" s="728">
        <v>4500</v>
      </c>
      <c r="AH6" s="819">
        <v>2013</v>
      </c>
      <c r="AI6" s="679" t="s">
        <v>259</v>
      </c>
      <c r="AJ6" s="728">
        <v>700</v>
      </c>
      <c r="AK6" s="819">
        <v>2013</v>
      </c>
      <c r="AL6" s="679" t="s">
        <v>263</v>
      </c>
      <c r="AM6" s="728">
        <v>3000</v>
      </c>
      <c r="AN6" s="819">
        <v>2013</v>
      </c>
      <c r="AO6" s="679" t="s">
        <v>264</v>
      </c>
      <c r="AP6" s="728">
        <f>824584/2905</f>
        <v>283.84991394148022</v>
      </c>
      <c r="AQ6" s="819">
        <v>2013</v>
      </c>
      <c r="AR6" s="727" t="s">
        <v>271</v>
      </c>
      <c r="AS6" s="977">
        <v>2000</v>
      </c>
      <c r="AT6" s="978">
        <v>2013</v>
      </c>
      <c r="AU6" s="727" t="s">
        <v>274</v>
      </c>
      <c r="AV6" s="977">
        <v>1000</v>
      </c>
      <c r="AW6" s="978">
        <v>2013</v>
      </c>
      <c r="AX6" s="727" t="s">
        <v>275</v>
      </c>
      <c r="AY6" s="977">
        <v>65362</v>
      </c>
      <c r="AZ6" s="978">
        <v>2013</v>
      </c>
    </row>
    <row r="7" spans="2:52" s="166" customFormat="1">
      <c r="B7" s="394" t="s">
        <v>292</v>
      </c>
      <c r="C7" s="814"/>
      <c r="D7" s="815"/>
      <c r="E7" s="657"/>
      <c r="F7" s="815"/>
      <c r="G7" s="657"/>
      <c r="H7" s="815"/>
      <c r="I7" s="13"/>
      <c r="J7" s="13"/>
      <c r="K7" s="13" t="s">
        <v>293</v>
      </c>
      <c r="L7" s="30">
        <v>129385</v>
      </c>
      <c r="M7" s="167">
        <v>2013</v>
      </c>
      <c r="N7" s="39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</row>
    <row r="8" spans="2:52">
      <c r="B8" s="394" t="s">
        <v>1</v>
      </c>
      <c r="C8" s="30">
        <v>11700</v>
      </c>
      <c r="D8" s="167">
        <v>2013</v>
      </c>
      <c r="E8" s="30">
        <v>800</v>
      </c>
      <c r="F8" s="167">
        <v>2013</v>
      </c>
      <c r="G8" s="395">
        <v>1000</v>
      </c>
      <c r="H8" s="167">
        <v>2013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2:52">
      <c r="B9" s="13" t="s">
        <v>80</v>
      </c>
      <c r="C9" s="30">
        <v>7200</v>
      </c>
      <c r="D9" s="167">
        <v>2013</v>
      </c>
      <c r="E9" s="30">
        <v>800</v>
      </c>
      <c r="F9" s="167">
        <v>2013</v>
      </c>
      <c r="G9" s="395">
        <v>1000</v>
      </c>
      <c r="H9" s="167">
        <v>2013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</row>
    <row r="10" spans="2:52">
      <c r="B10" s="13" t="s">
        <v>370</v>
      </c>
      <c r="C10" s="30">
        <v>30000</v>
      </c>
      <c r="D10" s="167">
        <v>2013</v>
      </c>
      <c r="E10" s="30">
        <v>16000</v>
      </c>
      <c r="F10" s="167">
        <v>2013</v>
      </c>
      <c r="G10" s="395">
        <v>3000</v>
      </c>
      <c r="H10" s="167">
        <v>2013</v>
      </c>
      <c r="I10" s="13"/>
      <c r="J10" s="13"/>
      <c r="K10" s="13" t="s">
        <v>371</v>
      </c>
      <c r="L10" s="13">
        <v>5667</v>
      </c>
      <c r="M10" s="167">
        <v>2013</v>
      </c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2:52">
      <c r="B11" s="13" t="s">
        <v>369</v>
      </c>
      <c r="C11" s="30">
        <v>11426</v>
      </c>
      <c r="D11" s="167">
        <v>2013</v>
      </c>
      <c r="E11" s="30">
        <v>800</v>
      </c>
      <c r="F11" s="167">
        <v>2013</v>
      </c>
      <c r="G11" s="395">
        <v>1000</v>
      </c>
      <c r="H11" s="167">
        <v>2013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</row>
    <row r="12" spans="2:52">
      <c r="B12" s="13" t="s">
        <v>157</v>
      </c>
      <c r="C12" s="30">
        <v>20500</v>
      </c>
      <c r="D12" s="167">
        <v>2013</v>
      </c>
      <c r="E12" s="30">
        <v>800</v>
      </c>
      <c r="F12" s="167">
        <v>2013</v>
      </c>
      <c r="G12" s="395">
        <v>1000</v>
      </c>
      <c r="H12" s="167">
        <v>2013</v>
      </c>
      <c r="I12" s="649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2:52">
      <c r="B13" s="13" t="s">
        <v>163</v>
      </c>
      <c r="C13" s="30">
        <v>17285</v>
      </c>
      <c r="D13" s="167">
        <v>2013</v>
      </c>
      <c r="E13" s="30">
        <v>750</v>
      </c>
      <c r="F13" s="167">
        <v>2013</v>
      </c>
      <c r="G13" s="395">
        <v>2000</v>
      </c>
      <c r="H13" s="167">
        <v>2013</v>
      </c>
      <c r="I13" s="649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2:52">
      <c r="B14" s="13" t="s">
        <v>179</v>
      </c>
      <c r="C14" s="30"/>
      <c r="D14" s="167">
        <v>2013</v>
      </c>
      <c r="E14" s="30">
        <v>1000</v>
      </c>
      <c r="F14" s="167">
        <v>2013</v>
      </c>
      <c r="G14" s="395">
        <v>2000</v>
      </c>
      <c r="H14" s="167">
        <v>2013</v>
      </c>
      <c r="I14" s="649"/>
      <c r="J14" s="13"/>
      <c r="K14" s="720" t="s">
        <v>184</v>
      </c>
      <c r="L14" s="30">
        <v>125000</v>
      </c>
      <c r="M14" s="167">
        <v>2013</v>
      </c>
      <c r="N14" s="679" t="s">
        <v>185</v>
      </c>
      <c r="O14" s="30">
        <v>125000</v>
      </c>
      <c r="P14" s="167">
        <v>2013</v>
      </c>
      <c r="Q14" s="724" t="s">
        <v>186</v>
      </c>
      <c r="R14" s="725">
        <v>45000</v>
      </c>
      <c r="S14" s="167">
        <v>2013</v>
      </c>
      <c r="T14" s="724" t="s">
        <v>187</v>
      </c>
      <c r="U14" s="725">
        <v>65000</v>
      </c>
      <c r="V14" s="167">
        <v>2013</v>
      </c>
      <c r="W14" s="679" t="s">
        <v>188</v>
      </c>
      <c r="X14" s="728">
        <v>125000</v>
      </c>
      <c r="Y14" s="167">
        <v>2013</v>
      </c>
      <c r="Z14" s="679" t="s">
        <v>189</v>
      </c>
      <c r="AA14" s="728">
        <v>8000</v>
      </c>
      <c r="AB14" s="167">
        <v>2013</v>
      </c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</row>
    <row r="15" spans="2:52">
      <c r="B15" s="13" t="s">
        <v>210</v>
      </c>
      <c r="C15" s="30">
        <v>16000</v>
      </c>
      <c r="D15" s="167">
        <v>2013</v>
      </c>
      <c r="E15" s="30">
        <v>250</v>
      </c>
      <c r="F15" s="167">
        <v>2013</v>
      </c>
      <c r="G15" s="395">
        <v>3400</v>
      </c>
      <c r="H15" s="167">
        <v>2013</v>
      </c>
      <c r="I15" s="649"/>
      <c r="J15" s="13"/>
      <c r="K15" s="679" t="s">
        <v>197</v>
      </c>
      <c r="L15" s="30">
        <v>2900</v>
      </c>
      <c r="M15" s="167">
        <v>2013</v>
      </c>
      <c r="N15" s="720" t="s">
        <v>198</v>
      </c>
      <c r="O15" s="30">
        <v>59000</v>
      </c>
      <c r="P15" s="167">
        <v>2013</v>
      </c>
      <c r="Q15" s="727" t="s">
        <v>199</v>
      </c>
      <c r="R15" s="719">
        <v>1000</v>
      </c>
      <c r="S15" s="167">
        <v>2013</v>
      </c>
      <c r="T15" s="727" t="s">
        <v>200</v>
      </c>
      <c r="U15" s="30">
        <v>1200</v>
      </c>
      <c r="V15" s="167">
        <v>2013</v>
      </c>
      <c r="W15" s="720" t="s">
        <v>202</v>
      </c>
      <c r="X15" s="30">
        <v>4433</v>
      </c>
      <c r="Y15" s="167">
        <v>2013</v>
      </c>
      <c r="Z15" s="720" t="s">
        <v>208</v>
      </c>
      <c r="AA15" s="30">
        <v>1500</v>
      </c>
      <c r="AB15" s="167">
        <v>2013</v>
      </c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2:52">
      <c r="B16" s="13" t="s">
        <v>195</v>
      </c>
      <c r="C16" s="30">
        <v>16000</v>
      </c>
      <c r="D16" s="167">
        <v>2013</v>
      </c>
      <c r="E16" s="30">
        <v>750</v>
      </c>
      <c r="F16" s="167">
        <v>2013</v>
      </c>
      <c r="G16" s="395">
        <v>10200</v>
      </c>
      <c r="H16" s="167">
        <v>2013</v>
      </c>
      <c r="I16" s="649"/>
      <c r="J16" s="13"/>
      <c r="K16" s="679" t="s">
        <v>197</v>
      </c>
      <c r="L16" s="30">
        <v>8500</v>
      </c>
      <c r="M16" s="167">
        <v>2013</v>
      </c>
      <c r="N16" s="720" t="s">
        <v>198</v>
      </c>
      <c r="O16" s="30">
        <v>59000</v>
      </c>
      <c r="P16" s="167">
        <v>2013</v>
      </c>
      <c r="Q16" s="727" t="s">
        <v>199</v>
      </c>
      <c r="R16" s="719">
        <v>1000</v>
      </c>
      <c r="S16" s="167">
        <v>2013</v>
      </c>
      <c r="T16" s="727" t="s">
        <v>200</v>
      </c>
      <c r="U16" s="30">
        <v>2400</v>
      </c>
      <c r="V16" s="167">
        <v>2013</v>
      </c>
      <c r="W16" s="720" t="s">
        <v>202</v>
      </c>
      <c r="X16" s="30">
        <v>13300</v>
      </c>
      <c r="Y16" s="167">
        <v>2013</v>
      </c>
      <c r="Z16" s="720" t="s">
        <v>208</v>
      </c>
      <c r="AA16" s="30">
        <v>4500</v>
      </c>
      <c r="AB16" s="167">
        <v>2013</v>
      </c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2:52">
      <c r="B17" s="13" t="s">
        <v>211</v>
      </c>
      <c r="C17" s="30">
        <v>16000</v>
      </c>
      <c r="D17" s="167">
        <v>2013</v>
      </c>
      <c r="E17" s="30">
        <v>125</v>
      </c>
      <c r="F17" s="167">
        <v>2013</v>
      </c>
      <c r="G17" s="395">
        <v>1700</v>
      </c>
      <c r="H17" s="167">
        <v>2013</v>
      </c>
      <c r="I17" s="649"/>
      <c r="J17" s="13"/>
      <c r="K17" s="679" t="s">
        <v>197</v>
      </c>
      <c r="L17" s="30">
        <v>1450</v>
      </c>
      <c r="M17" s="167">
        <v>2013</v>
      </c>
      <c r="N17" s="720" t="s">
        <v>198</v>
      </c>
      <c r="O17" s="30">
        <v>59000</v>
      </c>
      <c r="P17" s="167">
        <v>2013</v>
      </c>
      <c r="Q17" s="727" t="s">
        <v>199</v>
      </c>
      <c r="R17" s="719">
        <v>1000</v>
      </c>
      <c r="S17" s="167">
        <v>2013</v>
      </c>
      <c r="T17" s="727" t="s">
        <v>200</v>
      </c>
      <c r="U17" s="30">
        <v>600</v>
      </c>
      <c r="V17" s="167">
        <v>2013</v>
      </c>
      <c r="W17" s="720" t="s">
        <v>202</v>
      </c>
      <c r="X17" s="30">
        <f>4433/2</f>
        <v>2216.5</v>
      </c>
      <c r="Y17" s="167">
        <v>2013</v>
      </c>
      <c r="Z17" s="720" t="s">
        <v>208</v>
      </c>
      <c r="AA17" s="30">
        <v>1500</v>
      </c>
      <c r="AB17" s="167">
        <v>2013</v>
      </c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</row>
    <row r="18" spans="2:52">
      <c r="B18" s="13" t="s">
        <v>151</v>
      </c>
      <c r="C18" s="30">
        <v>2000</v>
      </c>
      <c r="D18" s="167">
        <v>2013</v>
      </c>
      <c r="E18" s="30">
        <v>150</v>
      </c>
      <c r="F18" s="167">
        <v>2013</v>
      </c>
      <c r="G18" s="395">
        <v>300</v>
      </c>
      <c r="H18" s="167">
        <v>2013</v>
      </c>
      <c r="I18" s="395">
        <v>150</v>
      </c>
      <c r="J18" s="167">
        <v>2013</v>
      </c>
      <c r="K18" s="657" t="s">
        <v>171</v>
      </c>
      <c r="L18" s="30">
        <v>125</v>
      </c>
      <c r="M18" s="167">
        <v>2013</v>
      </c>
      <c r="N18" s="657" t="s">
        <v>165</v>
      </c>
      <c r="O18" s="30">
        <v>1610</v>
      </c>
      <c r="P18" s="167">
        <v>2013</v>
      </c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2:52">
      <c r="B19" s="13" t="s">
        <v>164</v>
      </c>
      <c r="C19" s="30">
        <v>5500</v>
      </c>
      <c r="D19" s="167">
        <v>2013</v>
      </c>
      <c r="G19" s="395">
        <v>950</v>
      </c>
      <c r="H19" s="167">
        <v>2013</v>
      </c>
      <c r="I19" s="395"/>
      <c r="J19" s="167">
        <v>2013</v>
      </c>
      <c r="K19" s="657" t="s">
        <v>172</v>
      </c>
      <c r="L19" s="30">
        <f>(20000+15200)/(2)</f>
        <v>17600</v>
      </c>
      <c r="M19" s="167">
        <v>2013</v>
      </c>
      <c r="N19" s="657" t="s">
        <v>174</v>
      </c>
      <c r="O19" s="30">
        <v>2000</v>
      </c>
      <c r="P19" s="167">
        <v>2013</v>
      </c>
      <c r="Q19" s="13" t="s">
        <v>154</v>
      </c>
      <c r="R19" s="719">
        <f>400*2.583</f>
        <v>1033.2</v>
      </c>
      <c r="S19" s="167">
        <v>2013</v>
      </c>
      <c r="T19" s="13" t="s">
        <v>225</v>
      </c>
      <c r="U19" s="719">
        <f>(450+550)/2</f>
        <v>500</v>
      </c>
      <c r="V19" s="167">
        <v>2013</v>
      </c>
      <c r="W19" s="13" t="s">
        <v>229</v>
      </c>
      <c r="X19" s="30">
        <f>3000/5/7</f>
        <v>85.714285714285708</v>
      </c>
      <c r="Y19" s="167">
        <v>2013</v>
      </c>
      <c r="Z19" s="13" t="s">
        <v>233</v>
      </c>
      <c r="AA19" s="30">
        <v>125</v>
      </c>
      <c r="AB19" s="167">
        <v>2013</v>
      </c>
      <c r="AC19" s="13" t="s">
        <v>232</v>
      </c>
      <c r="AD19" s="725">
        <f>(440+280)/2</f>
        <v>360</v>
      </c>
      <c r="AE19" s="726">
        <v>2013</v>
      </c>
      <c r="AF19" s="13" t="s">
        <v>306</v>
      </c>
      <c r="AG19" s="725">
        <v>555</v>
      </c>
      <c r="AH19" s="726">
        <v>2013</v>
      </c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</row>
    <row r="20" spans="2:52">
      <c r="B20" s="13" t="s">
        <v>307</v>
      </c>
      <c r="C20" s="30">
        <v>7000</v>
      </c>
      <c r="D20" s="167">
        <v>2013</v>
      </c>
      <c r="G20" s="395">
        <v>950</v>
      </c>
      <c r="H20" s="167">
        <v>2013</v>
      </c>
      <c r="I20" s="395">
        <v>400</v>
      </c>
      <c r="J20" s="167">
        <v>2013</v>
      </c>
      <c r="K20" s="657" t="s">
        <v>317</v>
      </c>
      <c r="L20" s="30">
        <v>11000</v>
      </c>
      <c r="M20" s="167">
        <v>2013</v>
      </c>
      <c r="N20" s="657" t="s">
        <v>172</v>
      </c>
      <c r="O20" s="30">
        <f>(20700+15900)/2</f>
        <v>18300</v>
      </c>
      <c r="P20" s="167">
        <v>2013</v>
      </c>
      <c r="Q20" s="13" t="s">
        <v>322</v>
      </c>
      <c r="R20" s="719">
        <v>12000</v>
      </c>
      <c r="S20" s="167">
        <v>2013</v>
      </c>
      <c r="T20" s="13" t="s">
        <v>323</v>
      </c>
      <c r="U20" s="719">
        <f>2000/5</f>
        <v>400</v>
      </c>
      <c r="V20" s="167">
        <v>2013</v>
      </c>
      <c r="W20" s="13" t="s">
        <v>174</v>
      </c>
      <c r="X20" s="30">
        <v>2000</v>
      </c>
      <c r="Y20" s="167">
        <v>2013</v>
      </c>
      <c r="Z20" s="13" t="s">
        <v>329</v>
      </c>
      <c r="AA20" s="30">
        <v>7057204</v>
      </c>
      <c r="AB20" s="167">
        <v>2013</v>
      </c>
      <c r="AC20" s="13" t="s">
        <v>333</v>
      </c>
      <c r="AD20" s="725">
        <v>3000</v>
      </c>
      <c r="AE20" s="726">
        <v>2013</v>
      </c>
      <c r="AF20" s="13" t="s">
        <v>334</v>
      </c>
      <c r="AG20" s="725">
        <v>75000</v>
      </c>
      <c r="AH20" s="726">
        <v>2013</v>
      </c>
      <c r="AI20" s="13" t="s">
        <v>348</v>
      </c>
      <c r="AJ20" s="725">
        <f>600/5</f>
        <v>120</v>
      </c>
      <c r="AK20" s="726">
        <v>2013</v>
      </c>
      <c r="AL20" s="13" t="s">
        <v>349</v>
      </c>
      <c r="AM20" s="725">
        <v>75</v>
      </c>
      <c r="AN20" s="726">
        <v>2013</v>
      </c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2:52">
      <c r="B21" s="13" t="s">
        <v>92</v>
      </c>
      <c r="C21" s="30">
        <v>10000</v>
      </c>
      <c r="D21" s="167">
        <v>2013</v>
      </c>
      <c r="E21" s="30">
        <v>800</v>
      </c>
      <c r="F21" s="167">
        <v>2013</v>
      </c>
      <c r="G21" s="168">
        <v>1000</v>
      </c>
      <c r="H21" s="167">
        <v>2013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</row>
  </sheetData>
  <mergeCells count="3">
    <mergeCell ref="E3:F3"/>
    <mergeCell ref="G3:J3"/>
    <mergeCell ref="K3:P3"/>
  </mergeCells>
  <phoneticPr fontId="2" type="noConversion"/>
  <dataValidations count="2">
    <dataValidation type="list" allowBlank="1" showInputMessage="1" showErrorMessage="1" sqref="F6:F7 H6:H7 D6:D7">
      <formula1>"Year_Values"</formula1>
    </dataValidation>
    <dataValidation type="list" allowBlank="1" showInputMessage="1" showErrorMessage="1" sqref="D5 M14:M20 F5 H5 M6:M7 S6 V6 J18:J20 P14:P20 S19:S20 S14:S17 V19:V20 V14:V17 Y19:Y20 Y14:Y17 AB19:AB20 AB14:AB17 AE19:AE20 AH19:AH20 F21 Y6 AB6 AE6 AH6 AK6 AN6 AQ6 AT6 AW6 AZ6 P6 H8:H21 D8:D21 F8:F18 AK20 AN20 M10">
      <formula1>YearList</formula1>
    </dataValidation>
  </dataValidations>
  <pageMargins left="0.75" right="0.75" top="1" bottom="1" header="0.5" footer="0.5"/>
  <pageSetup scale="85" orientation="landscape" r:id="rId1"/>
  <headerFooter alignWithMargins="0"/>
  <colBreaks count="5" manualBreakCount="5">
    <brk id="10" max="1048575" man="1"/>
    <brk id="19" max="1048575" man="1"/>
    <brk id="28" max="1048575" man="1"/>
    <brk id="37" max="1048575" man="1"/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9"/>
  <sheetViews>
    <sheetView topLeftCell="A38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92</v>
      </c>
      <c r="D2" s="5"/>
      <c r="E2" s="396" t="s">
        <v>31</v>
      </c>
      <c r="F2" s="1424">
        <v>40940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113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437</v>
      </c>
      <c r="M4" s="396" t="s">
        <v>71</v>
      </c>
      <c r="N4" s="431" t="s">
        <v>69</v>
      </c>
      <c r="O4" s="20">
        <v>437</v>
      </c>
      <c r="P4" s="425" t="s">
        <v>71</v>
      </c>
      <c r="Q4" s="429" t="s">
        <v>69</v>
      </c>
      <c r="R4" s="20">
        <v>437</v>
      </c>
      <c r="S4" s="115" t="s">
        <v>69</v>
      </c>
      <c r="T4" s="106">
        <f>AVERAGE(L4,O4,R4)</f>
        <v>437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113</v>
      </c>
      <c r="K5" s="342" t="s">
        <v>70</v>
      </c>
      <c r="L5" s="343">
        <f>L4*$I$4</f>
        <v>21.85</v>
      </c>
      <c r="M5" s="632">
        <v>113</v>
      </c>
      <c r="N5" s="344" t="s">
        <v>70</v>
      </c>
      <c r="O5" s="345">
        <f>O4*$I$4</f>
        <v>21.85</v>
      </c>
      <c r="P5" s="631">
        <v>113</v>
      </c>
      <c r="Q5" s="342" t="s">
        <v>70</v>
      </c>
      <c r="R5" s="343">
        <f>R4*$I$4</f>
        <v>21.85</v>
      </c>
      <c r="S5" s="237" t="s">
        <v>70</v>
      </c>
      <c r="T5" s="238">
        <f>AVERAGE(L5,O5,R5)</f>
        <v>21.850000000000005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3390</v>
      </c>
      <c r="L10" s="265">
        <f>K10/$E$7</f>
        <v>484.28571428571428</v>
      </c>
      <c r="M10" s="58" t="s">
        <v>12</v>
      </c>
      <c r="N10" s="432">
        <f>I10*$M$5</f>
        <v>3390</v>
      </c>
      <c r="O10" s="68">
        <f>N10/$E$7</f>
        <v>484.28571428571428</v>
      </c>
      <c r="P10" s="263" t="s">
        <v>12</v>
      </c>
      <c r="Q10" s="433">
        <f>$I10*$M$5</f>
        <v>3390</v>
      </c>
      <c r="R10" s="289">
        <f>Q10/$E$7</f>
        <v>484.28571428571428</v>
      </c>
      <c r="S10" s="121">
        <f>AVERAGE(L10,O10,R10)</f>
        <v>484.28571428571428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221201.11599999998</v>
      </c>
      <c r="L11" s="385">
        <f>K11/$E$7</f>
        <v>31600.159428571427</v>
      </c>
      <c r="M11" s="386">
        <f>HLOOKUP(Labor!$B$11,InflationTable,3)*$I11</f>
        <v>1998.3820000000001</v>
      </c>
      <c r="N11" s="387">
        <f>M11*$J$5</f>
        <v>225817.166</v>
      </c>
      <c r="O11" s="388">
        <f>N11/$E$7</f>
        <v>32259.595142857142</v>
      </c>
      <c r="P11" s="383">
        <f>HLOOKUP(Labor!$B$11,InflationTable,4)*$I11</f>
        <v>2037.5980000000002</v>
      </c>
      <c r="Q11" s="384">
        <f>P11*$J$5</f>
        <v>230248.57400000002</v>
      </c>
      <c r="R11" s="385">
        <f>Q11/$E$7</f>
        <v>32892.65342857143</v>
      </c>
      <c r="S11" s="379">
        <f>AVERAGE(L11,O11,R11)</f>
        <v>32250.802666666666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904</v>
      </c>
      <c r="L13" s="265">
        <f>K13/$E$7</f>
        <v>129.14285714285714</v>
      </c>
      <c r="M13" s="58" t="s">
        <v>12</v>
      </c>
      <c r="N13" s="60">
        <f>I13*$M$5</f>
        <v>904</v>
      </c>
      <c r="O13" s="59">
        <f>N13/$E$7</f>
        <v>129.14285714285714</v>
      </c>
      <c r="P13" s="263" t="s">
        <v>12</v>
      </c>
      <c r="Q13" s="291">
        <f>$I13*$P$5</f>
        <v>904</v>
      </c>
      <c r="R13" s="282">
        <f>Q13/$E$7</f>
        <v>129.14285714285714</v>
      </c>
      <c r="S13" s="121">
        <f>AVERAGE(L13,O13,R13)</f>
        <v>129.14285714285714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56721.705999999998</v>
      </c>
      <c r="L14" s="297">
        <f>K14/$E$7</f>
        <v>8103.1008571428565</v>
      </c>
      <c r="M14" s="376">
        <f>HLOOKUP(Labor!$B$11,InflationTable,3)*I14</f>
        <v>512.43700000000001</v>
      </c>
      <c r="N14" s="377">
        <f>M14*$J$5</f>
        <v>57905.381000000001</v>
      </c>
      <c r="O14" s="378">
        <f>N14/$E$7</f>
        <v>8272.1972857142864</v>
      </c>
      <c r="P14" s="339">
        <f>HLOOKUP(Labor!$B$11,InflationTable,4)*I14</f>
        <v>522.49300000000005</v>
      </c>
      <c r="Q14" s="296">
        <f>P14*$J$5</f>
        <v>59041.709000000003</v>
      </c>
      <c r="R14" s="297">
        <f>Q14/$E$7</f>
        <v>8434.5298571428575</v>
      </c>
      <c r="S14" s="379">
        <f>AVERAGE(L14,O14,R14)</f>
        <v>8269.9426666666677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4294</v>
      </c>
      <c r="L15" s="273">
        <f>L10+L13</f>
        <v>613.42857142857144</v>
      </c>
      <c r="M15" s="61" t="s">
        <v>12</v>
      </c>
      <c r="N15" s="426">
        <f>I15*$M$5</f>
        <v>4294</v>
      </c>
      <c r="O15" s="62">
        <f>N15/$E$7</f>
        <v>613.42857142857144</v>
      </c>
      <c r="P15" s="293" t="s">
        <v>12</v>
      </c>
      <c r="Q15" s="433">
        <f>$I15*$P$5</f>
        <v>4294</v>
      </c>
      <c r="R15" s="294">
        <f>Q15/$E$7</f>
        <v>613.42857142857144</v>
      </c>
      <c r="S15" s="121">
        <f>AVERAGE(L15,O15,R15)</f>
        <v>613.42857142857144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277922.82199999999</v>
      </c>
      <c r="L16" s="276">
        <f>L11+L14</f>
        <v>39703.260285714285</v>
      </c>
      <c r="M16" s="242">
        <f>M11+M14</f>
        <v>2510.819</v>
      </c>
      <c r="N16" s="240">
        <f>N11+N14</f>
        <v>283722.54700000002</v>
      </c>
      <c r="O16" s="243">
        <f>O11+O14</f>
        <v>40531.792428571425</v>
      </c>
      <c r="P16" s="295">
        <f>P11+P14</f>
        <v>2560.0910000000003</v>
      </c>
      <c r="Q16" s="296">
        <f>P16*$P$5</f>
        <v>289290.28300000005</v>
      </c>
      <c r="R16" s="297">
        <f>Q16/$E$7</f>
        <v>41327.183285714294</v>
      </c>
      <c r="S16" s="211">
        <f>AVERAGE(L16,O16,R16)</f>
        <v>40520.745333333332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5235260</v>
      </c>
      <c r="L21" s="280">
        <f>K21/$E$18</f>
        <v>747894.28571428568</v>
      </c>
      <c r="M21" s="78">
        <f>HLOOKUP($D$21,InflationTable,3)*$C$21</f>
        <v>12230</v>
      </c>
      <c r="N21" s="27">
        <f>M21*$L$4</f>
        <v>5344510</v>
      </c>
      <c r="O21" s="182">
        <f>N21/$E$18</f>
        <v>763501.42857142852</v>
      </c>
      <c r="P21" s="298">
        <f>HLOOKUP($D$21,InflationTable,4)*$C$21</f>
        <v>12470.000000000002</v>
      </c>
      <c r="Q21" s="279">
        <f>P21*$L$4</f>
        <v>5449390.0000000009</v>
      </c>
      <c r="R21" s="280">
        <f>Q21/$E$18</f>
        <v>778484.2857142858</v>
      </c>
      <c r="S21" s="127" t="s">
        <v>12</v>
      </c>
      <c r="T21" s="119" t="s">
        <v>12</v>
      </c>
      <c r="U21" s="139">
        <f>AVERAGE(L21,O21,R21)</f>
        <v>763293.33333333337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261763.00000000003</v>
      </c>
      <c r="L22" s="308">
        <f>K22/$E$18</f>
        <v>37394.71428571429</v>
      </c>
      <c r="M22" s="4"/>
      <c r="N22" s="104">
        <f>M21*$L$5</f>
        <v>267225.5</v>
      </c>
      <c r="O22" s="370">
        <f>N22/$E$18</f>
        <v>38175.071428571428</v>
      </c>
      <c r="P22" s="371"/>
      <c r="Q22" s="355">
        <f>P21*$L$5</f>
        <v>272469.50000000006</v>
      </c>
      <c r="R22" s="308">
        <f>Q22/$E$18</f>
        <v>38924.214285714297</v>
      </c>
      <c r="S22" s="359" t="s">
        <v>12</v>
      </c>
      <c r="T22" s="149" t="s">
        <v>12</v>
      </c>
      <c r="U22" s="372">
        <f>AVERAGE(L22,O22,R22)</f>
        <v>38164.666666666664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1835.4</v>
      </c>
      <c r="L24" s="282">
        <f>K24/$E$18</f>
        <v>262.2</v>
      </c>
      <c r="M24" s="58" t="s">
        <v>12</v>
      </c>
      <c r="N24" s="69">
        <f>$I$24*($O$4+$O$5)</f>
        <v>1835.4</v>
      </c>
      <c r="O24" s="59">
        <f>N24/$E$18</f>
        <v>262.2</v>
      </c>
      <c r="P24" s="263" t="s">
        <v>12</v>
      </c>
      <c r="Q24" s="281">
        <f>$I$24*($R$4+$R$5)</f>
        <v>1835.4</v>
      </c>
      <c r="R24" s="282">
        <f>Q24/$E$18</f>
        <v>262.2</v>
      </c>
      <c r="S24" s="151">
        <f>AVERAGE(L24,O24,R24)</f>
        <v>262.2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108291.35310000001</v>
      </c>
      <c r="L25" s="297">
        <f>K25/$E$18</f>
        <v>15470.193300000001</v>
      </c>
      <c r="M25" s="376">
        <f>HLOOKUP(Labor!$B$11,InflationTable,3)*$I25</f>
        <v>240.93100000000001</v>
      </c>
      <c r="N25" s="377">
        <f>M25*$L$4</f>
        <v>105286.84700000001</v>
      </c>
      <c r="O25" s="378">
        <f>N25/$E$18</f>
        <v>15040.978142857144</v>
      </c>
      <c r="P25" s="332">
        <f>HLOOKUP(Labor!$B$11,InflationTable,4)*$I25</f>
        <v>245.65900000000002</v>
      </c>
      <c r="Q25" s="296">
        <f>P25*$L$4</f>
        <v>107352.98300000001</v>
      </c>
      <c r="R25" s="390">
        <f>Q25/$E$18</f>
        <v>15336.140428571429</v>
      </c>
      <c r="S25" s="391">
        <f>AVERAGE(L25,O25,R25)</f>
        <v>15282.437290476191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6992</v>
      </c>
      <c r="L26" s="294">
        <f>K26/$E$18</f>
        <v>998.85714285714289</v>
      </c>
      <c r="M26" s="61" t="s">
        <v>12</v>
      </c>
      <c r="N26" s="348">
        <f>I26*$O$4</f>
        <v>6992</v>
      </c>
      <c r="O26" s="62">
        <f>N26/$E$18</f>
        <v>998.85714285714289</v>
      </c>
      <c r="P26" s="293" t="s">
        <v>12</v>
      </c>
      <c r="Q26" s="327">
        <f>$I26*$O$4</f>
        <v>6992</v>
      </c>
      <c r="R26" s="367">
        <f>Q26/$E$18</f>
        <v>998.85714285714289</v>
      </c>
      <c r="S26" s="129">
        <f>AVERAGE(L26,O26,R26)</f>
        <v>998.85714285714278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355997.68</v>
      </c>
      <c r="L27" s="297">
        <f>K27/$E$18</f>
        <v>50856.811428571425</v>
      </c>
      <c r="M27" s="376">
        <f>HLOOKUP(Labor!$B$11,InflationTable,3)*$I27</f>
        <v>831.6400000000001</v>
      </c>
      <c r="N27" s="377">
        <f>M27*$O$4</f>
        <v>363426.68000000005</v>
      </c>
      <c r="O27" s="378">
        <f>N27/$E$18</f>
        <v>51918.09714285715</v>
      </c>
      <c r="P27" s="339">
        <f>HLOOKUP(Labor!$B$11,InflationTable,4)*$I27</f>
        <v>847.96</v>
      </c>
      <c r="Q27" s="296">
        <f>P27*$R$4</f>
        <v>370558.52</v>
      </c>
      <c r="R27" s="297">
        <f>Q27/$E$18</f>
        <v>52936.931428571428</v>
      </c>
      <c r="S27" s="211">
        <f>AVERAGE(L27,O27,R27)</f>
        <v>51903.946666666663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8827.4</v>
      </c>
      <c r="L28" s="286">
        <f>L24+L26</f>
        <v>1261.0571428571429</v>
      </c>
      <c r="M28" s="44" t="s">
        <v>12</v>
      </c>
      <c r="N28" s="33">
        <f>N24+N26</f>
        <v>8827.4</v>
      </c>
      <c r="O28" s="40">
        <f>O24+O26</f>
        <v>1261.0571428571429</v>
      </c>
      <c r="P28" s="284" t="s">
        <v>12</v>
      </c>
      <c r="Q28" s="285">
        <f>Q24+Q26</f>
        <v>8827.4</v>
      </c>
      <c r="R28" s="286">
        <f>R24+R26</f>
        <v>1261.0571428571429</v>
      </c>
      <c r="S28" s="175">
        <f>AVERAGE(L28,O28,R28)</f>
        <v>1261.0571428571429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851616.0047285714</v>
      </c>
      <c r="M29" s="242">
        <f>M27+M25</f>
        <v>1072.5710000000001</v>
      </c>
      <c r="N29" s="247"/>
      <c r="O29" s="243">
        <f>O27+O25+O22+O21</f>
        <v>868635.57528571424</v>
      </c>
      <c r="P29" s="274">
        <f>P27+P25</f>
        <v>1093.6190000000001</v>
      </c>
      <c r="Q29" s="287"/>
      <c r="R29" s="276">
        <f>R27+R25+R22+R21</f>
        <v>885681.57185714296</v>
      </c>
      <c r="S29" s="248">
        <f>SUM(S27,S25)</f>
        <v>67186.383957142854</v>
      </c>
      <c r="T29" s="249" t="s">
        <v>12</v>
      </c>
      <c r="U29" s="250">
        <f>SUM(U21:U22)</f>
        <v>801458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418820.8</v>
      </c>
      <c r="L34" s="308">
        <f>K34</f>
        <v>418820.8</v>
      </c>
      <c r="M34" s="171">
        <f>HLOOKUP($D$34,InflationTable,3)*$C$34</f>
        <v>978.40000000000009</v>
      </c>
      <c r="N34" s="357">
        <f>M34*$O$4</f>
        <v>427560.80000000005</v>
      </c>
      <c r="O34" s="95">
        <f>N34</f>
        <v>427560.80000000005</v>
      </c>
      <c r="P34" s="355">
        <f>HLOOKUP($D$34,InflationTable,4)*$C$34</f>
        <v>997.60000000000014</v>
      </c>
      <c r="Q34" s="355">
        <f>P34*$R$4</f>
        <v>435951.20000000007</v>
      </c>
      <c r="R34" s="308">
        <f>Q34</f>
        <v>435951.20000000007</v>
      </c>
      <c r="S34" s="359" t="s">
        <v>12</v>
      </c>
      <c r="T34" s="360">
        <f>AVERAGE(L34,O34,R34)</f>
        <v>427444.26666666678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52440</v>
      </c>
      <c r="L36" s="289">
        <f>K36</f>
        <v>52440</v>
      </c>
      <c r="M36" s="58" t="s">
        <v>12</v>
      </c>
      <c r="N36" s="69">
        <f>$I$36*$O$4</f>
        <v>52440</v>
      </c>
      <c r="O36" s="68">
        <f>N36</f>
        <v>52440</v>
      </c>
      <c r="P36" s="299" t="s">
        <v>12</v>
      </c>
      <c r="Q36" s="281">
        <f>$I$36*$R$4</f>
        <v>52440</v>
      </c>
      <c r="R36" s="289">
        <f>Q36</f>
        <v>52440</v>
      </c>
      <c r="S36" s="121">
        <f>AVERAGE(L36,O36,R36)</f>
        <v>52440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2668935.548</v>
      </c>
      <c r="L37" s="390">
        <f>K37</f>
        <v>2668935.548</v>
      </c>
      <c r="M37" s="376">
        <f>HLOOKUP(Labor!$B$11,InflationTable,3)*I37</f>
        <v>6234.8540000000003</v>
      </c>
      <c r="N37" s="377">
        <f>M37*$O$4</f>
        <v>2724631.1980000003</v>
      </c>
      <c r="O37" s="378">
        <f>N37</f>
        <v>2724631.1980000003</v>
      </c>
      <c r="P37" s="296">
        <f>HLOOKUP(Labor!$B$11,InflationTable,4)*$I$37</f>
        <v>6357.2060000000001</v>
      </c>
      <c r="Q37" s="296">
        <f>P37*$R$4</f>
        <v>2778099.0219999999</v>
      </c>
      <c r="R37" s="390">
        <f>Q37</f>
        <v>2778099.0219999999</v>
      </c>
      <c r="S37" s="211">
        <f>AVERAGE(L37,O37,R37)</f>
        <v>2723888.5893333335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52440</v>
      </c>
      <c r="L38" s="303">
        <f>L36</f>
        <v>52440</v>
      </c>
      <c r="M38" s="85" t="s">
        <v>12</v>
      </c>
      <c r="N38" s="82">
        <f>N36</f>
        <v>52440</v>
      </c>
      <c r="O38" s="96">
        <f>O36</f>
        <v>52440</v>
      </c>
      <c r="P38" s="301" t="s">
        <v>12</v>
      </c>
      <c r="Q38" s="302">
        <f>Q36</f>
        <v>52440</v>
      </c>
      <c r="R38" s="303">
        <f>R36</f>
        <v>52440</v>
      </c>
      <c r="S38" s="96">
        <f>S36</f>
        <v>52440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3087756.3479999998</v>
      </c>
      <c r="L39" s="306">
        <f t="shared" si="5"/>
        <v>3087756.3479999998</v>
      </c>
      <c r="M39" s="252">
        <f t="shared" si="5"/>
        <v>7213.2540000000008</v>
      </c>
      <c r="N39" s="253">
        <f t="shared" si="5"/>
        <v>3152191.9980000006</v>
      </c>
      <c r="O39" s="254">
        <f t="shared" si="5"/>
        <v>3152191.9980000006</v>
      </c>
      <c r="P39" s="304">
        <f t="shared" si="5"/>
        <v>7354.8060000000005</v>
      </c>
      <c r="Q39" s="305">
        <f t="shared" si="5"/>
        <v>3214050.2220000001</v>
      </c>
      <c r="R39" s="306">
        <f t="shared" si="5"/>
        <v>3214050.2220000001</v>
      </c>
      <c r="S39" s="255">
        <f>AVERAGE(L39,O39,R39)</f>
        <v>3151332.8560000001</v>
      </c>
      <c r="T39" s="251">
        <f>T34</f>
        <v>427444.26666666678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523526</v>
      </c>
      <c r="L44" s="308">
        <f>K44</f>
        <v>523526</v>
      </c>
      <c r="M44" s="357">
        <f>HLOOKUP($D$44,InflationTable,3)*$C$44</f>
        <v>1223</v>
      </c>
      <c r="N44" s="357">
        <f>M44*$O$4</f>
        <v>534451</v>
      </c>
      <c r="O44" s="95">
        <f>N44</f>
        <v>534451</v>
      </c>
      <c r="P44" s="358">
        <f>HLOOKUP($D$44,InflationTable,4)*$C$44</f>
        <v>1247</v>
      </c>
      <c r="Q44" s="355">
        <f>P44*$R$4</f>
        <v>544939</v>
      </c>
      <c r="R44" s="308">
        <f>Q44</f>
        <v>544939</v>
      </c>
      <c r="S44" s="359" t="s">
        <v>12</v>
      </c>
      <c r="T44" s="360">
        <f>AVERAGE(L44,O44,R44)</f>
        <v>534305.33333333337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5244</v>
      </c>
      <c r="L46" s="289">
        <f>K46</f>
        <v>5244</v>
      </c>
      <c r="M46" s="58" t="s">
        <v>12</v>
      </c>
      <c r="N46" s="69">
        <f>$I$46*$O$4</f>
        <v>5244</v>
      </c>
      <c r="O46" s="68">
        <f>N46</f>
        <v>5244</v>
      </c>
      <c r="P46" s="263" t="s">
        <v>12</v>
      </c>
      <c r="Q46" s="281">
        <f>$I$46*$R$4</f>
        <v>5244</v>
      </c>
      <c r="R46" s="289">
        <f>Q46</f>
        <v>5244</v>
      </c>
      <c r="S46" s="121">
        <f>AVERAGE(L46,O46,R46)</f>
        <v>5244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274851.14999999997</v>
      </c>
      <c r="L47" s="308">
        <f>K47</f>
        <v>274851.14999999997</v>
      </c>
      <c r="M47" s="84">
        <f>HLOOKUP(Labor!$B$11,InflationTable,3)*$I$47</f>
        <v>642.07500000000005</v>
      </c>
      <c r="N47" s="63">
        <f>M47*$O$4</f>
        <v>280586.77500000002</v>
      </c>
      <c r="O47" s="95">
        <f>N47</f>
        <v>280586.77500000002</v>
      </c>
      <c r="P47" s="268">
        <f>HLOOKUP(Labor!$B$11,InflationTable,4)*$I$47</f>
        <v>654.67500000000007</v>
      </c>
      <c r="Q47" s="269">
        <f>P47*$O$4</f>
        <v>286092.97500000003</v>
      </c>
      <c r="R47" s="308">
        <f>Q47</f>
        <v>286092.97500000003</v>
      </c>
      <c r="S47" s="128">
        <f>AVERAGE(L47,O47,R47)</f>
        <v>280510.30000000005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24472</v>
      </c>
      <c r="L48" s="328">
        <f>K48</f>
        <v>24472</v>
      </c>
      <c r="M48" s="61" t="s">
        <v>12</v>
      </c>
      <c r="N48" s="348">
        <f>$I$48*$O$4</f>
        <v>24472</v>
      </c>
      <c r="O48" s="349">
        <f>N48</f>
        <v>24472</v>
      </c>
      <c r="P48" s="293" t="s">
        <v>12</v>
      </c>
      <c r="Q48" s="327">
        <f>$I$48*$R$4</f>
        <v>24472</v>
      </c>
      <c r="R48" s="328">
        <f>Q48</f>
        <v>24472</v>
      </c>
      <c r="S48" s="129">
        <f>AVERAGE(L48,O48,R48)</f>
        <v>24472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1352267.6579999998</v>
      </c>
      <c r="L49" s="308">
        <f>K49</f>
        <v>1352267.6579999998</v>
      </c>
      <c r="M49" s="84">
        <f>HLOOKUP(Labor!$B$11,InflationTable,3)*$I$49</f>
        <v>3159.009</v>
      </c>
      <c r="N49" s="63">
        <f>M49*$O$4</f>
        <v>1380486.933</v>
      </c>
      <c r="O49" s="95">
        <f>N49</f>
        <v>1380486.933</v>
      </c>
      <c r="P49" s="268">
        <f>HLOOKUP(Labor!$B$11,InflationTable,4)*$I$49</f>
        <v>3221.0010000000002</v>
      </c>
      <c r="Q49" s="269">
        <f>P49*$R$4</f>
        <v>1407577.4370000002</v>
      </c>
      <c r="R49" s="308">
        <f>Q49</f>
        <v>1407577.4370000002</v>
      </c>
      <c r="S49" s="132">
        <f>AVERAGE(L49,O49,R49)</f>
        <v>1380110.676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29716</v>
      </c>
      <c r="L50" s="310">
        <f>L46+L48</f>
        <v>29716</v>
      </c>
      <c r="M50" s="85" t="s">
        <v>12</v>
      </c>
      <c r="N50" s="86">
        <f>N46+N48</f>
        <v>29716</v>
      </c>
      <c r="O50" s="97">
        <f>O46+O48</f>
        <v>29716</v>
      </c>
      <c r="P50" s="301" t="s">
        <v>12</v>
      </c>
      <c r="Q50" s="309">
        <f>Q46+Q48</f>
        <v>29716</v>
      </c>
      <c r="R50" s="310">
        <f>R46+R48</f>
        <v>29716</v>
      </c>
      <c r="S50" s="121">
        <f>AVERAGE(L50,O50,R50)</f>
        <v>29716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2150644.8079999997</v>
      </c>
      <c r="L51" s="306">
        <f t="shared" si="8"/>
        <v>2150644.8079999997</v>
      </c>
      <c r="M51" s="252">
        <f t="shared" si="8"/>
        <v>5024.0839999999998</v>
      </c>
      <c r="N51" s="253">
        <f t="shared" si="8"/>
        <v>2195524.7080000001</v>
      </c>
      <c r="O51" s="254">
        <f t="shared" si="8"/>
        <v>2195524.7080000001</v>
      </c>
      <c r="P51" s="311">
        <f t="shared" si="8"/>
        <v>5122.6760000000004</v>
      </c>
      <c r="Q51" s="305">
        <f t="shared" si="8"/>
        <v>2238609.4120000005</v>
      </c>
      <c r="R51" s="306">
        <f t="shared" si="8"/>
        <v>2238609.4120000005</v>
      </c>
      <c r="S51" s="248">
        <f>S49+S47</f>
        <v>1660620.976</v>
      </c>
      <c r="T51" s="251">
        <f>T44</f>
        <v>534305.33333333337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6118</v>
      </c>
      <c r="L56" s="289">
        <f t="shared" ref="L56:L63" si="10">K56</f>
        <v>6118</v>
      </c>
      <c r="M56" s="58" t="s">
        <v>12</v>
      </c>
      <c r="N56" s="69">
        <f>$I$56*$O$4</f>
        <v>6118</v>
      </c>
      <c r="O56" s="68">
        <f t="shared" ref="O56:O63" si="11">N56</f>
        <v>6118</v>
      </c>
      <c r="P56" s="263" t="s">
        <v>12</v>
      </c>
      <c r="Q56" s="281">
        <f>$I$56*$R$4</f>
        <v>6118</v>
      </c>
      <c r="R56" s="289">
        <f t="shared" ref="R56:R63" si="12">Q56</f>
        <v>6118</v>
      </c>
      <c r="S56" s="121">
        <f t="shared" ref="S56:S65" si="13">AVERAGE(L56,O56,R56)</f>
        <v>6118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332962.53600000002</v>
      </c>
      <c r="L57" s="308">
        <f t="shared" si="10"/>
        <v>332962.53600000002</v>
      </c>
      <c r="M57" s="84">
        <f>HLOOKUP(Labor!$B$11,InflationTable,3)*$I$57</f>
        <v>777.82800000000009</v>
      </c>
      <c r="N57" s="63">
        <f>M57*$L$4</f>
        <v>339910.83600000001</v>
      </c>
      <c r="O57" s="95">
        <f t="shared" si="11"/>
        <v>339910.83600000001</v>
      </c>
      <c r="P57" s="268">
        <f>HLOOKUP(Labor!$B$11,InflationTable,4)*$I$57</f>
        <v>793.0920000000001</v>
      </c>
      <c r="Q57" s="269">
        <f>P57*$R$4</f>
        <v>346581.20400000003</v>
      </c>
      <c r="R57" s="308">
        <f t="shared" si="12"/>
        <v>346581.20400000003</v>
      </c>
      <c r="S57" s="128">
        <f t="shared" si="13"/>
        <v>339818.19199999998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3933</v>
      </c>
      <c r="L58" s="328">
        <f t="shared" si="10"/>
        <v>3933</v>
      </c>
      <c r="M58" s="61" t="s">
        <v>12</v>
      </c>
      <c r="N58" s="348">
        <f>$I$58*$O$4</f>
        <v>3933</v>
      </c>
      <c r="O58" s="349">
        <f t="shared" si="11"/>
        <v>3933</v>
      </c>
      <c r="P58" s="293" t="s">
        <v>12</v>
      </c>
      <c r="Q58" s="327">
        <f>$I$58*$R$4</f>
        <v>3933</v>
      </c>
      <c r="R58" s="328">
        <f t="shared" si="12"/>
        <v>3933</v>
      </c>
      <c r="S58" s="129">
        <f t="shared" si="13"/>
        <v>3933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228780.86199999999</v>
      </c>
      <c r="L59" s="308">
        <f t="shared" si="10"/>
        <v>228780.86199999999</v>
      </c>
      <c r="M59" s="362">
        <f>HLOOKUP(Labor!$B$11,InflationTable,3)*I59</f>
        <v>534.45100000000002</v>
      </c>
      <c r="N59" s="63">
        <f>M59*$O$4</f>
        <v>233555.087</v>
      </c>
      <c r="O59" s="95">
        <f t="shared" si="11"/>
        <v>233555.087</v>
      </c>
      <c r="P59" s="268">
        <f>HLOOKUP(Labor!$B$11,InflationTable,4)*$I$59</f>
        <v>544.93900000000008</v>
      </c>
      <c r="Q59" s="269">
        <f>P59*$R$4</f>
        <v>238138.34300000002</v>
      </c>
      <c r="R59" s="308">
        <f t="shared" si="12"/>
        <v>238138.34300000002</v>
      </c>
      <c r="S59" s="128">
        <f t="shared" si="13"/>
        <v>233491.43066666668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5244</v>
      </c>
      <c r="L60" s="328">
        <f t="shared" si="10"/>
        <v>5244</v>
      </c>
      <c r="M60" s="61" t="s">
        <v>12</v>
      </c>
      <c r="N60" s="348">
        <f>$I$60*$O$4</f>
        <v>5244</v>
      </c>
      <c r="O60" s="349">
        <f t="shared" si="11"/>
        <v>5244</v>
      </c>
      <c r="P60" s="293" t="s">
        <v>12</v>
      </c>
      <c r="Q60" s="327">
        <f>$I$60*$R$4</f>
        <v>5244</v>
      </c>
      <c r="R60" s="328">
        <f t="shared" si="12"/>
        <v>5244</v>
      </c>
      <c r="S60" s="129">
        <f t="shared" si="13"/>
        <v>5244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298409.82</v>
      </c>
      <c r="L61" s="308">
        <f t="shared" si="10"/>
        <v>298409.82</v>
      </c>
      <c r="M61" s="84">
        <f>HLOOKUP(Labor!$B$11,InflationTable,3)*$I$61</f>
        <v>697.11</v>
      </c>
      <c r="N61" s="63">
        <f>M61*$O$4</f>
        <v>304637.07</v>
      </c>
      <c r="O61" s="95">
        <f t="shared" si="11"/>
        <v>304637.07</v>
      </c>
      <c r="P61" s="268">
        <f>HLOOKUP(Labor!$B$11,InflationTable,4)*$I$61</f>
        <v>710.79000000000008</v>
      </c>
      <c r="Q61" s="269">
        <f>P61*$R$4</f>
        <v>310615.23000000004</v>
      </c>
      <c r="R61" s="308">
        <f t="shared" si="12"/>
        <v>310615.23000000004</v>
      </c>
      <c r="S61" s="128">
        <f t="shared" si="13"/>
        <v>304554.04000000004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1748</v>
      </c>
      <c r="L62" s="328">
        <f t="shared" si="10"/>
        <v>1748</v>
      </c>
      <c r="M62" s="61" t="s">
        <v>12</v>
      </c>
      <c r="N62" s="348">
        <f>$I$62*$O$4</f>
        <v>1748</v>
      </c>
      <c r="O62" s="349">
        <f t="shared" si="11"/>
        <v>1748</v>
      </c>
      <c r="P62" s="293" t="s">
        <v>12</v>
      </c>
      <c r="Q62" s="327">
        <f>$I$62*$R$4</f>
        <v>1748</v>
      </c>
      <c r="R62" s="328">
        <f t="shared" si="12"/>
        <v>1748</v>
      </c>
      <c r="S62" s="129">
        <f t="shared" si="13"/>
        <v>1748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96328.784</v>
      </c>
      <c r="L63" s="300">
        <f t="shared" si="10"/>
        <v>96328.784</v>
      </c>
      <c r="M63" s="84">
        <f>HLOOKUP(Labor!$B$11,InflationTable,3)*$I$63</f>
        <v>225.03200000000001</v>
      </c>
      <c r="N63" s="63">
        <f>M63*$O$4</f>
        <v>98338.984000000011</v>
      </c>
      <c r="O63" s="98">
        <f t="shared" si="11"/>
        <v>98338.984000000011</v>
      </c>
      <c r="P63" s="268">
        <f>HLOOKUP(Labor!$B$11,InflationTable,4)*$I$63</f>
        <v>229.44800000000001</v>
      </c>
      <c r="Q63" s="269">
        <f>P63*$R$4</f>
        <v>100268.776</v>
      </c>
      <c r="R63" s="300">
        <f t="shared" si="12"/>
        <v>100268.776</v>
      </c>
      <c r="S63" s="128">
        <f t="shared" si="13"/>
        <v>98312.181333333327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17043</v>
      </c>
      <c r="L64" s="312">
        <f>L56+L58+L60+L62</f>
        <v>17043</v>
      </c>
      <c r="M64" s="85" t="s">
        <v>12</v>
      </c>
      <c r="N64" s="33">
        <f>N56+N58+N60+N62</f>
        <v>17043</v>
      </c>
      <c r="O64" s="99">
        <f>O56+O58+O60+O62</f>
        <v>17043</v>
      </c>
      <c r="P64" s="301" t="s">
        <v>12</v>
      </c>
      <c r="Q64" s="285">
        <f>Q56+Q58+Q60+Q62</f>
        <v>17043</v>
      </c>
      <c r="R64" s="312">
        <f>R56+R58+R60+R62</f>
        <v>17043</v>
      </c>
      <c r="S64" s="129">
        <f t="shared" si="13"/>
        <v>17043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956482.00200000009</v>
      </c>
      <c r="L65" s="276">
        <f>L57+L59+L61+L63</f>
        <v>956482.00200000009</v>
      </c>
      <c r="M65" s="242">
        <f>M57+M59+M61+M63</f>
        <v>2234.4210000000003</v>
      </c>
      <c r="N65" s="240">
        <f>N57+N59+N61+N63</f>
        <v>976441.97700000007</v>
      </c>
      <c r="O65" s="243">
        <f>O57+O59+O61+O63</f>
        <v>976441.97700000007</v>
      </c>
      <c r="P65" s="313">
        <f>P57+P59+P61+P63</f>
        <v>2278.2690000000002</v>
      </c>
      <c r="Q65" s="275">
        <f>Q57+Q59+Q61+Q63</f>
        <v>995603.55299999996</v>
      </c>
      <c r="R65" s="276">
        <f>R57+R59+R61+R63</f>
        <v>995603.55299999996</v>
      </c>
      <c r="S65" s="255">
        <f t="shared" si="13"/>
        <v>976175.84400000004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15732</v>
      </c>
      <c r="L71" s="289">
        <f>K71</f>
        <v>15732</v>
      </c>
      <c r="M71" s="58" t="s">
        <v>12</v>
      </c>
      <c r="N71" s="69">
        <f>$I$71*$O$4</f>
        <v>15732</v>
      </c>
      <c r="O71" s="68">
        <f>N71</f>
        <v>15732</v>
      </c>
      <c r="P71" s="263" t="s">
        <v>12</v>
      </c>
      <c r="Q71" s="281">
        <f>$I$71*$O$4</f>
        <v>15732</v>
      </c>
      <c r="R71" s="289">
        <f>Q71</f>
        <v>15732</v>
      </c>
      <c r="S71" s="121">
        <f>AVERAGE(L71,O71,R71)</f>
        <v>15732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980040.67200000002</v>
      </c>
      <c r="L72" s="308">
        <f>K72</f>
        <v>980040.67200000002</v>
      </c>
      <c r="M72" s="362">
        <f>HLOOKUP(Labor!$B$11,InflationTable,3)*$I$72</f>
        <v>2289.4560000000001</v>
      </c>
      <c r="N72" s="63">
        <f>M72*$O$4</f>
        <v>1000492.2720000001</v>
      </c>
      <c r="O72" s="95">
        <f>N72</f>
        <v>1000492.2720000001</v>
      </c>
      <c r="P72" s="268">
        <f>HLOOKUP(Labor!$B$11,InflationTable,4)*$I72</f>
        <v>2334.384</v>
      </c>
      <c r="Q72" s="269">
        <f>P72*$R$4</f>
        <v>1020125.808</v>
      </c>
      <c r="R72" s="308">
        <f>Q72</f>
        <v>1020125.808</v>
      </c>
      <c r="S72" s="128">
        <f>AVERAGE(L72,O72,R72)</f>
        <v>1000219.5840000001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11362</v>
      </c>
      <c r="L73" s="328">
        <f>K73</f>
        <v>11362</v>
      </c>
      <c r="M73" s="61" t="s">
        <v>12</v>
      </c>
      <c r="N73" s="348">
        <f>$I$73*$O$4</f>
        <v>11362</v>
      </c>
      <c r="O73" s="349">
        <f>N73</f>
        <v>11362</v>
      </c>
      <c r="P73" s="293" t="s">
        <v>12</v>
      </c>
      <c r="Q73" s="327">
        <f>$I$73*$O$4</f>
        <v>11362</v>
      </c>
      <c r="R73" s="328">
        <f>Q73</f>
        <v>11362</v>
      </c>
      <c r="S73" s="129">
        <f>AVERAGE(L73,O73,R73)</f>
        <v>11362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555984.61199999996</v>
      </c>
      <c r="L74" s="308">
        <f>K74</f>
        <v>555984.61199999996</v>
      </c>
      <c r="M74" s="362">
        <f>HLOOKUP(Labor!$B$11,InflationTable,3)*$I$74</f>
        <v>1298.826</v>
      </c>
      <c r="N74" s="63">
        <f>M74*$O$4</f>
        <v>567586.96200000006</v>
      </c>
      <c r="O74" s="95">
        <f>N74</f>
        <v>567586.96200000006</v>
      </c>
      <c r="P74" s="268">
        <f>HLOOKUP(Labor!$B$11,InflationTable,4)*$I74</f>
        <v>1324.3140000000001</v>
      </c>
      <c r="Q74" s="269">
        <f>P74*$R$4</f>
        <v>578725.21799999999</v>
      </c>
      <c r="R74" s="308">
        <f>Q74</f>
        <v>578725.21799999999</v>
      </c>
      <c r="S74" s="128">
        <f>AVERAGE(L74,O74,R74)</f>
        <v>567432.26399999997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1748</v>
      </c>
      <c r="L76" s="289">
        <f t="shared" ref="L76:L81" si="16">K76</f>
        <v>1748</v>
      </c>
      <c r="M76" s="58" t="s">
        <v>12</v>
      </c>
      <c r="N76" s="69">
        <f>$I76*$O$4</f>
        <v>1748</v>
      </c>
      <c r="O76" s="68">
        <f t="shared" ref="O76:O81" si="17">N76</f>
        <v>1748</v>
      </c>
      <c r="P76" s="263" t="s">
        <v>12</v>
      </c>
      <c r="Q76" s="281">
        <f>$I76*$O$4</f>
        <v>1748</v>
      </c>
      <c r="R76" s="289">
        <f t="shared" ref="R76:R81" si="18">Q76</f>
        <v>1748</v>
      </c>
      <c r="S76" s="121">
        <f t="shared" ref="S76:S81" si="19">AVERAGE(L76,O76,R76)</f>
        <v>1748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109940.45999999999</v>
      </c>
      <c r="L77" s="308">
        <f t="shared" si="16"/>
        <v>109940.45999999999</v>
      </c>
      <c r="M77" s="362">
        <f>HLOOKUP(Labor!$B$11,InflationTable,3)*$I77</f>
        <v>256.83000000000004</v>
      </c>
      <c r="N77" s="63">
        <f>M77*$O$4</f>
        <v>112234.71000000002</v>
      </c>
      <c r="O77" s="95">
        <f t="shared" si="17"/>
        <v>112234.71000000002</v>
      </c>
      <c r="P77" s="268">
        <f>HLOOKUP(Labor!$B$11,InflationTable,4)*$I77</f>
        <v>261.87</v>
      </c>
      <c r="Q77" s="269">
        <f>P77*$R$4</f>
        <v>114437.19</v>
      </c>
      <c r="R77" s="308">
        <f t="shared" si="18"/>
        <v>114437.19</v>
      </c>
      <c r="S77" s="128">
        <f t="shared" si="19"/>
        <v>112204.12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2185</v>
      </c>
      <c r="L78" s="328">
        <f t="shared" si="16"/>
        <v>2185</v>
      </c>
      <c r="M78" s="61" t="s">
        <v>12</v>
      </c>
      <c r="N78" s="348">
        <f>$I78*$O$4</f>
        <v>2185</v>
      </c>
      <c r="O78" s="349">
        <f t="shared" si="17"/>
        <v>2185</v>
      </c>
      <c r="P78" s="293" t="s">
        <v>12</v>
      </c>
      <c r="Q78" s="327">
        <f>$I78*$O$4</f>
        <v>2185</v>
      </c>
      <c r="R78" s="328">
        <f t="shared" si="18"/>
        <v>2185</v>
      </c>
      <c r="S78" s="129">
        <f t="shared" si="19"/>
        <v>2185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125122.71400000001</v>
      </c>
      <c r="L79" s="308">
        <f t="shared" si="16"/>
        <v>125122.71400000001</v>
      </c>
      <c r="M79" s="362">
        <f>HLOOKUP(Labor!$B$11,InflationTable,3)*$I79</f>
        <v>292.29700000000003</v>
      </c>
      <c r="N79" s="63">
        <f>M79*$O$4</f>
        <v>127733.789</v>
      </c>
      <c r="O79" s="95">
        <f t="shared" si="17"/>
        <v>127733.789</v>
      </c>
      <c r="P79" s="268">
        <f>HLOOKUP(Labor!$B$11,InflationTable,4)*$I79</f>
        <v>298.03300000000002</v>
      </c>
      <c r="Q79" s="269">
        <f>P79*$R$4</f>
        <v>130240.421</v>
      </c>
      <c r="R79" s="308">
        <f t="shared" si="18"/>
        <v>130240.421</v>
      </c>
      <c r="S79" s="172">
        <f t="shared" si="19"/>
        <v>127698.97466666666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2622</v>
      </c>
      <c r="L80" s="328">
        <f t="shared" si="16"/>
        <v>2622</v>
      </c>
      <c r="M80" s="61" t="s">
        <v>12</v>
      </c>
      <c r="N80" s="348">
        <f>$I80*$O$4</f>
        <v>2622</v>
      </c>
      <c r="O80" s="349">
        <f t="shared" si="17"/>
        <v>2622</v>
      </c>
      <c r="P80" s="293" t="s">
        <v>12</v>
      </c>
      <c r="Q80" s="327">
        <f>$I80*$O$4</f>
        <v>2622</v>
      </c>
      <c r="R80" s="328">
        <f t="shared" si="18"/>
        <v>2622</v>
      </c>
      <c r="S80" s="121">
        <f t="shared" si="19"/>
        <v>2622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164387.16399999999</v>
      </c>
      <c r="L81" s="308">
        <f t="shared" si="16"/>
        <v>164387.16399999999</v>
      </c>
      <c r="M81" s="362">
        <f>HLOOKUP(Labor!$B$11,InflationTable,3)*$I81</f>
        <v>384.02200000000005</v>
      </c>
      <c r="N81" s="63">
        <f>M81*$O$4</f>
        <v>167817.61400000003</v>
      </c>
      <c r="O81" s="95">
        <f t="shared" si="17"/>
        <v>167817.61400000003</v>
      </c>
      <c r="P81" s="268">
        <f>HLOOKUP(Labor!$B$11,InflationTable,4)*$I81</f>
        <v>391.55800000000005</v>
      </c>
      <c r="Q81" s="269">
        <f>P81*$R$4</f>
        <v>171110.84600000002</v>
      </c>
      <c r="R81" s="308">
        <f t="shared" si="18"/>
        <v>171110.84600000002</v>
      </c>
      <c r="S81" s="128">
        <f t="shared" si="19"/>
        <v>167771.8746666667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56.5</v>
      </c>
      <c r="L83" s="289">
        <f>K83</f>
        <v>56.5</v>
      </c>
      <c r="M83" s="58" t="s">
        <v>12</v>
      </c>
      <c r="N83" s="89">
        <f>$I83*M$5</f>
        <v>56.5</v>
      </c>
      <c r="O83" s="68">
        <f>N83</f>
        <v>56.5</v>
      </c>
      <c r="P83" s="263" t="s">
        <v>12</v>
      </c>
      <c r="Q83" s="314">
        <f>$I83*P$5</f>
        <v>56.5</v>
      </c>
      <c r="R83" s="289">
        <f>Q83</f>
        <v>56.5</v>
      </c>
      <c r="S83" s="121">
        <f>AVERAGE(L83,O83,R83)</f>
        <v>56.5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3248.9759999999997</v>
      </c>
      <c r="L84" s="308">
        <f>K84</f>
        <v>3248.9759999999997</v>
      </c>
      <c r="M84" s="362">
        <f>HLOOKUP(Labor!$B$11,InflationTable,3)*$I84</f>
        <v>29.352000000000004</v>
      </c>
      <c r="N84" s="63">
        <f>M84*$M$5</f>
        <v>3316.7760000000003</v>
      </c>
      <c r="O84" s="95">
        <f>N84</f>
        <v>3316.7760000000003</v>
      </c>
      <c r="P84" s="268">
        <f>HLOOKUP(Labor!$B$11,InflationTable,4)*$I84</f>
        <v>29.928000000000004</v>
      </c>
      <c r="Q84" s="269">
        <f>P84*$P$5</f>
        <v>3381.8640000000005</v>
      </c>
      <c r="R84" s="308">
        <f>Q84</f>
        <v>3381.8640000000005</v>
      </c>
      <c r="S84" s="132">
        <f>AVERAGE(L84,O84,R84)</f>
        <v>3315.8720000000008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1695</v>
      </c>
      <c r="L86" s="282">
        <f>K86/$E$85</f>
        <v>339</v>
      </c>
      <c r="M86" s="58" t="s">
        <v>12</v>
      </c>
      <c r="N86" s="60">
        <f>$I$86*$M$5</f>
        <v>1695</v>
      </c>
      <c r="O86" s="59">
        <f>N86/$E$85</f>
        <v>339</v>
      </c>
      <c r="P86" s="263" t="s">
        <v>12</v>
      </c>
      <c r="Q86" s="283">
        <f>$I$86*$P$5</f>
        <v>1695</v>
      </c>
      <c r="R86" s="282">
        <f>Q86/$E$85</f>
        <v>339</v>
      </c>
      <c r="S86" s="121">
        <f>AVERAGE(L86,O86,R86)</f>
        <v>339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110465.18399999999</v>
      </c>
      <c r="L87" s="270">
        <f>K87/$E$85</f>
        <v>22093.036799999998</v>
      </c>
      <c r="M87" s="91">
        <f>HLOOKUP(Labor!$B$11,InflationTable,3)*$I87</f>
        <v>997.96800000000007</v>
      </c>
      <c r="N87" s="63">
        <f>M87*$M$5</f>
        <v>112770.38400000001</v>
      </c>
      <c r="O87" s="64">
        <f>N87/$E$85</f>
        <v>22554.076800000003</v>
      </c>
      <c r="P87" s="292">
        <f>HLOOKUP(Labor!$B$11,InflationTable,4)*$I87</f>
        <v>1017.5520000000001</v>
      </c>
      <c r="Q87" s="269">
        <f>P87*$P$5</f>
        <v>114983.37600000002</v>
      </c>
      <c r="R87" s="270">
        <f>Q87/$E$85</f>
        <v>22996.675200000005</v>
      </c>
      <c r="S87" s="128">
        <f>AVERAGE(L87,O87,R87)</f>
        <v>22547.929600000003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34044.5</v>
      </c>
      <c r="M88" s="92" t="s">
        <v>12</v>
      </c>
      <c r="N88" s="42" t="s">
        <v>12</v>
      </c>
      <c r="O88" s="90">
        <f>O86+N83+N80+N78+N76+N73+N71</f>
        <v>34044.5</v>
      </c>
      <c r="P88" s="293" t="s">
        <v>12</v>
      </c>
      <c r="Q88" s="315" t="s">
        <v>12</v>
      </c>
      <c r="R88" s="316">
        <f>R86+Q83+Q80+Q78+Q76+Q73+Q71</f>
        <v>34044.5</v>
      </c>
      <c r="S88" s="150">
        <f>AVERAGE(L88,O88,R88)</f>
        <v>34044.5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1960817.6348000001</v>
      </c>
      <c r="M89" s="242">
        <f>M72+M74+M77+M79+M81+M84+M87</f>
        <v>5548.7509999999993</v>
      </c>
      <c r="N89" s="256" t="s">
        <v>12</v>
      </c>
      <c r="O89" s="254">
        <f>O87+N84+N81+N79+N77+N74+N72</f>
        <v>2001736.1998000003</v>
      </c>
      <c r="P89" s="274">
        <f>P72+P74+P77+P79+P81+P84+P87</f>
        <v>5657.639000000001</v>
      </c>
      <c r="Q89" s="317" t="s">
        <v>12</v>
      </c>
      <c r="R89" s="306">
        <f>R87+Q84+Q81+Q79+Q77+Q74+Q72</f>
        <v>2041018.0222</v>
      </c>
      <c r="S89" s="248">
        <f>AVERAGE(L89,O89,R89)</f>
        <v>2001190.6189333338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5244</v>
      </c>
      <c r="L94" s="289">
        <f>K94</f>
        <v>5244</v>
      </c>
      <c r="M94" s="58" t="s">
        <v>12</v>
      </c>
      <c r="N94" s="69">
        <f>$I94*O$4</f>
        <v>5244</v>
      </c>
      <c r="O94" s="59">
        <f>N94</f>
        <v>5244</v>
      </c>
      <c r="P94" s="263" t="s">
        <v>12</v>
      </c>
      <c r="Q94" s="281">
        <f>$I94*R$4</f>
        <v>5244</v>
      </c>
      <c r="R94" s="289">
        <f>Q94</f>
        <v>5244</v>
      </c>
      <c r="S94" s="173">
        <f t="shared" ref="S94:S99" si="21">AVERAGE(L94,O94,R94)</f>
        <v>5244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354950.62799999997</v>
      </c>
      <c r="L95" s="308">
        <f>K95</f>
        <v>354950.62799999997</v>
      </c>
      <c r="M95" s="84">
        <f>HLOOKUP(Labor!$B$11,InflationTable,3)*$I95</f>
        <v>829.19400000000007</v>
      </c>
      <c r="N95" s="63">
        <f>M95*O$4</f>
        <v>362357.77800000005</v>
      </c>
      <c r="O95" s="64">
        <f>N95</f>
        <v>362357.77800000005</v>
      </c>
      <c r="P95" s="268">
        <f>HLOOKUP(Labor!$B$11,InflationTable,4)*$I95</f>
        <v>845.46600000000012</v>
      </c>
      <c r="Q95" s="269">
        <f>P95*R$4</f>
        <v>369468.64200000005</v>
      </c>
      <c r="R95" s="308">
        <f>Q95</f>
        <v>369468.64200000005</v>
      </c>
      <c r="S95" s="171">
        <f t="shared" si="21"/>
        <v>362259.016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13110</v>
      </c>
      <c r="L96" s="328">
        <f>K96</f>
        <v>13110</v>
      </c>
      <c r="M96" s="61" t="s">
        <v>12</v>
      </c>
      <c r="N96" s="348">
        <f>$I96*O$4</f>
        <v>13110</v>
      </c>
      <c r="O96" s="349">
        <f>N96</f>
        <v>13110</v>
      </c>
      <c r="P96" s="293" t="s">
        <v>12</v>
      </c>
      <c r="Q96" s="327">
        <f>$I96*R$4</f>
        <v>13110</v>
      </c>
      <c r="R96" s="328">
        <f>Q96</f>
        <v>13110</v>
      </c>
      <c r="S96" s="173">
        <f t="shared" si="21"/>
        <v>13110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753353.91399999999</v>
      </c>
      <c r="L97" s="300">
        <f>K97</f>
        <v>753353.91399999999</v>
      </c>
      <c r="M97" s="84">
        <f>HLOOKUP(Labor!$B$11,InflationTable,3)*$I97</f>
        <v>1759.8970000000002</v>
      </c>
      <c r="N97" s="63">
        <f>M97*O$4</f>
        <v>769074.98900000006</v>
      </c>
      <c r="O97" s="64">
        <f>N97</f>
        <v>769074.98900000006</v>
      </c>
      <c r="P97" s="292">
        <f>HLOOKUP(Labor!$B$11,InflationTable,4)*$I97</f>
        <v>1794.4330000000002</v>
      </c>
      <c r="Q97" s="269">
        <f>P97*R$4</f>
        <v>784167.22100000014</v>
      </c>
      <c r="R97" s="300">
        <f>Q97</f>
        <v>784167.22100000014</v>
      </c>
      <c r="S97" s="128">
        <f t="shared" si="21"/>
        <v>768865.37466666661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18354</v>
      </c>
      <c r="L98" s="321">
        <f>L94+L96</f>
        <v>18354</v>
      </c>
      <c r="M98" s="85" t="s">
        <v>12</v>
      </c>
      <c r="N98" s="36">
        <f>N94+N96</f>
        <v>18354</v>
      </c>
      <c r="O98" s="100">
        <f>O94+O96</f>
        <v>18354</v>
      </c>
      <c r="P98" s="301" t="s">
        <v>12</v>
      </c>
      <c r="Q98" s="320">
        <f>Q94+Q96</f>
        <v>18354</v>
      </c>
      <c r="R98" s="322">
        <f>R94+R96</f>
        <v>18354</v>
      </c>
      <c r="S98" s="121">
        <f t="shared" si="21"/>
        <v>18354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1108304.5419999999</v>
      </c>
      <c r="L99" s="276">
        <f>L95+L97</f>
        <v>1108304.5419999999</v>
      </c>
      <c r="M99" s="242">
        <f>M95+M97</f>
        <v>2589.0910000000003</v>
      </c>
      <c r="N99" s="240">
        <f>N95+N97</f>
        <v>1131432.767</v>
      </c>
      <c r="O99" s="243">
        <f>O95+O97</f>
        <v>1131432.767</v>
      </c>
      <c r="P99" s="313">
        <f>P95+P97</f>
        <v>2639.8990000000003</v>
      </c>
      <c r="Q99" s="275">
        <f>Q95+Q97</f>
        <v>1153635.8630000001</v>
      </c>
      <c r="R99" s="276">
        <f>R95+R97</f>
        <v>1153635.8630000001</v>
      </c>
      <c r="S99" s="257">
        <f t="shared" si="21"/>
        <v>1131124.3906666667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SO2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4294</v>
      </c>
      <c r="L103" s="328">
        <f t="shared" si="23"/>
        <v>613.42857142857144</v>
      </c>
      <c r="M103" s="186" t="str">
        <f t="shared" si="23"/>
        <v>NA</v>
      </c>
      <c r="N103" s="184">
        <f t="shared" si="23"/>
        <v>4294</v>
      </c>
      <c r="O103" s="185">
        <f t="shared" si="23"/>
        <v>613.42857142857144</v>
      </c>
      <c r="P103" s="326" t="str">
        <f t="shared" si="23"/>
        <v>NA</v>
      </c>
      <c r="Q103" s="327">
        <f t="shared" si="23"/>
        <v>4294</v>
      </c>
      <c r="R103" s="328">
        <f t="shared" si="23"/>
        <v>613.42857142857144</v>
      </c>
      <c r="S103" s="185">
        <f t="shared" si="23"/>
        <v>613.42857142857144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277922.82199999999</v>
      </c>
      <c r="L104" s="331">
        <f t="shared" si="24"/>
        <v>39703.260285714285</v>
      </c>
      <c r="M104" s="203">
        <f t="shared" si="24"/>
        <v>2510.819</v>
      </c>
      <c r="N104" s="204">
        <f t="shared" si="24"/>
        <v>283722.54700000002</v>
      </c>
      <c r="O104" s="205">
        <f t="shared" si="24"/>
        <v>40531.792428571425</v>
      </c>
      <c r="P104" s="329">
        <f t="shared" si="24"/>
        <v>2560.0910000000003</v>
      </c>
      <c r="Q104" s="330">
        <f t="shared" si="24"/>
        <v>289290.28300000005</v>
      </c>
      <c r="R104" s="331">
        <f t="shared" si="24"/>
        <v>41327.183285714294</v>
      </c>
      <c r="S104" s="205">
        <f t="shared" si="24"/>
        <v>40520.745333333332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8827.4</v>
      </c>
      <c r="L105" s="328">
        <f t="shared" si="25"/>
        <v>1261.0571428571429</v>
      </c>
      <c r="M105" s="186" t="str">
        <f t="shared" si="25"/>
        <v>NA</v>
      </c>
      <c r="N105" s="184">
        <f t="shared" si="25"/>
        <v>8827.4</v>
      </c>
      <c r="O105" s="185">
        <f t="shared" si="25"/>
        <v>1261.0571428571429</v>
      </c>
      <c r="P105" s="326" t="str">
        <f t="shared" si="25"/>
        <v>NA</v>
      </c>
      <c r="Q105" s="327">
        <f t="shared" si="25"/>
        <v>8827.4</v>
      </c>
      <c r="R105" s="328">
        <f t="shared" si="25"/>
        <v>1261.0571428571429</v>
      </c>
      <c r="S105" s="185">
        <f t="shared" si="25"/>
        <v>1261.0571428571429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851616.0047285714</v>
      </c>
      <c r="M106" s="207">
        <f t="shared" si="26"/>
        <v>1072.5710000000001</v>
      </c>
      <c r="N106" s="208">
        <f t="shared" si="26"/>
        <v>0</v>
      </c>
      <c r="O106" s="209">
        <f t="shared" si="26"/>
        <v>868635.57528571424</v>
      </c>
      <c r="P106" s="332">
        <f t="shared" si="26"/>
        <v>1093.6190000000001</v>
      </c>
      <c r="Q106" s="296">
        <f t="shared" si="26"/>
        <v>0</v>
      </c>
      <c r="R106" s="297">
        <f t="shared" si="26"/>
        <v>885681.57185714296</v>
      </c>
      <c r="S106" s="209">
        <f t="shared" si="26"/>
        <v>67186.383957142854</v>
      </c>
      <c r="T106" s="210" t="str">
        <f>T29</f>
        <v>NA</v>
      </c>
      <c r="U106" s="575">
        <f>U29</f>
        <v>801458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52440</v>
      </c>
      <c r="L107" s="335">
        <f t="shared" si="27"/>
        <v>52440</v>
      </c>
      <c r="M107" s="199" t="str">
        <f t="shared" si="27"/>
        <v>NA</v>
      </c>
      <c r="N107" s="25">
        <f t="shared" si="27"/>
        <v>52440</v>
      </c>
      <c r="O107" s="198">
        <f t="shared" si="27"/>
        <v>52440</v>
      </c>
      <c r="P107" s="333" t="str">
        <f t="shared" si="27"/>
        <v>NA</v>
      </c>
      <c r="Q107" s="334">
        <f t="shared" si="27"/>
        <v>52440</v>
      </c>
      <c r="R107" s="335">
        <f t="shared" si="27"/>
        <v>52440</v>
      </c>
      <c r="S107" s="198">
        <f t="shared" si="27"/>
        <v>52440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3087756.3479999998</v>
      </c>
      <c r="L108" s="297">
        <f t="shared" si="28"/>
        <v>3087756.3479999998</v>
      </c>
      <c r="M108" s="207">
        <f t="shared" si="28"/>
        <v>7213.2540000000008</v>
      </c>
      <c r="N108" s="208">
        <f t="shared" si="28"/>
        <v>3152191.9980000006</v>
      </c>
      <c r="O108" s="209">
        <f t="shared" si="28"/>
        <v>3152191.9980000006</v>
      </c>
      <c r="P108" s="332">
        <f t="shared" si="28"/>
        <v>7354.8060000000005</v>
      </c>
      <c r="Q108" s="296">
        <f t="shared" si="28"/>
        <v>3214050.2220000001</v>
      </c>
      <c r="R108" s="297">
        <f t="shared" si="28"/>
        <v>3214050.2220000001</v>
      </c>
      <c r="S108" s="209">
        <f t="shared" si="28"/>
        <v>3151332.8560000001</v>
      </c>
      <c r="T108" s="209">
        <f>T39</f>
        <v>427444.26666666678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29716</v>
      </c>
      <c r="L109" s="335">
        <f t="shared" si="29"/>
        <v>29716</v>
      </c>
      <c r="M109" s="199" t="str">
        <f t="shared" si="29"/>
        <v>NA</v>
      </c>
      <c r="N109" s="25">
        <f t="shared" si="29"/>
        <v>29716</v>
      </c>
      <c r="O109" s="198">
        <f t="shared" si="29"/>
        <v>29716</v>
      </c>
      <c r="P109" s="333" t="str">
        <f t="shared" si="29"/>
        <v>NA</v>
      </c>
      <c r="Q109" s="334">
        <f t="shared" si="29"/>
        <v>29716</v>
      </c>
      <c r="R109" s="335">
        <f t="shared" si="29"/>
        <v>29716</v>
      </c>
      <c r="S109" s="198">
        <f t="shared" si="29"/>
        <v>29716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2150644.8079999997</v>
      </c>
      <c r="L110" s="297">
        <f t="shared" si="30"/>
        <v>2150644.8079999997</v>
      </c>
      <c r="M110" s="211">
        <f t="shared" si="30"/>
        <v>5024.0839999999998</v>
      </c>
      <c r="N110" s="208">
        <f t="shared" si="30"/>
        <v>2195524.7080000001</v>
      </c>
      <c r="O110" s="209">
        <f t="shared" si="30"/>
        <v>2195524.7080000001</v>
      </c>
      <c r="P110" s="332">
        <f t="shared" si="30"/>
        <v>5122.6760000000004</v>
      </c>
      <c r="Q110" s="296">
        <f t="shared" si="30"/>
        <v>2238609.4120000005</v>
      </c>
      <c r="R110" s="297">
        <f t="shared" si="30"/>
        <v>2238609.4120000005</v>
      </c>
      <c r="S110" s="209">
        <f t="shared" si="30"/>
        <v>1660620.976</v>
      </c>
      <c r="T110" s="209">
        <f>T51</f>
        <v>534305.33333333337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17043</v>
      </c>
      <c r="L111" s="335">
        <f t="shared" si="31"/>
        <v>17043</v>
      </c>
      <c r="M111" s="199" t="str">
        <f t="shared" si="31"/>
        <v>NA</v>
      </c>
      <c r="N111" s="25">
        <f t="shared" si="31"/>
        <v>17043</v>
      </c>
      <c r="O111" s="198">
        <f t="shared" si="31"/>
        <v>17043</v>
      </c>
      <c r="P111" s="333" t="str">
        <f t="shared" si="31"/>
        <v>NA</v>
      </c>
      <c r="Q111" s="334">
        <f t="shared" si="31"/>
        <v>17043</v>
      </c>
      <c r="R111" s="335">
        <f t="shared" si="31"/>
        <v>17043</v>
      </c>
      <c r="S111" s="198">
        <f t="shared" si="31"/>
        <v>17043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956482.00200000009</v>
      </c>
      <c r="L112" s="297">
        <f t="shared" si="32"/>
        <v>956482.00200000009</v>
      </c>
      <c r="M112" s="207">
        <f t="shared" si="32"/>
        <v>2234.4210000000003</v>
      </c>
      <c r="N112" s="208">
        <f t="shared" si="32"/>
        <v>976441.97700000007</v>
      </c>
      <c r="O112" s="209">
        <f t="shared" si="32"/>
        <v>976441.97700000007</v>
      </c>
      <c r="P112" s="339">
        <f t="shared" si="32"/>
        <v>2278.2690000000002</v>
      </c>
      <c r="Q112" s="296">
        <f t="shared" si="32"/>
        <v>995603.55299999996</v>
      </c>
      <c r="R112" s="297">
        <f t="shared" si="32"/>
        <v>995603.55299999996</v>
      </c>
      <c r="S112" s="209">
        <f t="shared" si="32"/>
        <v>976175.84400000004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34044.5</v>
      </c>
      <c r="M113" s="216" t="str">
        <f t="shared" si="33"/>
        <v>NA</v>
      </c>
      <c r="N113" s="217" t="str">
        <f t="shared" si="33"/>
        <v>NA</v>
      </c>
      <c r="O113" s="215">
        <f t="shared" si="33"/>
        <v>34044.5</v>
      </c>
      <c r="P113" s="336" t="str">
        <f t="shared" si="33"/>
        <v>NA</v>
      </c>
      <c r="Q113" s="337" t="str">
        <f t="shared" si="33"/>
        <v>NA</v>
      </c>
      <c r="R113" s="294">
        <f t="shared" si="33"/>
        <v>34044.5</v>
      </c>
      <c r="S113" s="215">
        <f t="shared" si="33"/>
        <v>34044.5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1960817.6348000001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2001736.1998000003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2041018.0222</v>
      </c>
      <c r="S114" s="209">
        <f t="shared" si="34"/>
        <v>2001190.6189333338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18354</v>
      </c>
      <c r="L115" s="335">
        <f t="shared" si="35"/>
        <v>18354</v>
      </c>
      <c r="M115" s="199" t="str">
        <f t="shared" si="35"/>
        <v>NA</v>
      </c>
      <c r="N115" s="25">
        <f t="shared" si="35"/>
        <v>18354</v>
      </c>
      <c r="O115" s="198">
        <f t="shared" si="35"/>
        <v>18354</v>
      </c>
      <c r="P115" s="333" t="str">
        <f t="shared" si="35"/>
        <v>NA</v>
      </c>
      <c r="Q115" s="334">
        <f t="shared" si="35"/>
        <v>18354</v>
      </c>
      <c r="R115" s="335">
        <f t="shared" si="35"/>
        <v>18354</v>
      </c>
      <c r="S115" s="198">
        <f t="shared" si="35"/>
        <v>18354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1108304.5419999999</v>
      </c>
      <c r="L116" s="306">
        <f t="shared" si="36"/>
        <v>1108304.5419999999</v>
      </c>
      <c r="M116" s="220">
        <f t="shared" si="36"/>
        <v>2589.0910000000003</v>
      </c>
      <c r="N116" s="221">
        <f t="shared" si="36"/>
        <v>1131432.767</v>
      </c>
      <c r="O116" s="222">
        <f t="shared" si="36"/>
        <v>1131432.767</v>
      </c>
      <c r="P116" s="311">
        <f t="shared" si="36"/>
        <v>2639.8990000000003</v>
      </c>
      <c r="Q116" s="305">
        <f t="shared" si="36"/>
        <v>1153635.8630000001</v>
      </c>
      <c r="R116" s="306">
        <f t="shared" si="36"/>
        <v>1153635.8630000001</v>
      </c>
      <c r="S116" s="222">
        <f t="shared" si="36"/>
        <v>1131124.3906666667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130674.4</v>
      </c>
      <c r="L118" s="289">
        <f>L103+L105+L107+L109+L111+L113+L115</f>
        <v>153471.98571428572</v>
      </c>
      <c r="M118" s="103" t="s">
        <v>12</v>
      </c>
      <c r="N118" s="101">
        <f>N103+N105+N107+N109+N111+N115</f>
        <v>130674.4</v>
      </c>
      <c r="O118" s="102">
        <f>O103+O105+O107+O109+O111+O113+O115</f>
        <v>153471.98571428572</v>
      </c>
      <c r="P118" s="340" t="s">
        <v>12</v>
      </c>
      <c r="Q118" s="281">
        <f>Q103+Q105+Q107+Q109+Q111+Q115</f>
        <v>130674.4</v>
      </c>
      <c r="R118" s="289">
        <f>R103+R105+R107+R109+R111+R113+R115</f>
        <v>153471.98571428572</v>
      </c>
      <c r="S118" s="174">
        <f>S103+S105+S107+S109+S111+S113+S115</f>
        <v>153471.98571428572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7581110.5219999999</v>
      </c>
      <c r="L119" s="587">
        <f>L104+L106+L108+L110+L112+L114+L116</f>
        <v>10155324.599814285</v>
      </c>
      <c r="M119" s="582">
        <f>M104+M106+M108+M110+M112+M114+M116</f>
        <v>26192.990999999998</v>
      </c>
      <c r="N119" s="588">
        <f>N104+N106+N108+N110+N112+N116</f>
        <v>7739313.9970000004</v>
      </c>
      <c r="O119" s="584">
        <f>O104+O106+O108+O110+O112+O114+O116</f>
        <v>10366495.017514285</v>
      </c>
      <c r="P119" s="589">
        <f>P104+P106+P108+P110+P112+P114+P116</f>
        <v>26706.999000000007</v>
      </c>
      <c r="Q119" s="586">
        <f>Q104+Q106+Q108+Q110+Q112+Q116</f>
        <v>7891189.3330000006</v>
      </c>
      <c r="R119" s="587">
        <f>R104+R106+R108+R110+R112+R114+R116</f>
        <v>10569925.827342859</v>
      </c>
      <c r="S119" s="590">
        <f>S104+S106+S108+S110+S112+S114+S116</f>
        <v>9028151.8148904759</v>
      </c>
      <c r="T119" s="584">
        <f>SUM(T104,T106,T108,T110,T112,T114,T116)</f>
        <v>961749.60000000009</v>
      </c>
      <c r="U119" s="591">
        <f>SUM(U104,U106,U108,U110,U112,U114,U116)</f>
        <v>801458</v>
      </c>
    </row>
  </sheetData>
  <sheetProtection sheet="1" objects="1" scenarios="1"/>
  <mergeCells count="35">
    <mergeCell ref="Q92:R92"/>
    <mergeCell ref="Q32:R32"/>
    <mergeCell ref="Q42:R42"/>
    <mergeCell ref="Q54:R54"/>
    <mergeCell ref="Q85:R85"/>
    <mergeCell ref="Q69:R69"/>
    <mergeCell ref="G68:I68"/>
    <mergeCell ref="N85:O85"/>
    <mergeCell ref="K92:L92"/>
    <mergeCell ref="N32:O32"/>
    <mergeCell ref="N42:O42"/>
    <mergeCell ref="N69:O69"/>
    <mergeCell ref="N92:O92"/>
    <mergeCell ref="N54:O54"/>
    <mergeCell ref="K32:L32"/>
    <mergeCell ref="G91:I91"/>
    <mergeCell ref="K69:L69"/>
    <mergeCell ref="K54:L54"/>
    <mergeCell ref="G53:I53"/>
    <mergeCell ref="G32:I32"/>
    <mergeCell ref="K42:L42"/>
    <mergeCell ref="G18:I18"/>
    <mergeCell ref="G31:I31"/>
    <mergeCell ref="G42:I42"/>
    <mergeCell ref="G41:I41"/>
    <mergeCell ref="S2:T2"/>
    <mergeCell ref="Q19:R19"/>
    <mergeCell ref="G7:I7"/>
    <mergeCell ref="K19:L19"/>
    <mergeCell ref="F2:G2"/>
    <mergeCell ref="C5:I5"/>
    <mergeCell ref="Q8:R8"/>
    <mergeCell ref="K8:L8"/>
    <mergeCell ref="N8:O8"/>
    <mergeCell ref="N19:O1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9"/>
  <sheetViews>
    <sheetView topLeftCell="F69" zoomScaleNormal="100" workbookViewId="0">
      <selection activeCell="S80" sqref="S80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93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92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303</v>
      </c>
      <c r="M4" s="396" t="s">
        <v>71</v>
      </c>
      <c r="N4" s="431" t="s">
        <v>69</v>
      </c>
      <c r="O4" s="20">
        <v>303</v>
      </c>
      <c r="P4" s="425" t="s">
        <v>71</v>
      </c>
      <c r="Q4" s="429" t="s">
        <v>69</v>
      </c>
      <c r="R4" s="20">
        <v>303</v>
      </c>
      <c r="S4" s="115" t="s">
        <v>69</v>
      </c>
      <c r="T4" s="106">
        <f>AVERAGE(L4,O4,R4)</f>
        <v>303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631">
        <v>92</v>
      </c>
      <c r="K5" s="342" t="s">
        <v>70</v>
      </c>
      <c r="L5" s="343">
        <f>L4*$I$4</f>
        <v>15.15</v>
      </c>
      <c r="M5" s="632">
        <v>92</v>
      </c>
      <c r="N5" s="344" t="s">
        <v>70</v>
      </c>
      <c r="O5" s="345">
        <f>O4*$I$4</f>
        <v>15.15</v>
      </c>
      <c r="P5" s="631">
        <v>92</v>
      </c>
      <c r="Q5" s="342" t="s">
        <v>70</v>
      </c>
      <c r="R5" s="343">
        <f>R4*$I$4</f>
        <v>15.15</v>
      </c>
      <c r="S5" s="237" t="s">
        <v>70</v>
      </c>
      <c r="T5" s="238">
        <f>AVERAGE(L5,O5,R5)</f>
        <v>15.15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2760</v>
      </c>
      <c r="L10" s="265">
        <f>K10/$E$7</f>
        <v>394.28571428571428</v>
      </c>
      <c r="M10" s="58" t="s">
        <v>12</v>
      </c>
      <c r="N10" s="432">
        <f>I10*$M$5</f>
        <v>2760</v>
      </c>
      <c r="O10" s="68">
        <f>N10/$E$7</f>
        <v>394.28571428571428</v>
      </c>
      <c r="P10" s="263" t="s">
        <v>12</v>
      </c>
      <c r="Q10" s="433">
        <f>$I10*$M$5</f>
        <v>2760</v>
      </c>
      <c r="R10" s="289">
        <f>Q10/$E$7</f>
        <v>394.28571428571428</v>
      </c>
      <c r="S10" s="121">
        <f>AVERAGE(L10,O10,R10)</f>
        <v>394.28571428571428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180092.94399999999</v>
      </c>
      <c r="L11" s="385">
        <f>K11/$E$7</f>
        <v>25727.563428571426</v>
      </c>
      <c r="M11" s="386">
        <f>HLOOKUP(Labor!$B$11,InflationTable,3)*$I11</f>
        <v>1998.3820000000001</v>
      </c>
      <c r="N11" s="387">
        <f>M11*$J$5</f>
        <v>183851.144</v>
      </c>
      <c r="O11" s="388">
        <f>N11/$E$7</f>
        <v>26264.449142857142</v>
      </c>
      <c r="P11" s="383">
        <f>HLOOKUP(Labor!$B$11,InflationTable,4)*$I11</f>
        <v>2037.5980000000002</v>
      </c>
      <c r="Q11" s="384">
        <f>P11*$J$5</f>
        <v>187459.016</v>
      </c>
      <c r="R11" s="385">
        <f>Q11/$E$7</f>
        <v>26779.859428571428</v>
      </c>
      <c r="S11" s="379">
        <f>AVERAGE(L11,O11,R11)</f>
        <v>26257.290666666668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736</v>
      </c>
      <c r="L13" s="265">
        <f>K13/$E$7</f>
        <v>105.14285714285714</v>
      </c>
      <c r="M13" s="58" t="s">
        <v>12</v>
      </c>
      <c r="N13" s="60">
        <f>I13*$M$5</f>
        <v>736</v>
      </c>
      <c r="O13" s="59">
        <f>N13/$E$7</f>
        <v>105.14285714285714</v>
      </c>
      <c r="P13" s="263" t="s">
        <v>12</v>
      </c>
      <c r="Q13" s="291">
        <f>$I13*$P$5</f>
        <v>736</v>
      </c>
      <c r="R13" s="282">
        <f>Q13/$E$7</f>
        <v>105.14285714285714</v>
      </c>
      <c r="S13" s="121">
        <f>AVERAGE(L13,O13,R13)</f>
        <v>105.14285714285715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46180.504000000001</v>
      </c>
      <c r="L14" s="297">
        <f>K14/$E$7</f>
        <v>6597.214857142857</v>
      </c>
      <c r="M14" s="376">
        <f>HLOOKUP(Labor!$B$11,InflationTable,3)*I14</f>
        <v>512.43700000000001</v>
      </c>
      <c r="N14" s="377">
        <f>M14*$J$5</f>
        <v>47144.203999999998</v>
      </c>
      <c r="O14" s="378">
        <f>N14/$E$7</f>
        <v>6734.8862857142858</v>
      </c>
      <c r="P14" s="339">
        <f>HLOOKUP(Labor!$B$11,InflationTable,4)*I14</f>
        <v>522.49300000000005</v>
      </c>
      <c r="Q14" s="296">
        <f>P14*$J$5</f>
        <v>48069.356000000007</v>
      </c>
      <c r="R14" s="297">
        <f>Q14/$E$7</f>
        <v>6867.0508571428581</v>
      </c>
      <c r="S14" s="379">
        <f>AVERAGE(L14,O14,R14)</f>
        <v>6733.050666666667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3496</v>
      </c>
      <c r="L15" s="273">
        <f>L10+L13</f>
        <v>499.42857142857144</v>
      </c>
      <c r="M15" s="61" t="s">
        <v>12</v>
      </c>
      <c r="N15" s="426">
        <f>I15*$M$5</f>
        <v>3496</v>
      </c>
      <c r="O15" s="62">
        <f>N15/$E$7</f>
        <v>499.42857142857144</v>
      </c>
      <c r="P15" s="293" t="s">
        <v>12</v>
      </c>
      <c r="Q15" s="433">
        <f>$I15*$P$5</f>
        <v>3496</v>
      </c>
      <c r="R15" s="294">
        <f>Q15/$E$7</f>
        <v>499.42857142857144</v>
      </c>
      <c r="S15" s="121">
        <f>AVERAGE(L15,O15,R15)</f>
        <v>499.42857142857139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226273.44799999997</v>
      </c>
      <c r="L16" s="276">
        <f>L11+L14</f>
        <v>32324.778285714281</v>
      </c>
      <c r="M16" s="242">
        <f>M11+M14</f>
        <v>2510.819</v>
      </c>
      <c r="N16" s="240">
        <f>N11+N14</f>
        <v>230995.348</v>
      </c>
      <c r="O16" s="243">
        <f>O11+O14</f>
        <v>32999.33542857143</v>
      </c>
      <c r="P16" s="295">
        <f>P11+P14</f>
        <v>2560.0910000000003</v>
      </c>
      <c r="Q16" s="296">
        <f>P16*$P$5</f>
        <v>235528.37200000003</v>
      </c>
      <c r="R16" s="297">
        <f>Q16/$E$7</f>
        <v>33646.910285714293</v>
      </c>
      <c r="S16" s="211">
        <f>AVERAGE(L16,O16,R16)</f>
        <v>32990.341333333337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10000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11980</v>
      </c>
      <c r="K21" s="279">
        <f>J21*$L$4</f>
        <v>3629940</v>
      </c>
      <c r="L21" s="280">
        <f>K21/$E$18</f>
        <v>518562.85714285716</v>
      </c>
      <c r="M21" s="78">
        <f>HLOOKUP($D$21,InflationTable,3)*$C$21</f>
        <v>12230</v>
      </c>
      <c r="N21" s="27">
        <f>M21*$L$4</f>
        <v>3705690</v>
      </c>
      <c r="O21" s="182">
        <f>N21/$E$18</f>
        <v>529384.28571428568</v>
      </c>
      <c r="P21" s="298">
        <f>HLOOKUP($D$21,InflationTable,4)*$C$21</f>
        <v>12470.000000000002</v>
      </c>
      <c r="Q21" s="279">
        <f>P21*$L$4</f>
        <v>3778410.0000000005</v>
      </c>
      <c r="R21" s="280">
        <f>Q21/$E$18</f>
        <v>539772.85714285716</v>
      </c>
      <c r="S21" s="127" t="s">
        <v>12</v>
      </c>
      <c r="T21" s="119" t="s">
        <v>12</v>
      </c>
      <c r="U21" s="139">
        <f>AVERAGE(L21,O21,R21)</f>
        <v>529240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181497</v>
      </c>
      <c r="L22" s="308">
        <f>K22/$E$18</f>
        <v>25928.142857142859</v>
      </c>
      <c r="M22" s="4"/>
      <c r="N22" s="104">
        <f>M21*$L$5</f>
        <v>185284.5</v>
      </c>
      <c r="O22" s="370">
        <f>N22/$E$18</f>
        <v>26469.214285714286</v>
      </c>
      <c r="P22" s="371"/>
      <c r="Q22" s="355">
        <f>P21*$L$5</f>
        <v>188920.50000000003</v>
      </c>
      <c r="R22" s="308">
        <f>Q22/$E$18</f>
        <v>26988.642857142862</v>
      </c>
      <c r="S22" s="359" t="s">
        <v>12</v>
      </c>
      <c r="T22" s="149" t="s">
        <v>12</v>
      </c>
      <c r="U22" s="372">
        <f>AVERAGE(L22,O22,R22)</f>
        <v>26462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1272.5999999999999</v>
      </c>
      <c r="L24" s="282">
        <f>K24/$E$18</f>
        <v>181.79999999999998</v>
      </c>
      <c r="M24" s="58" t="s">
        <v>12</v>
      </c>
      <c r="N24" s="69">
        <f>$I$24*($O$4+$O$5)</f>
        <v>1272.5999999999999</v>
      </c>
      <c r="O24" s="59">
        <f>N24/$E$18</f>
        <v>181.79999999999998</v>
      </c>
      <c r="P24" s="263" t="s">
        <v>12</v>
      </c>
      <c r="Q24" s="281">
        <f>$I$24*($R$4+$R$5)</f>
        <v>1272.5999999999999</v>
      </c>
      <c r="R24" s="282">
        <f>Q24/$E$18</f>
        <v>181.79999999999998</v>
      </c>
      <c r="S24" s="151">
        <f>AVERAGE(L24,O24,R24)</f>
        <v>181.79999999999998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75085.308899999989</v>
      </c>
      <c r="L25" s="297">
        <f>K25/$E$18</f>
        <v>10726.472699999998</v>
      </c>
      <c r="M25" s="376">
        <f>HLOOKUP(Labor!$B$11,InflationTable,3)*$I25</f>
        <v>240.93100000000001</v>
      </c>
      <c r="N25" s="377">
        <f>M25*$L$4</f>
        <v>73002.093000000008</v>
      </c>
      <c r="O25" s="378">
        <f>N25/$E$18</f>
        <v>10428.87042857143</v>
      </c>
      <c r="P25" s="332">
        <f>HLOOKUP(Labor!$B$11,InflationTable,4)*$I25</f>
        <v>245.65900000000002</v>
      </c>
      <c r="Q25" s="296">
        <f>P25*$L$4</f>
        <v>74434.677000000011</v>
      </c>
      <c r="R25" s="390">
        <f>Q25/$E$18</f>
        <v>10633.525285714288</v>
      </c>
      <c r="S25" s="391">
        <f>AVERAGE(L25,O25,R25)</f>
        <v>10596.289471428572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4848</v>
      </c>
      <c r="L26" s="294">
        <f>K26/$E$18</f>
        <v>692.57142857142856</v>
      </c>
      <c r="M26" s="61" t="s">
        <v>12</v>
      </c>
      <c r="N26" s="348">
        <f>I26*$O$4</f>
        <v>4848</v>
      </c>
      <c r="O26" s="62">
        <f>N26/$E$18</f>
        <v>692.57142857142856</v>
      </c>
      <c r="P26" s="293" t="s">
        <v>12</v>
      </c>
      <c r="Q26" s="327">
        <f>$I26*$O$4</f>
        <v>4848</v>
      </c>
      <c r="R26" s="367">
        <f>Q26/$E$18</f>
        <v>692.57142857142856</v>
      </c>
      <c r="S26" s="129">
        <f>AVERAGE(L26,O26,R26)</f>
        <v>692.57142857142856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246835.91999999998</v>
      </c>
      <c r="L27" s="297">
        <f>K27/$E$18</f>
        <v>35262.27428571428</v>
      </c>
      <c r="M27" s="376">
        <f>HLOOKUP(Labor!$B$11,InflationTable,3)*$I27</f>
        <v>831.6400000000001</v>
      </c>
      <c r="N27" s="377">
        <f>M27*$O$4</f>
        <v>251986.92000000004</v>
      </c>
      <c r="O27" s="378">
        <f>N27/$E$18</f>
        <v>35998.131428571432</v>
      </c>
      <c r="P27" s="339">
        <f>HLOOKUP(Labor!$B$11,InflationTable,4)*$I27</f>
        <v>847.96</v>
      </c>
      <c r="Q27" s="296">
        <f>P27*$R$4</f>
        <v>256931.88</v>
      </c>
      <c r="R27" s="297">
        <f>Q27/$E$18</f>
        <v>36704.554285714286</v>
      </c>
      <c r="S27" s="211">
        <f>AVERAGE(L27,O27,R27)</f>
        <v>35988.32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6120.6</v>
      </c>
      <c r="L28" s="286">
        <f>L24+L26</f>
        <v>874.37142857142851</v>
      </c>
      <c r="M28" s="44" t="s">
        <v>12</v>
      </c>
      <c r="N28" s="33">
        <f>N24+N26</f>
        <v>6120.6</v>
      </c>
      <c r="O28" s="40">
        <f>O24+O26</f>
        <v>874.37142857142851</v>
      </c>
      <c r="P28" s="284" t="s">
        <v>12</v>
      </c>
      <c r="Q28" s="285">
        <f>Q24+Q26</f>
        <v>6120.6</v>
      </c>
      <c r="R28" s="286">
        <f>R24+R26</f>
        <v>874.37142857142851</v>
      </c>
      <c r="S28" s="175">
        <f>AVERAGE(L28,O28,R28)</f>
        <v>874.37142857142851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590479.7469857143</v>
      </c>
      <c r="M29" s="242">
        <f>M27+M25</f>
        <v>1072.5710000000001</v>
      </c>
      <c r="N29" s="247"/>
      <c r="O29" s="243">
        <f>O27+O25+O22+O21</f>
        <v>602280.5018571429</v>
      </c>
      <c r="P29" s="274">
        <f>P27+P25</f>
        <v>1093.6190000000001</v>
      </c>
      <c r="Q29" s="287"/>
      <c r="R29" s="276">
        <f>R27+R25+R22+R21</f>
        <v>614099.57957142859</v>
      </c>
      <c r="S29" s="248">
        <f>SUM(S27,S25)</f>
        <v>46584.609471428572</v>
      </c>
      <c r="T29" s="249" t="s">
        <v>12</v>
      </c>
      <c r="U29" s="250">
        <f>SUM(U21:U22)</f>
        <v>555702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290395.2</v>
      </c>
      <c r="L34" s="308">
        <f>K34</f>
        <v>290395.2</v>
      </c>
      <c r="M34" s="171">
        <f>HLOOKUP($D$34,InflationTable,3)*$C$34</f>
        <v>978.40000000000009</v>
      </c>
      <c r="N34" s="357">
        <f>M34*$O$4</f>
        <v>296455.2</v>
      </c>
      <c r="O34" s="95">
        <f>N34</f>
        <v>296455.2</v>
      </c>
      <c r="P34" s="355">
        <f>HLOOKUP($D$34,InflationTable,4)*$C$34</f>
        <v>997.60000000000014</v>
      </c>
      <c r="Q34" s="355">
        <f>P34*$R$4</f>
        <v>302272.80000000005</v>
      </c>
      <c r="R34" s="308">
        <f>Q34</f>
        <v>302272.80000000005</v>
      </c>
      <c r="S34" s="359" t="s">
        <v>12</v>
      </c>
      <c r="T34" s="360">
        <f>AVERAGE(L34,O34,R34)</f>
        <v>296374.40000000002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36360</v>
      </c>
      <c r="L36" s="289">
        <f>K36</f>
        <v>36360</v>
      </c>
      <c r="M36" s="58" t="s">
        <v>12</v>
      </c>
      <c r="N36" s="69">
        <f>$I$36*$O$4</f>
        <v>36360</v>
      </c>
      <c r="O36" s="68">
        <f>N36</f>
        <v>36360</v>
      </c>
      <c r="P36" s="299" t="s">
        <v>12</v>
      </c>
      <c r="Q36" s="281">
        <f>$I$36*$R$4</f>
        <v>36360</v>
      </c>
      <c r="R36" s="289">
        <f>Q36</f>
        <v>36360</v>
      </c>
      <c r="S36" s="121">
        <f>AVERAGE(L36,O36,R36)</f>
        <v>36360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1850543.4119999998</v>
      </c>
      <c r="L37" s="390">
        <f>K37</f>
        <v>1850543.4119999998</v>
      </c>
      <c r="M37" s="376">
        <f>HLOOKUP(Labor!$B$11,InflationTable,3)*I37</f>
        <v>6234.8540000000003</v>
      </c>
      <c r="N37" s="377">
        <f>M37*$O$4</f>
        <v>1889160.7620000001</v>
      </c>
      <c r="O37" s="378">
        <f>N37</f>
        <v>1889160.7620000001</v>
      </c>
      <c r="P37" s="296">
        <f>HLOOKUP(Labor!$B$11,InflationTable,4)*$I$37</f>
        <v>6357.2060000000001</v>
      </c>
      <c r="Q37" s="296">
        <f>P37*$R$4</f>
        <v>1926233.4180000001</v>
      </c>
      <c r="R37" s="390">
        <f>Q37</f>
        <v>1926233.4180000001</v>
      </c>
      <c r="S37" s="211">
        <f>AVERAGE(L37,O37,R37)</f>
        <v>1888645.8640000001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 t="shared" ref="C38:I38" si="3">C36</f>
        <v>0</v>
      </c>
      <c r="D38" s="36">
        <f t="shared" si="3"/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36360</v>
      </c>
      <c r="L38" s="303">
        <f>L36</f>
        <v>36360</v>
      </c>
      <c r="M38" s="85" t="s">
        <v>12</v>
      </c>
      <c r="N38" s="82">
        <f>N36</f>
        <v>36360</v>
      </c>
      <c r="O38" s="96">
        <f>O36</f>
        <v>36360</v>
      </c>
      <c r="P38" s="301" t="s">
        <v>12</v>
      </c>
      <c r="Q38" s="302">
        <f>Q36</f>
        <v>36360</v>
      </c>
      <c r="R38" s="303">
        <f>R36</f>
        <v>36360</v>
      </c>
      <c r="S38" s="96">
        <f>S36</f>
        <v>36360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2140938.6119999997</v>
      </c>
      <c r="L39" s="306">
        <f t="shared" si="5"/>
        <v>2140938.6119999997</v>
      </c>
      <c r="M39" s="252">
        <f t="shared" si="5"/>
        <v>7213.2540000000008</v>
      </c>
      <c r="N39" s="253">
        <f t="shared" si="5"/>
        <v>2185615.9620000003</v>
      </c>
      <c r="O39" s="254">
        <f t="shared" si="5"/>
        <v>2185615.9620000003</v>
      </c>
      <c r="P39" s="304">
        <f t="shared" si="5"/>
        <v>7354.8060000000005</v>
      </c>
      <c r="Q39" s="305">
        <f t="shared" si="5"/>
        <v>2228506.2180000003</v>
      </c>
      <c r="R39" s="306">
        <f t="shared" si="5"/>
        <v>2228506.2180000003</v>
      </c>
      <c r="S39" s="255">
        <f>AVERAGE(L39,O39,R39)</f>
        <v>2185020.264</v>
      </c>
      <c r="T39" s="251">
        <f>T34</f>
        <v>296374.40000000002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362994</v>
      </c>
      <c r="L44" s="308">
        <f>K44</f>
        <v>362994</v>
      </c>
      <c r="M44" s="357">
        <f>HLOOKUP($D$44,InflationTable,3)*$C$44</f>
        <v>1223</v>
      </c>
      <c r="N44" s="357">
        <f>M44*$O$4</f>
        <v>370569</v>
      </c>
      <c r="O44" s="95">
        <f>N44</f>
        <v>370569</v>
      </c>
      <c r="P44" s="358">
        <f>HLOOKUP($D$44,InflationTable,4)*$C$44</f>
        <v>1247</v>
      </c>
      <c r="Q44" s="355">
        <f>P44*$R$4</f>
        <v>377841</v>
      </c>
      <c r="R44" s="308">
        <f>Q44</f>
        <v>377841</v>
      </c>
      <c r="S44" s="359" t="s">
        <v>12</v>
      </c>
      <c r="T44" s="360">
        <f>AVERAGE(L44,O44,R44)</f>
        <v>370468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6</v>
      </c>
      <c r="E46" s="21">
        <v>3</v>
      </c>
      <c r="F46" s="21">
        <v>3</v>
      </c>
      <c r="G46" s="21">
        <v>0</v>
      </c>
      <c r="H46" s="21">
        <v>0</v>
      </c>
      <c r="I46" s="52">
        <f>SUM(C46:H46)</f>
        <v>12</v>
      </c>
      <c r="J46" s="263" t="s">
        <v>12</v>
      </c>
      <c r="K46" s="281">
        <f>I46*$L$4</f>
        <v>3636</v>
      </c>
      <c r="L46" s="289">
        <f>K46</f>
        <v>3636</v>
      </c>
      <c r="M46" s="58" t="s">
        <v>12</v>
      </c>
      <c r="N46" s="69">
        <f>$I$46*$O$4</f>
        <v>3636</v>
      </c>
      <c r="O46" s="68">
        <f>N46</f>
        <v>3636</v>
      </c>
      <c r="P46" s="263" t="s">
        <v>12</v>
      </c>
      <c r="Q46" s="281">
        <f>$I$46*$R$4</f>
        <v>3636</v>
      </c>
      <c r="R46" s="289">
        <f>Q46</f>
        <v>3636</v>
      </c>
      <c r="S46" s="121">
        <f>AVERAGE(L46,O46,R46)</f>
        <v>3636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245</v>
      </c>
      <c r="E47" s="35">
        <f>ROUND(E46*Labor!$D$5,0)</f>
        <v>132</v>
      </c>
      <c r="F47" s="35">
        <f>ROUND(F46*Labor!$D$6,0)</f>
        <v>148</v>
      </c>
      <c r="G47" s="35">
        <f>ROUND(G46*Labor!$D$7,0)</f>
        <v>0</v>
      </c>
      <c r="H47" s="35">
        <f>ROUND(H46*Labor!$D$8,0)</f>
        <v>0</v>
      </c>
      <c r="I47" s="39">
        <f>SUM(C47:H47)</f>
        <v>525</v>
      </c>
      <c r="J47" s="292">
        <f>HLOOKUP(Labor!$B$11,InflationTable,2)*I47</f>
        <v>628.94999999999993</v>
      </c>
      <c r="K47" s="269">
        <f>J47*$L$4</f>
        <v>190571.84999999998</v>
      </c>
      <c r="L47" s="308">
        <f>K47</f>
        <v>190571.84999999998</v>
      </c>
      <c r="M47" s="84">
        <f>HLOOKUP(Labor!$B$11,InflationTable,3)*$I$47</f>
        <v>642.07500000000005</v>
      </c>
      <c r="N47" s="63">
        <f>M47*$O$4</f>
        <v>194548.72500000001</v>
      </c>
      <c r="O47" s="95">
        <f>N47</f>
        <v>194548.72500000001</v>
      </c>
      <c r="P47" s="268">
        <f>HLOOKUP(Labor!$B$11,InflationTable,4)*$I$47</f>
        <v>654.67500000000007</v>
      </c>
      <c r="Q47" s="269">
        <f>P47*$O$4</f>
        <v>198366.52500000002</v>
      </c>
      <c r="R47" s="308">
        <f>Q47</f>
        <v>198366.52500000002</v>
      </c>
      <c r="S47" s="128">
        <f>AVERAGE(L47,O47,R47)</f>
        <v>194495.69999999998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16</v>
      </c>
      <c r="E48" s="346">
        <v>8</v>
      </c>
      <c r="F48" s="346">
        <v>32</v>
      </c>
      <c r="G48" s="346">
        <v>0</v>
      </c>
      <c r="H48" s="346">
        <v>0</v>
      </c>
      <c r="I48" s="347">
        <f>SUM(C48:H48)</f>
        <v>56</v>
      </c>
      <c r="J48" s="293" t="s">
        <v>12</v>
      </c>
      <c r="K48" s="327">
        <f>I48*$L$4</f>
        <v>16968</v>
      </c>
      <c r="L48" s="328">
        <f>K48</f>
        <v>16968</v>
      </c>
      <c r="M48" s="61" t="s">
        <v>12</v>
      </c>
      <c r="N48" s="348">
        <f>$I$48*$O$4</f>
        <v>16968</v>
      </c>
      <c r="O48" s="349">
        <f>N48</f>
        <v>16968</v>
      </c>
      <c r="P48" s="293" t="s">
        <v>12</v>
      </c>
      <c r="Q48" s="327">
        <f>$I$48*$R$4</f>
        <v>16968</v>
      </c>
      <c r="R48" s="328">
        <f>Q48</f>
        <v>16968</v>
      </c>
      <c r="S48" s="129">
        <f>AVERAGE(L48,O48,R48)</f>
        <v>16968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654</v>
      </c>
      <c r="E49" s="35">
        <f>ROUND(E48*Labor!$D$5,0)</f>
        <v>353</v>
      </c>
      <c r="F49" s="35">
        <f>ROUND(F48*Labor!$D$6,0)</f>
        <v>1576</v>
      </c>
      <c r="G49" s="35">
        <f>ROUND(G48*Labor!$D$7,0)</f>
        <v>0</v>
      </c>
      <c r="H49" s="35">
        <f>ROUND(H48*Labor!$D$8,0)</f>
        <v>0</v>
      </c>
      <c r="I49" s="39">
        <f>SUM(C49:H49)</f>
        <v>2583</v>
      </c>
      <c r="J49" s="268">
        <f>HLOOKUP(Labor!$B$11,InflationTable,2)*$I$49</f>
        <v>3094.4339999999997</v>
      </c>
      <c r="K49" s="269">
        <f>J49*$L$4</f>
        <v>937613.50199999998</v>
      </c>
      <c r="L49" s="308">
        <f>K49</f>
        <v>937613.50199999998</v>
      </c>
      <c r="M49" s="84">
        <f>HLOOKUP(Labor!$B$11,InflationTable,3)*$I$49</f>
        <v>3159.009</v>
      </c>
      <c r="N49" s="63">
        <f>M49*$O$4</f>
        <v>957179.72699999996</v>
      </c>
      <c r="O49" s="95">
        <f>N49</f>
        <v>957179.72699999996</v>
      </c>
      <c r="P49" s="268">
        <f>HLOOKUP(Labor!$B$11,InflationTable,4)*$I$49</f>
        <v>3221.0010000000002</v>
      </c>
      <c r="Q49" s="269">
        <f>P49*$R$4</f>
        <v>975963.30300000007</v>
      </c>
      <c r="R49" s="308">
        <f>Q49</f>
        <v>975963.30300000007</v>
      </c>
      <c r="S49" s="132">
        <f>AVERAGE(L49,O49,R49)</f>
        <v>956918.84399999992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22</v>
      </c>
      <c r="E50" s="36">
        <f t="shared" si="6"/>
        <v>11</v>
      </c>
      <c r="F50" s="36">
        <f t="shared" si="6"/>
        <v>35</v>
      </c>
      <c r="G50" s="36">
        <f t="shared" si="6"/>
        <v>0</v>
      </c>
      <c r="H50" s="36">
        <f t="shared" si="6"/>
        <v>0</v>
      </c>
      <c r="I50" s="46">
        <f t="shared" si="6"/>
        <v>68</v>
      </c>
      <c r="J50" s="301" t="s">
        <v>12</v>
      </c>
      <c r="K50" s="309">
        <f>K46+K48</f>
        <v>20604</v>
      </c>
      <c r="L50" s="310">
        <f>L46+L48</f>
        <v>20604</v>
      </c>
      <c r="M50" s="85" t="s">
        <v>12</v>
      </c>
      <c r="N50" s="86">
        <f>N46+N48</f>
        <v>20604</v>
      </c>
      <c r="O50" s="97">
        <f>O46+O48</f>
        <v>20604</v>
      </c>
      <c r="P50" s="301" t="s">
        <v>12</v>
      </c>
      <c r="Q50" s="309">
        <f>Q46+Q48</f>
        <v>20604</v>
      </c>
      <c r="R50" s="310">
        <f>R46+R48</f>
        <v>20604</v>
      </c>
      <c r="S50" s="121">
        <f>AVERAGE(L50,O50,R50)</f>
        <v>20604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899</v>
      </c>
      <c r="E51" s="240">
        <f t="shared" si="7"/>
        <v>485</v>
      </c>
      <c r="F51" s="240">
        <f t="shared" si="7"/>
        <v>1724</v>
      </c>
      <c r="G51" s="240">
        <f t="shared" si="7"/>
        <v>0</v>
      </c>
      <c r="H51" s="240">
        <f t="shared" si="7"/>
        <v>0</v>
      </c>
      <c r="I51" s="222">
        <f>I49+I47+C44</f>
        <v>4108</v>
      </c>
      <c r="J51" s="311">
        <f t="shared" ref="J51:R51" si="8">J49+J47+J44</f>
        <v>4921.384</v>
      </c>
      <c r="K51" s="305">
        <f t="shared" si="8"/>
        <v>1491179.352</v>
      </c>
      <c r="L51" s="306">
        <f t="shared" si="8"/>
        <v>1491179.352</v>
      </c>
      <c r="M51" s="252">
        <f t="shared" si="8"/>
        <v>5024.0839999999998</v>
      </c>
      <c r="N51" s="253">
        <f t="shared" si="8"/>
        <v>1522297.452</v>
      </c>
      <c r="O51" s="254">
        <f t="shared" si="8"/>
        <v>1522297.452</v>
      </c>
      <c r="P51" s="311">
        <f t="shared" si="8"/>
        <v>5122.6760000000004</v>
      </c>
      <c r="Q51" s="305">
        <f t="shared" si="8"/>
        <v>1552170.8280000002</v>
      </c>
      <c r="R51" s="306">
        <f t="shared" si="8"/>
        <v>1552170.8280000002</v>
      </c>
      <c r="S51" s="248">
        <f>S49+S47</f>
        <v>1151414.544</v>
      </c>
      <c r="T51" s="251">
        <f>T44</f>
        <v>370468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6</v>
      </c>
      <c r="E56" s="21">
        <v>3</v>
      </c>
      <c r="F56" s="21">
        <v>3</v>
      </c>
      <c r="G56" s="21">
        <v>2</v>
      </c>
      <c r="H56" s="21">
        <v>0</v>
      </c>
      <c r="I56" s="52">
        <f t="shared" ref="I56:I63" si="9">SUM(C56:H56)</f>
        <v>14</v>
      </c>
      <c r="J56" s="263" t="s">
        <v>12</v>
      </c>
      <c r="K56" s="281">
        <f>I56*$L$4</f>
        <v>4242</v>
      </c>
      <c r="L56" s="289">
        <f t="shared" ref="L56:L63" si="10">K56</f>
        <v>4242</v>
      </c>
      <c r="M56" s="58" t="s">
        <v>12</v>
      </c>
      <c r="N56" s="69">
        <f>$I$56*$O$4</f>
        <v>4242</v>
      </c>
      <c r="O56" s="68">
        <f t="shared" ref="O56:O63" si="11">N56</f>
        <v>4242</v>
      </c>
      <c r="P56" s="263" t="s">
        <v>12</v>
      </c>
      <c r="Q56" s="281">
        <f>$I$56*$R$4</f>
        <v>4242</v>
      </c>
      <c r="R56" s="289">
        <f t="shared" ref="R56:R63" si="12">Q56</f>
        <v>4242</v>
      </c>
      <c r="S56" s="121">
        <f t="shared" ref="S56:S65" si="13">AVERAGE(L56,O56,R56)</f>
        <v>4242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245</v>
      </c>
      <c r="E57" s="35">
        <f>ROUND(E56*Labor!$D$5,0)</f>
        <v>132</v>
      </c>
      <c r="F57" s="35">
        <f>ROUND(F56*Labor!$D$6,0)</f>
        <v>148</v>
      </c>
      <c r="G57" s="35">
        <f>ROUND(G56*Labor!$D$7,0)</f>
        <v>111</v>
      </c>
      <c r="H57" s="35">
        <f>ROUND(H56*Labor!$D$8,0)</f>
        <v>0</v>
      </c>
      <c r="I57" s="39">
        <f t="shared" si="9"/>
        <v>636</v>
      </c>
      <c r="J57" s="268">
        <f>HLOOKUP(Labor!$B$11,InflationTable,2)*I57</f>
        <v>761.928</v>
      </c>
      <c r="K57" s="269">
        <f>J57*$L$4</f>
        <v>230864.18400000001</v>
      </c>
      <c r="L57" s="308">
        <f t="shared" si="10"/>
        <v>230864.18400000001</v>
      </c>
      <c r="M57" s="84">
        <f>HLOOKUP(Labor!$B$11,InflationTable,3)*$I$57</f>
        <v>777.82800000000009</v>
      </c>
      <c r="N57" s="63">
        <f>M57*$L$4</f>
        <v>235681.88400000002</v>
      </c>
      <c r="O57" s="95">
        <f t="shared" si="11"/>
        <v>235681.88400000002</v>
      </c>
      <c r="P57" s="268">
        <f>HLOOKUP(Labor!$B$11,InflationTable,4)*$I$57</f>
        <v>793.0920000000001</v>
      </c>
      <c r="Q57" s="269">
        <f>P57*$R$4</f>
        <v>240306.87600000002</v>
      </c>
      <c r="R57" s="308">
        <f t="shared" si="12"/>
        <v>240306.87600000002</v>
      </c>
      <c r="S57" s="128">
        <f t="shared" si="13"/>
        <v>235617.64800000002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1</v>
      </c>
      <c r="E58" s="346">
        <v>2</v>
      </c>
      <c r="F58" s="346">
        <v>4</v>
      </c>
      <c r="G58" s="346">
        <v>2</v>
      </c>
      <c r="H58" s="346">
        <v>0</v>
      </c>
      <c r="I58" s="347">
        <f t="shared" si="9"/>
        <v>9</v>
      </c>
      <c r="J58" s="293" t="s">
        <v>12</v>
      </c>
      <c r="K58" s="327">
        <f>I58*$L$4</f>
        <v>2727</v>
      </c>
      <c r="L58" s="328">
        <f t="shared" si="10"/>
        <v>2727</v>
      </c>
      <c r="M58" s="61" t="s">
        <v>12</v>
      </c>
      <c r="N58" s="348">
        <f>$I$58*$O$4</f>
        <v>2727</v>
      </c>
      <c r="O58" s="349">
        <f t="shared" si="11"/>
        <v>2727</v>
      </c>
      <c r="P58" s="293" t="s">
        <v>12</v>
      </c>
      <c r="Q58" s="327">
        <f>$I$58*$R$4</f>
        <v>2727</v>
      </c>
      <c r="R58" s="328">
        <f t="shared" si="12"/>
        <v>2727</v>
      </c>
      <c r="S58" s="129">
        <f t="shared" si="13"/>
        <v>2727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41</v>
      </c>
      <c r="E59" s="35">
        <f>ROUND(E58*Labor!$D$5,0)</f>
        <v>88</v>
      </c>
      <c r="F59" s="35">
        <f>ROUND(F58*Labor!$D$6,0)</f>
        <v>197</v>
      </c>
      <c r="G59" s="35">
        <f>ROUND(G58*Labor!$D$7,0)</f>
        <v>111</v>
      </c>
      <c r="H59" s="35">
        <f>ROUND(H58*Labor!$D$8,0)</f>
        <v>0</v>
      </c>
      <c r="I59" s="39">
        <f t="shared" si="9"/>
        <v>437</v>
      </c>
      <c r="J59" s="292">
        <f>HLOOKUP(Labor!$B$11,InflationTable,2)*I59</f>
        <v>523.52599999999995</v>
      </c>
      <c r="K59" s="269">
        <f>J59*$L$4</f>
        <v>158628.378</v>
      </c>
      <c r="L59" s="308">
        <f t="shared" si="10"/>
        <v>158628.378</v>
      </c>
      <c r="M59" s="362">
        <f>HLOOKUP(Labor!$B$11,InflationTable,3)*I59</f>
        <v>534.45100000000002</v>
      </c>
      <c r="N59" s="63">
        <f>M59*$O$4</f>
        <v>161938.65300000002</v>
      </c>
      <c r="O59" s="95">
        <f t="shared" si="11"/>
        <v>161938.65300000002</v>
      </c>
      <c r="P59" s="268">
        <f>HLOOKUP(Labor!$B$11,InflationTable,4)*$I$59</f>
        <v>544.93900000000008</v>
      </c>
      <c r="Q59" s="269">
        <f>P59*$R$4</f>
        <v>165116.51700000002</v>
      </c>
      <c r="R59" s="308">
        <f t="shared" si="12"/>
        <v>165116.51700000002</v>
      </c>
      <c r="S59" s="128">
        <f t="shared" si="13"/>
        <v>161894.51600000003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4</v>
      </c>
      <c r="F60" s="346">
        <v>8</v>
      </c>
      <c r="G60" s="346">
        <v>0</v>
      </c>
      <c r="H60" s="346">
        <v>0</v>
      </c>
      <c r="I60" s="347">
        <f t="shared" si="9"/>
        <v>12</v>
      </c>
      <c r="J60" s="293" t="s">
        <v>12</v>
      </c>
      <c r="K60" s="327">
        <f>I60*$L$4</f>
        <v>3636</v>
      </c>
      <c r="L60" s="328">
        <f t="shared" si="10"/>
        <v>3636</v>
      </c>
      <c r="M60" s="61" t="s">
        <v>12</v>
      </c>
      <c r="N60" s="348">
        <f>$I$60*$O$4</f>
        <v>3636</v>
      </c>
      <c r="O60" s="349">
        <f t="shared" si="11"/>
        <v>3636</v>
      </c>
      <c r="P60" s="293" t="s">
        <v>12</v>
      </c>
      <c r="Q60" s="327">
        <f>$I$60*$R$4</f>
        <v>3636</v>
      </c>
      <c r="R60" s="328">
        <f t="shared" si="12"/>
        <v>3636</v>
      </c>
      <c r="S60" s="129">
        <f t="shared" si="13"/>
        <v>3636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176</v>
      </c>
      <c r="F61" s="35">
        <f>ROUND(F60*Labor!$D$6,0)</f>
        <v>394</v>
      </c>
      <c r="G61" s="35">
        <f>ROUND(G60*Labor!$D$7,0)</f>
        <v>0</v>
      </c>
      <c r="H61" s="35">
        <f>ROUND(H60*Labor!$D$8,0)</f>
        <v>0</v>
      </c>
      <c r="I61" s="39">
        <f t="shared" si="9"/>
        <v>570</v>
      </c>
      <c r="J61" s="292">
        <f>HLOOKUP(Labor!$B$11,InflationTable,2)*I61</f>
        <v>682.86</v>
      </c>
      <c r="K61" s="269">
        <f>J61*$L$4</f>
        <v>206906.58000000002</v>
      </c>
      <c r="L61" s="308">
        <f t="shared" si="10"/>
        <v>206906.58000000002</v>
      </c>
      <c r="M61" s="84">
        <f>HLOOKUP(Labor!$B$11,InflationTable,3)*$I$61</f>
        <v>697.11</v>
      </c>
      <c r="N61" s="63">
        <f>M61*$O$4</f>
        <v>211224.33000000002</v>
      </c>
      <c r="O61" s="95">
        <f t="shared" si="11"/>
        <v>211224.33000000002</v>
      </c>
      <c r="P61" s="268">
        <f>HLOOKUP(Labor!$B$11,InflationTable,4)*$I$61</f>
        <v>710.79000000000008</v>
      </c>
      <c r="Q61" s="269">
        <f>P61*$R$4</f>
        <v>215369.37000000002</v>
      </c>
      <c r="R61" s="308">
        <f t="shared" si="12"/>
        <v>215369.37000000002</v>
      </c>
      <c r="S61" s="128">
        <f t="shared" si="13"/>
        <v>211166.76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1</v>
      </c>
      <c r="E62" s="346">
        <v>1</v>
      </c>
      <c r="F62" s="346">
        <v>2</v>
      </c>
      <c r="G62" s="346">
        <v>0</v>
      </c>
      <c r="H62" s="346">
        <v>0</v>
      </c>
      <c r="I62" s="347">
        <f t="shared" si="9"/>
        <v>4</v>
      </c>
      <c r="J62" s="293" t="s">
        <v>12</v>
      </c>
      <c r="K62" s="327">
        <f>I62*$L$4</f>
        <v>1212</v>
      </c>
      <c r="L62" s="328">
        <f t="shared" si="10"/>
        <v>1212</v>
      </c>
      <c r="M62" s="61" t="s">
        <v>12</v>
      </c>
      <c r="N62" s="348">
        <f>$I$62*$O$4</f>
        <v>1212</v>
      </c>
      <c r="O62" s="349">
        <f t="shared" si="11"/>
        <v>1212</v>
      </c>
      <c r="P62" s="293" t="s">
        <v>12</v>
      </c>
      <c r="Q62" s="327">
        <f>$I$62*$R$4</f>
        <v>1212</v>
      </c>
      <c r="R62" s="328">
        <f t="shared" si="12"/>
        <v>1212</v>
      </c>
      <c r="S62" s="129">
        <f t="shared" si="13"/>
        <v>1212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41</v>
      </c>
      <c r="E63" s="35">
        <f>ROUND(E62*Labor!$D$5,0)</f>
        <v>44</v>
      </c>
      <c r="F63" s="35">
        <f>ROUND(F62*Labor!$D$6,0)</f>
        <v>99</v>
      </c>
      <c r="G63" s="35">
        <f>ROUND(G62*Labor!$D$7,0)</f>
        <v>0</v>
      </c>
      <c r="H63" s="35">
        <f>ROUND(H62*Labor!$D$8,0)</f>
        <v>0</v>
      </c>
      <c r="I63" s="39">
        <f t="shared" si="9"/>
        <v>184</v>
      </c>
      <c r="J63" s="268">
        <f>HLOOKUP(Labor!$B$11,InflationTable,2)*I63</f>
        <v>220.43199999999999</v>
      </c>
      <c r="K63" s="269">
        <f>J63*$L$4</f>
        <v>66790.895999999993</v>
      </c>
      <c r="L63" s="300">
        <f t="shared" si="10"/>
        <v>66790.895999999993</v>
      </c>
      <c r="M63" s="84">
        <f>HLOOKUP(Labor!$B$11,InflationTable,3)*$I$63</f>
        <v>225.03200000000001</v>
      </c>
      <c r="N63" s="63">
        <f>M63*$O$4</f>
        <v>68184.695999999996</v>
      </c>
      <c r="O63" s="98">
        <f t="shared" si="11"/>
        <v>68184.695999999996</v>
      </c>
      <c r="P63" s="268">
        <f>HLOOKUP(Labor!$B$11,InflationTable,4)*$I$63</f>
        <v>229.44800000000001</v>
      </c>
      <c r="Q63" s="269">
        <f>P63*$R$4</f>
        <v>69522.744000000006</v>
      </c>
      <c r="R63" s="300">
        <f t="shared" si="12"/>
        <v>69522.744000000006</v>
      </c>
      <c r="S63" s="128">
        <f t="shared" si="13"/>
        <v>68166.112000000008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8</v>
      </c>
      <c r="E64" s="36">
        <f t="shared" si="14"/>
        <v>10</v>
      </c>
      <c r="F64" s="36">
        <f t="shared" si="14"/>
        <v>17</v>
      </c>
      <c r="G64" s="36">
        <f t="shared" si="14"/>
        <v>4</v>
      </c>
      <c r="H64" s="36">
        <f t="shared" si="14"/>
        <v>0</v>
      </c>
      <c r="I64" s="46">
        <f t="shared" si="14"/>
        <v>39</v>
      </c>
      <c r="J64" s="301" t="s">
        <v>12</v>
      </c>
      <c r="K64" s="285">
        <f>K56+K58+K60+K62</f>
        <v>11817</v>
      </c>
      <c r="L64" s="312">
        <f>L56+L58+L60+L62</f>
        <v>11817</v>
      </c>
      <c r="M64" s="85" t="s">
        <v>12</v>
      </c>
      <c r="N64" s="33">
        <f>N56+N58+N60+N62</f>
        <v>11817</v>
      </c>
      <c r="O64" s="99">
        <f>O56+O58+O60+O62</f>
        <v>11817</v>
      </c>
      <c r="P64" s="301" t="s">
        <v>12</v>
      </c>
      <c r="Q64" s="285">
        <f>Q56+Q58+Q60+Q62</f>
        <v>11817</v>
      </c>
      <c r="R64" s="312">
        <f>R56+R58+R60+R62</f>
        <v>11817</v>
      </c>
      <c r="S64" s="129">
        <f t="shared" si="13"/>
        <v>11817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327</v>
      </c>
      <c r="E65" s="240">
        <f t="shared" si="14"/>
        <v>440</v>
      </c>
      <c r="F65" s="240">
        <f t="shared" si="14"/>
        <v>838</v>
      </c>
      <c r="G65" s="240">
        <f t="shared" si="14"/>
        <v>222</v>
      </c>
      <c r="H65" s="240">
        <f t="shared" si="14"/>
        <v>0</v>
      </c>
      <c r="I65" s="243">
        <f t="shared" si="14"/>
        <v>1827</v>
      </c>
      <c r="J65" s="313">
        <f>J57+J59+J61+J63</f>
        <v>2188.7459999999996</v>
      </c>
      <c r="K65" s="275">
        <f>K57+K59+K61+K63</f>
        <v>663190.03799999994</v>
      </c>
      <c r="L65" s="276">
        <f>L57+L59+L61+L63</f>
        <v>663190.03799999994</v>
      </c>
      <c r="M65" s="242">
        <f>M57+M59+M61+M63</f>
        <v>2234.4210000000003</v>
      </c>
      <c r="N65" s="240">
        <f>N57+N59+N61+N63</f>
        <v>677029.56300000008</v>
      </c>
      <c r="O65" s="243">
        <f>O57+O59+O61+O63</f>
        <v>677029.56300000008</v>
      </c>
      <c r="P65" s="313">
        <f>P57+P59+P61+P63</f>
        <v>2278.2690000000002</v>
      </c>
      <c r="Q65" s="275">
        <f>Q57+Q59+Q61+Q63</f>
        <v>690315.50699999998</v>
      </c>
      <c r="R65" s="276">
        <f>R57+R59+R61+R63</f>
        <v>690315.50699999998</v>
      </c>
      <c r="S65" s="255">
        <f t="shared" si="13"/>
        <v>676845.03599999996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20</v>
      </c>
      <c r="G71" s="21">
        <v>16</v>
      </c>
      <c r="H71" s="21">
        <v>0</v>
      </c>
      <c r="I71" s="52">
        <f>SUM(C71:H71)</f>
        <v>36</v>
      </c>
      <c r="J71" s="263" t="s">
        <v>12</v>
      </c>
      <c r="K71" s="281">
        <f>I71*$L$4</f>
        <v>10908</v>
      </c>
      <c r="L71" s="289">
        <f>K71</f>
        <v>10908</v>
      </c>
      <c r="M71" s="58" t="s">
        <v>12</v>
      </c>
      <c r="N71" s="69">
        <f>$I$71*$O$4</f>
        <v>10908</v>
      </c>
      <c r="O71" s="68">
        <f>N71</f>
        <v>10908</v>
      </c>
      <c r="P71" s="263" t="s">
        <v>12</v>
      </c>
      <c r="Q71" s="281">
        <f>$I$71*$O$4</f>
        <v>10908</v>
      </c>
      <c r="R71" s="289">
        <f>Q71</f>
        <v>10908</v>
      </c>
      <c r="S71" s="121">
        <f>AVERAGE(L71,O71,R71)</f>
        <v>10908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985</v>
      </c>
      <c r="G72" s="35">
        <f>ROUND(G71*Labor!$D$7,0)</f>
        <v>887</v>
      </c>
      <c r="H72" s="35">
        <f>ROUND(H71*Labor!$D$8,0)</f>
        <v>0</v>
      </c>
      <c r="I72" s="39">
        <f>SUM(C72:H72)</f>
        <v>1872</v>
      </c>
      <c r="J72" s="268">
        <f>HLOOKUP(Labor!$B$11,InflationTable,2)*I72</f>
        <v>2242.6559999999999</v>
      </c>
      <c r="K72" s="269">
        <f>J72*$L$4</f>
        <v>679524.76800000004</v>
      </c>
      <c r="L72" s="308">
        <f>K72</f>
        <v>679524.76800000004</v>
      </c>
      <c r="M72" s="362">
        <f>HLOOKUP(Labor!$B$11,InflationTable,3)*$I$72</f>
        <v>2289.4560000000001</v>
      </c>
      <c r="N72" s="63">
        <f>M72*$O$4</f>
        <v>693705.16800000006</v>
      </c>
      <c r="O72" s="95">
        <f>N72</f>
        <v>693705.16800000006</v>
      </c>
      <c r="P72" s="268">
        <f>HLOOKUP(Labor!$B$11,InflationTable,4)*$I72</f>
        <v>2334.384</v>
      </c>
      <c r="Q72" s="269">
        <f>P72*$R$4</f>
        <v>707318.35199999996</v>
      </c>
      <c r="R72" s="308">
        <f>Q72</f>
        <v>707318.35199999996</v>
      </c>
      <c r="S72" s="128">
        <f>AVERAGE(L72,O72,R72)</f>
        <v>693516.09600000002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26</v>
      </c>
      <c r="E73" s="346">
        <v>0</v>
      </c>
      <c r="F73" s="346">
        <v>0</v>
      </c>
      <c r="G73" s="346">
        <v>0</v>
      </c>
      <c r="H73" s="346">
        <v>0</v>
      </c>
      <c r="I73" s="347">
        <f>SUM(C73:H73)</f>
        <v>26</v>
      </c>
      <c r="J73" s="293" t="s">
        <v>12</v>
      </c>
      <c r="K73" s="327">
        <f>I73*$L$4</f>
        <v>7878</v>
      </c>
      <c r="L73" s="328">
        <f>K73</f>
        <v>7878</v>
      </c>
      <c r="M73" s="61" t="s">
        <v>12</v>
      </c>
      <c r="N73" s="348">
        <f>$I$73*$O$4</f>
        <v>7878</v>
      </c>
      <c r="O73" s="349">
        <f>N73</f>
        <v>7878</v>
      </c>
      <c r="P73" s="293" t="s">
        <v>12</v>
      </c>
      <c r="Q73" s="327">
        <f>$I$73*$O$4</f>
        <v>7878</v>
      </c>
      <c r="R73" s="328">
        <f>Q73</f>
        <v>7878</v>
      </c>
      <c r="S73" s="129">
        <f>AVERAGE(L73,O73,R73)</f>
        <v>7878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1062</v>
      </c>
      <c r="E74" s="35">
        <f>ROUND(E73*Labor!$D$5,0)</f>
        <v>0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1062</v>
      </c>
      <c r="J74" s="268">
        <f>HLOOKUP(Labor!$B$11,InflationTable,2)*I74</f>
        <v>1272.2759999999998</v>
      </c>
      <c r="K74" s="269">
        <f>J74*$L$4</f>
        <v>385499.62799999997</v>
      </c>
      <c r="L74" s="308">
        <f>K74</f>
        <v>385499.62799999997</v>
      </c>
      <c r="M74" s="362">
        <f>HLOOKUP(Labor!$B$11,InflationTable,3)*$I$74</f>
        <v>1298.826</v>
      </c>
      <c r="N74" s="63">
        <f>M74*$O$4</f>
        <v>393544.27799999999</v>
      </c>
      <c r="O74" s="95">
        <f>N74</f>
        <v>393544.27799999999</v>
      </c>
      <c r="P74" s="268">
        <f>HLOOKUP(Labor!$B$11,InflationTable,4)*$I74</f>
        <v>1324.3140000000001</v>
      </c>
      <c r="Q74" s="269">
        <f>P74*$R$4</f>
        <v>401267.14200000005</v>
      </c>
      <c r="R74" s="308">
        <f>Q74</f>
        <v>401267.14200000005</v>
      </c>
      <c r="S74" s="128">
        <f>AVERAGE(L74,O74,R74)</f>
        <v>393437.016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1212</v>
      </c>
      <c r="L76" s="289">
        <f t="shared" ref="L76:L81" si="16">K76</f>
        <v>1212</v>
      </c>
      <c r="M76" s="58" t="s">
        <v>12</v>
      </c>
      <c r="N76" s="69">
        <f>$I76*$O$4</f>
        <v>1212</v>
      </c>
      <c r="O76" s="68">
        <f t="shared" ref="O76:O81" si="17">N76</f>
        <v>1212</v>
      </c>
      <c r="P76" s="263" t="s">
        <v>12</v>
      </c>
      <c r="Q76" s="281">
        <f>$I76*$O$4</f>
        <v>1212</v>
      </c>
      <c r="R76" s="289">
        <f t="shared" ref="R76:R81" si="18">Q76</f>
        <v>1212</v>
      </c>
      <c r="S76" s="121">
        <f t="shared" ref="S76:S81" si="19">AVERAGE(L76,O76,R76)</f>
        <v>1212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76228.739999999991</v>
      </c>
      <c r="L77" s="308">
        <f t="shared" si="16"/>
        <v>76228.739999999991</v>
      </c>
      <c r="M77" s="362">
        <f>HLOOKUP(Labor!$B$11,InflationTable,3)*$I77</f>
        <v>256.83000000000004</v>
      </c>
      <c r="N77" s="63">
        <f>M77*$O$4</f>
        <v>77819.490000000005</v>
      </c>
      <c r="O77" s="95">
        <f t="shared" si="17"/>
        <v>77819.490000000005</v>
      </c>
      <c r="P77" s="268">
        <f>HLOOKUP(Labor!$B$11,InflationTable,4)*$I77</f>
        <v>261.87</v>
      </c>
      <c r="Q77" s="269">
        <f>P77*$R$4</f>
        <v>79346.61</v>
      </c>
      <c r="R77" s="308">
        <f t="shared" si="18"/>
        <v>79346.61</v>
      </c>
      <c r="S77" s="128">
        <f t="shared" si="19"/>
        <v>77798.279999999984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1515</v>
      </c>
      <c r="L78" s="328">
        <f t="shared" si="16"/>
        <v>1515</v>
      </c>
      <c r="M78" s="61" t="s">
        <v>12</v>
      </c>
      <c r="N78" s="348">
        <f>$I78*$O$4</f>
        <v>1515</v>
      </c>
      <c r="O78" s="349">
        <f t="shared" si="17"/>
        <v>1515</v>
      </c>
      <c r="P78" s="293" t="s">
        <v>12</v>
      </c>
      <c r="Q78" s="327">
        <f>$I78*$O$4</f>
        <v>1515</v>
      </c>
      <c r="R78" s="328">
        <f t="shared" si="18"/>
        <v>1515</v>
      </c>
      <c r="S78" s="129">
        <f t="shared" si="19"/>
        <v>1515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86755.566000000006</v>
      </c>
      <c r="L79" s="308">
        <f t="shared" si="16"/>
        <v>86755.566000000006</v>
      </c>
      <c r="M79" s="362">
        <f>HLOOKUP(Labor!$B$11,InflationTable,3)*$I79</f>
        <v>292.29700000000003</v>
      </c>
      <c r="N79" s="63">
        <f>M79*$O$4</f>
        <v>88565.991000000009</v>
      </c>
      <c r="O79" s="95">
        <f t="shared" si="17"/>
        <v>88565.991000000009</v>
      </c>
      <c r="P79" s="268">
        <f>HLOOKUP(Labor!$B$11,InflationTable,4)*$I79</f>
        <v>298.03300000000002</v>
      </c>
      <c r="Q79" s="269">
        <f>P79*$R$4</f>
        <v>90303.999000000011</v>
      </c>
      <c r="R79" s="308">
        <f t="shared" si="18"/>
        <v>90303.999000000011</v>
      </c>
      <c r="S79" s="172">
        <f t="shared" si="19"/>
        <v>88541.852000000014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1818</v>
      </c>
      <c r="L80" s="328">
        <f t="shared" si="16"/>
        <v>1818</v>
      </c>
      <c r="M80" s="61" t="s">
        <v>12</v>
      </c>
      <c r="N80" s="348">
        <f>$I80*$O$4</f>
        <v>1818</v>
      </c>
      <c r="O80" s="349">
        <f t="shared" si="17"/>
        <v>1818</v>
      </c>
      <c r="P80" s="293" t="s">
        <v>12</v>
      </c>
      <c r="Q80" s="327">
        <f>$I80*$O$4</f>
        <v>1818</v>
      </c>
      <c r="R80" s="328">
        <f t="shared" si="18"/>
        <v>1818</v>
      </c>
      <c r="S80" s="121">
        <f t="shared" si="19"/>
        <v>1818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113980.11599999999</v>
      </c>
      <c r="L81" s="308">
        <f t="shared" si="16"/>
        <v>113980.11599999999</v>
      </c>
      <c r="M81" s="362">
        <f>HLOOKUP(Labor!$B$11,InflationTable,3)*$I81</f>
        <v>384.02200000000005</v>
      </c>
      <c r="N81" s="63">
        <f>M81*$O$4</f>
        <v>116358.66600000001</v>
      </c>
      <c r="O81" s="95">
        <f t="shared" si="17"/>
        <v>116358.66600000001</v>
      </c>
      <c r="P81" s="268">
        <f>HLOOKUP(Labor!$B$11,InflationTable,4)*$I81</f>
        <v>391.55800000000005</v>
      </c>
      <c r="Q81" s="269">
        <f>P81*$R$4</f>
        <v>118642.07400000001</v>
      </c>
      <c r="R81" s="308">
        <f t="shared" si="18"/>
        <v>118642.07400000001</v>
      </c>
      <c r="S81" s="128">
        <f t="shared" si="19"/>
        <v>116326.952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46</v>
      </c>
      <c r="L83" s="289">
        <f>K83</f>
        <v>46</v>
      </c>
      <c r="M83" s="58" t="s">
        <v>12</v>
      </c>
      <c r="N83" s="89">
        <f>$I83*M$5</f>
        <v>46</v>
      </c>
      <c r="O83" s="68">
        <f>N83</f>
        <v>46</v>
      </c>
      <c r="P83" s="263" t="s">
        <v>12</v>
      </c>
      <c r="Q83" s="314">
        <f>$I83*P$5</f>
        <v>46</v>
      </c>
      <c r="R83" s="289">
        <f>Q83</f>
        <v>46</v>
      </c>
      <c r="S83" s="121">
        <f>AVERAGE(L83,O83,R83)</f>
        <v>46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2645.1839999999997</v>
      </c>
      <c r="L84" s="308">
        <f>K84</f>
        <v>2645.1839999999997</v>
      </c>
      <c r="M84" s="362">
        <f>HLOOKUP(Labor!$B$11,InflationTable,3)*$I84</f>
        <v>29.352000000000004</v>
      </c>
      <c r="N84" s="63">
        <f>M84*$M$5</f>
        <v>2700.3840000000005</v>
      </c>
      <c r="O84" s="95">
        <f>N84</f>
        <v>2700.3840000000005</v>
      </c>
      <c r="P84" s="268">
        <f>HLOOKUP(Labor!$B$11,InflationTable,4)*$I84</f>
        <v>29.928000000000004</v>
      </c>
      <c r="Q84" s="269">
        <f>P84*$P$5</f>
        <v>2753.3760000000002</v>
      </c>
      <c r="R84" s="308">
        <f>Q84</f>
        <v>2753.3760000000002</v>
      </c>
      <c r="S84" s="132">
        <f>AVERAGE(L84,O84,R84)</f>
        <v>2699.6480000000001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1380</v>
      </c>
      <c r="L86" s="282">
        <f>K86/$E$85</f>
        <v>276</v>
      </c>
      <c r="M86" s="58" t="s">
        <v>12</v>
      </c>
      <c r="N86" s="60">
        <f>$I$86*$M$5</f>
        <v>1380</v>
      </c>
      <c r="O86" s="59">
        <f>N86/$E$85</f>
        <v>276</v>
      </c>
      <c r="P86" s="263" t="s">
        <v>12</v>
      </c>
      <c r="Q86" s="283">
        <f>$I$86*$P$5</f>
        <v>1380</v>
      </c>
      <c r="R86" s="282">
        <f>Q86/$E$85</f>
        <v>276</v>
      </c>
      <c r="S86" s="121">
        <f>AVERAGE(L86,O86,R86)</f>
        <v>276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89936.255999999994</v>
      </c>
      <c r="L87" s="270">
        <f>K87/$E$85</f>
        <v>17987.251199999999</v>
      </c>
      <c r="M87" s="91">
        <f>HLOOKUP(Labor!$B$11,InflationTable,3)*$I87</f>
        <v>997.96800000000007</v>
      </c>
      <c r="N87" s="63">
        <f>M87*$M$5</f>
        <v>91813.056000000011</v>
      </c>
      <c r="O87" s="64">
        <f>N87/$E$85</f>
        <v>18362.611200000003</v>
      </c>
      <c r="P87" s="292">
        <f>HLOOKUP(Labor!$B$11,InflationTable,4)*$I87</f>
        <v>1017.5520000000001</v>
      </c>
      <c r="Q87" s="269">
        <f>P87*$P$5</f>
        <v>93614.784000000014</v>
      </c>
      <c r="R87" s="270">
        <f>Q87/$E$85</f>
        <v>18722.956800000004</v>
      </c>
      <c r="S87" s="128">
        <f>AVERAGE(L87,O87,R87)</f>
        <v>18357.606400000001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27</v>
      </c>
      <c r="E88" s="42">
        <f t="shared" si="20"/>
        <v>1.2</v>
      </c>
      <c r="F88" s="42">
        <f t="shared" si="20"/>
        <v>32.299999999999997</v>
      </c>
      <c r="G88" s="42">
        <f t="shared" si="20"/>
        <v>27</v>
      </c>
      <c r="H88" s="42">
        <f t="shared" si="20"/>
        <v>5</v>
      </c>
      <c r="I88" s="53">
        <f t="shared" si="20"/>
        <v>92.5</v>
      </c>
      <c r="J88" s="293" t="s">
        <v>12</v>
      </c>
      <c r="K88" s="315" t="s">
        <v>12</v>
      </c>
      <c r="L88" s="316">
        <f>L86+K83+K80+K78+K76+K73+K71</f>
        <v>23653</v>
      </c>
      <c r="M88" s="92" t="s">
        <v>12</v>
      </c>
      <c r="N88" s="42" t="s">
        <v>12</v>
      </c>
      <c r="O88" s="90">
        <f>O86+N83+N80+N78+N76+N73+N71</f>
        <v>23653</v>
      </c>
      <c r="P88" s="293" t="s">
        <v>12</v>
      </c>
      <c r="Q88" s="315" t="s">
        <v>12</v>
      </c>
      <c r="R88" s="316">
        <f>R86+Q83+Q80+Q78+Q76+Q73+Q71</f>
        <v>23653</v>
      </c>
      <c r="S88" s="150">
        <f>AVERAGE(L88,O88,R88)</f>
        <v>23653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1103</v>
      </c>
      <c r="E89" s="240">
        <f t="shared" si="20"/>
        <v>53</v>
      </c>
      <c r="F89" s="240">
        <f t="shared" si="20"/>
        <v>1592</v>
      </c>
      <c r="G89" s="240">
        <f t="shared" si="20"/>
        <v>1496</v>
      </c>
      <c r="H89" s="240">
        <f t="shared" si="20"/>
        <v>293</v>
      </c>
      <c r="I89" s="243">
        <f t="shared" si="20"/>
        <v>4537</v>
      </c>
      <c r="J89" s="274">
        <f>J72+J74+J77+J79+J81+J84+J87</f>
        <v>5435.326</v>
      </c>
      <c r="K89" s="317" t="s">
        <v>12</v>
      </c>
      <c r="L89" s="306">
        <f>L87+K84+K81+K79+K77+K74+K72</f>
        <v>1362621.2532000002</v>
      </c>
      <c r="M89" s="242">
        <f>M72+M74+M77+M79+M81+M84+M87</f>
        <v>5548.7509999999993</v>
      </c>
      <c r="N89" s="256" t="s">
        <v>12</v>
      </c>
      <c r="O89" s="254">
        <f>O87+N84+N81+N79+N77+N74+N72</f>
        <v>1391056.5882000001</v>
      </c>
      <c r="P89" s="274">
        <f>P72+P74+P77+P79+P81+P84+P87</f>
        <v>5657.639000000001</v>
      </c>
      <c r="Q89" s="317" t="s">
        <v>12</v>
      </c>
      <c r="R89" s="306">
        <f>R87+Q84+Q81+Q79+Q77+Q74+Q72</f>
        <v>1418354.5098000001</v>
      </c>
      <c r="S89" s="248">
        <f>AVERAGE(L89,O89,R89)</f>
        <v>1390677.4504000002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3636</v>
      </c>
      <c r="L94" s="289">
        <f>K94</f>
        <v>3636</v>
      </c>
      <c r="M94" s="58" t="s">
        <v>12</v>
      </c>
      <c r="N94" s="69">
        <f>$I94*O$4</f>
        <v>3636</v>
      </c>
      <c r="O94" s="59">
        <f>N94</f>
        <v>3636</v>
      </c>
      <c r="P94" s="263" t="s">
        <v>12</v>
      </c>
      <c r="Q94" s="281">
        <f>$I94*R$4</f>
        <v>3636</v>
      </c>
      <c r="R94" s="289">
        <f>Q94</f>
        <v>3636</v>
      </c>
      <c r="S94" s="173">
        <f t="shared" ref="S94:S99" si="21">AVERAGE(L94,O94,R94)</f>
        <v>3636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246109.93199999997</v>
      </c>
      <c r="L95" s="308">
        <f>K95</f>
        <v>246109.93199999997</v>
      </c>
      <c r="M95" s="84">
        <f>HLOOKUP(Labor!$B$11,InflationTable,3)*$I95</f>
        <v>829.19400000000007</v>
      </c>
      <c r="N95" s="63">
        <f>M95*O$4</f>
        <v>251245.78200000004</v>
      </c>
      <c r="O95" s="64">
        <f>N95</f>
        <v>251245.78200000004</v>
      </c>
      <c r="P95" s="268">
        <f>HLOOKUP(Labor!$B$11,InflationTable,4)*$I95</f>
        <v>845.46600000000012</v>
      </c>
      <c r="Q95" s="269">
        <f>P95*R$4</f>
        <v>256176.19800000003</v>
      </c>
      <c r="R95" s="308">
        <f>Q95</f>
        <v>256176.19800000003</v>
      </c>
      <c r="S95" s="171">
        <f t="shared" si="21"/>
        <v>251177.304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9090</v>
      </c>
      <c r="L96" s="328">
        <f>K96</f>
        <v>9090</v>
      </c>
      <c r="M96" s="61" t="s">
        <v>12</v>
      </c>
      <c r="N96" s="348">
        <f>$I96*O$4</f>
        <v>9090</v>
      </c>
      <c r="O96" s="349">
        <f>N96</f>
        <v>9090</v>
      </c>
      <c r="P96" s="293" t="s">
        <v>12</v>
      </c>
      <c r="Q96" s="327">
        <f>$I96*R$4</f>
        <v>9090</v>
      </c>
      <c r="R96" s="328">
        <f>Q96</f>
        <v>9090</v>
      </c>
      <c r="S96" s="173">
        <f t="shared" si="21"/>
        <v>9090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522348.36599999998</v>
      </c>
      <c r="L97" s="300">
        <f>K97</f>
        <v>522348.36599999998</v>
      </c>
      <c r="M97" s="84">
        <f>HLOOKUP(Labor!$B$11,InflationTable,3)*$I97</f>
        <v>1759.8970000000002</v>
      </c>
      <c r="N97" s="63">
        <f>M97*O$4</f>
        <v>533248.79100000008</v>
      </c>
      <c r="O97" s="64">
        <f>N97</f>
        <v>533248.79100000008</v>
      </c>
      <c r="P97" s="292">
        <f>HLOOKUP(Labor!$B$11,InflationTable,4)*$I97</f>
        <v>1794.4330000000002</v>
      </c>
      <c r="Q97" s="269">
        <f>P97*R$4</f>
        <v>543713.19900000002</v>
      </c>
      <c r="R97" s="300">
        <f>Q97</f>
        <v>543713.19900000002</v>
      </c>
      <c r="S97" s="128">
        <f t="shared" si="21"/>
        <v>533103.45200000005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12726</v>
      </c>
      <c r="L98" s="321">
        <f>L94+L96</f>
        <v>12726</v>
      </c>
      <c r="M98" s="85" t="s">
        <v>12</v>
      </c>
      <c r="N98" s="36">
        <f>N94+N96</f>
        <v>12726</v>
      </c>
      <c r="O98" s="100">
        <f>O94+O96</f>
        <v>12726</v>
      </c>
      <c r="P98" s="301" t="s">
        <v>12</v>
      </c>
      <c r="Q98" s="320">
        <f>Q94+Q96</f>
        <v>12726</v>
      </c>
      <c r="R98" s="322">
        <f>R94+R96</f>
        <v>12726</v>
      </c>
      <c r="S98" s="121">
        <f t="shared" si="21"/>
        <v>12726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768458.29799999995</v>
      </c>
      <c r="L99" s="276">
        <f>L95+L97</f>
        <v>768458.29799999995</v>
      </c>
      <c r="M99" s="242">
        <f>M95+M97</f>
        <v>2589.0910000000003</v>
      </c>
      <c r="N99" s="240">
        <f>N95+N97</f>
        <v>784494.57300000009</v>
      </c>
      <c r="O99" s="243">
        <f>O95+O97</f>
        <v>784494.57300000009</v>
      </c>
      <c r="P99" s="313">
        <f>P95+P97</f>
        <v>2639.8990000000003</v>
      </c>
      <c r="Q99" s="275">
        <f>Q95+Q97</f>
        <v>799889.39700000011</v>
      </c>
      <c r="R99" s="276">
        <f>R95+R97</f>
        <v>799889.39700000011</v>
      </c>
      <c r="S99" s="257">
        <f t="shared" si="21"/>
        <v>784280.75600000005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CO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 t="shared" ref="C103:S103" si="23">C15</f>
        <v>0</v>
      </c>
      <c r="D103" s="184">
        <f t="shared" si="23"/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si="23"/>
        <v>NA</v>
      </c>
      <c r="K103" s="327">
        <f t="shared" si="23"/>
        <v>3496</v>
      </c>
      <c r="L103" s="328">
        <f t="shared" si="23"/>
        <v>499.42857142857144</v>
      </c>
      <c r="M103" s="186" t="str">
        <f t="shared" si="23"/>
        <v>NA</v>
      </c>
      <c r="N103" s="184">
        <f t="shared" si="23"/>
        <v>3496</v>
      </c>
      <c r="O103" s="185">
        <f t="shared" si="23"/>
        <v>499.42857142857144</v>
      </c>
      <c r="P103" s="326" t="str">
        <f t="shared" si="23"/>
        <v>NA</v>
      </c>
      <c r="Q103" s="327">
        <f t="shared" si="23"/>
        <v>3496</v>
      </c>
      <c r="R103" s="328">
        <f t="shared" si="23"/>
        <v>499.42857142857144</v>
      </c>
      <c r="S103" s="185">
        <f t="shared" si="23"/>
        <v>499.42857142857139</v>
      </c>
      <c r="T103" s="37"/>
      <c r="U103" s="138"/>
    </row>
    <row r="104" spans="2:22" ht="13.5" thickBot="1">
      <c r="B104" s="573" t="s">
        <v>76</v>
      </c>
      <c r="C104" s="203">
        <f t="shared" ref="C104:S104" si="24">C16</f>
        <v>0</v>
      </c>
      <c r="D104" s="204">
        <f t="shared" si="24"/>
        <v>0</v>
      </c>
      <c r="E104" s="204">
        <f t="shared" si="24"/>
        <v>0</v>
      </c>
      <c r="F104" s="204">
        <f t="shared" si="24"/>
        <v>690</v>
      </c>
      <c r="G104" s="204">
        <f t="shared" si="24"/>
        <v>777</v>
      </c>
      <c r="H104" s="204">
        <f t="shared" si="24"/>
        <v>586</v>
      </c>
      <c r="I104" s="205">
        <f t="shared" si="24"/>
        <v>2053</v>
      </c>
      <c r="J104" s="329">
        <f t="shared" si="24"/>
        <v>2459.4939999999997</v>
      </c>
      <c r="K104" s="330">
        <f t="shared" si="24"/>
        <v>226273.44799999997</v>
      </c>
      <c r="L104" s="331">
        <f t="shared" si="24"/>
        <v>32324.778285714281</v>
      </c>
      <c r="M104" s="203">
        <f t="shared" si="24"/>
        <v>2510.819</v>
      </c>
      <c r="N104" s="204">
        <f t="shared" si="24"/>
        <v>230995.348</v>
      </c>
      <c r="O104" s="205">
        <f t="shared" si="24"/>
        <v>32999.33542857143</v>
      </c>
      <c r="P104" s="329">
        <f t="shared" si="24"/>
        <v>2560.0910000000003</v>
      </c>
      <c r="Q104" s="330">
        <f t="shared" si="24"/>
        <v>235528.37200000003</v>
      </c>
      <c r="R104" s="331">
        <f t="shared" si="24"/>
        <v>33646.910285714293</v>
      </c>
      <c r="S104" s="205">
        <f t="shared" si="24"/>
        <v>32990.341333333337</v>
      </c>
      <c r="T104" s="206" t="str">
        <f>T16</f>
        <v>NA</v>
      </c>
      <c r="U104" s="392" t="s">
        <v>12</v>
      </c>
    </row>
    <row r="105" spans="2:22">
      <c r="B105" s="574" t="s">
        <v>98</v>
      </c>
      <c r="C105" s="196">
        <f t="shared" ref="C105:S105" si="25">C28</f>
        <v>0</v>
      </c>
      <c r="D105" s="184">
        <f t="shared" si="25"/>
        <v>8</v>
      </c>
      <c r="E105" s="184">
        <f t="shared" si="25"/>
        <v>8</v>
      </c>
      <c r="F105" s="184">
        <f t="shared" si="25"/>
        <v>4</v>
      </c>
      <c r="G105" s="184">
        <f t="shared" si="25"/>
        <v>0</v>
      </c>
      <c r="H105" s="184">
        <f t="shared" si="25"/>
        <v>0</v>
      </c>
      <c r="I105" s="185">
        <f t="shared" si="25"/>
        <v>20</v>
      </c>
      <c r="J105" s="326" t="str">
        <f t="shared" si="25"/>
        <v>NA</v>
      </c>
      <c r="K105" s="327">
        <f t="shared" si="25"/>
        <v>6120.6</v>
      </c>
      <c r="L105" s="328">
        <f t="shared" si="25"/>
        <v>874.37142857142851</v>
      </c>
      <c r="M105" s="186" t="str">
        <f t="shared" si="25"/>
        <v>NA</v>
      </c>
      <c r="N105" s="184">
        <f t="shared" si="25"/>
        <v>6120.6</v>
      </c>
      <c r="O105" s="185">
        <f t="shared" si="25"/>
        <v>874.37142857142851</v>
      </c>
      <c r="P105" s="326" t="str">
        <f t="shared" si="25"/>
        <v>NA</v>
      </c>
      <c r="Q105" s="327">
        <f t="shared" si="25"/>
        <v>6120.6</v>
      </c>
      <c r="R105" s="328">
        <f t="shared" si="25"/>
        <v>874.37142857142851</v>
      </c>
      <c r="S105" s="185">
        <f t="shared" si="25"/>
        <v>874.37142857142851</v>
      </c>
      <c r="T105" s="37"/>
      <c r="U105" s="138"/>
    </row>
    <row r="106" spans="2:22" ht="13.5" thickBot="1">
      <c r="B106" s="573" t="s">
        <v>76</v>
      </c>
      <c r="C106" s="207">
        <f t="shared" ref="C106:S106" si="26">C29</f>
        <v>0</v>
      </c>
      <c r="D106" s="208">
        <f t="shared" si="26"/>
        <v>327</v>
      </c>
      <c r="E106" s="208">
        <f t="shared" si="26"/>
        <v>353</v>
      </c>
      <c r="F106" s="208">
        <f t="shared" si="26"/>
        <v>197</v>
      </c>
      <c r="G106" s="208">
        <f t="shared" si="26"/>
        <v>0</v>
      </c>
      <c r="H106" s="208">
        <f t="shared" si="26"/>
        <v>0</v>
      </c>
      <c r="I106" s="209">
        <f t="shared" si="26"/>
        <v>877</v>
      </c>
      <c r="J106" s="332">
        <f t="shared" si="26"/>
        <v>1050.646</v>
      </c>
      <c r="K106" s="296">
        <f t="shared" si="26"/>
        <v>0</v>
      </c>
      <c r="L106" s="297">
        <f t="shared" si="26"/>
        <v>590479.7469857143</v>
      </c>
      <c r="M106" s="207">
        <f t="shared" si="26"/>
        <v>1072.5710000000001</v>
      </c>
      <c r="N106" s="208">
        <f t="shared" si="26"/>
        <v>0</v>
      </c>
      <c r="O106" s="209">
        <f t="shared" si="26"/>
        <v>602280.5018571429</v>
      </c>
      <c r="P106" s="332">
        <f t="shared" si="26"/>
        <v>1093.6190000000001</v>
      </c>
      <c r="Q106" s="296">
        <f t="shared" si="26"/>
        <v>0</v>
      </c>
      <c r="R106" s="297">
        <f t="shared" si="26"/>
        <v>614099.57957142859</v>
      </c>
      <c r="S106" s="209">
        <f t="shared" si="26"/>
        <v>46584.609471428572</v>
      </c>
      <c r="T106" s="210" t="str">
        <f>T29</f>
        <v>NA</v>
      </c>
      <c r="U106" s="575">
        <f>U29</f>
        <v>555702</v>
      </c>
    </row>
    <row r="107" spans="2:22">
      <c r="B107" s="574" t="s">
        <v>96</v>
      </c>
      <c r="C107" s="197">
        <f t="shared" ref="C107:S107" si="27">C38</f>
        <v>0</v>
      </c>
      <c r="D107" s="25">
        <f t="shared" si="27"/>
        <v>60</v>
      </c>
      <c r="E107" s="25">
        <f t="shared" si="27"/>
        <v>60</v>
      </c>
      <c r="F107" s="25">
        <f t="shared" si="27"/>
        <v>0</v>
      </c>
      <c r="G107" s="25">
        <f t="shared" si="27"/>
        <v>0</v>
      </c>
      <c r="H107" s="25">
        <f t="shared" si="27"/>
        <v>0</v>
      </c>
      <c r="I107" s="198">
        <f t="shared" si="27"/>
        <v>120</v>
      </c>
      <c r="J107" s="333" t="str">
        <f t="shared" si="27"/>
        <v>NA</v>
      </c>
      <c r="K107" s="334">
        <f t="shared" si="27"/>
        <v>36360</v>
      </c>
      <c r="L107" s="335">
        <f t="shared" si="27"/>
        <v>36360</v>
      </c>
      <c r="M107" s="199" t="str">
        <f t="shared" si="27"/>
        <v>NA</v>
      </c>
      <c r="N107" s="25">
        <f t="shared" si="27"/>
        <v>36360</v>
      </c>
      <c r="O107" s="198">
        <f t="shared" si="27"/>
        <v>36360</v>
      </c>
      <c r="P107" s="333" t="str">
        <f t="shared" si="27"/>
        <v>NA</v>
      </c>
      <c r="Q107" s="334">
        <f t="shared" si="27"/>
        <v>36360</v>
      </c>
      <c r="R107" s="335">
        <f t="shared" si="27"/>
        <v>36360</v>
      </c>
      <c r="S107" s="198">
        <f t="shared" si="27"/>
        <v>36360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 t="shared" ref="C108:S108" si="28">C39</f>
        <v>0</v>
      </c>
      <c r="D108" s="208">
        <f t="shared" si="28"/>
        <v>60</v>
      </c>
      <c r="E108" s="208">
        <f t="shared" si="28"/>
        <v>60</v>
      </c>
      <c r="F108" s="208">
        <f t="shared" si="28"/>
        <v>0</v>
      </c>
      <c r="G108" s="208">
        <f t="shared" si="28"/>
        <v>0</v>
      </c>
      <c r="H108" s="208">
        <f t="shared" si="28"/>
        <v>0</v>
      </c>
      <c r="I108" s="209">
        <f t="shared" si="28"/>
        <v>5898</v>
      </c>
      <c r="J108" s="332">
        <f t="shared" si="28"/>
        <v>7065.8039999999992</v>
      </c>
      <c r="K108" s="296">
        <f t="shared" si="28"/>
        <v>2140938.6119999997</v>
      </c>
      <c r="L108" s="297">
        <f t="shared" si="28"/>
        <v>2140938.6119999997</v>
      </c>
      <c r="M108" s="207">
        <f t="shared" si="28"/>
        <v>7213.2540000000008</v>
      </c>
      <c r="N108" s="208">
        <f t="shared" si="28"/>
        <v>2185615.9620000003</v>
      </c>
      <c r="O108" s="209">
        <f t="shared" si="28"/>
        <v>2185615.9620000003</v>
      </c>
      <c r="P108" s="332">
        <f t="shared" si="28"/>
        <v>7354.8060000000005</v>
      </c>
      <c r="Q108" s="296">
        <f t="shared" si="28"/>
        <v>2228506.2180000003</v>
      </c>
      <c r="R108" s="297">
        <f t="shared" si="28"/>
        <v>2228506.2180000003</v>
      </c>
      <c r="S108" s="209">
        <f t="shared" si="28"/>
        <v>2185020.264</v>
      </c>
      <c r="T108" s="209">
        <f>T39</f>
        <v>296374.40000000002</v>
      </c>
      <c r="U108" s="392" t="s">
        <v>12</v>
      </c>
    </row>
    <row r="109" spans="2:22">
      <c r="B109" s="574" t="s">
        <v>99</v>
      </c>
      <c r="C109" s="197">
        <f t="shared" ref="C109:S109" si="29">C50</f>
        <v>0</v>
      </c>
      <c r="D109" s="25">
        <f t="shared" si="29"/>
        <v>22</v>
      </c>
      <c r="E109" s="25">
        <f t="shared" si="29"/>
        <v>11</v>
      </c>
      <c r="F109" s="25">
        <f t="shared" si="29"/>
        <v>35</v>
      </c>
      <c r="G109" s="25">
        <f t="shared" si="29"/>
        <v>0</v>
      </c>
      <c r="H109" s="25">
        <f t="shared" si="29"/>
        <v>0</v>
      </c>
      <c r="I109" s="198">
        <f t="shared" si="29"/>
        <v>68</v>
      </c>
      <c r="J109" s="333" t="str">
        <f t="shared" si="29"/>
        <v>NA</v>
      </c>
      <c r="K109" s="334">
        <f t="shared" si="29"/>
        <v>20604</v>
      </c>
      <c r="L109" s="335">
        <f t="shared" si="29"/>
        <v>20604</v>
      </c>
      <c r="M109" s="199" t="str">
        <f t="shared" si="29"/>
        <v>NA</v>
      </c>
      <c r="N109" s="25">
        <f t="shared" si="29"/>
        <v>20604</v>
      </c>
      <c r="O109" s="198">
        <f t="shared" si="29"/>
        <v>20604</v>
      </c>
      <c r="P109" s="333" t="str">
        <f t="shared" si="29"/>
        <v>NA</v>
      </c>
      <c r="Q109" s="334">
        <f t="shared" si="29"/>
        <v>20604</v>
      </c>
      <c r="R109" s="335">
        <f t="shared" si="29"/>
        <v>20604</v>
      </c>
      <c r="S109" s="198">
        <f t="shared" si="29"/>
        <v>20604</v>
      </c>
      <c r="T109" s="37"/>
      <c r="U109" s="138"/>
    </row>
    <row r="110" spans="2:22" ht="13.5" thickBot="1">
      <c r="B110" s="573" t="s">
        <v>76</v>
      </c>
      <c r="C110" s="207">
        <f t="shared" ref="C110:S110" si="30">C51</f>
        <v>0</v>
      </c>
      <c r="D110" s="208">
        <f t="shared" si="30"/>
        <v>899</v>
      </c>
      <c r="E110" s="208">
        <f t="shared" si="30"/>
        <v>485</v>
      </c>
      <c r="F110" s="208">
        <f t="shared" si="30"/>
        <v>1724</v>
      </c>
      <c r="G110" s="208">
        <f t="shared" si="30"/>
        <v>0</v>
      </c>
      <c r="H110" s="208">
        <f t="shared" si="30"/>
        <v>0</v>
      </c>
      <c r="I110" s="209">
        <f t="shared" si="30"/>
        <v>4108</v>
      </c>
      <c r="J110" s="332">
        <f t="shared" si="30"/>
        <v>4921.384</v>
      </c>
      <c r="K110" s="296">
        <f t="shared" si="30"/>
        <v>1491179.352</v>
      </c>
      <c r="L110" s="297">
        <f t="shared" si="30"/>
        <v>1491179.352</v>
      </c>
      <c r="M110" s="211">
        <f t="shared" si="30"/>
        <v>5024.0839999999998</v>
      </c>
      <c r="N110" s="208">
        <f t="shared" si="30"/>
        <v>1522297.452</v>
      </c>
      <c r="O110" s="209">
        <f t="shared" si="30"/>
        <v>1522297.452</v>
      </c>
      <c r="P110" s="332">
        <f t="shared" si="30"/>
        <v>5122.6760000000004</v>
      </c>
      <c r="Q110" s="296">
        <f t="shared" si="30"/>
        <v>1552170.8280000002</v>
      </c>
      <c r="R110" s="297">
        <f t="shared" si="30"/>
        <v>1552170.8280000002</v>
      </c>
      <c r="S110" s="209">
        <f t="shared" si="30"/>
        <v>1151414.544</v>
      </c>
      <c r="T110" s="209">
        <f>T51</f>
        <v>370468</v>
      </c>
      <c r="U110" s="576" t="s">
        <v>12</v>
      </c>
    </row>
    <row r="111" spans="2:22">
      <c r="B111" s="574" t="s">
        <v>100</v>
      </c>
      <c r="C111" s="197">
        <f t="shared" ref="C111:U111" si="31">C64</f>
        <v>0</v>
      </c>
      <c r="D111" s="25">
        <f t="shared" si="31"/>
        <v>8</v>
      </c>
      <c r="E111" s="25">
        <f t="shared" si="31"/>
        <v>10</v>
      </c>
      <c r="F111" s="25">
        <f t="shared" si="31"/>
        <v>17</v>
      </c>
      <c r="G111" s="25">
        <f t="shared" si="31"/>
        <v>4</v>
      </c>
      <c r="H111" s="25">
        <f t="shared" si="31"/>
        <v>0</v>
      </c>
      <c r="I111" s="198">
        <f t="shared" si="31"/>
        <v>39</v>
      </c>
      <c r="J111" s="333" t="str">
        <f t="shared" si="31"/>
        <v>NA</v>
      </c>
      <c r="K111" s="334">
        <f t="shared" si="31"/>
        <v>11817</v>
      </c>
      <c r="L111" s="335">
        <f t="shared" si="31"/>
        <v>11817</v>
      </c>
      <c r="M111" s="199" t="str">
        <f t="shared" si="31"/>
        <v>NA</v>
      </c>
      <c r="N111" s="25">
        <f t="shared" si="31"/>
        <v>11817</v>
      </c>
      <c r="O111" s="198">
        <f t="shared" si="31"/>
        <v>11817</v>
      </c>
      <c r="P111" s="333" t="str">
        <f t="shared" si="31"/>
        <v>NA</v>
      </c>
      <c r="Q111" s="334">
        <f t="shared" si="31"/>
        <v>11817</v>
      </c>
      <c r="R111" s="335">
        <f t="shared" si="31"/>
        <v>11817</v>
      </c>
      <c r="S111" s="198">
        <f t="shared" si="31"/>
        <v>11817</v>
      </c>
      <c r="T111" s="212" t="str">
        <f t="shared" si="31"/>
        <v>NA</v>
      </c>
      <c r="U111" s="577" t="str">
        <f t="shared" si="31"/>
        <v>NA</v>
      </c>
    </row>
    <row r="112" spans="2:22" ht="13.5" thickBot="1">
      <c r="B112" s="573" t="s">
        <v>76</v>
      </c>
      <c r="C112" s="207">
        <f t="shared" ref="C112:T112" si="32">C65</f>
        <v>0</v>
      </c>
      <c r="D112" s="208">
        <f t="shared" si="32"/>
        <v>327</v>
      </c>
      <c r="E112" s="208">
        <f t="shared" si="32"/>
        <v>440</v>
      </c>
      <c r="F112" s="208">
        <f t="shared" si="32"/>
        <v>838</v>
      </c>
      <c r="G112" s="208">
        <f t="shared" si="32"/>
        <v>222</v>
      </c>
      <c r="H112" s="208">
        <f t="shared" si="32"/>
        <v>0</v>
      </c>
      <c r="I112" s="209">
        <f t="shared" si="32"/>
        <v>1827</v>
      </c>
      <c r="J112" s="332">
        <f t="shared" si="32"/>
        <v>2188.7459999999996</v>
      </c>
      <c r="K112" s="296">
        <f t="shared" si="32"/>
        <v>663190.03799999994</v>
      </c>
      <c r="L112" s="297">
        <f t="shared" si="32"/>
        <v>663190.03799999994</v>
      </c>
      <c r="M112" s="207">
        <f t="shared" si="32"/>
        <v>2234.4210000000003</v>
      </c>
      <c r="N112" s="208">
        <f t="shared" si="32"/>
        <v>677029.56300000008</v>
      </c>
      <c r="O112" s="209">
        <f t="shared" si="32"/>
        <v>677029.56300000008</v>
      </c>
      <c r="P112" s="339">
        <f t="shared" si="32"/>
        <v>2278.2690000000002</v>
      </c>
      <c r="Q112" s="296">
        <f t="shared" si="32"/>
        <v>690315.50699999998</v>
      </c>
      <c r="R112" s="297">
        <f t="shared" si="32"/>
        <v>690315.50699999998</v>
      </c>
      <c r="S112" s="209">
        <f t="shared" si="32"/>
        <v>676845.03599999996</v>
      </c>
      <c r="T112" s="210" t="str">
        <f t="shared" si="32"/>
        <v>NA</v>
      </c>
      <c r="U112" s="392" t="s">
        <v>12</v>
      </c>
    </row>
    <row r="113" spans="2:21">
      <c r="B113" s="574" t="s">
        <v>101</v>
      </c>
      <c r="C113" s="213">
        <f t="shared" ref="C113:S113" si="33">C88</f>
        <v>0</v>
      </c>
      <c r="D113" s="214">
        <f t="shared" si="33"/>
        <v>27</v>
      </c>
      <c r="E113" s="214">
        <f t="shared" si="33"/>
        <v>1.2</v>
      </c>
      <c r="F113" s="214">
        <f t="shared" si="33"/>
        <v>32.299999999999997</v>
      </c>
      <c r="G113" s="214">
        <f t="shared" si="33"/>
        <v>27</v>
      </c>
      <c r="H113" s="214">
        <f t="shared" si="33"/>
        <v>5</v>
      </c>
      <c r="I113" s="215">
        <f t="shared" si="33"/>
        <v>92.5</v>
      </c>
      <c r="J113" s="336" t="str">
        <f t="shared" si="33"/>
        <v>NA</v>
      </c>
      <c r="K113" s="337" t="str">
        <f t="shared" si="33"/>
        <v>NA</v>
      </c>
      <c r="L113" s="294">
        <f t="shared" si="33"/>
        <v>23653</v>
      </c>
      <c r="M113" s="216" t="str">
        <f t="shared" si="33"/>
        <v>NA</v>
      </c>
      <c r="N113" s="217" t="str">
        <f t="shared" si="33"/>
        <v>NA</v>
      </c>
      <c r="O113" s="215">
        <f t="shared" si="33"/>
        <v>23653</v>
      </c>
      <c r="P113" s="336" t="str">
        <f t="shared" si="33"/>
        <v>NA</v>
      </c>
      <c r="Q113" s="337" t="str">
        <f t="shared" si="33"/>
        <v>NA</v>
      </c>
      <c r="R113" s="294">
        <f t="shared" si="33"/>
        <v>23653</v>
      </c>
      <c r="S113" s="215">
        <f t="shared" si="33"/>
        <v>23653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 t="shared" ref="C114:S114" si="34">C89</f>
        <v>0</v>
      </c>
      <c r="D114" s="208">
        <f t="shared" si="34"/>
        <v>1103</v>
      </c>
      <c r="E114" s="208">
        <f t="shared" si="34"/>
        <v>53</v>
      </c>
      <c r="F114" s="208">
        <f t="shared" si="34"/>
        <v>1592</v>
      </c>
      <c r="G114" s="208">
        <f t="shared" si="34"/>
        <v>1496</v>
      </c>
      <c r="H114" s="208">
        <f t="shared" si="34"/>
        <v>293</v>
      </c>
      <c r="I114" s="209">
        <f t="shared" si="34"/>
        <v>4537</v>
      </c>
      <c r="J114" s="332">
        <f t="shared" si="34"/>
        <v>5435.326</v>
      </c>
      <c r="K114" s="338" t="str">
        <f t="shared" si="34"/>
        <v>NA</v>
      </c>
      <c r="L114" s="297">
        <f t="shared" si="34"/>
        <v>1362621.2532000002</v>
      </c>
      <c r="M114" s="211">
        <f t="shared" si="34"/>
        <v>5548.7509999999993</v>
      </c>
      <c r="N114" s="219" t="str">
        <f t="shared" si="34"/>
        <v>NA</v>
      </c>
      <c r="O114" s="209">
        <f t="shared" si="34"/>
        <v>1391056.5882000001</v>
      </c>
      <c r="P114" s="332">
        <f t="shared" si="34"/>
        <v>5657.639000000001</v>
      </c>
      <c r="Q114" s="338" t="str">
        <f t="shared" si="34"/>
        <v>NA</v>
      </c>
      <c r="R114" s="297">
        <f t="shared" si="34"/>
        <v>1418354.5098000001</v>
      </c>
      <c r="S114" s="209">
        <f t="shared" si="34"/>
        <v>1390677.4504000002</v>
      </c>
      <c r="T114" s="209">
        <f>T89</f>
        <v>0</v>
      </c>
      <c r="U114" s="392" t="s">
        <v>12</v>
      </c>
    </row>
    <row r="115" spans="2:21">
      <c r="B115" s="574" t="s">
        <v>102</v>
      </c>
      <c r="C115" s="197">
        <f t="shared" ref="C115:S115" si="35">C98</f>
        <v>0</v>
      </c>
      <c r="D115" s="25">
        <f t="shared" si="35"/>
        <v>0</v>
      </c>
      <c r="E115" s="25">
        <f t="shared" si="35"/>
        <v>16</v>
      </c>
      <c r="F115" s="25">
        <f t="shared" si="35"/>
        <v>8</v>
      </c>
      <c r="G115" s="25">
        <f t="shared" si="35"/>
        <v>12</v>
      </c>
      <c r="H115" s="25">
        <f t="shared" si="35"/>
        <v>6</v>
      </c>
      <c r="I115" s="198">
        <f t="shared" si="35"/>
        <v>42</v>
      </c>
      <c r="J115" s="333" t="str">
        <f t="shared" si="35"/>
        <v>NA</v>
      </c>
      <c r="K115" s="334">
        <f t="shared" si="35"/>
        <v>12726</v>
      </c>
      <c r="L115" s="335">
        <f t="shared" si="35"/>
        <v>12726</v>
      </c>
      <c r="M115" s="199" t="str">
        <f t="shared" si="35"/>
        <v>NA</v>
      </c>
      <c r="N115" s="25">
        <f t="shared" si="35"/>
        <v>12726</v>
      </c>
      <c r="O115" s="198">
        <f t="shared" si="35"/>
        <v>12726</v>
      </c>
      <c r="P115" s="333" t="str">
        <f t="shared" si="35"/>
        <v>NA</v>
      </c>
      <c r="Q115" s="334">
        <f t="shared" si="35"/>
        <v>12726</v>
      </c>
      <c r="R115" s="335">
        <f t="shared" si="35"/>
        <v>12726</v>
      </c>
      <c r="S115" s="198">
        <f t="shared" si="35"/>
        <v>12726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 t="shared" ref="C116:S116" si="36">C99</f>
        <v>0</v>
      </c>
      <c r="D116" s="221">
        <f t="shared" si="36"/>
        <v>0</v>
      </c>
      <c r="E116" s="221">
        <f t="shared" si="36"/>
        <v>706</v>
      </c>
      <c r="F116" s="221">
        <f t="shared" si="36"/>
        <v>394</v>
      </c>
      <c r="G116" s="221">
        <f t="shared" si="36"/>
        <v>666</v>
      </c>
      <c r="H116" s="221">
        <f t="shared" si="36"/>
        <v>351</v>
      </c>
      <c r="I116" s="222">
        <f t="shared" si="36"/>
        <v>2117</v>
      </c>
      <c r="J116" s="304">
        <f t="shared" si="36"/>
        <v>2536.1660000000002</v>
      </c>
      <c r="K116" s="305">
        <f t="shared" si="36"/>
        <v>768458.29799999995</v>
      </c>
      <c r="L116" s="306">
        <f t="shared" si="36"/>
        <v>768458.29799999995</v>
      </c>
      <c r="M116" s="220">
        <f t="shared" si="36"/>
        <v>2589.0910000000003</v>
      </c>
      <c r="N116" s="221">
        <f t="shared" si="36"/>
        <v>784494.57300000009</v>
      </c>
      <c r="O116" s="222">
        <f t="shared" si="36"/>
        <v>784494.57300000009</v>
      </c>
      <c r="P116" s="311">
        <f t="shared" si="36"/>
        <v>2639.8990000000003</v>
      </c>
      <c r="Q116" s="305">
        <f t="shared" si="36"/>
        <v>799889.39700000011</v>
      </c>
      <c r="R116" s="306">
        <f t="shared" si="36"/>
        <v>799889.39700000011</v>
      </c>
      <c r="S116" s="222">
        <f t="shared" si="36"/>
        <v>784280.75600000005</v>
      </c>
      <c r="T116" s="223" t="str">
        <f>T99</f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37">C103+C105+C107+C109+C111+C113+C115</f>
        <v>0</v>
      </c>
      <c r="D118" s="101">
        <f t="shared" si="37"/>
        <v>125</v>
      </c>
      <c r="E118" s="101">
        <f t="shared" si="37"/>
        <v>106.2</v>
      </c>
      <c r="F118" s="101">
        <f t="shared" si="37"/>
        <v>110.3</v>
      </c>
      <c r="G118" s="101">
        <f t="shared" si="37"/>
        <v>57</v>
      </c>
      <c r="H118" s="101">
        <f t="shared" si="37"/>
        <v>21</v>
      </c>
      <c r="I118" s="102">
        <f t="shared" si="37"/>
        <v>419.5</v>
      </c>
      <c r="J118" s="340" t="s">
        <v>12</v>
      </c>
      <c r="K118" s="281">
        <f>K103+K105+K107+K109+K111+K115</f>
        <v>91123.6</v>
      </c>
      <c r="L118" s="289">
        <f>L103+L105+L107+L109+L111+L113+L115</f>
        <v>106533.8</v>
      </c>
      <c r="M118" s="103" t="s">
        <v>12</v>
      </c>
      <c r="N118" s="101">
        <f>N103+N105+N107+N109+N111+N115</f>
        <v>91123.6</v>
      </c>
      <c r="O118" s="102">
        <f>O103+O105+O107+O109+O111+O113+O115</f>
        <v>106533.8</v>
      </c>
      <c r="P118" s="340" t="s">
        <v>12</v>
      </c>
      <c r="Q118" s="281">
        <f>Q103+Q105+Q107+Q109+Q111+Q115</f>
        <v>91123.6</v>
      </c>
      <c r="R118" s="289">
        <f>R103+R105+R107+R109+R111+R113+R115</f>
        <v>106533.8</v>
      </c>
      <c r="S118" s="174">
        <f>S103+S105+S107+S109+S111+S113+S115</f>
        <v>106533.8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37"/>
        <v>0</v>
      </c>
      <c r="D119" s="583">
        <f t="shared" si="37"/>
        <v>2716</v>
      </c>
      <c r="E119" s="583">
        <f t="shared" si="37"/>
        <v>2097</v>
      </c>
      <c r="F119" s="583">
        <f t="shared" si="37"/>
        <v>5435</v>
      </c>
      <c r="G119" s="583">
        <f t="shared" si="37"/>
        <v>3161</v>
      </c>
      <c r="H119" s="583">
        <f t="shared" si="37"/>
        <v>1230</v>
      </c>
      <c r="I119" s="584">
        <f t="shared" si="37"/>
        <v>21417</v>
      </c>
      <c r="J119" s="585">
        <f>J104+J106+J108+J110+J112+J114+J116</f>
        <v>25657.566000000003</v>
      </c>
      <c r="K119" s="586">
        <f>K104+K106+K108+K110+K112+K116</f>
        <v>5290039.7479999997</v>
      </c>
      <c r="L119" s="587">
        <f>L104+L106+L108+L110+L112+L114+L116</f>
        <v>7049192.0784714278</v>
      </c>
      <c r="M119" s="582">
        <f>M104+M106+M108+M110+M112+M114+M116</f>
        <v>26192.990999999998</v>
      </c>
      <c r="N119" s="588">
        <f>N104+N106+N108+N110+N112+N116</f>
        <v>5400432.898000001</v>
      </c>
      <c r="O119" s="584">
        <f>O104+O106+O108+O110+O112+O114+O116</f>
        <v>7195773.9754857151</v>
      </c>
      <c r="P119" s="589">
        <f>P104+P106+P108+P110+P112+P114+P116</f>
        <v>26706.999000000007</v>
      </c>
      <c r="Q119" s="586">
        <f>Q104+Q106+Q108+Q110+Q112+Q116</f>
        <v>5506410.3220000006</v>
      </c>
      <c r="R119" s="587">
        <f>R104+R106+R108+R110+R112+R114+R116</f>
        <v>7336982.9496571431</v>
      </c>
      <c r="S119" s="590">
        <f>S104+S106+S108+S110+S112+S114+S116</f>
        <v>6267813.0012047617</v>
      </c>
      <c r="T119" s="584">
        <f>SUM(T104,T106,T108,T110,T112,T114,T116)</f>
        <v>666842.4</v>
      </c>
      <c r="U119" s="591">
        <f>SUM(U104,U106,U108,U110,U112,U114,U116)</f>
        <v>555702</v>
      </c>
    </row>
  </sheetData>
  <sheetProtection sheet="1" objects="1" scenarios="1"/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9"/>
  <sheetViews>
    <sheetView topLeftCell="A42" zoomScaleNormal="100" workbookViewId="0">
      <selection activeCell="S58" sqref="S58"/>
    </sheetView>
  </sheetViews>
  <sheetFormatPr defaultRowHeight="12.75"/>
  <cols>
    <col min="1" max="1" width="1.140625" customWidth="1"/>
    <col min="2" max="2" width="31.42578125" customWidth="1"/>
    <col min="3" max="3" width="12.85546875" customWidth="1"/>
    <col min="4" max="4" width="10.28515625" bestFit="1" customWidth="1"/>
    <col min="5" max="5" width="11.28515625" customWidth="1"/>
    <col min="6" max="6" width="9.7109375" style="10" customWidth="1"/>
    <col min="7" max="7" width="9.7109375" bestFit="1" customWidth="1"/>
    <col min="8" max="8" width="9.85546875" bestFit="1" customWidth="1"/>
    <col min="9" max="9" width="13.28515625" customWidth="1"/>
    <col min="10" max="10" width="15" customWidth="1"/>
    <col min="11" max="11" width="14.42578125" customWidth="1"/>
    <col min="12" max="12" width="14.2851562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554" t="s">
        <v>79</v>
      </c>
    </row>
    <row r="3" spans="1:21" ht="15.75">
      <c r="A3" s="615"/>
      <c r="B3" s="5"/>
      <c r="C3" s="112"/>
      <c r="D3" s="29"/>
      <c r="E3" s="80"/>
      <c r="F3" s="7"/>
      <c r="G3" s="5"/>
      <c r="H3" s="5"/>
      <c r="I3" s="396" t="s">
        <v>59</v>
      </c>
      <c r="J3" s="177"/>
      <c r="K3" s="426"/>
      <c r="L3" s="178"/>
      <c r="M3" s="5"/>
      <c r="N3" s="5"/>
      <c r="O3" s="37"/>
      <c r="P3" s="426"/>
      <c r="Q3" s="426"/>
      <c r="R3" s="67"/>
      <c r="S3" s="115" t="s">
        <v>71</v>
      </c>
      <c r="T3" s="116">
        <f>AVERAGE(J5,M5,P5)</f>
        <v>87</v>
      </c>
      <c r="U3" s="37"/>
    </row>
    <row r="4" spans="1:21">
      <c r="A4" s="615"/>
      <c r="B4" s="5"/>
      <c r="C4" s="5"/>
      <c r="D4" s="5"/>
      <c r="E4" s="5"/>
      <c r="F4" s="7"/>
      <c r="G4" s="5"/>
      <c r="H4" s="5"/>
      <c r="I4" s="50">
        <v>0.05</v>
      </c>
      <c r="J4" s="425" t="s">
        <v>71</v>
      </c>
      <c r="K4" s="429" t="s">
        <v>72</v>
      </c>
      <c r="L4" s="20">
        <v>368</v>
      </c>
      <c r="M4" s="396" t="s">
        <v>71</v>
      </c>
      <c r="N4" s="431" t="s">
        <v>69</v>
      </c>
      <c r="O4" s="20">
        <v>420</v>
      </c>
      <c r="P4" s="425" t="s">
        <v>71</v>
      </c>
      <c r="Q4" s="429" t="s">
        <v>69</v>
      </c>
      <c r="R4" s="20">
        <v>420</v>
      </c>
      <c r="S4" s="115" t="s">
        <v>69</v>
      </c>
      <c r="T4" s="106">
        <f>AVERAGE(L4,O4,R4)</f>
        <v>402.66666666666669</v>
      </c>
      <c r="U4" s="37"/>
    </row>
    <row r="5" spans="1:21" ht="12.75" customHeight="1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27"/>
      <c r="J5" s="341">
        <v>87</v>
      </c>
      <c r="K5" s="342" t="s">
        <v>70</v>
      </c>
      <c r="L5" s="343">
        <f>L4*$I$4</f>
        <v>18.400000000000002</v>
      </c>
      <c r="M5" s="632">
        <v>87</v>
      </c>
      <c r="N5" s="344" t="s">
        <v>70</v>
      </c>
      <c r="O5" s="345">
        <f>O4*$I$4</f>
        <v>21</v>
      </c>
      <c r="P5" s="631">
        <v>87</v>
      </c>
      <c r="Q5" s="342" t="s">
        <v>70</v>
      </c>
      <c r="R5" s="343">
        <f>R4*$I$4</f>
        <v>21</v>
      </c>
      <c r="S5" s="237" t="s">
        <v>70</v>
      </c>
      <c r="T5" s="238">
        <f>AVERAGE(L5,O5,R5)</f>
        <v>20.133333333333336</v>
      </c>
      <c r="U5" s="37"/>
    </row>
    <row r="6" spans="1:21" ht="30" customHeight="1" thickTop="1" thickBot="1">
      <c r="A6" s="615"/>
      <c r="B6" s="598" t="s">
        <v>73</v>
      </c>
      <c r="C6" s="4"/>
      <c r="D6" s="4"/>
      <c r="E6" s="4"/>
      <c r="F6" s="12"/>
      <c r="G6" s="4"/>
      <c r="H6" s="4"/>
      <c r="I6" s="4"/>
      <c r="J6" s="544"/>
      <c r="K6" s="87"/>
      <c r="L6" s="87"/>
      <c r="M6" s="545"/>
      <c r="N6" s="4"/>
      <c r="O6" s="4"/>
      <c r="P6" s="544"/>
      <c r="Q6" s="87"/>
      <c r="R6" s="87"/>
      <c r="S6" s="546" t="s">
        <v>17</v>
      </c>
      <c r="T6" s="547" t="s">
        <v>103</v>
      </c>
      <c r="U6" s="548"/>
    </row>
    <row r="7" spans="1:21" ht="15.75">
      <c r="A7" s="615"/>
      <c r="B7" s="599" t="s">
        <v>3</v>
      </c>
      <c r="C7" s="239"/>
      <c r="D7" s="431" t="s">
        <v>54</v>
      </c>
      <c r="E7" s="28">
        <v>7</v>
      </c>
      <c r="F7" s="112" t="s">
        <v>6</v>
      </c>
      <c r="G7" s="1421"/>
      <c r="H7" s="1422"/>
      <c r="I7" s="1423"/>
      <c r="J7" s="88" t="s">
        <v>3</v>
      </c>
      <c r="K7" s="179"/>
      <c r="L7" s="180"/>
      <c r="M7" s="55" t="s">
        <v>3</v>
      </c>
      <c r="N7" s="426"/>
      <c r="O7" s="67"/>
      <c r="P7" s="55" t="s">
        <v>3</v>
      </c>
      <c r="Q7" s="426"/>
      <c r="R7" s="67"/>
      <c r="S7" s="124"/>
      <c r="T7" s="117"/>
      <c r="U7" s="141"/>
    </row>
    <row r="8" spans="1:21">
      <c r="A8" s="615"/>
      <c r="B8" s="600" t="s">
        <v>44</v>
      </c>
      <c r="C8" s="6"/>
      <c r="D8" s="6"/>
      <c r="E8" s="6"/>
      <c r="F8" s="11"/>
      <c r="G8" s="6"/>
      <c r="H8" s="6"/>
      <c r="I8" s="47" t="s">
        <v>55</v>
      </c>
      <c r="J8" s="259" t="s">
        <v>55</v>
      </c>
      <c r="K8" s="1428" t="s">
        <v>57</v>
      </c>
      <c r="L8" s="1420"/>
      <c r="M8" s="57" t="s">
        <v>55</v>
      </c>
      <c r="N8" s="1429" t="s">
        <v>57</v>
      </c>
      <c r="O8" s="1430"/>
      <c r="P8" s="277" t="s">
        <v>55</v>
      </c>
      <c r="Q8" s="1419" t="s">
        <v>57</v>
      </c>
      <c r="R8" s="1420"/>
      <c r="S8" s="125"/>
      <c r="T8" s="145"/>
      <c r="U8" s="143"/>
    </row>
    <row r="9" spans="1:21">
      <c r="A9" s="615"/>
      <c r="B9" s="601" t="s">
        <v>53</v>
      </c>
      <c r="C9" s="23" t="s">
        <v>45</v>
      </c>
      <c r="D9" s="24" t="s">
        <v>46</v>
      </c>
      <c r="E9" s="23" t="s">
        <v>47</v>
      </c>
      <c r="F9" s="23" t="s">
        <v>48</v>
      </c>
      <c r="G9" s="23" t="s">
        <v>49</v>
      </c>
      <c r="H9" s="23" t="s">
        <v>50</v>
      </c>
      <c r="I9" s="47" t="s">
        <v>13</v>
      </c>
      <c r="J9" s="260" t="s">
        <v>56</v>
      </c>
      <c r="K9" s="261" t="s">
        <v>13</v>
      </c>
      <c r="L9" s="262" t="s">
        <v>68</v>
      </c>
      <c r="M9" s="77" t="s">
        <v>56</v>
      </c>
      <c r="N9" s="24" t="s">
        <v>13</v>
      </c>
      <c r="O9" s="38" t="s">
        <v>68</v>
      </c>
      <c r="P9" s="261" t="s">
        <v>56</v>
      </c>
      <c r="Q9" s="261" t="s">
        <v>13</v>
      </c>
      <c r="R9" s="262" t="s">
        <v>68</v>
      </c>
      <c r="S9" s="123"/>
      <c r="T9" s="146"/>
      <c r="U9" s="144"/>
    </row>
    <row r="10" spans="1:21">
      <c r="A10" s="615"/>
      <c r="B10" s="602" t="s">
        <v>51</v>
      </c>
      <c r="C10" s="21">
        <v>0</v>
      </c>
      <c r="D10" s="21">
        <v>0</v>
      </c>
      <c r="E10" s="21">
        <v>0</v>
      </c>
      <c r="F10" s="21">
        <v>10</v>
      </c>
      <c r="G10" s="21">
        <v>10</v>
      </c>
      <c r="H10" s="21">
        <v>10</v>
      </c>
      <c r="I10" s="48">
        <f>SUM(C10:H10)</f>
        <v>30</v>
      </c>
      <c r="J10" s="263" t="s">
        <v>12</v>
      </c>
      <c r="K10" s="264">
        <f>I10*$J$5</f>
        <v>2610</v>
      </c>
      <c r="L10" s="265">
        <f>K10/$E$7</f>
        <v>372.85714285714283</v>
      </c>
      <c r="M10" s="58" t="s">
        <v>12</v>
      </c>
      <c r="N10" s="432">
        <f>I10*$M$5</f>
        <v>2610</v>
      </c>
      <c r="O10" s="68">
        <f>N10/$E$7</f>
        <v>372.85714285714283</v>
      </c>
      <c r="P10" s="263" t="s">
        <v>12</v>
      </c>
      <c r="Q10" s="433">
        <f>$I10*$P$5</f>
        <v>2610</v>
      </c>
      <c r="R10" s="289">
        <f>Q10/$E$7</f>
        <v>372.85714285714283</v>
      </c>
      <c r="S10" s="121">
        <f>AVERAGE(L10,O10,R10)</f>
        <v>372.85714285714283</v>
      </c>
      <c r="T10" s="119" t="s">
        <v>12</v>
      </c>
      <c r="U10" s="119" t="s">
        <v>12</v>
      </c>
    </row>
    <row r="11" spans="1:21" s="1" customFormat="1">
      <c r="A11" s="616"/>
      <c r="B11" s="603" t="s">
        <v>52</v>
      </c>
      <c r="C11" s="381">
        <f>ROUND(C10*Labor!$D$3,0)</f>
        <v>0</v>
      </c>
      <c r="D11" s="23">
        <f>ROUND(D10*Labor!$D$4,0)</f>
        <v>0</v>
      </c>
      <c r="E11" s="23">
        <f>ROUND(E10*Labor!$D$5,0)</f>
        <v>0</v>
      </c>
      <c r="F11" s="23">
        <f>ROUND(F10*Labor!$D$6,0)</f>
        <v>493</v>
      </c>
      <c r="G11" s="23">
        <f>ROUND(G10*Labor!$D$7,0)</f>
        <v>555</v>
      </c>
      <c r="H11" s="23">
        <f>ROUND(H10*Labor!$D$8,0)</f>
        <v>586</v>
      </c>
      <c r="I11" s="382">
        <f>SUM(C11:H11)</f>
        <v>1634</v>
      </c>
      <c r="J11" s="383">
        <f>HLOOKUP(Labor!$B$11,InflationTable,2)*$I11</f>
        <v>1957.5319999999999</v>
      </c>
      <c r="K11" s="384">
        <f>J11*$J$5</f>
        <v>170305.28399999999</v>
      </c>
      <c r="L11" s="385">
        <f>K11/$E$7</f>
        <v>24329.326285714284</v>
      </c>
      <c r="M11" s="386">
        <f>HLOOKUP(Labor!$B$11,InflationTable,3)*$I11</f>
        <v>1998.3820000000001</v>
      </c>
      <c r="N11" s="387">
        <f>M11*$M$5</f>
        <v>173859.234</v>
      </c>
      <c r="O11" s="388">
        <f>N11/$E$7</f>
        <v>24837.033428571427</v>
      </c>
      <c r="P11" s="383">
        <f>HLOOKUP(Labor!$B$11,InflationTable,4)*$I11</f>
        <v>2037.5980000000002</v>
      </c>
      <c r="Q11" s="384">
        <f>P11*$P$5</f>
        <v>177271.02600000001</v>
      </c>
      <c r="R11" s="385">
        <f>Q11/$E$7</f>
        <v>25324.432285714287</v>
      </c>
      <c r="S11" s="379">
        <f>AVERAGE(L11,O11,R11)</f>
        <v>24830.263999999999</v>
      </c>
      <c r="T11" s="380" t="s">
        <v>12</v>
      </c>
      <c r="U11" s="380" t="s">
        <v>12</v>
      </c>
    </row>
    <row r="12" spans="1:21">
      <c r="A12" s="615"/>
      <c r="B12" s="112" t="s">
        <v>7</v>
      </c>
      <c r="C12" s="5"/>
      <c r="D12" s="5"/>
      <c r="E12" s="5"/>
      <c r="F12" s="7"/>
      <c r="G12" s="5"/>
      <c r="H12" s="8"/>
      <c r="I12" s="37"/>
      <c r="J12" s="266"/>
      <c r="K12" s="266"/>
      <c r="L12" s="267"/>
      <c r="M12" s="426"/>
      <c r="N12" s="426"/>
      <c r="O12" s="65"/>
      <c r="P12" s="404"/>
      <c r="Q12" s="404"/>
      <c r="R12" s="290"/>
      <c r="S12" s="122"/>
      <c r="T12" s="37"/>
      <c r="U12" s="37"/>
    </row>
    <row r="13" spans="1:21">
      <c r="A13" s="615"/>
      <c r="B13" s="602" t="s">
        <v>51</v>
      </c>
      <c r="C13" s="21">
        <v>0</v>
      </c>
      <c r="D13" s="21">
        <v>0</v>
      </c>
      <c r="E13" s="21">
        <v>0</v>
      </c>
      <c r="F13" s="21">
        <v>4</v>
      </c>
      <c r="G13" s="21">
        <v>4</v>
      </c>
      <c r="H13" s="21">
        <v>0</v>
      </c>
      <c r="I13" s="48">
        <f>SUM(C13:H13)</f>
        <v>8</v>
      </c>
      <c r="J13" s="263" t="s">
        <v>12</v>
      </c>
      <c r="K13" s="264">
        <f>I13*$J$5</f>
        <v>696</v>
      </c>
      <c r="L13" s="265">
        <f>K13/$E$7</f>
        <v>99.428571428571431</v>
      </c>
      <c r="M13" s="58" t="s">
        <v>12</v>
      </c>
      <c r="N13" s="60">
        <f>I13*$M$5</f>
        <v>696</v>
      </c>
      <c r="O13" s="59">
        <f>N13/$E$7</f>
        <v>99.428571428571431</v>
      </c>
      <c r="P13" s="263" t="s">
        <v>12</v>
      </c>
      <c r="Q13" s="291">
        <f>$I13*$P$5</f>
        <v>696</v>
      </c>
      <c r="R13" s="282">
        <f>Q13/$E$7</f>
        <v>99.428571428571431</v>
      </c>
      <c r="S13" s="121">
        <f>AVERAGE(L13,O13,R13)</f>
        <v>99.428571428571431</v>
      </c>
      <c r="T13" s="119" t="s">
        <v>12</v>
      </c>
      <c r="U13" s="119" t="s">
        <v>12</v>
      </c>
    </row>
    <row r="14" spans="1:21" s="1" customFormat="1" ht="13.5" thickBot="1">
      <c r="A14" s="616"/>
      <c r="B14" s="604" t="s">
        <v>52</v>
      </c>
      <c r="C14" s="373">
        <f>ROUND(C13*Labor!$D$3,0)</f>
        <v>0</v>
      </c>
      <c r="D14" s="374">
        <f>ROUND(D13*Labor!$D$4,0)</f>
        <v>0</v>
      </c>
      <c r="E14" s="374">
        <f>ROUND(E13*Labor!$D$5,0)</f>
        <v>0</v>
      </c>
      <c r="F14" s="374">
        <f>ROUND(F13*Labor!$D$6,0)</f>
        <v>197</v>
      </c>
      <c r="G14" s="374">
        <f>ROUND(G13*Labor!$D$7,0)</f>
        <v>222</v>
      </c>
      <c r="H14" s="374">
        <f>ROUND(H13*Labor!$D$8,0)</f>
        <v>0</v>
      </c>
      <c r="I14" s="375">
        <f>SUM(C14:H14)</f>
        <v>419</v>
      </c>
      <c r="J14" s="332">
        <f>HLOOKUP(Labor!$B$11,InflationTable,2)*I14</f>
        <v>501.96199999999999</v>
      </c>
      <c r="K14" s="296">
        <f>J14*$J$5</f>
        <v>43670.693999999996</v>
      </c>
      <c r="L14" s="297">
        <f>K14/$E$7</f>
        <v>6238.6705714285708</v>
      </c>
      <c r="M14" s="376">
        <f>HLOOKUP(Labor!$B$11,InflationTable,3)*I14</f>
        <v>512.43700000000001</v>
      </c>
      <c r="N14" s="377">
        <f>M14*$M$5</f>
        <v>44582.019</v>
      </c>
      <c r="O14" s="378">
        <f>N14/$E$7</f>
        <v>6368.8598571428574</v>
      </c>
      <c r="P14" s="339">
        <f>HLOOKUP(Labor!$B$11,InflationTable,4)*I14</f>
        <v>522.49300000000005</v>
      </c>
      <c r="Q14" s="296">
        <f>P14*$P$5</f>
        <v>45456.891000000003</v>
      </c>
      <c r="R14" s="297">
        <f>Q14/$E$7</f>
        <v>6493.841571428572</v>
      </c>
      <c r="S14" s="379">
        <f>AVERAGE(L14,O14,R14)</f>
        <v>6367.1239999999998</v>
      </c>
      <c r="T14" s="380" t="s">
        <v>12</v>
      </c>
      <c r="U14" s="380" t="s">
        <v>12</v>
      </c>
    </row>
    <row r="15" spans="1:21">
      <c r="A15" s="615"/>
      <c r="B15" s="605" t="s">
        <v>66</v>
      </c>
      <c r="C15" s="33">
        <f t="shared" ref="C15:I16" si="0">C10+C13</f>
        <v>0</v>
      </c>
      <c r="D15" s="33">
        <f t="shared" si="0"/>
        <v>0</v>
      </c>
      <c r="E15" s="33">
        <f t="shared" si="0"/>
        <v>0</v>
      </c>
      <c r="F15" s="33">
        <f t="shared" si="0"/>
        <v>14</v>
      </c>
      <c r="G15" s="33">
        <f t="shared" si="0"/>
        <v>14</v>
      </c>
      <c r="H15" s="33">
        <f t="shared" si="0"/>
        <v>10</v>
      </c>
      <c r="I15" s="49">
        <f t="shared" si="0"/>
        <v>38</v>
      </c>
      <c r="J15" s="271" t="s">
        <v>12</v>
      </c>
      <c r="K15" s="272">
        <f>K10+K13</f>
        <v>3306</v>
      </c>
      <c r="L15" s="273">
        <f>L10+L13</f>
        <v>472.28571428571428</v>
      </c>
      <c r="M15" s="61" t="s">
        <v>12</v>
      </c>
      <c r="N15" s="426">
        <f>I15*$M$5</f>
        <v>3306</v>
      </c>
      <c r="O15" s="62">
        <f>N15/$E$7</f>
        <v>472.28571428571428</v>
      </c>
      <c r="P15" s="293" t="s">
        <v>12</v>
      </c>
      <c r="Q15" s="433">
        <f>$I15*$P$5</f>
        <v>3306</v>
      </c>
      <c r="R15" s="294">
        <f>Q15/$E$7</f>
        <v>472.28571428571428</v>
      </c>
      <c r="S15" s="121">
        <f>AVERAGE(L15,O15,R15)</f>
        <v>472.28571428571428</v>
      </c>
      <c r="T15" s="119" t="s">
        <v>12</v>
      </c>
      <c r="U15" s="119" t="s">
        <v>12</v>
      </c>
    </row>
    <row r="16" spans="1:21" ht="13.5" thickBot="1">
      <c r="A16" s="615"/>
      <c r="B16" s="606" t="s">
        <v>67</v>
      </c>
      <c r="C16" s="240">
        <f t="shared" si="0"/>
        <v>0</v>
      </c>
      <c r="D16" s="240">
        <f t="shared" si="0"/>
        <v>0</v>
      </c>
      <c r="E16" s="240">
        <f t="shared" si="0"/>
        <v>0</v>
      </c>
      <c r="F16" s="240">
        <f t="shared" si="0"/>
        <v>690</v>
      </c>
      <c r="G16" s="240">
        <f t="shared" si="0"/>
        <v>777</v>
      </c>
      <c r="H16" s="240">
        <f t="shared" si="0"/>
        <v>586</v>
      </c>
      <c r="I16" s="241">
        <f t="shared" si="0"/>
        <v>2053</v>
      </c>
      <c r="J16" s="274">
        <f>J11+J14</f>
        <v>2459.4939999999997</v>
      </c>
      <c r="K16" s="275">
        <f>K11+K14</f>
        <v>213975.97799999997</v>
      </c>
      <c r="L16" s="276">
        <f>L11+L14</f>
        <v>30567.996857142854</v>
      </c>
      <c r="M16" s="242">
        <f>M11+M14</f>
        <v>2510.819</v>
      </c>
      <c r="N16" s="240">
        <f>N11+N14</f>
        <v>218441.253</v>
      </c>
      <c r="O16" s="243">
        <f>O11+O14</f>
        <v>31205.893285714286</v>
      </c>
      <c r="P16" s="295">
        <f>P11+P14</f>
        <v>2560.0910000000003</v>
      </c>
      <c r="Q16" s="1404">
        <f>Q11+Q14</f>
        <v>222727.91700000002</v>
      </c>
      <c r="R16" s="297">
        <f>Q16/$E$7</f>
        <v>31818.27385714286</v>
      </c>
      <c r="S16" s="211">
        <f>AVERAGE(L16,O16,R16)</f>
        <v>31197.388000000003</v>
      </c>
      <c r="T16" s="218" t="s">
        <v>12</v>
      </c>
      <c r="U16" s="218" t="s">
        <v>12</v>
      </c>
    </row>
    <row r="17" spans="1:21" ht="14.25" thickTop="1" thickBot="1">
      <c r="A17" s="615"/>
      <c r="B17" s="617"/>
      <c r="C17" s="618"/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410"/>
      <c r="O17" s="410"/>
      <c r="P17" s="410"/>
      <c r="Q17" s="410"/>
      <c r="R17" s="410"/>
      <c r="S17" s="410"/>
      <c r="T17" s="410"/>
      <c r="U17" s="236"/>
    </row>
    <row r="18" spans="1:21" ht="16.5" thickTop="1">
      <c r="A18" s="615"/>
      <c r="B18" s="181" t="s">
        <v>16</v>
      </c>
      <c r="C18" s="72"/>
      <c r="D18" s="431" t="s">
        <v>54</v>
      </c>
      <c r="E18" s="70">
        <v>7</v>
      </c>
      <c r="F18" s="112" t="s">
        <v>6</v>
      </c>
      <c r="G18" s="1412"/>
      <c r="H18" s="1413"/>
      <c r="I18" s="1414"/>
      <c r="J18" s="181" t="s">
        <v>16</v>
      </c>
      <c r="K18" s="426"/>
      <c r="L18" s="180"/>
      <c r="M18" s="181" t="s">
        <v>16</v>
      </c>
      <c r="N18" s="426"/>
      <c r="O18" s="67"/>
      <c r="P18" s="181" t="s">
        <v>16</v>
      </c>
      <c r="Q18" s="426"/>
      <c r="R18" s="180"/>
      <c r="S18" s="225"/>
      <c r="T18" s="37"/>
      <c r="U18" s="138"/>
    </row>
    <row r="19" spans="1:21">
      <c r="A19" s="615"/>
      <c r="B19" s="5"/>
      <c r="C19" s="107" t="s">
        <v>60</v>
      </c>
      <c r="D19" s="23" t="s">
        <v>62</v>
      </c>
      <c r="E19" s="5"/>
      <c r="F19" s="5"/>
      <c r="G19" s="5"/>
      <c r="H19" s="6"/>
      <c r="I19" s="43"/>
      <c r="J19" s="277" t="s">
        <v>61</v>
      </c>
      <c r="K19" s="1419" t="s">
        <v>57</v>
      </c>
      <c r="L19" s="1420"/>
      <c r="M19" s="93" t="s">
        <v>61</v>
      </c>
      <c r="N19" s="1429" t="s">
        <v>57</v>
      </c>
      <c r="O19" s="1430"/>
      <c r="P19" s="262" t="s">
        <v>61</v>
      </c>
      <c r="Q19" s="1419" t="s">
        <v>57</v>
      </c>
      <c r="R19" s="1420"/>
      <c r="S19" s="131"/>
      <c r="T19" s="37"/>
      <c r="U19" s="138"/>
    </row>
    <row r="20" spans="1:21">
      <c r="A20" s="615"/>
      <c r="B20" s="607" t="s">
        <v>58</v>
      </c>
      <c r="C20" s="23"/>
      <c r="D20" s="23"/>
      <c r="E20" s="9"/>
      <c r="F20" s="72"/>
      <c r="G20" s="72"/>
      <c r="H20" s="72"/>
      <c r="I20" s="73"/>
      <c r="J20" s="260" t="s">
        <v>56</v>
      </c>
      <c r="K20" s="261" t="s">
        <v>13</v>
      </c>
      <c r="L20" s="262" t="s">
        <v>68</v>
      </c>
      <c r="M20" s="77" t="s">
        <v>56</v>
      </c>
      <c r="N20" s="24" t="s">
        <v>13</v>
      </c>
      <c r="O20" s="38" t="s">
        <v>68</v>
      </c>
      <c r="P20" s="260" t="s">
        <v>56</v>
      </c>
      <c r="Q20" s="261" t="s">
        <v>13</v>
      </c>
      <c r="R20" s="262" t="s">
        <v>68</v>
      </c>
      <c r="S20" s="123"/>
      <c r="T20" s="37"/>
      <c r="U20" s="138"/>
    </row>
    <row r="21" spans="1:21">
      <c r="A21" s="615"/>
      <c r="B21" s="608" t="s">
        <v>14</v>
      </c>
      <c r="C21" s="163">
        <f>VLOOKUP(C$2,Monitor_Costs,2,FALSE)</f>
        <v>11700</v>
      </c>
      <c r="D21" s="22">
        <f>VLOOKUP(C$2,Monitor_Costs,3,FALSE)</f>
        <v>2013</v>
      </c>
      <c r="E21" s="74"/>
      <c r="F21" s="75"/>
      <c r="G21" s="76"/>
      <c r="H21" s="76"/>
      <c r="I21" s="37"/>
      <c r="J21" s="279">
        <f>HLOOKUP(D21,InflationTable,2)*$C$21</f>
        <v>14016.6</v>
      </c>
      <c r="K21" s="279">
        <f>J21*$L$4</f>
        <v>5158108.8</v>
      </c>
      <c r="L21" s="280">
        <f>K21/$E$18</f>
        <v>736872.6857142857</v>
      </c>
      <c r="M21" s="78">
        <f>HLOOKUP($D$21,InflationTable,3)*$C$21</f>
        <v>14309.1</v>
      </c>
      <c r="N21" s="27">
        <f>M21*$O$4</f>
        <v>6009822</v>
      </c>
      <c r="O21" s="182">
        <f>N21/$E$18</f>
        <v>858546</v>
      </c>
      <c r="P21" s="298">
        <f>HLOOKUP($D$21,InflationTable,4)*$C$21</f>
        <v>14589.900000000001</v>
      </c>
      <c r="Q21" s="279">
        <f>P21*$R$4</f>
        <v>6127758.0000000009</v>
      </c>
      <c r="R21" s="280">
        <f>Q21/$E$18</f>
        <v>875394.00000000012</v>
      </c>
      <c r="S21" s="127" t="s">
        <v>12</v>
      </c>
      <c r="T21" s="119" t="s">
        <v>12</v>
      </c>
      <c r="U21" s="139">
        <f>AVERAGE(L21,O21,R21)</f>
        <v>823604.22857142857</v>
      </c>
    </row>
    <row r="22" spans="1:21" ht="13.5" thickBot="1">
      <c r="A22" s="615"/>
      <c r="B22" s="609" t="s">
        <v>15</v>
      </c>
      <c r="C22" s="4"/>
      <c r="D22" s="4"/>
      <c r="E22" s="4"/>
      <c r="F22" s="12"/>
      <c r="G22" s="4"/>
      <c r="H22" s="4"/>
      <c r="I22" s="368"/>
      <c r="J22" s="369"/>
      <c r="K22" s="355">
        <f>J21*$L$5</f>
        <v>257905.44000000003</v>
      </c>
      <c r="L22" s="308">
        <f>K22/$E$18</f>
        <v>36843.634285714288</v>
      </c>
      <c r="M22" s="4"/>
      <c r="N22" s="104">
        <f>M21*$O$5</f>
        <v>300491.10000000003</v>
      </c>
      <c r="O22" s="370">
        <f>N22/$E$18</f>
        <v>42927.3</v>
      </c>
      <c r="P22" s="371"/>
      <c r="Q22" s="355">
        <f>P21*$R$5</f>
        <v>306387.90000000002</v>
      </c>
      <c r="R22" s="308">
        <f>Q22/$E$18</f>
        <v>43769.700000000004</v>
      </c>
      <c r="S22" s="359" t="s">
        <v>12</v>
      </c>
      <c r="T22" s="149" t="s">
        <v>12</v>
      </c>
      <c r="U22" s="372">
        <f>AVERAGE(L22,O22,R22)</f>
        <v>41180.211428571434</v>
      </c>
    </row>
    <row r="23" spans="1:21">
      <c r="A23" s="615"/>
      <c r="B23" s="610" t="s">
        <v>17</v>
      </c>
      <c r="C23" s="107" t="s">
        <v>45</v>
      </c>
      <c r="D23" s="108" t="s">
        <v>46</v>
      </c>
      <c r="E23" s="107" t="s">
        <v>47</v>
      </c>
      <c r="F23" s="107" t="s">
        <v>48</v>
      </c>
      <c r="G23" s="107" t="s">
        <v>49</v>
      </c>
      <c r="H23" s="107" t="s">
        <v>50</v>
      </c>
      <c r="I23" s="350" t="s">
        <v>74</v>
      </c>
      <c r="J23" s="351"/>
      <c r="K23" s="352"/>
      <c r="L23" s="356"/>
      <c r="M23" s="110"/>
      <c r="N23" s="108"/>
      <c r="O23" s="111"/>
      <c r="P23" s="352"/>
      <c r="Q23" s="352"/>
      <c r="R23" s="356"/>
      <c r="S23" s="125"/>
      <c r="T23" s="37"/>
      <c r="U23" s="138"/>
    </row>
    <row r="24" spans="1:21">
      <c r="A24" s="615"/>
      <c r="B24" s="611" t="s">
        <v>119</v>
      </c>
      <c r="C24" s="31">
        <v>0</v>
      </c>
      <c r="D24" s="21">
        <v>0</v>
      </c>
      <c r="E24" s="21">
        <v>0</v>
      </c>
      <c r="F24" s="21">
        <v>4</v>
      </c>
      <c r="G24" s="21">
        <v>0</v>
      </c>
      <c r="H24" s="21">
        <v>0</v>
      </c>
      <c r="I24" s="48">
        <f>SUM(C24:H24)</f>
        <v>4</v>
      </c>
      <c r="J24" s="263" t="s">
        <v>12</v>
      </c>
      <c r="K24" s="281">
        <f>I24*($L$4+$L$5)</f>
        <v>1545.6</v>
      </c>
      <c r="L24" s="282">
        <f>K24/$E$18</f>
        <v>220.79999999999998</v>
      </c>
      <c r="M24" s="58" t="s">
        <v>12</v>
      </c>
      <c r="N24" s="69">
        <f>$I$24*($O$4+$O$5)</f>
        <v>1764</v>
      </c>
      <c r="O24" s="59">
        <f>N24/$E$18</f>
        <v>252</v>
      </c>
      <c r="P24" s="263" t="s">
        <v>12</v>
      </c>
      <c r="Q24" s="281">
        <f>$I$24*($R$4+$R$5)</f>
        <v>1764</v>
      </c>
      <c r="R24" s="282">
        <f>Q24/$E$18</f>
        <v>252</v>
      </c>
      <c r="S24" s="151">
        <f>AVERAGE(L24,O24,R24)</f>
        <v>241.6</v>
      </c>
      <c r="T24" s="119" t="s">
        <v>12</v>
      </c>
      <c r="U24" s="140" t="s">
        <v>12</v>
      </c>
    </row>
    <row r="25" spans="1:21" s="1" customFormat="1" ht="13.5" thickBot="1">
      <c r="A25" s="616"/>
      <c r="B25" s="604" t="s">
        <v>8</v>
      </c>
      <c r="C25" s="389">
        <f>ROUND(C24*Labor!$D$3,0)</f>
        <v>0</v>
      </c>
      <c r="D25" s="374">
        <f>ROUND(D24*Labor!$D$4,0)</f>
        <v>0</v>
      </c>
      <c r="E25" s="374">
        <f>ROUND(E24*Labor!$D$5,0)</f>
        <v>0</v>
      </c>
      <c r="F25" s="374">
        <f>ROUND(F24*Labor!$D$6,0)</f>
        <v>197</v>
      </c>
      <c r="G25" s="374">
        <f>ROUND(G24*Labor!$D$7,0)</f>
        <v>0</v>
      </c>
      <c r="H25" s="374">
        <f>ROUND(H24*Labor!$D$8,0)</f>
        <v>0</v>
      </c>
      <c r="I25" s="375">
        <f>SUM(C25:H25)</f>
        <v>197</v>
      </c>
      <c r="J25" s="332">
        <f>HLOOKUP(Labor!$B$11,InflationTable,2)*I25</f>
        <v>236.006</v>
      </c>
      <c r="K25" s="296">
        <f>J25*($L$4+$L$5)</f>
        <v>91192.718399999998</v>
      </c>
      <c r="L25" s="297">
        <f>K25/$E$18</f>
        <v>13027.531199999999</v>
      </c>
      <c r="M25" s="376">
        <f>HLOOKUP(Labor!$B$11,InflationTable,3)*$I25</f>
        <v>240.93100000000001</v>
      </c>
      <c r="N25" s="377">
        <f>M25*($O$4+$O$5)</f>
        <v>106250.57100000001</v>
      </c>
      <c r="O25" s="378">
        <f>N25/$E$18</f>
        <v>15178.653000000002</v>
      </c>
      <c r="P25" s="332">
        <f>HLOOKUP(Labor!$B$11,InflationTable,4)*$I25</f>
        <v>245.65900000000002</v>
      </c>
      <c r="Q25" s="296">
        <f>P25*($R$4+$R$5)</f>
        <v>108335.61900000001</v>
      </c>
      <c r="R25" s="390">
        <f>Q25/$E$18</f>
        <v>15476.517000000002</v>
      </c>
      <c r="S25" s="391">
        <f>AVERAGE(L25,O25,R25)</f>
        <v>14560.9004</v>
      </c>
      <c r="T25" s="218" t="s">
        <v>12</v>
      </c>
      <c r="U25" s="392" t="s">
        <v>12</v>
      </c>
    </row>
    <row r="26" spans="1:21">
      <c r="A26" s="615"/>
      <c r="B26" s="112" t="s">
        <v>118</v>
      </c>
      <c r="C26" s="346">
        <v>0</v>
      </c>
      <c r="D26" s="365">
        <v>8</v>
      </c>
      <c r="E26" s="365">
        <v>8</v>
      </c>
      <c r="F26" s="365">
        <v>0</v>
      </c>
      <c r="G26" s="365">
        <v>0</v>
      </c>
      <c r="H26" s="365">
        <v>0</v>
      </c>
      <c r="I26" s="366">
        <f>SUM(C26:H26)</f>
        <v>16</v>
      </c>
      <c r="J26" s="293" t="s">
        <v>12</v>
      </c>
      <c r="K26" s="334">
        <f>I26*$L$4</f>
        <v>5888</v>
      </c>
      <c r="L26" s="294">
        <f>K26/$E$18</f>
        <v>841.14285714285711</v>
      </c>
      <c r="M26" s="61" t="s">
        <v>12</v>
      </c>
      <c r="N26" s="348">
        <f>I26*$O$4</f>
        <v>6720</v>
      </c>
      <c r="O26" s="62">
        <f>N26/$E$18</f>
        <v>960</v>
      </c>
      <c r="P26" s="293" t="s">
        <v>12</v>
      </c>
      <c r="Q26" s="327">
        <f>$I26*$R$4</f>
        <v>6720</v>
      </c>
      <c r="R26" s="367">
        <f>Q26/$E$18</f>
        <v>960</v>
      </c>
      <c r="S26" s="129">
        <f>AVERAGE(L26,O26,R26)</f>
        <v>920.38095238095229</v>
      </c>
      <c r="T26" s="136" t="s">
        <v>12</v>
      </c>
      <c r="U26" s="147" t="s">
        <v>12</v>
      </c>
    </row>
    <row r="27" spans="1:21" s="1" customFormat="1" ht="13.5" thickBot="1">
      <c r="A27" s="616"/>
      <c r="B27" s="612" t="s">
        <v>8</v>
      </c>
      <c r="C27" s="373">
        <f>ROUND(C26*Labor!$D$3,0)</f>
        <v>0</v>
      </c>
      <c r="D27" s="374">
        <f>ROUND(D26*Labor!$D$4,0)</f>
        <v>327</v>
      </c>
      <c r="E27" s="374">
        <f>ROUND(E26*Labor!$D$5,0)</f>
        <v>353</v>
      </c>
      <c r="F27" s="374">
        <f>ROUND(F26*Labor!$D$6,0)</f>
        <v>0</v>
      </c>
      <c r="G27" s="374">
        <f>ROUND(G26*Labor!$D$7,0)</f>
        <v>0</v>
      </c>
      <c r="H27" s="374">
        <f>ROUND(H26*Labor!$D$8,0)</f>
        <v>0</v>
      </c>
      <c r="I27" s="375">
        <f>SUM(C27:H27)</f>
        <v>680</v>
      </c>
      <c r="J27" s="332">
        <f>HLOOKUP(Labor!$B$11,InflationTable,2)*I27</f>
        <v>814.64</v>
      </c>
      <c r="K27" s="296">
        <f>J27*$L$4</f>
        <v>299787.52000000002</v>
      </c>
      <c r="L27" s="297">
        <f>K27/$E$18</f>
        <v>42826.788571428573</v>
      </c>
      <c r="M27" s="376">
        <f>HLOOKUP(Labor!$B$11,InflationTable,3)*$I27</f>
        <v>831.6400000000001</v>
      </c>
      <c r="N27" s="377">
        <f>M27*$O$4</f>
        <v>349288.80000000005</v>
      </c>
      <c r="O27" s="378">
        <f>N27/$E$18</f>
        <v>49898.400000000009</v>
      </c>
      <c r="P27" s="339">
        <f>HLOOKUP(Labor!$B$11,InflationTable,4)*$I27</f>
        <v>847.96</v>
      </c>
      <c r="Q27" s="296">
        <f>P27*$R$4</f>
        <v>356143.2</v>
      </c>
      <c r="R27" s="297">
        <f>Q27/$E$18</f>
        <v>50877.599999999999</v>
      </c>
      <c r="S27" s="211">
        <f>AVERAGE(L27,O27,R27)</f>
        <v>47867.596190476201</v>
      </c>
      <c r="T27" s="393" t="s">
        <v>12</v>
      </c>
      <c r="U27" s="392" t="s">
        <v>12</v>
      </c>
    </row>
    <row r="28" spans="1:21">
      <c r="A28" s="615"/>
      <c r="B28" s="605" t="s">
        <v>66</v>
      </c>
      <c r="C28" s="33">
        <f t="shared" ref="C28:I28" si="1">C24+C26</f>
        <v>0</v>
      </c>
      <c r="D28" s="33">
        <f t="shared" si="1"/>
        <v>8</v>
      </c>
      <c r="E28" s="33">
        <f t="shared" si="1"/>
        <v>8</v>
      </c>
      <c r="F28" s="33">
        <f t="shared" si="1"/>
        <v>4</v>
      </c>
      <c r="G28" s="33">
        <f t="shared" si="1"/>
        <v>0</v>
      </c>
      <c r="H28" s="33">
        <f t="shared" si="1"/>
        <v>0</v>
      </c>
      <c r="I28" s="49">
        <f t="shared" si="1"/>
        <v>20</v>
      </c>
      <c r="J28" s="284" t="s">
        <v>12</v>
      </c>
      <c r="K28" s="285">
        <f>K24+K26</f>
        <v>7433.6</v>
      </c>
      <c r="L28" s="286">
        <f>L24+L26</f>
        <v>1061.9428571428571</v>
      </c>
      <c r="M28" s="44" t="s">
        <v>12</v>
      </c>
      <c r="N28" s="33">
        <f>N24+N26</f>
        <v>8484</v>
      </c>
      <c r="O28" s="40">
        <f>O24+O26</f>
        <v>1212</v>
      </c>
      <c r="P28" s="284" t="s">
        <v>12</v>
      </c>
      <c r="Q28" s="285">
        <f>Q24+Q26</f>
        <v>8484</v>
      </c>
      <c r="R28" s="286">
        <f>R24+R26</f>
        <v>1212</v>
      </c>
      <c r="S28" s="175">
        <f>AVERAGE(L28,O28,R28)</f>
        <v>1161.9809523809524</v>
      </c>
      <c r="T28" s="136" t="s">
        <v>12</v>
      </c>
      <c r="U28" s="147" t="s">
        <v>12</v>
      </c>
    </row>
    <row r="29" spans="1:21" ht="13.5" thickBot="1">
      <c r="A29" s="615"/>
      <c r="B29" s="606" t="s">
        <v>67</v>
      </c>
      <c r="C29" s="240">
        <f t="shared" ref="C29:J29" si="2">C27+C25</f>
        <v>0</v>
      </c>
      <c r="D29" s="240">
        <f t="shared" si="2"/>
        <v>327</v>
      </c>
      <c r="E29" s="240">
        <f t="shared" si="2"/>
        <v>353</v>
      </c>
      <c r="F29" s="240">
        <f t="shared" si="2"/>
        <v>197</v>
      </c>
      <c r="G29" s="240">
        <f t="shared" si="2"/>
        <v>0</v>
      </c>
      <c r="H29" s="240">
        <f t="shared" si="2"/>
        <v>0</v>
      </c>
      <c r="I29" s="241">
        <f t="shared" si="2"/>
        <v>877</v>
      </c>
      <c r="J29" s="274">
        <f t="shared" si="2"/>
        <v>1050.646</v>
      </c>
      <c r="K29" s="287"/>
      <c r="L29" s="276">
        <f>L27+L25+L22+L21</f>
        <v>829570.63977142854</v>
      </c>
      <c r="M29" s="242">
        <f>M27+M25</f>
        <v>1072.5710000000001</v>
      </c>
      <c r="N29" s="247"/>
      <c r="O29" s="243">
        <f>O27+O25+O22+O21</f>
        <v>966550.353</v>
      </c>
      <c r="P29" s="274">
        <f>P27+P25</f>
        <v>1093.6190000000001</v>
      </c>
      <c r="Q29" s="287"/>
      <c r="R29" s="276">
        <f>R27+R25+R22+R21</f>
        <v>985517.81700000016</v>
      </c>
      <c r="S29" s="248">
        <f>SUM(S27,S25)</f>
        <v>62428.496590476199</v>
      </c>
      <c r="T29" s="249" t="s">
        <v>12</v>
      </c>
      <c r="U29" s="250">
        <f>SUM(U21:U22)</f>
        <v>864784.44</v>
      </c>
    </row>
    <row r="30" spans="1:21" ht="14.25" thickTop="1" thickBot="1">
      <c r="A30" s="615"/>
      <c r="B30" s="5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20"/>
    </row>
    <row r="31" spans="1:21" ht="16.5" thickTop="1">
      <c r="A31" s="615"/>
      <c r="B31" s="613" t="s">
        <v>22</v>
      </c>
      <c r="C31" s="5"/>
      <c r="D31" s="5"/>
      <c r="E31" s="5"/>
      <c r="F31" s="112" t="s">
        <v>6</v>
      </c>
      <c r="G31" s="1412"/>
      <c r="H31" s="1413"/>
      <c r="I31" s="1414"/>
      <c r="J31" s="244" t="s">
        <v>22</v>
      </c>
      <c r="K31" s="426"/>
      <c r="L31" s="180"/>
      <c r="M31" s="244" t="s">
        <v>22</v>
      </c>
      <c r="N31" s="426"/>
      <c r="O31" s="67"/>
      <c r="P31" s="244" t="s">
        <v>22</v>
      </c>
      <c r="Q31" s="426"/>
      <c r="R31" s="67"/>
      <c r="S31" s="225"/>
      <c r="T31" s="37"/>
      <c r="U31" s="138"/>
    </row>
    <row r="32" spans="1:21">
      <c r="A32" s="615"/>
      <c r="B32" s="5"/>
      <c r="C32" s="5"/>
      <c r="D32" s="5"/>
      <c r="E32" s="5"/>
      <c r="F32" s="112"/>
      <c r="G32" s="1415"/>
      <c r="H32" s="1415"/>
      <c r="I32" s="1416"/>
      <c r="J32" s="277" t="s">
        <v>61</v>
      </c>
      <c r="K32" s="1434" t="s">
        <v>57</v>
      </c>
      <c r="L32" s="1435"/>
      <c r="M32" s="57" t="s">
        <v>61</v>
      </c>
      <c r="N32" s="1429" t="s">
        <v>57</v>
      </c>
      <c r="O32" s="1430"/>
      <c r="P32" s="277" t="s">
        <v>61</v>
      </c>
      <c r="Q32" s="1419" t="s">
        <v>57</v>
      </c>
      <c r="R32" s="1420"/>
      <c r="S32" s="131"/>
      <c r="T32" s="37"/>
      <c r="U32" s="138"/>
    </row>
    <row r="33" spans="1:21">
      <c r="A33" s="615"/>
      <c r="B33" s="611" t="s">
        <v>18</v>
      </c>
      <c r="C33" s="23" t="s">
        <v>60</v>
      </c>
      <c r="D33" s="23" t="s">
        <v>62</v>
      </c>
      <c r="E33" s="9"/>
      <c r="F33" s="72"/>
      <c r="G33" s="72"/>
      <c r="H33" s="72"/>
      <c r="I33" s="37"/>
      <c r="J33" s="261" t="s">
        <v>56</v>
      </c>
      <c r="K33" s="261" t="s">
        <v>13</v>
      </c>
      <c r="L33" s="262" t="s">
        <v>68</v>
      </c>
      <c r="M33" s="77" t="s">
        <v>56</v>
      </c>
      <c r="N33" s="24" t="s">
        <v>13</v>
      </c>
      <c r="O33" s="38" t="s">
        <v>68</v>
      </c>
      <c r="P33" s="260" t="s">
        <v>56</v>
      </c>
      <c r="Q33" s="261" t="s">
        <v>13</v>
      </c>
      <c r="R33" s="262" t="s">
        <v>68</v>
      </c>
      <c r="S33" s="123"/>
      <c r="T33" s="37"/>
      <c r="U33" s="138"/>
    </row>
    <row r="34" spans="1:21" ht="13.5" thickBot="1">
      <c r="A34" s="615"/>
      <c r="B34" s="361"/>
      <c r="C34" s="353">
        <f>VLOOKUP(C$2,Monitor_Costs,4,FALSE)</f>
        <v>800</v>
      </c>
      <c r="D34" s="34">
        <f>VLOOKUP(C$2,Monitor_Costs,5,FALSE)</f>
        <v>2013</v>
      </c>
      <c r="E34" s="4"/>
      <c r="F34" s="12"/>
      <c r="G34" s="4"/>
      <c r="H34" s="361"/>
      <c r="I34" s="363"/>
      <c r="J34" s="355">
        <f>HLOOKUP($D$34,InflationTable,2)*$C$34</f>
        <v>958.4</v>
      </c>
      <c r="K34" s="355">
        <f>J34*$L$4</f>
        <v>352691.20000000001</v>
      </c>
      <c r="L34" s="308">
        <f>K34</f>
        <v>352691.20000000001</v>
      </c>
      <c r="M34" s="171">
        <f>HLOOKUP($D$34,InflationTable,3)*$C$34</f>
        <v>978.40000000000009</v>
      </c>
      <c r="N34" s="357">
        <f>M34*$O$4</f>
        <v>410928.00000000006</v>
      </c>
      <c r="O34" s="95">
        <f>N34</f>
        <v>410928.00000000006</v>
      </c>
      <c r="P34" s="355">
        <f>HLOOKUP($D$34,InflationTable,4)*$C$34</f>
        <v>997.60000000000014</v>
      </c>
      <c r="Q34" s="355">
        <f>P34*$R$4</f>
        <v>418992.00000000006</v>
      </c>
      <c r="R34" s="308">
        <f>Q34</f>
        <v>418992.00000000006</v>
      </c>
      <c r="S34" s="359" t="s">
        <v>12</v>
      </c>
      <c r="T34" s="360">
        <f>AVERAGE(L34,O34,R34)</f>
        <v>394203.7333333334</v>
      </c>
      <c r="U34" s="142" t="s">
        <v>12</v>
      </c>
    </row>
    <row r="35" spans="1:21">
      <c r="A35" s="615"/>
      <c r="B35" s="465" t="s">
        <v>23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2"/>
      <c r="K35" s="352"/>
      <c r="L35" s="356"/>
      <c r="M35" s="110"/>
      <c r="N35" s="108"/>
      <c r="O35" s="111"/>
      <c r="P35" s="352"/>
      <c r="Q35" s="352"/>
      <c r="R35" s="356"/>
      <c r="S35" s="123"/>
      <c r="T35" s="37"/>
      <c r="U35" s="138"/>
    </row>
    <row r="36" spans="1:21">
      <c r="A36" s="615"/>
      <c r="B36" s="614" t="s">
        <v>4</v>
      </c>
      <c r="C36" s="21">
        <v>0</v>
      </c>
      <c r="D36" s="21">
        <v>60</v>
      </c>
      <c r="E36" s="21">
        <v>60</v>
      </c>
      <c r="F36" s="21">
        <v>0</v>
      </c>
      <c r="G36" s="21">
        <v>0</v>
      </c>
      <c r="H36" s="21">
        <v>0</v>
      </c>
      <c r="I36" s="48">
        <f>SUM(C36:H36)</f>
        <v>120</v>
      </c>
      <c r="J36" s="299" t="s">
        <v>12</v>
      </c>
      <c r="K36" s="281">
        <f>I36*$L$4</f>
        <v>44160</v>
      </c>
      <c r="L36" s="289">
        <f>K36</f>
        <v>44160</v>
      </c>
      <c r="M36" s="58" t="s">
        <v>12</v>
      </c>
      <c r="N36" s="69">
        <f>$I$36*$O$4</f>
        <v>50400</v>
      </c>
      <c r="O36" s="68">
        <f>N36</f>
        <v>50400</v>
      </c>
      <c r="P36" s="299" t="s">
        <v>12</v>
      </c>
      <c r="Q36" s="281">
        <f>$I$36*$R$4</f>
        <v>50400</v>
      </c>
      <c r="R36" s="289">
        <f>Q36</f>
        <v>50400</v>
      </c>
      <c r="S36" s="121">
        <f>AVERAGE(L36,O36,R36)</f>
        <v>48320</v>
      </c>
      <c r="T36" s="119" t="s">
        <v>12</v>
      </c>
      <c r="U36" s="140" t="s">
        <v>12</v>
      </c>
    </row>
    <row r="37" spans="1:21" s="1" customFormat="1" ht="13.5" thickBot="1">
      <c r="A37" s="616"/>
      <c r="B37" s="604" t="s">
        <v>8</v>
      </c>
      <c r="C37" s="373">
        <f>ROUND(C36*Labor!$D$3,0)</f>
        <v>0</v>
      </c>
      <c r="D37" s="374">
        <f>ROUND(D36*Labor!$D$4,0)</f>
        <v>2451</v>
      </c>
      <c r="E37" s="374">
        <f>ROUND(E36*Labor!$D$5,0)</f>
        <v>2647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5098</v>
      </c>
      <c r="J37" s="296">
        <f>HLOOKUP(Labor!$B$11,InflationTable,2)*I37</f>
        <v>6107.4039999999995</v>
      </c>
      <c r="K37" s="296">
        <f>J37*$L$4</f>
        <v>2247524.6719999998</v>
      </c>
      <c r="L37" s="390">
        <f>K37</f>
        <v>2247524.6719999998</v>
      </c>
      <c r="M37" s="376">
        <f>HLOOKUP(Labor!$B$11,InflationTable,3)*I37</f>
        <v>6234.8540000000003</v>
      </c>
      <c r="N37" s="377">
        <f>M37*$O$4</f>
        <v>2618638.6800000002</v>
      </c>
      <c r="O37" s="378">
        <f>N37</f>
        <v>2618638.6800000002</v>
      </c>
      <c r="P37" s="296">
        <f>HLOOKUP(Labor!$B$11,InflationTable,4)*$I$37</f>
        <v>6357.2060000000001</v>
      </c>
      <c r="Q37" s="296">
        <f>P37*$R$4</f>
        <v>2670026.52</v>
      </c>
      <c r="R37" s="390">
        <f>Q37</f>
        <v>2670026.52</v>
      </c>
      <c r="S37" s="211">
        <f>AVERAGE(L37,O37,R37)</f>
        <v>2512063.2906666663</v>
      </c>
      <c r="T37" s="393" t="s">
        <v>12</v>
      </c>
      <c r="U37" s="392" t="s">
        <v>12</v>
      </c>
    </row>
    <row r="38" spans="1:21">
      <c r="A38" s="615"/>
      <c r="B38" s="605" t="s">
        <v>66</v>
      </c>
      <c r="C38" s="36">
        <f>C36</f>
        <v>0</v>
      </c>
      <c r="D38" s="36">
        <f t="shared" ref="D38:I38" si="3">D36</f>
        <v>60</v>
      </c>
      <c r="E38" s="36">
        <f t="shared" si="3"/>
        <v>60</v>
      </c>
      <c r="F38" s="36">
        <f t="shared" si="3"/>
        <v>0</v>
      </c>
      <c r="G38" s="36">
        <f t="shared" si="3"/>
        <v>0</v>
      </c>
      <c r="H38" s="36">
        <f t="shared" si="3"/>
        <v>0</v>
      </c>
      <c r="I38" s="51">
        <f t="shared" si="3"/>
        <v>120</v>
      </c>
      <c r="J38" s="307" t="s">
        <v>12</v>
      </c>
      <c r="K38" s="302">
        <f>K36</f>
        <v>44160</v>
      </c>
      <c r="L38" s="303">
        <f>L36</f>
        <v>44160</v>
      </c>
      <c r="M38" s="85" t="s">
        <v>12</v>
      </c>
      <c r="N38" s="82">
        <f>N36</f>
        <v>50400</v>
      </c>
      <c r="O38" s="96">
        <f>O36</f>
        <v>50400</v>
      </c>
      <c r="P38" s="301" t="s">
        <v>12</v>
      </c>
      <c r="Q38" s="302">
        <f>Q36</f>
        <v>50400</v>
      </c>
      <c r="R38" s="303">
        <f>R36</f>
        <v>50400</v>
      </c>
      <c r="S38" s="96">
        <f>S36</f>
        <v>48320</v>
      </c>
      <c r="T38" s="136" t="s">
        <v>12</v>
      </c>
      <c r="U38" s="147" t="s">
        <v>12</v>
      </c>
    </row>
    <row r="39" spans="1:21" ht="13.5" thickBot="1">
      <c r="A39" s="615"/>
      <c r="B39" s="606" t="s">
        <v>67</v>
      </c>
      <c r="C39" s="240">
        <f t="shared" ref="C39:H39" si="4">C38</f>
        <v>0</v>
      </c>
      <c r="D39" s="240">
        <f t="shared" si="4"/>
        <v>60</v>
      </c>
      <c r="E39" s="240">
        <f t="shared" si="4"/>
        <v>60</v>
      </c>
      <c r="F39" s="240">
        <f t="shared" si="4"/>
        <v>0</v>
      </c>
      <c r="G39" s="240">
        <f t="shared" si="4"/>
        <v>0</v>
      </c>
      <c r="H39" s="240">
        <f t="shared" si="4"/>
        <v>0</v>
      </c>
      <c r="I39" s="251">
        <f>I37+C34</f>
        <v>5898</v>
      </c>
      <c r="J39" s="305">
        <f t="shared" ref="J39:R39" si="5">J37+J34</f>
        <v>7065.8039999999992</v>
      </c>
      <c r="K39" s="305">
        <f t="shared" si="5"/>
        <v>2600215.872</v>
      </c>
      <c r="L39" s="306">
        <f t="shared" si="5"/>
        <v>2600215.872</v>
      </c>
      <c r="M39" s="252">
        <f t="shared" si="5"/>
        <v>7213.2540000000008</v>
      </c>
      <c r="N39" s="253">
        <f t="shared" si="5"/>
        <v>3029566.68</v>
      </c>
      <c r="O39" s="254">
        <f t="shared" si="5"/>
        <v>3029566.68</v>
      </c>
      <c r="P39" s="304">
        <f t="shared" si="5"/>
        <v>7354.8060000000005</v>
      </c>
      <c r="Q39" s="305">
        <f t="shared" si="5"/>
        <v>3089018.52</v>
      </c>
      <c r="R39" s="306">
        <f t="shared" si="5"/>
        <v>3089018.52</v>
      </c>
      <c r="S39" s="255">
        <f>AVERAGE(L39,O39,R39)</f>
        <v>2906267.0240000002</v>
      </c>
      <c r="T39" s="251">
        <f>T34</f>
        <v>394203.7333333334</v>
      </c>
      <c r="U39" s="224" t="s">
        <v>12</v>
      </c>
    </row>
    <row r="40" spans="1:21" ht="14.25" thickTop="1" thickBot="1">
      <c r="A40" s="615"/>
      <c r="B40" s="617"/>
      <c r="C40" s="618"/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7"/>
      <c r="O40" s="618"/>
      <c r="P40" s="618"/>
      <c r="Q40" s="618"/>
      <c r="R40" s="618"/>
      <c r="S40" s="618"/>
      <c r="T40" s="618"/>
      <c r="U40" s="620"/>
    </row>
    <row r="41" spans="1:21" ht="16.5" thickTop="1">
      <c r="A41" s="615"/>
      <c r="B41" s="80" t="s">
        <v>24</v>
      </c>
      <c r="C41" s="5"/>
      <c r="D41" s="5"/>
      <c r="E41" s="5"/>
      <c r="F41" s="112" t="s">
        <v>6</v>
      </c>
      <c r="G41" s="1412"/>
      <c r="H41" s="1413"/>
      <c r="I41" s="1414"/>
      <c r="J41" s="181" t="s">
        <v>24</v>
      </c>
      <c r="K41" s="426"/>
      <c r="L41" s="180"/>
      <c r="M41" s="181" t="s">
        <v>24</v>
      </c>
      <c r="N41" s="319"/>
      <c r="O41" s="67"/>
      <c r="P41" s="181" t="s">
        <v>24</v>
      </c>
      <c r="Q41" s="426"/>
      <c r="R41" s="67"/>
      <c r="S41" s="225"/>
      <c r="T41" s="37"/>
      <c r="U41" s="138"/>
    </row>
    <row r="42" spans="1:21">
      <c r="A42" s="615"/>
      <c r="B42" s="5"/>
      <c r="C42" s="5"/>
      <c r="D42" s="5"/>
      <c r="E42" s="5"/>
      <c r="F42" s="112"/>
      <c r="G42" s="1415"/>
      <c r="H42" s="1415"/>
      <c r="I42" s="1416"/>
      <c r="J42" s="277" t="s">
        <v>61</v>
      </c>
      <c r="K42" s="1419" t="s">
        <v>57</v>
      </c>
      <c r="L42" s="1420"/>
      <c r="M42" s="57" t="s">
        <v>61</v>
      </c>
      <c r="N42" s="1429" t="s">
        <v>57</v>
      </c>
      <c r="O42" s="1430"/>
      <c r="P42" s="277" t="s">
        <v>61</v>
      </c>
      <c r="Q42" s="1419" t="s">
        <v>57</v>
      </c>
      <c r="R42" s="1420"/>
      <c r="S42" s="131"/>
      <c r="T42" s="37"/>
      <c r="U42" s="138"/>
    </row>
    <row r="43" spans="1:21">
      <c r="A43" s="615"/>
      <c r="B43" s="611" t="s">
        <v>19</v>
      </c>
      <c r="C43" s="23" t="s">
        <v>60</v>
      </c>
      <c r="D43" s="23" t="s">
        <v>62</v>
      </c>
      <c r="E43" s="9"/>
      <c r="F43" s="72"/>
      <c r="G43" s="72"/>
      <c r="H43" s="72"/>
      <c r="I43" s="73"/>
      <c r="J43" s="260" t="s">
        <v>56</v>
      </c>
      <c r="K43" s="261" t="s">
        <v>13</v>
      </c>
      <c r="L43" s="262" t="s">
        <v>68</v>
      </c>
      <c r="M43" s="77" t="s">
        <v>56</v>
      </c>
      <c r="N43" s="24" t="s">
        <v>13</v>
      </c>
      <c r="O43" s="38" t="s">
        <v>68</v>
      </c>
      <c r="P43" s="260" t="s">
        <v>56</v>
      </c>
      <c r="Q43" s="261" t="s">
        <v>13</v>
      </c>
      <c r="R43" s="262" t="s">
        <v>68</v>
      </c>
      <c r="S43" s="123"/>
      <c r="T43" s="73"/>
      <c r="U43" s="138"/>
    </row>
    <row r="44" spans="1:21" ht="13.5" thickBot="1">
      <c r="A44" s="615"/>
      <c r="B44" s="361"/>
      <c r="C44" s="353">
        <f>VLOOKUP(C$2,Monitor_Costs,6,FALSE)</f>
        <v>1000</v>
      </c>
      <c r="D44" s="34">
        <f>VLOOKUP(C$2,Monitor_Costs,7,FALSE)</f>
        <v>2013</v>
      </c>
      <c r="E44" s="354"/>
      <c r="F44" s="71"/>
      <c r="G44" s="56"/>
      <c r="H44" s="56"/>
      <c r="I44" s="54"/>
      <c r="J44" s="355">
        <f>HLOOKUP(D44,InflationTable,2)*C44</f>
        <v>1198</v>
      </c>
      <c r="K44" s="355">
        <f>J44*$L$4</f>
        <v>440864</v>
      </c>
      <c r="L44" s="308">
        <f>K44</f>
        <v>440864</v>
      </c>
      <c r="M44" s="357">
        <f>HLOOKUP($D$44,InflationTable,3)*$C$44</f>
        <v>1223</v>
      </c>
      <c r="N44" s="357">
        <f>M44*$O$4</f>
        <v>513660</v>
      </c>
      <c r="O44" s="95">
        <f>N44</f>
        <v>513660</v>
      </c>
      <c r="P44" s="358">
        <f>HLOOKUP($D$44,InflationTable,4)*$C$44</f>
        <v>1247</v>
      </c>
      <c r="Q44" s="355">
        <f>P44*$R$4</f>
        <v>523740</v>
      </c>
      <c r="R44" s="308">
        <f>Q44</f>
        <v>523740</v>
      </c>
      <c r="S44" s="359" t="s">
        <v>12</v>
      </c>
      <c r="T44" s="360">
        <f>AVERAGE(L44,O44,R44)</f>
        <v>492754.66666666669</v>
      </c>
      <c r="U44" s="142" t="s">
        <v>12</v>
      </c>
    </row>
    <row r="45" spans="1:21">
      <c r="A45" s="615"/>
      <c r="B45" s="465" t="s">
        <v>25</v>
      </c>
      <c r="C45" s="107" t="s">
        <v>45</v>
      </c>
      <c r="D45" s="108" t="s">
        <v>46</v>
      </c>
      <c r="E45" s="107" t="s">
        <v>47</v>
      </c>
      <c r="F45" s="107" t="s">
        <v>48</v>
      </c>
      <c r="G45" s="107" t="s">
        <v>49</v>
      </c>
      <c r="H45" s="107" t="s">
        <v>50</v>
      </c>
      <c r="I45" s="350" t="s">
        <v>74</v>
      </c>
      <c r="J45" s="351"/>
      <c r="K45" s="352"/>
      <c r="L45" s="356"/>
      <c r="M45" s="110"/>
      <c r="N45" s="108"/>
      <c r="O45" s="111"/>
      <c r="P45" s="351"/>
      <c r="Q45" s="352"/>
      <c r="R45" s="356"/>
      <c r="S45" s="134"/>
      <c r="T45" s="136"/>
      <c r="U45" s="138"/>
    </row>
    <row r="46" spans="1:21">
      <c r="B46" s="566" t="s">
        <v>4</v>
      </c>
      <c r="C46" s="21">
        <v>0</v>
      </c>
      <c r="D46" s="21">
        <v>0</v>
      </c>
      <c r="E46" s="21">
        <v>8</v>
      </c>
      <c r="F46" s="21">
        <v>8</v>
      </c>
      <c r="G46" s="21">
        <v>0</v>
      </c>
      <c r="H46" s="21">
        <v>0</v>
      </c>
      <c r="I46" s="52">
        <f>SUM(C46:H46)</f>
        <v>16</v>
      </c>
      <c r="J46" s="263" t="s">
        <v>12</v>
      </c>
      <c r="K46" s="281">
        <f>I46*$L$4</f>
        <v>5888</v>
      </c>
      <c r="L46" s="289">
        <f>K46</f>
        <v>5888</v>
      </c>
      <c r="M46" s="58" t="s">
        <v>12</v>
      </c>
      <c r="N46" s="69">
        <f>$I$46*$O$4</f>
        <v>6720</v>
      </c>
      <c r="O46" s="68">
        <f>N46</f>
        <v>6720</v>
      </c>
      <c r="P46" s="263" t="s">
        <v>12</v>
      </c>
      <c r="Q46" s="281">
        <f>$I$46*$R$4</f>
        <v>6720</v>
      </c>
      <c r="R46" s="289">
        <f>Q46</f>
        <v>6720</v>
      </c>
      <c r="S46" s="121">
        <f>AVERAGE(L46,O46,R46)</f>
        <v>6442.666666666667</v>
      </c>
      <c r="T46" s="119" t="s">
        <v>12</v>
      </c>
      <c r="U46" s="140" t="s">
        <v>12</v>
      </c>
    </row>
    <row r="47" spans="1:21" ht="13.5" thickBot="1">
      <c r="B47" s="567" t="s">
        <v>8</v>
      </c>
      <c r="C47" s="34">
        <f>ROUND(C46*Labor!$D$3,0)</f>
        <v>0</v>
      </c>
      <c r="D47" s="35">
        <f>ROUND(D46*Labor!$D$4,0)</f>
        <v>0</v>
      </c>
      <c r="E47" s="35">
        <f>ROUND(E46*Labor!$D$5,0)</f>
        <v>353</v>
      </c>
      <c r="F47" s="35">
        <f>ROUND(F46*Labor!$D$6,0)</f>
        <v>394</v>
      </c>
      <c r="G47" s="35">
        <f>ROUND(G46*Labor!$D$7,0)</f>
        <v>0</v>
      </c>
      <c r="H47" s="35">
        <f>ROUND(H46*Labor!$D$8,0)</f>
        <v>0</v>
      </c>
      <c r="I47" s="39">
        <f>SUM(C47:H47)</f>
        <v>747</v>
      </c>
      <c r="J47" s="292">
        <f>HLOOKUP(Labor!$B$11,InflationTable,2)*I47</f>
        <v>894.90599999999995</v>
      </c>
      <c r="K47" s="269">
        <f>J47*$L$4</f>
        <v>329325.408</v>
      </c>
      <c r="L47" s="308">
        <f>K47</f>
        <v>329325.408</v>
      </c>
      <c r="M47" s="84">
        <f>HLOOKUP(Labor!$B$11,InflationTable,3)*$I$47</f>
        <v>913.58100000000002</v>
      </c>
      <c r="N47" s="63">
        <f>M47*$O$4</f>
        <v>383704.02</v>
      </c>
      <c r="O47" s="95">
        <f>N47</f>
        <v>383704.02</v>
      </c>
      <c r="P47" s="268">
        <f>HLOOKUP(Labor!$B$11,InflationTable,4)*$I$47</f>
        <v>931.50900000000013</v>
      </c>
      <c r="Q47" s="269">
        <f>P47*$R$4</f>
        <v>391233.78</v>
      </c>
      <c r="R47" s="308">
        <f>Q47</f>
        <v>391233.78</v>
      </c>
      <c r="S47" s="128">
        <f>AVERAGE(L47,O47,R47)</f>
        <v>368087.73600000003</v>
      </c>
      <c r="T47" s="149" t="s">
        <v>12</v>
      </c>
      <c r="U47" s="142" t="s">
        <v>12</v>
      </c>
    </row>
    <row r="48" spans="1:21">
      <c r="B48" s="565" t="s">
        <v>117</v>
      </c>
      <c r="C48" s="346">
        <v>0</v>
      </c>
      <c r="D48" s="346">
        <v>0</v>
      </c>
      <c r="E48" s="346">
        <v>30</v>
      </c>
      <c r="F48" s="346">
        <v>40</v>
      </c>
      <c r="G48" s="346">
        <v>0</v>
      </c>
      <c r="H48" s="346">
        <v>0</v>
      </c>
      <c r="I48" s="347">
        <f>SUM(C48:H48)</f>
        <v>70</v>
      </c>
      <c r="J48" s="293" t="s">
        <v>12</v>
      </c>
      <c r="K48" s="327">
        <f>I48*$L$4</f>
        <v>25760</v>
      </c>
      <c r="L48" s="328">
        <f>K48</f>
        <v>25760</v>
      </c>
      <c r="M48" s="61" t="s">
        <v>12</v>
      </c>
      <c r="N48" s="348">
        <f>$I$48*$O$4</f>
        <v>29400</v>
      </c>
      <c r="O48" s="349">
        <f>N48</f>
        <v>29400</v>
      </c>
      <c r="P48" s="293" t="s">
        <v>12</v>
      </c>
      <c r="Q48" s="327">
        <f>$I$48*$R$4</f>
        <v>29400</v>
      </c>
      <c r="R48" s="328">
        <f>Q48</f>
        <v>29400</v>
      </c>
      <c r="S48" s="129">
        <f>AVERAGE(L48,O48,R48)</f>
        <v>28186.666666666668</v>
      </c>
      <c r="T48" s="119" t="s">
        <v>12</v>
      </c>
      <c r="U48" s="140" t="s">
        <v>12</v>
      </c>
    </row>
    <row r="49" spans="2:21" ht="13.5" thickBot="1">
      <c r="B49" s="568" t="s">
        <v>8</v>
      </c>
      <c r="C49" s="34">
        <f>ROUND(C48*Labor!$D$3,0)</f>
        <v>0</v>
      </c>
      <c r="D49" s="35">
        <f>ROUND(D48*Labor!$D$4,0)</f>
        <v>0</v>
      </c>
      <c r="E49" s="35">
        <f>ROUND(E48*Labor!$D$5,0)</f>
        <v>1324</v>
      </c>
      <c r="F49" s="35">
        <f>ROUND(F48*Labor!$D$6,0)</f>
        <v>1971</v>
      </c>
      <c r="G49" s="35">
        <f>ROUND(G48*Labor!$D$7,0)</f>
        <v>0</v>
      </c>
      <c r="H49" s="35">
        <f>ROUND(H48*Labor!$D$8,0)</f>
        <v>0</v>
      </c>
      <c r="I49" s="39">
        <f>SUM(C49:H49)</f>
        <v>3295</v>
      </c>
      <c r="J49" s="268">
        <f>HLOOKUP(Labor!$B$11,InflationTable,2)*$I$49</f>
        <v>3947.41</v>
      </c>
      <c r="K49" s="269">
        <f>J49*$L$4</f>
        <v>1452646.88</v>
      </c>
      <c r="L49" s="308">
        <f>K49</f>
        <v>1452646.88</v>
      </c>
      <c r="M49" s="84">
        <f>HLOOKUP(Labor!$B$11,InflationTable,3)*$I$49</f>
        <v>4029.7850000000003</v>
      </c>
      <c r="N49" s="63">
        <f>M49*$O$4</f>
        <v>1692509.7000000002</v>
      </c>
      <c r="O49" s="95">
        <f>N49</f>
        <v>1692509.7000000002</v>
      </c>
      <c r="P49" s="268">
        <f>HLOOKUP(Labor!$B$11,InflationTable,4)*$I$49</f>
        <v>4108.8650000000007</v>
      </c>
      <c r="Q49" s="269">
        <f>P49*$R$4</f>
        <v>1725723.3000000003</v>
      </c>
      <c r="R49" s="308">
        <f>Q49</f>
        <v>1725723.3000000003</v>
      </c>
      <c r="S49" s="132">
        <f>AVERAGE(L49,O49,R49)</f>
        <v>1623626.6266666669</v>
      </c>
      <c r="T49" s="149" t="s">
        <v>12</v>
      </c>
      <c r="U49" s="142" t="s">
        <v>12</v>
      </c>
    </row>
    <row r="50" spans="2:21">
      <c r="B50" s="560" t="s">
        <v>66</v>
      </c>
      <c r="C50" s="36">
        <f t="shared" ref="C50:I50" si="6">C46+C48</f>
        <v>0</v>
      </c>
      <c r="D50" s="36">
        <f t="shared" si="6"/>
        <v>0</v>
      </c>
      <c r="E50" s="36">
        <f t="shared" si="6"/>
        <v>38</v>
      </c>
      <c r="F50" s="36">
        <f t="shared" si="6"/>
        <v>48</v>
      </c>
      <c r="G50" s="36">
        <f t="shared" si="6"/>
        <v>0</v>
      </c>
      <c r="H50" s="36">
        <f t="shared" si="6"/>
        <v>0</v>
      </c>
      <c r="I50" s="46">
        <f t="shared" si="6"/>
        <v>86</v>
      </c>
      <c r="J50" s="301" t="s">
        <v>12</v>
      </c>
      <c r="K50" s="309">
        <f>K46+K48</f>
        <v>31648</v>
      </c>
      <c r="L50" s="310">
        <f>L46+L48</f>
        <v>31648</v>
      </c>
      <c r="M50" s="85" t="s">
        <v>12</v>
      </c>
      <c r="N50" s="86">
        <f>N46+N48</f>
        <v>36120</v>
      </c>
      <c r="O50" s="97">
        <f>O46+O48</f>
        <v>36120</v>
      </c>
      <c r="P50" s="301" t="s">
        <v>12</v>
      </c>
      <c r="Q50" s="309">
        <f>Q46+Q48</f>
        <v>36120</v>
      </c>
      <c r="R50" s="310">
        <f>R46+R48</f>
        <v>36120</v>
      </c>
      <c r="S50" s="121">
        <f>AVERAGE(L50,O50,R50)</f>
        <v>34629.333333333336</v>
      </c>
      <c r="T50" s="136" t="s">
        <v>12</v>
      </c>
      <c r="U50" s="148" t="s">
        <v>12</v>
      </c>
    </row>
    <row r="51" spans="2:21" ht="13.5" thickBot="1">
      <c r="B51" s="561" t="s">
        <v>67</v>
      </c>
      <c r="C51" s="240">
        <f t="shared" ref="C51:H51" si="7">C47+C49</f>
        <v>0</v>
      </c>
      <c r="D51" s="240">
        <f t="shared" si="7"/>
        <v>0</v>
      </c>
      <c r="E51" s="240">
        <f t="shared" si="7"/>
        <v>1677</v>
      </c>
      <c r="F51" s="240">
        <f t="shared" si="7"/>
        <v>2365</v>
      </c>
      <c r="G51" s="240">
        <f t="shared" si="7"/>
        <v>0</v>
      </c>
      <c r="H51" s="240">
        <f t="shared" si="7"/>
        <v>0</v>
      </c>
      <c r="I51" s="222">
        <f>I49+I47+C44</f>
        <v>5042</v>
      </c>
      <c r="J51" s="311">
        <f t="shared" ref="J51:R51" si="8">J49+J47+J44</f>
        <v>6040.3159999999998</v>
      </c>
      <c r="K51" s="305">
        <f t="shared" si="8"/>
        <v>2222836.2879999997</v>
      </c>
      <c r="L51" s="306">
        <f t="shared" si="8"/>
        <v>2222836.2879999997</v>
      </c>
      <c r="M51" s="252">
        <f t="shared" si="8"/>
        <v>6166.366</v>
      </c>
      <c r="N51" s="253">
        <f t="shared" si="8"/>
        <v>2589873.7200000002</v>
      </c>
      <c r="O51" s="254">
        <f t="shared" si="8"/>
        <v>2589873.7200000002</v>
      </c>
      <c r="P51" s="311">
        <f t="shared" si="8"/>
        <v>6287.3740000000007</v>
      </c>
      <c r="Q51" s="305">
        <f t="shared" si="8"/>
        <v>2640697.08</v>
      </c>
      <c r="R51" s="306">
        <f t="shared" si="8"/>
        <v>2640697.08</v>
      </c>
      <c r="S51" s="248">
        <f>S49+S47</f>
        <v>1991714.362666667</v>
      </c>
      <c r="T51" s="251">
        <f>T44</f>
        <v>492754.66666666669</v>
      </c>
      <c r="U51" s="224" t="s">
        <v>12</v>
      </c>
    </row>
    <row r="52" spans="2:21" ht="14.25" thickTop="1" thickBot="1">
      <c r="B52" s="555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20"/>
    </row>
    <row r="53" spans="2:21" ht="16.5" thickTop="1">
      <c r="B53" s="564" t="s">
        <v>26</v>
      </c>
      <c r="C53" s="5"/>
      <c r="D53" s="5"/>
      <c r="E53" s="5"/>
      <c r="F53" s="112" t="s">
        <v>6</v>
      </c>
      <c r="G53" s="1412"/>
      <c r="H53" s="1413"/>
      <c r="I53" s="1414"/>
      <c r="J53" s="181" t="s">
        <v>26</v>
      </c>
      <c r="K53" s="426"/>
      <c r="L53" s="67"/>
      <c r="M53" s="245" t="s">
        <v>26</v>
      </c>
      <c r="N53" s="426"/>
      <c r="O53" s="426"/>
      <c r="P53" s="245" t="s">
        <v>26</v>
      </c>
      <c r="Q53" s="426"/>
      <c r="R53" s="67"/>
      <c r="S53" s="225"/>
      <c r="T53" s="37"/>
      <c r="U53" s="138"/>
    </row>
    <row r="54" spans="2:21">
      <c r="B54" s="555"/>
      <c r="C54" s="5"/>
      <c r="D54" s="5"/>
      <c r="E54" s="5"/>
      <c r="F54" s="7"/>
      <c r="G54" s="5"/>
      <c r="H54" s="5"/>
      <c r="I54" s="45" t="s">
        <v>61</v>
      </c>
      <c r="J54" s="277" t="s">
        <v>61</v>
      </c>
      <c r="K54" s="1419" t="s">
        <v>57</v>
      </c>
      <c r="L54" s="1420"/>
      <c r="M54" s="57" t="s">
        <v>61</v>
      </c>
      <c r="N54" s="1429" t="s">
        <v>57</v>
      </c>
      <c r="O54" s="1430"/>
      <c r="P54" s="277" t="s">
        <v>61</v>
      </c>
      <c r="Q54" s="1419" t="s">
        <v>57</v>
      </c>
      <c r="R54" s="1420"/>
      <c r="S54" s="131"/>
      <c r="T54" s="37"/>
      <c r="U54" s="138"/>
    </row>
    <row r="55" spans="2:21">
      <c r="B55" s="563" t="s">
        <v>27</v>
      </c>
      <c r="C55" s="23" t="s">
        <v>45</v>
      </c>
      <c r="D55" s="24" t="s">
        <v>46</v>
      </c>
      <c r="E55" s="23" t="s">
        <v>47</v>
      </c>
      <c r="F55" s="23" t="s">
        <v>48</v>
      </c>
      <c r="G55" s="23" t="s">
        <v>49</v>
      </c>
      <c r="H55" s="23" t="s">
        <v>50</v>
      </c>
      <c r="I55" s="45" t="s">
        <v>13</v>
      </c>
      <c r="J55" s="260" t="s">
        <v>56</v>
      </c>
      <c r="K55" s="261" t="s">
        <v>13</v>
      </c>
      <c r="L55" s="262" t="s">
        <v>68</v>
      </c>
      <c r="M55" s="77" t="s">
        <v>56</v>
      </c>
      <c r="N55" s="24" t="s">
        <v>13</v>
      </c>
      <c r="O55" s="38" t="s">
        <v>68</v>
      </c>
      <c r="P55" s="260" t="s">
        <v>56</v>
      </c>
      <c r="Q55" s="261" t="s">
        <v>13</v>
      </c>
      <c r="R55" s="262" t="s">
        <v>68</v>
      </c>
      <c r="S55" s="123"/>
      <c r="T55" s="37"/>
      <c r="U55" s="138"/>
    </row>
    <row r="56" spans="2:21">
      <c r="B56" s="566" t="s">
        <v>4</v>
      </c>
      <c r="C56" s="21">
        <v>0</v>
      </c>
      <c r="D56" s="21">
        <v>0</v>
      </c>
      <c r="E56" s="21">
        <v>8</v>
      </c>
      <c r="F56" s="21">
        <v>8</v>
      </c>
      <c r="G56" s="21">
        <v>4</v>
      </c>
      <c r="H56" s="21">
        <v>0</v>
      </c>
      <c r="I56" s="52">
        <f t="shared" ref="I56:I63" si="9">SUM(C56:H56)</f>
        <v>20</v>
      </c>
      <c r="J56" s="263" t="s">
        <v>12</v>
      </c>
      <c r="K56" s="281">
        <f>I56*$L$4</f>
        <v>7360</v>
      </c>
      <c r="L56" s="289">
        <f t="shared" ref="L56:L63" si="10">K56</f>
        <v>7360</v>
      </c>
      <c r="M56" s="58" t="s">
        <v>12</v>
      </c>
      <c r="N56" s="69">
        <f>$I$56*$O$4</f>
        <v>8400</v>
      </c>
      <c r="O56" s="68">
        <f t="shared" ref="O56:O63" si="11">N56</f>
        <v>8400</v>
      </c>
      <c r="P56" s="263" t="s">
        <v>12</v>
      </c>
      <c r="Q56" s="281">
        <f>$I$56*$R$4</f>
        <v>8400</v>
      </c>
      <c r="R56" s="289">
        <f t="shared" ref="R56:R63" si="12">Q56</f>
        <v>8400</v>
      </c>
      <c r="S56" s="121">
        <f t="shared" ref="S56:S65" si="13">AVERAGE(L56,O56,R56)</f>
        <v>8053.333333333333</v>
      </c>
      <c r="T56" s="119" t="s">
        <v>12</v>
      </c>
      <c r="U56" s="140" t="s">
        <v>12</v>
      </c>
    </row>
    <row r="57" spans="2:21" ht="13.5" thickBot="1">
      <c r="B57" s="567" t="s">
        <v>8</v>
      </c>
      <c r="C57" s="34">
        <f>ROUND(C56*Labor!$D$3,0)</f>
        <v>0</v>
      </c>
      <c r="D57" s="35">
        <f>ROUND(D56*Labor!$D$4,0)</f>
        <v>0</v>
      </c>
      <c r="E57" s="35">
        <f>ROUND(E56*Labor!$D$5,0)</f>
        <v>353</v>
      </c>
      <c r="F57" s="35">
        <f>ROUND(F56*Labor!$D$6,0)</f>
        <v>394</v>
      </c>
      <c r="G57" s="35">
        <f>ROUND(G56*Labor!$D$7,0)</f>
        <v>222</v>
      </c>
      <c r="H57" s="35">
        <f>ROUND(H56*Labor!$D$8,0)</f>
        <v>0</v>
      </c>
      <c r="I57" s="39">
        <f t="shared" si="9"/>
        <v>969</v>
      </c>
      <c r="J57" s="268">
        <f>HLOOKUP(Labor!$B$11,InflationTable,2)*I57</f>
        <v>1160.8619999999999</v>
      </c>
      <c r="K57" s="269">
        <f>J57*$L$4</f>
        <v>427197.21599999996</v>
      </c>
      <c r="L57" s="308">
        <f t="shared" si="10"/>
        <v>427197.21599999996</v>
      </c>
      <c r="M57" s="84">
        <f>HLOOKUP(Labor!$B$11,InflationTable,3)*$I$57</f>
        <v>1185.087</v>
      </c>
      <c r="N57" s="63">
        <f>M57*$O$4</f>
        <v>497736.54</v>
      </c>
      <c r="O57" s="95">
        <f t="shared" si="11"/>
        <v>497736.54</v>
      </c>
      <c r="P57" s="268">
        <f>HLOOKUP(Labor!$B$11,InflationTable,4)*$I$57</f>
        <v>1208.3430000000001</v>
      </c>
      <c r="Q57" s="269">
        <f>P57*$R$4</f>
        <v>507504.06000000006</v>
      </c>
      <c r="R57" s="308">
        <f t="shared" si="12"/>
        <v>507504.06000000006</v>
      </c>
      <c r="S57" s="128">
        <f t="shared" si="13"/>
        <v>477479.27200000006</v>
      </c>
      <c r="T57" s="149" t="s">
        <v>12</v>
      </c>
      <c r="U57" s="142" t="s">
        <v>12</v>
      </c>
    </row>
    <row r="58" spans="2:21">
      <c r="B58" s="559" t="s">
        <v>114</v>
      </c>
      <c r="C58" s="346">
        <v>0</v>
      </c>
      <c r="D58" s="346">
        <v>0</v>
      </c>
      <c r="E58" s="346">
        <v>3</v>
      </c>
      <c r="F58" s="346">
        <v>4</v>
      </c>
      <c r="G58" s="346">
        <v>3</v>
      </c>
      <c r="H58" s="346">
        <v>0</v>
      </c>
      <c r="I58" s="347">
        <f t="shared" si="9"/>
        <v>10</v>
      </c>
      <c r="J58" s="293" t="s">
        <v>12</v>
      </c>
      <c r="K58" s="327">
        <f>I58*$L$4</f>
        <v>3680</v>
      </c>
      <c r="L58" s="328">
        <f t="shared" si="10"/>
        <v>3680</v>
      </c>
      <c r="M58" s="61" t="s">
        <v>12</v>
      </c>
      <c r="N58" s="348">
        <f>$I$58*$O$4</f>
        <v>4200</v>
      </c>
      <c r="O58" s="349">
        <f t="shared" si="11"/>
        <v>4200</v>
      </c>
      <c r="P58" s="293" t="s">
        <v>12</v>
      </c>
      <c r="Q58" s="327">
        <f>$I$58*$R$4</f>
        <v>4200</v>
      </c>
      <c r="R58" s="328">
        <f t="shared" si="12"/>
        <v>4200</v>
      </c>
      <c r="S58" s="129">
        <f t="shared" si="13"/>
        <v>4026.6666666666665</v>
      </c>
      <c r="T58" s="136" t="s">
        <v>12</v>
      </c>
      <c r="U58" s="147" t="s">
        <v>12</v>
      </c>
    </row>
    <row r="59" spans="2:21" ht="13.5" thickBot="1">
      <c r="B59" s="567" t="s">
        <v>8</v>
      </c>
      <c r="C59" s="34">
        <f>ROUND(C58*Labor!$D$3,0)</f>
        <v>0</v>
      </c>
      <c r="D59" s="35">
        <f>ROUND(D58*Labor!$D$4,0)</f>
        <v>0</v>
      </c>
      <c r="E59" s="35">
        <f>ROUND(E58*Labor!$D$5,0)</f>
        <v>132</v>
      </c>
      <c r="F59" s="35">
        <f>ROUND(F58*Labor!$D$6,0)</f>
        <v>197</v>
      </c>
      <c r="G59" s="35">
        <f>ROUND(G58*Labor!$D$7,0)</f>
        <v>166</v>
      </c>
      <c r="H59" s="35">
        <f>ROUND(H58*Labor!$D$8,0)</f>
        <v>0</v>
      </c>
      <c r="I59" s="39">
        <f t="shared" si="9"/>
        <v>495</v>
      </c>
      <c r="J59" s="292">
        <f>HLOOKUP(Labor!$B$11,InflationTable,2)*I59</f>
        <v>593.01</v>
      </c>
      <c r="K59" s="269">
        <f>J59*$L$4</f>
        <v>218227.68</v>
      </c>
      <c r="L59" s="308">
        <f t="shared" si="10"/>
        <v>218227.68</v>
      </c>
      <c r="M59" s="362">
        <f>HLOOKUP(Labor!$B$11,InflationTable,3)*I59</f>
        <v>605.38499999999999</v>
      </c>
      <c r="N59" s="63">
        <f>M59*$O$4</f>
        <v>254261.69999999998</v>
      </c>
      <c r="O59" s="95">
        <f t="shared" si="11"/>
        <v>254261.69999999998</v>
      </c>
      <c r="P59" s="268">
        <f>HLOOKUP(Labor!$B$11,InflationTable,4)*$I$59</f>
        <v>617.2650000000001</v>
      </c>
      <c r="Q59" s="269">
        <f>P59*$R$4</f>
        <v>259251.30000000005</v>
      </c>
      <c r="R59" s="308">
        <f t="shared" si="12"/>
        <v>259251.30000000005</v>
      </c>
      <c r="S59" s="128">
        <f t="shared" si="13"/>
        <v>243913.56000000003</v>
      </c>
      <c r="T59" s="149" t="s">
        <v>12</v>
      </c>
      <c r="U59" s="142" t="s">
        <v>12</v>
      </c>
    </row>
    <row r="60" spans="2:21">
      <c r="B60" s="559" t="s">
        <v>115</v>
      </c>
      <c r="C60" s="346">
        <v>0</v>
      </c>
      <c r="D60" s="346">
        <v>0</v>
      </c>
      <c r="E60" s="346">
        <v>5</v>
      </c>
      <c r="F60" s="346">
        <v>10</v>
      </c>
      <c r="G60" s="346">
        <v>0</v>
      </c>
      <c r="H60" s="346">
        <v>0</v>
      </c>
      <c r="I60" s="347">
        <f t="shared" si="9"/>
        <v>15</v>
      </c>
      <c r="J60" s="293" t="s">
        <v>12</v>
      </c>
      <c r="K60" s="327">
        <f>I60*$L$4</f>
        <v>5520</v>
      </c>
      <c r="L60" s="328">
        <f t="shared" si="10"/>
        <v>5520</v>
      </c>
      <c r="M60" s="61" t="s">
        <v>12</v>
      </c>
      <c r="N60" s="348">
        <f>$I$60*$O$4</f>
        <v>6300</v>
      </c>
      <c r="O60" s="349">
        <f t="shared" si="11"/>
        <v>6300</v>
      </c>
      <c r="P60" s="293" t="s">
        <v>12</v>
      </c>
      <c r="Q60" s="327">
        <f>$I$60*$R$4</f>
        <v>6300</v>
      </c>
      <c r="R60" s="328">
        <f t="shared" si="12"/>
        <v>6300</v>
      </c>
      <c r="S60" s="129">
        <f t="shared" si="13"/>
        <v>6040</v>
      </c>
      <c r="T60" s="136" t="s">
        <v>12</v>
      </c>
      <c r="U60" s="147" t="s">
        <v>12</v>
      </c>
    </row>
    <row r="61" spans="2:21" ht="13.5" thickBot="1">
      <c r="B61" s="567" t="s">
        <v>8</v>
      </c>
      <c r="C61" s="34">
        <f>ROUND(C60*Labor!$D$3,0)</f>
        <v>0</v>
      </c>
      <c r="D61" s="35">
        <f>ROUND(D60*Labor!$D$4,0)</f>
        <v>0</v>
      </c>
      <c r="E61" s="35">
        <f>ROUND(E60*Labor!$D$5,0)</f>
        <v>221</v>
      </c>
      <c r="F61" s="35">
        <f>ROUND(F60*Labor!$D$6,0)</f>
        <v>493</v>
      </c>
      <c r="G61" s="35">
        <f>ROUND(G60*Labor!$D$7,0)</f>
        <v>0</v>
      </c>
      <c r="H61" s="35">
        <f>ROUND(H60*Labor!$D$8,0)</f>
        <v>0</v>
      </c>
      <c r="I61" s="39">
        <f t="shared" si="9"/>
        <v>714</v>
      </c>
      <c r="J61" s="292">
        <f>HLOOKUP(Labor!$B$11,InflationTable,2)*I61</f>
        <v>855.37199999999996</v>
      </c>
      <c r="K61" s="269">
        <f>J61*$L$4</f>
        <v>314776.89600000001</v>
      </c>
      <c r="L61" s="308">
        <f t="shared" si="10"/>
        <v>314776.89600000001</v>
      </c>
      <c r="M61" s="84">
        <f>HLOOKUP(Labor!$B$11,InflationTable,3)*$I$61</f>
        <v>873.22200000000009</v>
      </c>
      <c r="N61" s="63">
        <f>M61*$O$4</f>
        <v>366753.24000000005</v>
      </c>
      <c r="O61" s="95">
        <f t="shared" si="11"/>
        <v>366753.24000000005</v>
      </c>
      <c r="P61" s="268">
        <f>HLOOKUP(Labor!$B$11,InflationTable,4)*$I$61</f>
        <v>890.35800000000006</v>
      </c>
      <c r="Q61" s="269">
        <f>P61*$R$4</f>
        <v>373950.36000000004</v>
      </c>
      <c r="R61" s="308">
        <f t="shared" si="12"/>
        <v>373950.36000000004</v>
      </c>
      <c r="S61" s="128">
        <f t="shared" si="13"/>
        <v>351826.83199999999</v>
      </c>
      <c r="T61" s="149" t="s">
        <v>12</v>
      </c>
      <c r="U61" s="142" t="s">
        <v>12</v>
      </c>
    </row>
    <row r="62" spans="2:21">
      <c r="B62" s="559" t="s">
        <v>116</v>
      </c>
      <c r="C62" s="346">
        <v>0</v>
      </c>
      <c r="D62" s="346">
        <v>0</v>
      </c>
      <c r="E62" s="346">
        <v>2</v>
      </c>
      <c r="F62" s="346">
        <v>3</v>
      </c>
      <c r="G62" s="346">
        <v>0</v>
      </c>
      <c r="H62" s="346">
        <v>0</v>
      </c>
      <c r="I62" s="347">
        <f t="shared" si="9"/>
        <v>5</v>
      </c>
      <c r="J62" s="293" t="s">
        <v>12</v>
      </c>
      <c r="K62" s="327">
        <f>I62*$L$4</f>
        <v>1840</v>
      </c>
      <c r="L62" s="328">
        <f t="shared" si="10"/>
        <v>1840</v>
      </c>
      <c r="M62" s="61" t="s">
        <v>12</v>
      </c>
      <c r="N62" s="348">
        <f>$I$62*$O$4</f>
        <v>2100</v>
      </c>
      <c r="O62" s="349">
        <f t="shared" si="11"/>
        <v>2100</v>
      </c>
      <c r="P62" s="293" t="s">
        <v>12</v>
      </c>
      <c r="Q62" s="327">
        <f>$I$62*$R$4</f>
        <v>2100</v>
      </c>
      <c r="R62" s="328">
        <f t="shared" si="12"/>
        <v>2100</v>
      </c>
      <c r="S62" s="129">
        <f t="shared" si="13"/>
        <v>2013.3333333333333</v>
      </c>
      <c r="T62" s="136" t="s">
        <v>12</v>
      </c>
      <c r="U62" s="147" t="s">
        <v>12</v>
      </c>
    </row>
    <row r="63" spans="2:21" ht="13.5" thickBot="1">
      <c r="B63" s="567" t="s">
        <v>8</v>
      </c>
      <c r="C63" s="34">
        <f>ROUND(C62*Labor!$D$3,0)</f>
        <v>0</v>
      </c>
      <c r="D63" s="35">
        <f>ROUND(D62*Labor!$D$4,0)</f>
        <v>0</v>
      </c>
      <c r="E63" s="35">
        <f>ROUND(E62*Labor!$D$5,0)</f>
        <v>88</v>
      </c>
      <c r="F63" s="35">
        <f>ROUND(F62*Labor!$D$6,0)</f>
        <v>148</v>
      </c>
      <c r="G63" s="35">
        <f>ROUND(G62*Labor!$D$7,0)</f>
        <v>0</v>
      </c>
      <c r="H63" s="35">
        <f>ROUND(H62*Labor!$D$8,0)</f>
        <v>0</v>
      </c>
      <c r="I63" s="39">
        <f t="shared" si="9"/>
        <v>236</v>
      </c>
      <c r="J63" s="268">
        <f>HLOOKUP(Labor!$B$11,InflationTable,2)*I63</f>
        <v>282.72800000000001</v>
      </c>
      <c r="K63" s="269">
        <f>J63*$L$4</f>
        <v>104043.90400000001</v>
      </c>
      <c r="L63" s="300">
        <f t="shared" si="10"/>
        <v>104043.90400000001</v>
      </c>
      <c r="M63" s="84">
        <f>HLOOKUP(Labor!$B$11,InflationTable,3)*$I$63</f>
        <v>288.62800000000004</v>
      </c>
      <c r="N63" s="63">
        <f>M63*$O$4</f>
        <v>121223.76000000002</v>
      </c>
      <c r="O63" s="98">
        <f t="shared" si="11"/>
        <v>121223.76000000002</v>
      </c>
      <c r="P63" s="268">
        <f>HLOOKUP(Labor!$B$11,InflationTable,4)*$I$63</f>
        <v>294.29200000000003</v>
      </c>
      <c r="Q63" s="269">
        <f>P63*$R$4</f>
        <v>123602.64000000001</v>
      </c>
      <c r="R63" s="300">
        <f t="shared" si="12"/>
        <v>123602.64000000001</v>
      </c>
      <c r="S63" s="128">
        <f t="shared" si="13"/>
        <v>116290.10133333335</v>
      </c>
      <c r="T63" s="137" t="s">
        <v>12</v>
      </c>
      <c r="U63" s="142" t="s">
        <v>12</v>
      </c>
    </row>
    <row r="64" spans="2:21">
      <c r="B64" s="560" t="s">
        <v>66</v>
      </c>
      <c r="C64" s="36">
        <f t="shared" ref="C64:I65" si="14">C56+C58+C60+C62</f>
        <v>0</v>
      </c>
      <c r="D64" s="36">
        <f t="shared" si="14"/>
        <v>0</v>
      </c>
      <c r="E64" s="36">
        <f t="shared" si="14"/>
        <v>18</v>
      </c>
      <c r="F64" s="36">
        <f t="shared" si="14"/>
        <v>25</v>
      </c>
      <c r="G64" s="36">
        <f t="shared" si="14"/>
        <v>7</v>
      </c>
      <c r="H64" s="36">
        <f t="shared" si="14"/>
        <v>0</v>
      </c>
      <c r="I64" s="46">
        <f t="shared" si="14"/>
        <v>50</v>
      </c>
      <c r="J64" s="301" t="s">
        <v>12</v>
      </c>
      <c r="K64" s="285">
        <f>K56+K58+K60+K62</f>
        <v>18400</v>
      </c>
      <c r="L64" s="312">
        <f>L56+L58+L60+L62</f>
        <v>18400</v>
      </c>
      <c r="M64" s="85" t="s">
        <v>12</v>
      </c>
      <c r="N64" s="33">
        <f>N56+N58+N60+N62</f>
        <v>21000</v>
      </c>
      <c r="O64" s="99">
        <f>O56+O58+O60+O62</f>
        <v>21000</v>
      </c>
      <c r="P64" s="301" t="s">
        <v>12</v>
      </c>
      <c r="Q64" s="285">
        <f>Q56+Q58+Q60+Q62</f>
        <v>21000</v>
      </c>
      <c r="R64" s="312">
        <f>R56+R58+R60+R62</f>
        <v>21000</v>
      </c>
      <c r="S64" s="129">
        <f t="shared" si="13"/>
        <v>20133.333333333332</v>
      </c>
      <c r="T64" s="136" t="s">
        <v>12</v>
      </c>
      <c r="U64" s="147" t="s">
        <v>12</v>
      </c>
    </row>
    <row r="65" spans="2:22" ht="13.5" thickBot="1">
      <c r="B65" s="561" t="s">
        <v>67</v>
      </c>
      <c r="C65" s="240">
        <f t="shared" si="14"/>
        <v>0</v>
      </c>
      <c r="D65" s="240">
        <f t="shared" si="14"/>
        <v>0</v>
      </c>
      <c r="E65" s="240">
        <f t="shared" si="14"/>
        <v>794</v>
      </c>
      <c r="F65" s="240">
        <f t="shared" si="14"/>
        <v>1232</v>
      </c>
      <c r="G65" s="240">
        <f t="shared" si="14"/>
        <v>388</v>
      </c>
      <c r="H65" s="240">
        <f t="shared" si="14"/>
        <v>0</v>
      </c>
      <c r="I65" s="243">
        <f t="shared" si="14"/>
        <v>2414</v>
      </c>
      <c r="J65" s="313">
        <f>J57+J59+J61+J63</f>
        <v>2891.9719999999998</v>
      </c>
      <c r="K65" s="275">
        <f>K57+K59+K61+K63</f>
        <v>1064245.696</v>
      </c>
      <c r="L65" s="276">
        <f>L57+L59+L61+L63</f>
        <v>1064245.696</v>
      </c>
      <c r="M65" s="242">
        <f>M57+M59+M61+M63</f>
        <v>2952.3220000000001</v>
      </c>
      <c r="N65" s="240">
        <f>N57+N59+N61+N63</f>
        <v>1239975.24</v>
      </c>
      <c r="O65" s="243">
        <f>O57+O59+O61+O63</f>
        <v>1239975.24</v>
      </c>
      <c r="P65" s="313">
        <f>P57+P59+P61+P63</f>
        <v>3010.2580000000003</v>
      </c>
      <c r="Q65" s="275">
        <f>Q57+Q59+Q61+Q63</f>
        <v>1264308.3600000003</v>
      </c>
      <c r="R65" s="276">
        <f>R57+R59+R61+R63</f>
        <v>1264308.3600000003</v>
      </c>
      <c r="S65" s="255">
        <f t="shared" si="13"/>
        <v>1189509.7653333333</v>
      </c>
      <c r="T65" s="249" t="s">
        <v>12</v>
      </c>
      <c r="U65" s="224" t="s">
        <v>12</v>
      </c>
    </row>
    <row r="66" spans="2:22" ht="13.5" thickTop="1">
      <c r="B66" s="624"/>
      <c r="C66" s="621"/>
      <c r="D66" s="621"/>
      <c r="E66" s="621"/>
      <c r="F66" s="621"/>
      <c r="G66" s="621"/>
      <c r="H66" s="621"/>
      <c r="I66" s="622"/>
      <c r="J66" s="622"/>
      <c r="K66" s="622"/>
      <c r="L66" s="622"/>
      <c r="M66" s="622"/>
      <c r="N66" s="622"/>
      <c r="O66" s="622"/>
      <c r="P66" s="622"/>
      <c r="Q66" s="622"/>
      <c r="R66" s="622"/>
      <c r="S66" s="625"/>
      <c r="T66" s="626"/>
      <c r="U66" s="627"/>
      <c r="V66" s="5"/>
    </row>
    <row r="67" spans="2:22" ht="13.5" thickBot="1">
      <c r="B67" s="410"/>
      <c r="C67" s="41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5"/>
    </row>
    <row r="68" spans="2:22" ht="27.75" thickTop="1" thickBot="1">
      <c r="B68" s="564" t="s">
        <v>28</v>
      </c>
      <c r="C68" s="5"/>
      <c r="D68" s="5"/>
      <c r="E68" s="5"/>
      <c r="F68" s="112" t="s">
        <v>6</v>
      </c>
      <c r="G68" s="1412"/>
      <c r="H68" s="1413"/>
      <c r="I68" s="1414"/>
      <c r="J68" s="181" t="s">
        <v>28</v>
      </c>
      <c r="K68" s="426"/>
      <c r="L68" s="67"/>
      <c r="M68" s="181" t="s">
        <v>28</v>
      </c>
      <c r="N68" s="426"/>
      <c r="O68" s="67"/>
      <c r="P68" s="181" t="s">
        <v>28</v>
      </c>
      <c r="Q68" s="426"/>
      <c r="R68" s="67"/>
      <c r="S68" s="546" t="s">
        <v>17</v>
      </c>
      <c r="T68" s="547" t="s">
        <v>103</v>
      </c>
      <c r="U68" s="628" t="s">
        <v>79</v>
      </c>
    </row>
    <row r="69" spans="2:22">
      <c r="B69" s="555"/>
      <c r="C69" s="5"/>
      <c r="D69" s="5"/>
      <c r="E69" s="5"/>
      <c r="F69" s="7"/>
      <c r="G69" s="5"/>
      <c r="H69" s="5"/>
      <c r="I69" s="45" t="s">
        <v>61</v>
      </c>
      <c r="J69" s="277" t="s">
        <v>61</v>
      </c>
      <c r="K69" s="1419" t="s">
        <v>57</v>
      </c>
      <c r="L69" s="1420"/>
      <c r="M69" s="57" t="s">
        <v>61</v>
      </c>
      <c r="N69" s="1429" t="s">
        <v>57</v>
      </c>
      <c r="O69" s="1433"/>
      <c r="P69" s="318" t="s">
        <v>61</v>
      </c>
      <c r="Q69" s="1419" t="s">
        <v>57</v>
      </c>
      <c r="R69" s="1420"/>
      <c r="S69" s="170"/>
      <c r="T69" s="133"/>
      <c r="U69" s="37"/>
    </row>
    <row r="70" spans="2:22">
      <c r="B70" s="557"/>
      <c r="C70" s="23" t="s">
        <v>45</v>
      </c>
      <c r="D70" s="24" t="s">
        <v>46</v>
      </c>
      <c r="E70" s="23" t="s">
        <v>47</v>
      </c>
      <c r="F70" s="23" t="s">
        <v>48</v>
      </c>
      <c r="G70" s="23" t="s">
        <v>49</v>
      </c>
      <c r="H70" s="23" t="s">
        <v>50</v>
      </c>
      <c r="I70" s="45" t="s">
        <v>13</v>
      </c>
      <c r="J70" s="260" t="s">
        <v>56</v>
      </c>
      <c r="K70" s="261" t="s">
        <v>13</v>
      </c>
      <c r="L70" s="262" t="s">
        <v>68</v>
      </c>
      <c r="M70" s="77" t="s">
        <v>56</v>
      </c>
      <c r="N70" s="24" t="s">
        <v>13</v>
      </c>
      <c r="O70" s="38" t="s">
        <v>68</v>
      </c>
      <c r="P70" s="260" t="s">
        <v>56</v>
      </c>
      <c r="Q70" s="261" t="s">
        <v>13</v>
      </c>
      <c r="R70" s="262" t="s">
        <v>68</v>
      </c>
      <c r="S70" s="120"/>
      <c r="T70" s="133"/>
      <c r="U70" s="37"/>
    </row>
    <row r="71" spans="2:22">
      <c r="B71" s="557" t="s">
        <v>111</v>
      </c>
      <c r="C71" s="21">
        <v>0</v>
      </c>
      <c r="D71" s="21">
        <v>0</v>
      </c>
      <c r="E71" s="21">
        <v>0</v>
      </c>
      <c r="F71" s="21">
        <v>36</v>
      </c>
      <c r="G71" s="21">
        <v>36</v>
      </c>
      <c r="H71" s="21">
        <v>0</v>
      </c>
      <c r="I71" s="52">
        <f>SUM(C71:H71)</f>
        <v>72</v>
      </c>
      <c r="J71" s="263" t="s">
        <v>12</v>
      </c>
      <c r="K71" s="281">
        <f>I71*$L$4</f>
        <v>26496</v>
      </c>
      <c r="L71" s="289">
        <f>K71</f>
        <v>26496</v>
      </c>
      <c r="M71" s="58" t="s">
        <v>12</v>
      </c>
      <c r="N71" s="69">
        <f>$I$71*$O$4</f>
        <v>30240</v>
      </c>
      <c r="O71" s="68">
        <f>N71</f>
        <v>30240</v>
      </c>
      <c r="P71" s="263" t="s">
        <v>12</v>
      </c>
      <c r="Q71" s="281">
        <f>$I$71*$R$4</f>
        <v>30240</v>
      </c>
      <c r="R71" s="289">
        <f>Q71</f>
        <v>30240</v>
      </c>
      <c r="S71" s="121">
        <f>AVERAGE(L71,O71,R71)</f>
        <v>28992</v>
      </c>
      <c r="T71" s="135" t="s">
        <v>12</v>
      </c>
      <c r="U71" s="136" t="s">
        <v>12</v>
      </c>
    </row>
    <row r="72" spans="2:22" ht="13.5" thickBot="1">
      <c r="B72" s="568" t="s">
        <v>8</v>
      </c>
      <c r="C72" s="34">
        <f>ROUND(C71*Labor!$D$3,0)</f>
        <v>0</v>
      </c>
      <c r="D72" s="35">
        <f>ROUND(D71*Labor!$D$4,0)</f>
        <v>0</v>
      </c>
      <c r="E72" s="35">
        <f>ROUND(E71*Labor!$D$5,0)</f>
        <v>0</v>
      </c>
      <c r="F72" s="35">
        <f>ROUND(F71*Labor!$D$6,0)</f>
        <v>1773</v>
      </c>
      <c r="G72" s="35">
        <f>ROUND(G71*Labor!$D$7,0)</f>
        <v>1997</v>
      </c>
      <c r="H72" s="35">
        <f>ROUND(H71*Labor!$D$8,0)</f>
        <v>0</v>
      </c>
      <c r="I72" s="39">
        <f>SUM(C72:H72)</f>
        <v>3770</v>
      </c>
      <c r="J72" s="268">
        <f>HLOOKUP(Labor!$B$11,InflationTable,2)*I72</f>
        <v>4516.46</v>
      </c>
      <c r="K72" s="269">
        <f>J72*$L$4</f>
        <v>1662057.28</v>
      </c>
      <c r="L72" s="308">
        <f>K72</f>
        <v>1662057.28</v>
      </c>
      <c r="M72" s="362">
        <f>HLOOKUP(Labor!$B$11,InflationTable,3)*$I$72</f>
        <v>4610.71</v>
      </c>
      <c r="N72" s="63">
        <f>M72*$O$4</f>
        <v>1936498.2</v>
      </c>
      <c r="O72" s="95">
        <f>N72</f>
        <v>1936498.2</v>
      </c>
      <c r="P72" s="268">
        <f>HLOOKUP(Labor!$B$11,InflationTable,4)*$I72</f>
        <v>4701.1900000000005</v>
      </c>
      <c r="Q72" s="269">
        <f>P72*$R$4</f>
        <v>1974499.8000000003</v>
      </c>
      <c r="R72" s="308">
        <f>Q72</f>
        <v>1974499.8000000003</v>
      </c>
      <c r="S72" s="128">
        <f>AVERAGE(L72,O72,R72)</f>
        <v>1857685.0933333335</v>
      </c>
      <c r="T72" s="137" t="s">
        <v>12</v>
      </c>
      <c r="U72" s="149" t="s">
        <v>12</v>
      </c>
    </row>
    <row r="73" spans="2:22">
      <c r="B73" s="559" t="s">
        <v>110</v>
      </c>
      <c r="C73" s="346">
        <v>0</v>
      </c>
      <c r="D73" s="346">
        <v>24</v>
      </c>
      <c r="E73" s="346">
        <v>24</v>
      </c>
      <c r="F73" s="346">
        <v>0</v>
      </c>
      <c r="G73" s="346">
        <v>0</v>
      </c>
      <c r="H73" s="346">
        <v>0</v>
      </c>
      <c r="I73" s="347">
        <f>SUM(C73:H73)</f>
        <v>48</v>
      </c>
      <c r="J73" s="293" t="s">
        <v>12</v>
      </c>
      <c r="K73" s="327">
        <f>I73*$L$4</f>
        <v>17664</v>
      </c>
      <c r="L73" s="328">
        <f>K73</f>
        <v>17664</v>
      </c>
      <c r="M73" s="61" t="s">
        <v>12</v>
      </c>
      <c r="N73" s="348">
        <f>$I$73*$O$4</f>
        <v>20160</v>
      </c>
      <c r="O73" s="349">
        <f>N73</f>
        <v>20160</v>
      </c>
      <c r="P73" s="293" t="s">
        <v>12</v>
      </c>
      <c r="Q73" s="327">
        <f>$I$73*$R$4</f>
        <v>20160</v>
      </c>
      <c r="R73" s="328">
        <f>Q73</f>
        <v>20160</v>
      </c>
      <c r="S73" s="129">
        <f>AVERAGE(L73,O73,R73)</f>
        <v>19328</v>
      </c>
      <c r="T73" s="135" t="s">
        <v>12</v>
      </c>
      <c r="U73" s="136" t="s">
        <v>12</v>
      </c>
    </row>
    <row r="74" spans="2:22" ht="13.5" thickBot="1">
      <c r="B74" s="568" t="s">
        <v>8</v>
      </c>
      <c r="C74" s="34">
        <f>ROUND(C73*Labor!$D$3,0)</f>
        <v>0</v>
      </c>
      <c r="D74" s="35">
        <f>ROUND(D73*Labor!$D$4,0)</f>
        <v>981</v>
      </c>
      <c r="E74" s="35">
        <f>ROUND(E73*Labor!$D$5,0)</f>
        <v>1059</v>
      </c>
      <c r="F74" s="35">
        <f>ROUND(F73*Labor!$D$6,0)</f>
        <v>0</v>
      </c>
      <c r="G74" s="35">
        <f>ROUND(G73*Labor!$D$7,0)</f>
        <v>0</v>
      </c>
      <c r="H74" s="35">
        <f>ROUND(H73*Labor!$D$8,0)</f>
        <v>0</v>
      </c>
      <c r="I74" s="39">
        <f>SUM(C74:H74)</f>
        <v>2040</v>
      </c>
      <c r="J74" s="268">
        <f>HLOOKUP(Labor!$B$11,InflationTable,2)*I74</f>
        <v>2443.92</v>
      </c>
      <c r="K74" s="269">
        <f>J74*$L$4</f>
        <v>899362.56</v>
      </c>
      <c r="L74" s="308">
        <f>K74</f>
        <v>899362.56</v>
      </c>
      <c r="M74" s="362">
        <f>HLOOKUP(Labor!$B$11,InflationTable,3)*$I$74</f>
        <v>2494.92</v>
      </c>
      <c r="N74" s="63">
        <f>M74*$O$4</f>
        <v>1047866.4</v>
      </c>
      <c r="O74" s="95">
        <f>N74</f>
        <v>1047866.4</v>
      </c>
      <c r="P74" s="268">
        <f>HLOOKUP(Labor!$B$11,InflationTable,4)*$I74</f>
        <v>2543.88</v>
      </c>
      <c r="Q74" s="269">
        <f>P74*$R$4</f>
        <v>1068429.6000000001</v>
      </c>
      <c r="R74" s="308">
        <f>Q74</f>
        <v>1068429.6000000001</v>
      </c>
      <c r="S74" s="128">
        <f>AVERAGE(L74,O74,R74)</f>
        <v>1005219.52</v>
      </c>
      <c r="T74" s="137" t="s">
        <v>12</v>
      </c>
      <c r="U74" s="149" t="s">
        <v>12</v>
      </c>
    </row>
    <row r="75" spans="2:22">
      <c r="B75" s="559" t="s">
        <v>20</v>
      </c>
      <c r="C75" s="107" t="s">
        <v>45</v>
      </c>
      <c r="D75" s="108" t="s">
        <v>46</v>
      </c>
      <c r="E75" s="107" t="s">
        <v>47</v>
      </c>
      <c r="F75" s="107" t="s">
        <v>48</v>
      </c>
      <c r="G75" s="107" t="s">
        <v>49</v>
      </c>
      <c r="H75" s="107" t="s">
        <v>50</v>
      </c>
      <c r="I75" s="109" t="s">
        <v>13</v>
      </c>
      <c r="J75" s="351"/>
      <c r="K75" s="352"/>
      <c r="L75" s="356"/>
      <c r="M75" s="110" t="s">
        <v>56</v>
      </c>
      <c r="N75" s="108" t="s">
        <v>13</v>
      </c>
      <c r="O75" s="111" t="s">
        <v>68</v>
      </c>
      <c r="P75" s="351" t="s">
        <v>56</v>
      </c>
      <c r="Q75" s="352" t="s">
        <v>13</v>
      </c>
      <c r="R75" s="356" t="s">
        <v>68</v>
      </c>
      <c r="S75" s="123"/>
      <c r="T75" s="133"/>
      <c r="U75" s="37"/>
    </row>
    <row r="76" spans="2:22">
      <c r="B76" s="558" t="s">
        <v>4</v>
      </c>
      <c r="C76" s="21">
        <v>0</v>
      </c>
      <c r="D76" s="21">
        <v>0</v>
      </c>
      <c r="E76" s="21">
        <v>0</v>
      </c>
      <c r="F76" s="21">
        <v>2</v>
      </c>
      <c r="G76" s="21">
        <v>2</v>
      </c>
      <c r="H76" s="21">
        <v>0</v>
      </c>
      <c r="I76" s="52">
        <f t="shared" ref="I76:I81" si="15">SUM(C76:H76)</f>
        <v>4</v>
      </c>
      <c r="J76" s="263" t="s">
        <v>12</v>
      </c>
      <c r="K76" s="281">
        <f>I76*$L$4</f>
        <v>1472</v>
      </c>
      <c r="L76" s="289">
        <f t="shared" ref="L76:L81" si="16">K76</f>
        <v>1472</v>
      </c>
      <c r="M76" s="58" t="s">
        <v>12</v>
      </c>
      <c r="N76" s="69">
        <f>$I76*$O$4</f>
        <v>1680</v>
      </c>
      <c r="O76" s="68">
        <f t="shared" ref="O76:O81" si="17">N76</f>
        <v>1680</v>
      </c>
      <c r="P76" s="263" t="s">
        <v>12</v>
      </c>
      <c r="Q76" s="281">
        <f>$I76*$R$4</f>
        <v>1680</v>
      </c>
      <c r="R76" s="289">
        <f t="shared" ref="R76:R81" si="18">Q76</f>
        <v>1680</v>
      </c>
      <c r="S76" s="121">
        <f t="shared" ref="S76:S81" si="19">AVERAGE(L76,O76,R76)</f>
        <v>1610.6666666666667</v>
      </c>
      <c r="T76" s="135" t="s">
        <v>12</v>
      </c>
      <c r="U76" s="136" t="s">
        <v>12</v>
      </c>
    </row>
    <row r="77" spans="2:22" ht="13.5" thickBot="1">
      <c r="B77" s="568" t="s">
        <v>8</v>
      </c>
      <c r="C77" s="34">
        <f>ROUND(C76*Labor!$D$3,0)</f>
        <v>0</v>
      </c>
      <c r="D77" s="35">
        <f>ROUND(D76*Labor!$D$4,0)</f>
        <v>0</v>
      </c>
      <c r="E77" s="35">
        <f>ROUND(E76*Labor!$D$5,0)</f>
        <v>0</v>
      </c>
      <c r="F77" s="35">
        <f>ROUND(F76*Labor!$D$6,0)</f>
        <v>99</v>
      </c>
      <c r="G77" s="35">
        <f>ROUND(G76*Labor!$D$7,0)</f>
        <v>111</v>
      </c>
      <c r="H77" s="35">
        <f>ROUND(H76*Labor!$D$8,0)</f>
        <v>0</v>
      </c>
      <c r="I77" s="39">
        <f t="shared" si="15"/>
        <v>210</v>
      </c>
      <c r="J77" s="268">
        <f>HLOOKUP(Labor!$B$11,InflationTable,2)*I77</f>
        <v>251.57999999999998</v>
      </c>
      <c r="K77" s="269">
        <f>J77*$L$4</f>
        <v>92581.439999999988</v>
      </c>
      <c r="L77" s="308">
        <f t="shared" si="16"/>
        <v>92581.439999999988</v>
      </c>
      <c r="M77" s="362">
        <f>HLOOKUP(Labor!$B$11,InflationTable,3)*$I77</f>
        <v>256.83000000000004</v>
      </c>
      <c r="N77" s="63">
        <f>M77*$O$4</f>
        <v>107868.60000000002</v>
      </c>
      <c r="O77" s="95">
        <f t="shared" si="17"/>
        <v>107868.60000000002</v>
      </c>
      <c r="P77" s="268">
        <f>HLOOKUP(Labor!$B$11,InflationTable,4)*$I77</f>
        <v>261.87</v>
      </c>
      <c r="Q77" s="269">
        <f>P77*$R$4</f>
        <v>109985.40000000001</v>
      </c>
      <c r="R77" s="308">
        <f t="shared" si="18"/>
        <v>109985.40000000001</v>
      </c>
      <c r="S77" s="128">
        <f t="shared" si="19"/>
        <v>103478.48</v>
      </c>
      <c r="T77" s="137" t="s">
        <v>12</v>
      </c>
      <c r="U77" s="149" t="s">
        <v>12</v>
      </c>
    </row>
    <row r="78" spans="2:22">
      <c r="B78" s="559" t="s">
        <v>109</v>
      </c>
      <c r="C78" s="346">
        <v>0</v>
      </c>
      <c r="D78" s="346">
        <v>1</v>
      </c>
      <c r="E78" s="346">
        <v>1</v>
      </c>
      <c r="F78" s="346">
        <v>2</v>
      </c>
      <c r="G78" s="346">
        <v>1</v>
      </c>
      <c r="H78" s="346">
        <v>0</v>
      </c>
      <c r="I78" s="347">
        <f t="shared" si="15"/>
        <v>5</v>
      </c>
      <c r="J78" s="293" t="s">
        <v>12</v>
      </c>
      <c r="K78" s="327">
        <f>I78*$L$4</f>
        <v>1840</v>
      </c>
      <c r="L78" s="328">
        <f t="shared" si="16"/>
        <v>1840</v>
      </c>
      <c r="M78" s="61" t="s">
        <v>12</v>
      </c>
      <c r="N78" s="348">
        <f>$I78*$O$4</f>
        <v>2100</v>
      </c>
      <c r="O78" s="349">
        <f t="shared" si="17"/>
        <v>2100</v>
      </c>
      <c r="P78" s="293" t="s">
        <v>12</v>
      </c>
      <c r="Q78" s="327">
        <f>$I78*$R$4</f>
        <v>2100</v>
      </c>
      <c r="R78" s="328">
        <f t="shared" si="18"/>
        <v>2100</v>
      </c>
      <c r="S78" s="129">
        <f t="shared" si="19"/>
        <v>2013.3333333333333</v>
      </c>
      <c r="T78" s="135" t="s">
        <v>12</v>
      </c>
      <c r="U78" s="136" t="s">
        <v>12</v>
      </c>
    </row>
    <row r="79" spans="2:22" ht="13.5" thickBot="1">
      <c r="B79" s="568" t="s">
        <v>8</v>
      </c>
      <c r="C79" s="34">
        <f>ROUND(C78*Labor!$D$3,0)</f>
        <v>0</v>
      </c>
      <c r="D79" s="35">
        <f>ROUND(D78*Labor!$D$4,0)</f>
        <v>41</v>
      </c>
      <c r="E79" s="35">
        <f>ROUND(E78*Labor!$D$5,0)</f>
        <v>44</v>
      </c>
      <c r="F79" s="35">
        <f>ROUND(F78*Labor!$D$6,0)</f>
        <v>99</v>
      </c>
      <c r="G79" s="35">
        <f>ROUND(G78*Labor!$D$7,0)</f>
        <v>55</v>
      </c>
      <c r="H79" s="35">
        <f>ROUND(H78*Labor!$D$8,0)</f>
        <v>0</v>
      </c>
      <c r="I79" s="39">
        <f t="shared" si="15"/>
        <v>239</v>
      </c>
      <c r="J79" s="268">
        <f>HLOOKUP(Labor!$B$11,InflationTable,2)*I79</f>
        <v>286.322</v>
      </c>
      <c r="K79" s="269">
        <f>J79*$L$4</f>
        <v>105366.496</v>
      </c>
      <c r="L79" s="308">
        <f t="shared" si="16"/>
        <v>105366.496</v>
      </c>
      <c r="M79" s="362">
        <f>HLOOKUP(Labor!$B$11,InflationTable,3)*$I79</f>
        <v>292.29700000000003</v>
      </c>
      <c r="N79" s="63">
        <f>M79*$O$4</f>
        <v>122764.74</v>
      </c>
      <c r="O79" s="95">
        <f t="shared" si="17"/>
        <v>122764.74</v>
      </c>
      <c r="P79" s="268">
        <f>HLOOKUP(Labor!$B$11,InflationTable,4)*$I79</f>
        <v>298.03300000000002</v>
      </c>
      <c r="Q79" s="269">
        <f>P79*$R$4</f>
        <v>125173.86</v>
      </c>
      <c r="R79" s="308">
        <f t="shared" si="18"/>
        <v>125173.86</v>
      </c>
      <c r="S79" s="172">
        <f t="shared" si="19"/>
        <v>117768.36533333334</v>
      </c>
      <c r="T79" s="118" t="s">
        <v>12</v>
      </c>
      <c r="U79" s="119" t="s">
        <v>12</v>
      </c>
    </row>
    <row r="80" spans="2:22">
      <c r="B80" s="559" t="s">
        <v>108</v>
      </c>
      <c r="C80" s="346">
        <v>0</v>
      </c>
      <c r="D80" s="346">
        <v>0</v>
      </c>
      <c r="E80" s="346">
        <v>0</v>
      </c>
      <c r="F80" s="346">
        <v>3</v>
      </c>
      <c r="G80" s="346">
        <v>3</v>
      </c>
      <c r="H80" s="346">
        <v>0</v>
      </c>
      <c r="I80" s="347">
        <f t="shared" si="15"/>
        <v>6</v>
      </c>
      <c r="J80" s="293" t="s">
        <v>12</v>
      </c>
      <c r="K80" s="327">
        <f>I80*$L$4</f>
        <v>2208</v>
      </c>
      <c r="L80" s="328">
        <f t="shared" si="16"/>
        <v>2208</v>
      </c>
      <c r="M80" s="61" t="s">
        <v>12</v>
      </c>
      <c r="N80" s="348">
        <f>$I80*$O$4</f>
        <v>2520</v>
      </c>
      <c r="O80" s="349">
        <f t="shared" si="17"/>
        <v>2520</v>
      </c>
      <c r="P80" s="293" t="s">
        <v>12</v>
      </c>
      <c r="Q80" s="327">
        <f>$I80*$R$4</f>
        <v>2520</v>
      </c>
      <c r="R80" s="328">
        <f t="shared" si="18"/>
        <v>2520</v>
      </c>
      <c r="S80" s="121">
        <f t="shared" si="19"/>
        <v>2416</v>
      </c>
      <c r="T80" s="135" t="s">
        <v>12</v>
      </c>
      <c r="U80" s="136" t="s">
        <v>12</v>
      </c>
    </row>
    <row r="81" spans="2:21" ht="13.5" thickBot="1">
      <c r="B81" s="568" t="s">
        <v>8</v>
      </c>
      <c r="C81" s="34">
        <f>ROUND(C80*Labor!$D$3,0)</f>
        <v>0</v>
      </c>
      <c r="D81" s="35">
        <f>ROUND(D80*Labor!$D$4,0)</f>
        <v>0</v>
      </c>
      <c r="E81" s="35">
        <f>ROUND(E80*Labor!$D$5,0)</f>
        <v>0</v>
      </c>
      <c r="F81" s="35">
        <f>ROUND(F80*Labor!$D$6,0)</f>
        <v>148</v>
      </c>
      <c r="G81" s="35">
        <f>ROUND(G80*Labor!$D$7,0)</f>
        <v>166</v>
      </c>
      <c r="H81" s="35">
        <f>ROUND(H80*Labor!$D$8,0)</f>
        <v>0</v>
      </c>
      <c r="I81" s="39">
        <f t="shared" si="15"/>
        <v>314</v>
      </c>
      <c r="J81" s="268">
        <f>HLOOKUP(Labor!$B$11,InflationTable,2)*I81</f>
        <v>376.17199999999997</v>
      </c>
      <c r="K81" s="269">
        <f>J81*$L$4</f>
        <v>138431.296</v>
      </c>
      <c r="L81" s="308">
        <f t="shared" si="16"/>
        <v>138431.296</v>
      </c>
      <c r="M81" s="362">
        <f>HLOOKUP(Labor!$B$11,InflationTable,3)*$I81</f>
        <v>384.02200000000005</v>
      </c>
      <c r="N81" s="63">
        <f>M81*$O$4</f>
        <v>161289.24000000002</v>
      </c>
      <c r="O81" s="95">
        <f t="shared" si="17"/>
        <v>161289.24000000002</v>
      </c>
      <c r="P81" s="268">
        <f>HLOOKUP(Labor!$B$11,InflationTable,4)*$I81</f>
        <v>391.55800000000005</v>
      </c>
      <c r="Q81" s="269">
        <f>P81*$R$4</f>
        <v>164454.36000000002</v>
      </c>
      <c r="R81" s="308">
        <f t="shared" si="18"/>
        <v>164454.36000000002</v>
      </c>
      <c r="S81" s="128">
        <f t="shared" si="19"/>
        <v>154724.96533333336</v>
      </c>
      <c r="T81" s="137" t="s">
        <v>12</v>
      </c>
      <c r="U81" s="149" t="s">
        <v>12</v>
      </c>
    </row>
    <row r="82" spans="2:21">
      <c r="B82" s="565" t="s">
        <v>29</v>
      </c>
      <c r="C82" s="107" t="s">
        <v>45</v>
      </c>
      <c r="D82" s="108" t="s">
        <v>46</v>
      </c>
      <c r="E82" s="107" t="s">
        <v>47</v>
      </c>
      <c r="F82" s="107" t="s">
        <v>48</v>
      </c>
      <c r="G82" s="107" t="s">
        <v>49</v>
      </c>
      <c r="H82" s="107" t="s">
        <v>50</v>
      </c>
      <c r="I82" s="109" t="s">
        <v>112</v>
      </c>
      <c r="J82" s="351"/>
      <c r="K82" s="352"/>
      <c r="L82" s="356"/>
      <c r="M82" s="110" t="s">
        <v>113</v>
      </c>
      <c r="N82" s="108" t="s">
        <v>13</v>
      </c>
      <c r="O82" s="111" t="s">
        <v>68</v>
      </c>
      <c r="P82" s="351" t="s">
        <v>113</v>
      </c>
      <c r="Q82" s="352" t="s">
        <v>13</v>
      </c>
      <c r="R82" s="356" t="s">
        <v>68</v>
      </c>
      <c r="S82" s="123"/>
      <c r="T82" s="133"/>
      <c r="U82" s="37"/>
    </row>
    <row r="83" spans="2:21">
      <c r="B83" s="569" t="s">
        <v>51</v>
      </c>
      <c r="C83" s="21">
        <v>0</v>
      </c>
      <c r="D83" s="21">
        <v>0</v>
      </c>
      <c r="E83" s="21">
        <v>0.2</v>
      </c>
      <c r="F83" s="21">
        <v>0.3</v>
      </c>
      <c r="G83" s="21">
        <v>0</v>
      </c>
      <c r="H83" s="21">
        <v>0</v>
      </c>
      <c r="I83" s="52">
        <f>SUM(C83:H83)</f>
        <v>0.5</v>
      </c>
      <c r="J83" s="263" t="s">
        <v>12</v>
      </c>
      <c r="K83" s="314">
        <f>I83*$J$5</f>
        <v>43.5</v>
      </c>
      <c r="L83" s="289">
        <f>K83</f>
        <v>43.5</v>
      </c>
      <c r="M83" s="58" t="s">
        <v>12</v>
      </c>
      <c r="N83" s="89">
        <f>$I83*M$5</f>
        <v>43.5</v>
      </c>
      <c r="O83" s="68">
        <f>N83</f>
        <v>43.5</v>
      </c>
      <c r="P83" s="263" t="s">
        <v>12</v>
      </c>
      <c r="Q83" s="314">
        <f>$I83*P$5</f>
        <v>43.5</v>
      </c>
      <c r="R83" s="289">
        <f>Q83</f>
        <v>43.5</v>
      </c>
      <c r="S83" s="121">
        <f>AVERAGE(L83,O83,R83)</f>
        <v>43.5</v>
      </c>
      <c r="T83" s="135" t="s">
        <v>12</v>
      </c>
      <c r="U83" s="136" t="s">
        <v>12</v>
      </c>
    </row>
    <row r="84" spans="2:21" ht="13.5" thickBot="1">
      <c r="B84" s="567" t="s">
        <v>107</v>
      </c>
      <c r="C84" s="34">
        <f>ROUND(C83*Labor!$D$3,0)</f>
        <v>0</v>
      </c>
      <c r="D84" s="35">
        <f>ROUND(D83*Labor!$D$4,0)</f>
        <v>0</v>
      </c>
      <c r="E84" s="35">
        <f>ROUND(E83*Labor!$D$5,0)</f>
        <v>9</v>
      </c>
      <c r="F84" s="35">
        <f>ROUND(F83*Labor!$D$6,0)</f>
        <v>15</v>
      </c>
      <c r="G84" s="35">
        <f>ROUND(G83*Labor!$D$7,0)</f>
        <v>0</v>
      </c>
      <c r="H84" s="35">
        <f>ROUND(H83*Labor!$D$8,0)</f>
        <v>0</v>
      </c>
      <c r="I84" s="39">
        <f>SUM(C84:H84)</f>
        <v>24</v>
      </c>
      <c r="J84" s="268">
        <f>HLOOKUP(Labor!$B$11,InflationTable,2)*I84</f>
        <v>28.751999999999999</v>
      </c>
      <c r="K84" s="269">
        <f>J84*$J$5</f>
        <v>2501.424</v>
      </c>
      <c r="L84" s="308">
        <f>K84</f>
        <v>2501.424</v>
      </c>
      <c r="M84" s="362">
        <f>HLOOKUP(Labor!$B$11,InflationTable,3)*$I84</f>
        <v>29.352000000000004</v>
      </c>
      <c r="N84" s="63">
        <f>M84*$M$5</f>
        <v>2553.6240000000003</v>
      </c>
      <c r="O84" s="95">
        <f>N84</f>
        <v>2553.6240000000003</v>
      </c>
      <c r="P84" s="268">
        <f>HLOOKUP(Labor!$B$11,InflationTable,4)*$I84</f>
        <v>29.928000000000004</v>
      </c>
      <c r="Q84" s="269">
        <f>P84*$P$5</f>
        <v>2603.7360000000003</v>
      </c>
      <c r="R84" s="308">
        <f>Q84</f>
        <v>2603.7360000000003</v>
      </c>
      <c r="S84" s="132">
        <f>AVERAGE(L84,O84,R84)</f>
        <v>2552.9280000000003</v>
      </c>
      <c r="T84" s="137" t="s">
        <v>12</v>
      </c>
      <c r="U84" s="149" t="s">
        <v>12</v>
      </c>
    </row>
    <row r="85" spans="2:21">
      <c r="B85" s="565" t="s">
        <v>106</v>
      </c>
      <c r="C85" s="32"/>
      <c r="D85" s="431" t="s">
        <v>54</v>
      </c>
      <c r="E85" s="28">
        <v>5</v>
      </c>
      <c r="F85" s="7"/>
      <c r="G85" s="5"/>
      <c r="H85" s="5"/>
      <c r="I85" s="109" t="s">
        <v>55</v>
      </c>
      <c r="J85" s="259"/>
      <c r="K85" s="542"/>
      <c r="L85" s="543"/>
      <c r="M85" s="364" t="s">
        <v>55</v>
      </c>
      <c r="N85" s="1431" t="s">
        <v>57</v>
      </c>
      <c r="O85" s="1432"/>
      <c r="P85" s="259" t="s">
        <v>55</v>
      </c>
      <c r="Q85" s="1428" t="s">
        <v>57</v>
      </c>
      <c r="R85" s="1436"/>
      <c r="S85" s="170"/>
      <c r="T85" s="133"/>
      <c r="U85" s="37"/>
    </row>
    <row r="86" spans="2:21">
      <c r="B86" s="569" t="s">
        <v>51</v>
      </c>
      <c r="C86" s="21">
        <v>0</v>
      </c>
      <c r="D86" s="21">
        <v>0</v>
      </c>
      <c r="E86" s="21">
        <v>0</v>
      </c>
      <c r="F86" s="21">
        <v>5</v>
      </c>
      <c r="G86" s="21">
        <v>5</v>
      </c>
      <c r="H86" s="21">
        <v>5</v>
      </c>
      <c r="I86" s="52">
        <f>SUM(C86:H86)</f>
        <v>15</v>
      </c>
      <c r="J86" s="263" t="s">
        <v>12</v>
      </c>
      <c r="K86" s="283">
        <f>I86*$J$5</f>
        <v>1305</v>
      </c>
      <c r="L86" s="282">
        <f>K86/$E$85</f>
        <v>261</v>
      </c>
      <c r="M86" s="58" t="s">
        <v>12</v>
      </c>
      <c r="N86" s="60">
        <f>$I$86*$M$5</f>
        <v>1305</v>
      </c>
      <c r="O86" s="59">
        <f>N86/$E$85</f>
        <v>261</v>
      </c>
      <c r="P86" s="263" t="s">
        <v>12</v>
      </c>
      <c r="Q86" s="283">
        <f>$I$86*$P$5</f>
        <v>1305</v>
      </c>
      <c r="R86" s="282">
        <f>Q86/$E$85</f>
        <v>261</v>
      </c>
      <c r="S86" s="121">
        <f>AVERAGE(L86,O86,R86)</f>
        <v>261</v>
      </c>
      <c r="T86" s="135" t="s">
        <v>12</v>
      </c>
      <c r="U86" s="136" t="s">
        <v>12</v>
      </c>
    </row>
    <row r="87" spans="2:21" ht="13.5" thickBot="1">
      <c r="B87" s="567" t="s">
        <v>105</v>
      </c>
      <c r="C87" s="34">
        <f>ROUND(C86*Labor!$D$3,0)</f>
        <v>0</v>
      </c>
      <c r="D87" s="35">
        <f>ROUND(D86*Labor!$D$4,0)</f>
        <v>0</v>
      </c>
      <c r="E87" s="35">
        <f>ROUND(E86*Labor!$D$5,0)</f>
        <v>0</v>
      </c>
      <c r="F87" s="35">
        <f>ROUND(F86*Labor!$D$6,0)</f>
        <v>246</v>
      </c>
      <c r="G87" s="35">
        <f>ROUND(G86*Labor!$D$7,0)</f>
        <v>277</v>
      </c>
      <c r="H87" s="35">
        <f>ROUND(H86*Labor!$D$8,0)</f>
        <v>293</v>
      </c>
      <c r="I87" s="39">
        <f>SUM(C87:H87)</f>
        <v>816</v>
      </c>
      <c r="J87" s="268">
        <f>HLOOKUP(Labor!$B$11,InflationTable,2)*I87</f>
        <v>977.56799999999998</v>
      </c>
      <c r="K87" s="269">
        <f>J87*$J$5</f>
        <v>85048.415999999997</v>
      </c>
      <c r="L87" s="270">
        <f>K87/$E$85</f>
        <v>17009.683199999999</v>
      </c>
      <c r="M87" s="91">
        <f>HLOOKUP(Labor!$B$11,InflationTable,3)*$I87</f>
        <v>997.96800000000007</v>
      </c>
      <c r="N87" s="63">
        <f>M87*$M$5</f>
        <v>86823.216</v>
      </c>
      <c r="O87" s="64">
        <f>N87/$E$85</f>
        <v>17364.643199999999</v>
      </c>
      <c r="P87" s="292">
        <f>HLOOKUP(Labor!$B$11,InflationTable,4)*$I87</f>
        <v>1017.5520000000001</v>
      </c>
      <c r="Q87" s="269">
        <f>P87*$P$5</f>
        <v>88527.024000000005</v>
      </c>
      <c r="R87" s="270">
        <f>Q87/$E$85</f>
        <v>17705.4048</v>
      </c>
      <c r="S87" s="128">
        <f>AVERAGE(L87,O87,R87)</f>
        <v>17359.910399999997</v>
      </c>
      <c r="T87" s="137" t="s">
        <v>12</v>
      </c>
      <c r="U87" s="149" t="s">
        <v>12</v>
      </c>
    </row>
    <row r="88" spans="2:21">
      <c r="B88" s="560" t="s">
        <v>66</v>
      </c>
      <c r="C88" s="42">
        <f t="shared" ref="C88:I89" si="20">C71+C73+C76+C78+C80+C83+C86</f>
        <v>0</v>
      </c>
      <c r="D88" s="42">
        <f t="shared" si="20"/>
        <v>25</v>
      </c>
      <c r="E88" s="42">
        <f t="shared" si="20"/>
        <v>25.2</v>
      </c>
      <c r="F88" s="42">
        <f t="shared" si="20"/>
        <v>48.3</v>
      </c>
      <c r="G88" s="42">
        <f t="shared" si="20"/>
        <v>47</v>
      </c>
      <c r="H88" s="42">
        <f t="shared" si="20"/>
        <v>5</v>
      </c>
      <c r="I88" s="53">
        <f t="shared" si="20"/>
        <v>150.5</v>
      </c>
      <c r="J88" s="293" t="s">
        <v>12</v>
      </c>
      <c r="K88" s="315" t="s">
        <v>12</v>
      </c>
      <c r="L88" s="316">
        <f>L86+K83+K80+K78+K76+K73+K71</f>
        <v>49984.5</v>
      </c>
      <c r="M88" s="92" t="s">
        <v>12</v>
      </c>
      <c r="N88" s="42" t="s">
        <v>12</v>
      </c>
      <c r="O88" s="90">
        <f>O86+N83+N80+N78+N76+N73+N71</f>
        <v>57004.5</v>
      </c>
      <c r="P88" s="293" t="s">
        <v>12</v>
      </c>
      <c r="Q88" s="315" t="s">
        <v>12</v>
      </c>
      <c r="R88" s="316">
        <f>R86+Q83+Q80+Q78+Q76+Q73+Q71</f>
        <v>57004.5</v>
      </c>
      <c r="S88" s="150">
        <f>AVERAGE(L88,O88,R88)</f>
        <v>54664.5</v>
      </c>
      <c r="T88" s="133"/>
      <c r="U88" s="37"/>
    </row>
    <row r="89" spans="2:21" ht="13.5" thickBot="1">
      <c r="B89" s="561" t="s">
        <v>67</v>
      </c>
      <c r="C89" s="240">
        <f t="shared" si="20"/>
        <v>0</v>
      </c>
      <c r="D89" s="240">
        <f t="shared" si="20"/>
        <v>1022</v>
      </c>
      <c r="E89" s="240">
        <f t="shared" si="20"/>
        <v>1112</v>
      </c>
      <c r="F89" s="240">
        <f t="shared" si="20"/>
        <v>2380</v>
      </c>
      <c r="G89" s="240">
        <f t="shared" si="20"/>
        <v>2606</v>
      </c>
      <c r="H89" s="240">
        <f t="shared" si="20"/>
        <v>293</v>
      </c>
      <c r="I89" s="243">
        <f t="shared" si="20"/>
        <v>7413</v>
      </c>
      <c r="J89" s="274">
        <f>J72+J74+J77+J79+J81+J84+J87</f>
        <v>8880.7739999999994</v>
      </c>
      <c r="K89" s="317" t="s">
        <v>12</v>
      </c>
      <c r="L89" s="306">
        <f>L87+K84+K81+K79+K77+K74+K72</f>
        <v>2917310.1792000001</v>
      </c>
      <c r="M89" s="242">
        <f>M72+M74+M77+M79+M81+M84+M87</f>
        <v>9066.0990000000002</v>
      </c>
      <c r="N89" s="256" t="s">
        <v>12</v>
      </c>
      <c r="O89" s="254">
        <f>O87+N84+N81+N79+N77+N74+N72</f>
        <v>3396205.4472000003</v>
      </c>
      <c r="P89" s="274">
        <f>P72+P74+P77+P79+P81+P84+P87</f>
        <v>9244.0110000000004</v>
      </c>
      <c r="Q89" s="317" t="s">
        <v>12</v>
      </c>
      <c r="R89" s="306">
        <f>R87+Q84+Q81+Q79+Q77+Q74+Q72</f>
        <v>3462852.1608000007</v>
      </c>
      <c r="S89" s="248">
        <f>AVERAGE(L89,O89,R89)</f>
        <v>3258789.2623999999</v>
      </c>
      <c r="T89" s="246"/>
      <c r="U89" s="236"/>
    </row>
    <row r="90" spans="2:21" ht="14.25" thickTop="1" thickBot="1">
      <c r="B90" s="619"/>
      <c r="C90" s="618"/>
      <c r="D90" s="618"/>
      <c r="E90" s="618"/>
      <c r="F90" s="618"/>
      <c r="G90" s="618"/>
      <c r="H90" s="618"/>
      <c r="I90" s="618"/>
      <c r="J90" s="618"/>
      <c r="K90" s="618"/>
      <c r="L90" s="618"/>
      <c r="M90" s="618"/>
      <c r="N90" s="618"/>
      <c r="O90" s="618"/>
      <c r="P90" s="618"/>
      <c r="Q90" s="618"/>
      <c r="R90" s="618"/>
      <c r="S90" s="618"/>
      <c r="T90" s="618"/>
      <c r="U90" s="620"/>
    </row>
    <row r="91" spans="2:21" ht="16.5" thickTop="1">
      <c r="B91" s="562" t="s">
        <v>30</v>
      </c>
      <c r="C91" s="5"/>
      <c r="D91" s="5"/>
      <c r="E91" s="5"/>
      <c r="F91" s="112" t="s">
        <v>6</v>
      </c>
      <c r="G91" s="1412"/>
      <c r="H91" s="1413"/>
      <c r="I91" s="1414"/>
      <c r="J91" s="181" t="s">
        <v>30</v>
      </c>
      <c r="K91" s="426"/>
      <c r="L91" s="67"/>
      <c r="M91" s="181" t="s">
        <v>30</v>
      </c>
      <c r="N91" s="426"/>
      <c r="O91" s="67"/>
      <c r="P91" s="181" t="s">
        <v>30</v>
      </c>
      <c r="Q91" s="319"/>
      <c r="R91" s="180"/>
      <c r="S91" s="225"/>
      <c r="T91" s="133"/>
      <c r="U91" s="37"/>
    </row>
    <row r="92" spans="2:21">
      <c r="B92" s="555"/>
      <c r="C92" s="5"/>
      <c r="D92" s="5"/>
      <c r="E92" s="5"/>
      <c r="F92" s="7"/>
      <c r="G92" s="5"/>
      <c r="H92" s="5"/>
      <c r="I92" s="45" t="s">
        <v>61</v>
      </c>
      <c r="J92" s="277" t="s">
        <v>61</v>
      </c>
      <c r="K92" s="1419" t="s">
        <v>57</v>
      </c>
      <c r="L92" s="1420"/>
      <c r="M92" s="57" t="s">
        <v>61</v>
      </c>
      <c r="N92" s="1429" t="s">
        <v>57</v>
      </c>
      <c r="O92" s="1433"/>
      <c r="P92" s="318" t="s">
        <v>61</v>
      </c>
      <c r="Q92" s="1428" t="s">
        <v>57</v>
      </c>
      <c r="R92" s="1436"/>
      <c r="S92" s="131"/>
      <c r="T92" s="133"/>
      <c r="U92" s="37"/>
    </row>
    <row r="93" spans="2:21">
      <c r="B93" s="563" t="s">
        <v>21</v>
      </c>
      <c r="C93" s="23" t="s">
        <v>45</v>
      </c>
      <c r="D93" s="24" t="s">
        <v>46</v>
      </c>
      <c r="E93" s="23" t="s">
        <v>47</v>
      </c>
      <c r="F93" s="23" t="s">
        <v>48</v>
      </c>
      <c r="G93" s="23" t="s">
        <v>49</v>
      </c>
      <c r="H93" s="23" t="s">
        <v>50</v>
      </c>
      <c r="I93" s="45" t="s">
        <v>13</v>
      </c>
      <c r="J93" s="260" t="s">
        <v>56</v>
      </c>
      <c r="K93" s="261" t="s">
        <v>13</v>
      </c>
      <c r="L93" s="262" t="s">
        <v>68</v>
      </c>
      <c r="M93" s="77" t="s">
        <v>56</v>
      </c>
      <c r="N93" s="24" t="s">
        <v>13</v>
      </c>
      <c r="O93" s="38" t="s">
        <v>68</v>
      </c>
      <c r="P93" s="260" t="s">
        <v>56</v>
      </c>
      <c r="Q93" s="261" t="s">
        <v>13</v>
      </c>
      <c r="R93" s="262" t="s">
        <v>68</v>
      </c>
      <c r="S93" s="123"/>
      <c r="T93" s="133"/>
      <c r="U93" s="37"/>
    </row>
    <row r="94" spans="2:21">
      <c r="B94" s="566" t="s">
        <v>4</v>
      </c>
      <c r="C94" s="21">
        <v>0</v>
      </c>
      <c r="D94" s="21">
        <v>0</v>
      </c>
      <c r="E94" s="21">
        <v>0</v>
      </c>
      <c r="F94" s="21">
        <v>0</v>
      </c>
      <c r="G94" s="21">
        <v>8</v>
      </c>
      <c r="H94" s="21">
        <v>4</v>
      </c>
      <c r="I94" s="52">
        <f>SUM(C94:H94)</f>
        <v>12</v>
      </c>
      <c r="J94" s="263" t="s">
        <v>12</v>
      </c>
      <c r="K94" s="281">
        <f>I94*$L$4</f>
        <v>4416</v>
      </c>
      <c r="L94" s="289">
        <f>K94</f>
        <v>4416</v>
      </c>
      <c r="M94" s="58" t="s">
        <v>12</v>
      </c>
      <c r="N94" s="69">
        <f>$I94*O$4</f>
        <v>5040</v>
      </c>
      <c r="O94" s="59">
        <f>N94</f>
        <v>5040</v>
      </c>
      <c r="P94" s="263" t="s">
        <v>12</v>
      </c>
      <c r="Q94" s="281">
        <f>$I94*R$4</f>
        <v>5040</v>
      </c>
      <c r="R94" s="289">
        <f>Q94</f>
        <v>5040</v>
      </c>
      <c r="S94" s="173">
        <f t="shared" ref="S94:S99" si="21">AVERAGE(L94,O94,R94)</f>
        <v>4832</v>
      </c>
      <c r="T94" s="135" t="s">
        <v>12</v>
      </c>
      <c r="U94" s="136" t="s">
        <v>12</v>
      </c>
    </row>
    <row r="95" spans="2:21" ht="13.5" thickBot="1">
      <c r="B95" s="567" t="s">
        <v>8</v>
      </c>
      <c r="C95" s="34">
        <f>ROUND(C94*Labor!$D$3,0)</f>
        <v>0</v>
      </c>
      <c r="D95" s="35">
        <f>ROUND(D94*Labor!$D$4,0)</f>
        <v>0</v>
      </c>
      <c r="E95" s="35">
        <f>ROUND(E94*Labor!$D$5,0)</f>
        <v>0</v>
      </c>
      <c r="F95" s="35">
        <f>ROUND(F94*Labor!$D$6,0)</f>
        <v>0</v>
      </c>
      <c r="G95" s="35">
        <f>ROUND(G94*Labor!$D$7,0)</f>
        <v>444</v>
      </c>
      <c r="H95" s="35">
        <f>ROUND(H94*Labor!$D$8,0)</f>
        <v>234</v>
      </c>
      <c r="I95" s="39">
        <f>SUM(C95:H95)</f>
        <v>678</v>
      </c>
      <c r="J95" s="268">
        <f>HLOOKUP(Labor!$B$11,InflationTable,2)*I95</f>
        <v>812.24399999999991</v>
      </c>
      <c r="K95" s="269">
        <f>J95*$L$4</f>
        <v>298905.79199999996</v>
      </c>
      <c r="L95" s="308">
        <f>K95</f>
        <v>298905.79199999996</v>
      </c>
      <c r="M95" s="84">
        <f>HLOOKUP(Labor!$B$11,InflationTable,3)*$I95</f>
        <v>829.19400000000007</v>
      </c>
      <c r="N95" s="63">
        <f>M95*O$4</f>
        <v>348261.48000000004</v>
      </c>
      <c r="O95" s="64">
        <f>N95</f>
        <v>348261.48000000004</v>
      </c>
      <c r="P95" s="268">
        <f>HLOOKUP(Labor!$B$11,InflationTable,4)*$I95</f>
        <v>845.46600000000012</v>
      </c>
      <c r="Q95" s="269">
        <f>P95*R$4</f>
        <v>355095.72000000003</v>
      </c>
      <c r="R95" s="308">
        <f>Q95</f>
        <v>355095.72000000003</v>
      </c>
      <c r="S95" s="171">
        <f t="shared" si="21"/>
        <v>334087.66400000005</v>
      </c>
      <c r="T95" s="137" t="s">
        <v>12</v>
      </c>
      <c r="U95" s="149" t="s">
        <v>12</v>
      </c>
    </row>
    <row r="96" spans="2:21">
      <c r="B96" s="559" t="s">
        <v>104</v>
      </c>
      <c r="C96" s="346">
        <v>0</v>
      </c>
      <c r="D96" s="346">
        <v>0</v>
      </c>
      <c r="E96" s="346">
        <v>16</v>
      </c>
      <c r="F96" s="346">
        <v>8</v>
      </c>
      <c r="G96" s="346">
        <v>4</v>
      </c>
      <c r="H96" s="346">
        <v>2</v>
      </c>
      <c r="I96" s="347">
        <f>SUM(C96:H96)</f>
        <v>30</v>
      </c>
      <c r="J96" s="293" t="s">
        <v>12</v>
      </c>
      <c r="K96" s="327">
        <f>I96*$L$4</f>
        <v>11040</v>
      </c>
      <c r="L96" s="328">
        <f>K96</f>
        <v>11040</v>
      </c>
      <c r="M96" s="61" t="s">
        <v>12</v>
      </c>
      <c r="N96" s="348">
        <f>$I96*O$4</f>
        <v>12600</v>
      </c>
      <c r="O96" s="349">
        <f>N96</f>
        <v>12600</v>
      </c>
      <c r="P96" s="293" t="s">
        <v>12</v>
      </c>
      <c r="Q96" s="327">
        <f>$I96*R$4</f>
        <v>12600</v>
      </c>
      <c r="R96" s="328">
        <f>Q96</f>
        <v>12600</v>
      </c>
      <c r="S96" s="173">
        <f t="shared" si="21"/>
        <v>12080</v>
      </c>
      <c r="T96" s="135" t="s">
        <v>12</v>
      </c>
      <c r="U96" s="136" t="s">
        <v>12</v>
      </c>
    </row>
    <row r="97" spans="2:22" ht="13.5" thickBot="1">
      <c r="B97" s="568" t="s">
        <v>8</v>
      </c>
      <c r="C97" s="34">
        <f>ROUND(C96*Labor!$D$3,0)</f>
        <v>0</v>
      </c>
      <c r="D97" s="35">
        <f>ROUND(D96*Labor!$D$4,0)</f>
        <v>0</v>
      </c>
      <c r="E97" s="35">
        <f>ROUND(E96*Labor!$D$5,0)</f>
        <v>706</v>
      </c>
      <c r="F97" s="35">
        <f>ROUND(F96*Labor!$D$6,0)</f>
        <v>394</v>
      </c>
      <c r="G97" s="35">
        <f>ROUND(G96*Labor!$D$7,0)</f>
        <v>222</v>
      </c>
      <c r="H97" s="35">
        <f>ROUND(H96*Labor!$D$8,0)</f>
        <v>117</v>
      </c>
      <c r="I97" s="39">
        <f>SUM(C97:H97)</f>
        <v>1439</v>
      </c>
      <c r="J97" s="268">
        <f>HLOOKUP(Labor!$B$11,InflationTable,2)*I97</f>
        <v>1723.922</v>
      </c>
      <c r="K97" s="269">
        <f>J97*$L$4</f>
        <v>634403.29599999997</v>
      </c>
      <c r="L97" s="300">
        <f>K97</f>
        <v>634403.29599999997</v>
      </c>
      <c r="M97" s="84">
        <f>HLOOKUP(Labor!$B$11,InflationTable,3)*$I97</f>
        <v>1759.8970000000002</v>
      </c>
      <c r="N97" s="63">
        <f>M97*O$4</f>
        <v>739156.74000000011</v>
      </c>
      <c r="O97" s="64">
        <f>N97</f>
        <v>739156.74000000011</v>
      </c>
      <c r="P97" s="292">
        <f>HLOOKUP(Labor!$B$11,InflationTable,4)*$I97</f>
        <v>1794.4330000000002</v>
      </c>
      <c r="Q97" s="269">
        <f>P97*R$4</f>
        <v>753661.8600000001</v>
      </c>
      <c r="R97" s="300">
        <f>Q97</f>
        <v>753661.8600000001</v>
      </c>
      <c r="S97" s="128">
        <f t="shared" si="21"/>
        <v>709073.96533333336</v>
      </c>
      <c r="T97" s="137" t="s">
        <v>12</v>
      </c>
      <c r="U97" s="149" t="s">
        <v>12</v>
      </c>
    </row>
    <row r="98" spans="2:22">
      <c r="B98" s="560" t="s">
        <v>66</v>
      </c>
      <c r="C98" s="36">
        <f t="shared" ref="C98:I99" si="22">C94+C96</f>
        <v>0</v>
      </c>
      <c r="D98" s="36">
        <f t="shared" si="22"/>
        <v>0</v>
      </c>
      <c r="E98" s="36">
        <f t="shared" si="22"/>
        <v>16</v>
      </c>
      <c r="F98" s="36">
        <f t="shared" si="22"/>
        <v>8</v>
      </c>
      <c r="G98" s="36">
        <f t="shared" si="22"/>
        <v>12</v>
      </c>
      <c r="H98" s="36">
        <f t="shared" si="22"/>
        <v>6</v>
      </c>
      <c r="I98" s="46">
        <f t="shared" si="22"/>
        <v>42</v>
      </c>
      <c r="J98" s="301" t="s">
        <v>12</v>
      </c>
      <c r="K98" s="320">
        <f>K94+K96</f>
        <v>15456</v>
      </c>
      <c r="L98" s="321">
        <f>L94+L96</f>
        <v>15456</v>
      </c>
      <c r="M98" s="85" t="s">
        <v>12</v>
      </c>
      <c r="N98" s="36">
        <f>N94+N96</f>
        <v>17640</v>
      </c>
      <c r="O98" s="100">
        <f>O94+O96</f>
        <v>17640</v>
      </c>
      <c r="P98" s="301" t="s">
        <v>12</v>
      </c>
      <c r="Q98" s="320">
        <f>Q94+Q96</f>
        <v>17640</v>
      </c>
      <c r="R98" s="322">
        <f>R94+R96</f>
        <v>17640</v>
      </c>
      <c r="S98" s="121">
        <f t="shared" si="21"/>
        <v>16912</v>
      </c>
      <c r="T98" s="135" t="s">
        <v>12</v>
      </c>
      <c r="U98" s="136" t="s">
        <v>12</v>
      </c>
    </row>
    <row r="99" spans="2:22" ht="13.5" thickBot="1">
      <c r="B99" s="561" t="s">
        <v>67</v>
      </c>
      <c r="C99" s="240">
        <f t="shared" si="22"/>
        <v>0</v>
      </c>
      <c r="D99" s="240">
        <f t="shared" si="22"/>
        <v>0</v>
      </c>
      <c r="E99" s="240">
        <f t="shared" si="22"/>
        <v>706</v>
      </c>
      <c r="F99" s="240">
        <f t="shared" si="22"/>
        <v>394</v>
      </c>
      <c r="G99" s="240">
        <f t="shared" si="22"/>
        <v>666</v>
      </c>
      <c r="H99" s="240">
        <f t="shared" si="22"/>
        <v>351</v>
      </c>
      <c r="I99" s="243">
        <f t="shared" si="22"/>
        <v>2117</v>
      </c>
      <c r="J99" s="274">
        <f>J95+J97</f>
        <v>2536.1660000000002</v>
      </c>
      <c r="K99" s="275">
        <f>K95+K97</f>
        <v>933309.08799999999</v>
      </c>
      <c r="L99" s="276">
        <f>L95+L97</f>
        <v>933309.08799999999</v>
      </c>
      <c r="M99" s="242">
        <f>M95+M97</f>
        <v>2589.0910000000003</v>
      </c>
      <c r="N99" s="240">
        <f>N95+N97</f>
        <v>1087418.2200000002</v>
      </c>
      <c r="O99" s="243">
        <f>O95+O97</f>
        <v>1087418.2200000002</v>
      </c>
      <c r="P99" s="313">
        <f>P95+P97</f>
        <v>2639.8990000000003</v>
      </c>
      <c r="Q99" s="275">
        <f>Q95+Q97</f>
        <v>1108757.58</v>
      </c>
      <c r="R99" s="276">
        <f>R95+R97</f>
        <v>1108757.58</v>
      </c>
      <c r="S99" s="257">
        <f t="shared" si="21"/>
        <v>1043161.6293333335</v>
      </c>
      <c r="T99" s="258" t="s">
        <v>12</v>
      </c>
      <c r="U99" s="249" t="s">
        <v>12</v>
      </c>
    </row>
    <row r="100" spans="2:22" ht="14.25" thickTop="1" thickBot="1">
      <c r="B100" s="555"/>
      <c r="C100" s="5"/>
      <c r="D100" s="618"/>
      <c r="E100" s="618"/>
      <c r="F100" s="618"/>
      <c r="G100" s="618"/>
      <c r="H100" s="618"/>
      <c r="I100" s="618"/>
      <c r="J100" s="618"/>
      <c r="K100" s="618"/>
      <c r="L100" s="618"/>
      <c r="M100" s="618"/>
      <c r="N100" s="618"/>
      <c r="O100" s="618"/>
      <c r="P100" s="618"/>
      <c r="Q100" s="618"/>
      <c r="R100" s="618"/>
      <c r="S100" s="618"/>
      <c r="T100" s="618"/>
      <c r="U100" s="620"/>
    </row>
    <row r="101" spans="2:22" ht="19.5" thickTop="1" thickBot="1">
      <c r="B101" s="556" t="s">
        <v>121</v>
      </c>
      <c r="C101" s="234" t="str">
        <f>C2</f>
        <v>NO2</v>
      </c>
      <c r="D101" s="5"/>
      <c r="E101" s="4"/>
      <c r="F101" s="12"/>
      <c r="G101" s="4"/>
      <c r="H101" s="4"/>
      <c r="I101" s="41"/>
      <c r="J101" s="233" t="str">
        <f>J2</f>
        <v>Year 1</v>
      </c>
      <c r="K101" s="233">
        <f>K2</f>
        <v>2013</v>
      </c>
      <c r="L101" s="83"/>
      <c r="M101" s="79" t="str">
        <f>M2</f>
        <v>Year 2</v>
      </c>
      <c r="N101" s="79">
        <f>N2</f>
        <v>2014</v>
      </c>
      <c r="O101" s="41"/>
      <c r="P101" s="233" t="str">
        <f>P2</f>
        <v>Year 3</v>
      </c>
      <c r="Q101" s="233">
        <f>Q2</f>
        <v>2015</v>
      </c>
      <c r="R101" s="83"/>
      <c r="S101" s="152"/>
      <c r="T101" s="130"/>
      <c r="U101" s="570"/>
    </row>
    <row r="102" spans="2:22" ht="13.5" thickBot="1">
      <c r="B102" s="555"/>
      <c r="C102" s="194" t="s">
        <v>45</v>
      </c>
      <c r="D102" s="190" t="s">
        <v>46</v>
      </c>
      <c r="E102" s="187" t="s">
        <v>47</v>
      </c>
      <c r="F102" s="202" t="s">
        <v>48</v>
      </c>
      <c r="G102" s="201" t="s">
        <v>49</v>
      </c>
      <c r="H102" s="187" t="s">
        <v>50</v>
      </c>
      <c r="I102" s="188" t="s">
        <v>13</v>
      </c>
      <c r="J102" s="323" t="s">
        <v>56</v>
      </c>
      <c r="K102" s="324" t="s">
        <v>13</v>
      </c>
      <c r="L102" s="325" t="s">
        <v>68</v>
      </c>
      <c r="M102" s="189" t="s">
        <v>56</v>
      </c>
      <c r="N102" s="190" t="s">
        <v>13</v>
      </c>
      <c r="O102" s="191" t="s">
        <v>68</v>
      </c>
      <c r="P102" s="323" t="s">
        <v>56</v>
      </c>
      <c r="Q102" s="324" t="s">
        <v>13</v>
      </c>
      <c r="R102" s="325" t="s">
        <v>68</v>
      </c>
      <c r="S102" s="192"/>
      <c r="T102" s="193"/>
      <c r="U102" s="571"/>
      <c r="V102" s="5"/>
    </row>
    <row r="103" spans="2:22">
      <c r="B103" s="572" t="s">
        <v>97</v>
      </c>
      <c r="C103" s="196">
        <f>C15</f>
        <v>0</v>
      </c>
      <c r="D103" s="184">
        <f t="shared" ref="D103:I103" si="23">D15</f>
        <v>0</v>
      </c>
      <c r="E103" s="184">
        <f t="shared" si="23"/>
        <v>0</v>
      </c>
      <c r="F103" s="184">
        <f t="shared" si="23"/>
        <v>14</v>
      </c>
      <c r="G103" s="184">
        <f t="shared" si="23"/>
        <v>14</v>
      </c>
      <c r="H103" s="184">
        <f t="shared" si="23"/>
        <v>10</v>
      </c>
      <c r="I103" s="185">
        <f t="shared" si="23"/>
        <v>38</v>
      </c>
      <c r="J103" s="326" t="str">
        <f t="shared" ref="J103:S103" si="24">J15</f>
        <v>NA</v>
      </c>
      <c r="K103" s="327">
        <f t="shared" si="24"/>
        <v>3306</v>
      </c>
      <c r="L103" s="328">
        <f t="shared" si="24"/>
        <v>472.28571428571428</v>
      </c>
      <c r="M103" s="186" t="str">
        <f t="shared" si="24"/>
        <v>NA</v>
      </c>
      <c r="N103" s="184">
        <f t="shared" si="24"/>
        <v>3306</v>
      </c>
      <c r="O103" s="185">
        <f t="shared" si="24"/>
        <v>472.28571428571428</v>
      </c>
      <c r="P103" s="326" t="str">
        <f t="shared" si="24"/>
        <v>NA</v>
      </c>
      <c r="Q103" s="327">
        <f t="shared" si="24"/>
        <v>3306</v>
      </c>
      <c r="R103" s="328">
        <f t="shared" si="24"/>
        <v>472.28571428571428</v>
      </c>
      <c r="S103" s="185">
        <f t="shared" si="24"/>
        <v>472.28571428571428</v>
      </c>
      <c r="T103" s="37"/>
      <c r="U103" s="138"/>
    </row>
    <row r="104" spans="2:22" ht="13.5" thickBot="1">
      <c r="B104" s="573" t="s">
        <v>76</v>
      </c>
      <c r="C104" s="203">
        <f>C16</f>
        <v>0</v>
      </c>
      <c r="D104" s="204">
        <f t="shared" ref="D104:I104" si="25">D16</f>
        <v>0</v>
      </c>
      <c r="E104" s="204">
        <f t="shared" si="25"/>
        <v>0</v>
      </c>
      <c r="F104" s="204">
        <f t="shared" si="25"/>
        <v>690</v>
      </c>
      <c r="G104" s="204">
        <f t="shared" si="25"/>
        <v>777</v>
      </c>
      <c r="H104" s="204">
        <f t="shared" si="25"/>
        <v>586</v>
      </c>
      <c r="I104" s="205">
        <f t="shared" si="25"/>
        <v>2053</v>
      </c>
      <c r="J104" s="329">
        <f t="shared" ref="J104:T104" si="26">J16</f>
        <v>2459.4939999999997</v>
      </c>
      <c r="K104" s="330">
        <f t="shared" si="26"/>
        <v>213975.97799999997</v>
      </c>
      <c r="L104" s="331">
        <f t="shared" si="26"/>
        <v>30567.996857142854</v>
      </c>
      <c r="M104" s="203">
        <f t="shared" si="26"/>
        <v>2510.819</v>
      </c>
      <c r="N104" s="204">
        <f t="shared" si="26"/>
        <v>218441.253</v>
      </c>
      <c r="O104" s="205">
        <f t="shared" si="26"/>
        <v>31205.893285714286</v>
      </c>
      <c r="P104" s="329">
        <f t="shared" si="26"/>
        <v>2560.0910000000003</v>
      </c>
      <c r="Q104" s="330">
        <f t="shared" si="26"/>
        <v>222727.91700000002</v>
      </c>
      <c r="R104" s="331">
        <f t="shared" si="26"/>
        <v>31818.27385714286</v>
      </c>
      <c r="S104" s="205">
        <f t="shared" si="26"/>
        <v>31197.388000000003</v>
      </c>
      <c r="T104" s="206" t="str">
        <f t="shared" si="26"/>
        <v>NA</v>
      </c>
      <c r="U104" s="392" t="s">
        <v>12</v>
      </c>
    </row>
    <row r="105" spans="2:22">
      <c r="B105" s="574" t="s">
        <v>98</v>
      </c>
      <c r="C105" s="196">
        <f>C28</f>
        <v>0</v>
      </c>
      <c r="D105" s="184">
        <f t="shared" ref="D105:S105" si="27">D28</f>
        <v>8</v>
      </c>
      <c r="E105" s="184">
        <f t="shared" si="27"/>
        <v>8</v>
      </c>
      <c r="F105" s="184">
        <f t="shared" si="27"/>
        <v>4</v>
      </c>
      <c r="G105" s="184">
        <f t="shared" si="27"/>
        <v>0</v>
      </c>
      <c r="H105" s="184">
        <f t="shared" si="27"/>
        <v>0</v>
      </c>
      <c r="I105" s="185">
        <f t="shared" si="27"/>
        <v>20</v>
      </c>
      <c r="J105" s="326" t="str">
        <f t="shared" si="27"/>
        <v>NA</v>
      </c>
      <c r="K105" s="327">
        <f t="shared" si="27"/>
        <v>7433.6</v>
      </c>
      <c r="L105" s="328">
        <f t="shared" si="27"/>
        <v>1061.9428571428571</v>
      </c>
      <c r="M105" s="186" t="str">
        <f t="shared" si="27"/>
        <v>NA</v>
      </c>
      <c r="N105" s="184">
        <f t="shared" si="27"/>
        <v>8484</v>
      </c>
      <c r="O105" s="185">
        <f t="shared" si="27"/>
        <v>1212</v>
      </c>
      <c r="P105" s="326" t="str">
        <f t="shared" si="27"/>
        <v>NA</v>
      </c>
      <c r="Q105" s="327">
        <f t="shared" si="27"/>
        <v>8484</v>
      </c>
      <c r="R105" s="328">
        <f t="shared" si="27"/>
        <v>1212</v>
      </c>
      <c r="S105" s="185">
        <f t="shared" si="27"/>
        <v>1161.9809523809524</v>
      </c>
      <c r="T105" s="37"/>
      <c r="U105" s="138"/>
    </row>
    <row r="106" spans="2:22" ht="13.5" thickBot="1">
      <c r="B106" s="573" t="s">
        <v>76</v>
      </c>
      <c r="C106" s="207">
        <f>C29</f>
        <v>0</v>
      </c>
      <c r="D106" s="208">
        <f t="shared" ref="D106:U106" si="28">D29</f>
        <v>327</v>
      </c>
      <c r="E106" s="208">
        <f t="shared" si="28"/>
        <v>353</v>
      </c>
      <c r="F106" s="208">
        <f t="shared" si="28"/>
        <v>197</v>
      </c>
      <c r="G106" s="208">
        <f t="shared" si="28"/>
        <v>0</v>
      </c>
      <c r="H106" s="208">
        <f t="shared" si="28"/>
        <v>0</v>
      </c>
      <c r="I106" s="209">
        <f t="shared" si="28"/>
        <v>877</v>
      </c>
      <c r="J106" s="332">
        <f t="shared" si="28"/>
        <v>1050.646</v>
      </c>
      <c r="K106" s="296">
        <f t="shared" si="28"/>
        <v>0</v>
      </c>
      <c r="L106" s="297">
        <f t="shared" si="28"/>
        <v>829570.63977142854</v>
      </c>
      <c r="M106" s="207">
        <f t="shared" si="28"/>
        <v>1072.5710000000001</v>
      </c>
      <c r="N106" s="208">
        <f t="shared" si="28"/>
        <v>0</v>
      </c>
      <c r="O106" s="209">
        <f t="shared" si="28"/>
        <v>966550.353</v>
      </c>
      <c r="P106" s="332">
        <f t="shared" si="28"/>
        <v>1093.6190000000001</v>
      </c>
      <c r="Q106" s="296">
        <f t="shared" si="28"/>
        <v>0</v>
      </c>
      <c r="R106" s="297">
        <f t="shared" si="28"/>
        <v>985517.81700000016</v>
      </c>
      <c r="S106" s="209">
        <f t="shared" si="28"/>
        <v>62428.496590476199</v>
      </c>
      <c r="T106" s="210" t="str">
        <f t="shared" si="28"/>
        <v>NA</v>
      </c>
      <c r="U106" s="575">
        <f t="shared" si="28"/>
        <v>864784.44</v>
      </c>
    </row>
    <row r="107" spans="2:22">
      <c r="B107" s="574" t="s">
        <v>96</v>
      </c>
      <c r="C107" s="197">
        <f>C38</f>
        <v>0</v>
      </c>
      <c r="D107" s="25">
        <f t="shared" ref="D107:S107" si="29">D38</f>
        <v>60</v>
      </c>
      <c r="E107" s="25">
        <f t="shared" si="29"/>
        <v>60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198">
        <f t="shared" si="29"/>
        <v>120</v>
      </c>
      <c r="J107" s="333" t="str">
        <f t="shared" si="29"/>
        <v>NA</v>
      </c>
      <c r="K107" s="334">
        <f t="shared" si="29"/>
        <v>44160</v>
      </c>
      <c r="L107" s="335">
        <f t="shared" si="29"/>
        <v>44160</v>
      </c>
      <c r="M107" s="199" t="str">
        <f t="shared" si="29"/>
        <v>NA</v>
      </c>
      <c r="N107" s="25">
        <f t="shared" si="29"/>
        <v>50400</v>
      </c>
      <c r="O107" s="198">
        <f t="shared" si="29"/>
        <v>50400</v>
      </c>
      <c r="P107" s="333" t="str">
        <f t="shared" si="29"/>
        <v>NA</v>
      </c>
      <c r="Q107" s="334">
        <f t="shared" si="29"/>
        <v>50400</v>
      </c>
      <c r="R107" s="335">
        <f t="shared" si="29"/>
        <v>50400</v>
      </c>
      <c r="S107" s="185">
        <f t="shared" si="29"/>
        <v>48320</v>
      </c>
      <c r="T107" s="200" t="str">
        <f>T21</f>
        <v>NA</v>
      </c>
      <c r="U107" s="147" t="s">
        <v>12</v>
      </c>
    </row>
    <row r="108" spans="2:22" ht="13.5" thickBot="1">
      <c r="B108" s="573" t="s">
        <v>76</v>
      </c>
      <c r="C108" s="211">
        <f>C39</f>
        <v>0</v>
      </c>
      <c r="D108" s="208">
        <f t="shared" ref="D108:T108" si="30">D39</f>
        <v>60</v>
      </c>
      <c r="E108" s="208">
        <f t="shared" si="30"/>
        <v>60</v>
      </c>
      <c r="F108" s="208">
        <f t="shared" si="30"/>
        <v>0</v>
      </c>
      <c r="G108" s="208">
        <f t="shared" si="30"/>
        <v>0</v>
      </c>
      <c r="H108" s="208">
        <f t="shared" si="30"/>
        <v>0</v>
      </c>
      <c r="I108" s="209">
        <f t="shared" si="30"/>
        <v>5898</v>
      </c>
      <c r="J108" s="332">
        <f t="shared" si="30"/>
        <v>7065.8039999999992</v>
      </c>
      <c r="K108" s="296">
        <f t="shared" si="30"/>
        <v>2600215.872</v>
      </c>
      <c r="L108" s="297">
        <f t="shared" si="30"/>
        <v>2600215.872</v>
      </c>
      <c r="M108" s="207">
        <f t="shared" si="30"/>
        <v>7213.2540000000008</v>
      </c>
      <c r="N108" s="208">
        <f t="shared" si="30"/>
        <v>3029566.68</v>
      </c>
      <c r="O108" s="209">
        <f t="shared" si="30"/>
        <v>3029566.68</v>
      </c>
      <c r="P108" s="332">
        <f t="shared" si="30"/>
        <v>7354.8060000000005</v>
      </c>
      <c r="Q108" s="296">
        <f t="shared" si="30"/>
        <v>3089018.52</v>
      </c>
      <c r="R108" s="297">
        <f t="shared" si="30"/>
        <v>3089018.52</v>
      </c>
      <c r="S108" s="209">
        <f t="shared" si="30"/>
        <v>2906267.0240000002</v>
      </c>
      <c r="T108" s="209">
        <f t="shared" si="30"/>
        <v>394203.7333333334</v>
      </c>
      <c r="U108" s="392" t="s">
        <v>12</v>
      </c>
    </row>
    <row r="109" spans="2:22">
      <c r="B109" s="574" t="s">
        <v>99</v>
      </c>
      <c r="C109" s="197">
        <f>C50</f>
        <v>0</v>
      </c>
      <c r="D109" s="25">
        <f t="shared" ref="D109:S109" si="31">D50</f>
        <v>0</v>
      </c>
      <c r="E109" s="25">
        <f t="shared" si="31"/>
        <v>38</v>
      </c>
      <c r="F109" s="25">
        <f t="shared" si="31"/>
        <v>48</v>
      </c>
      <c r="G109" s="25">
        <f t="shared" si="31"/>
        <v>0</v>
      </c>
      <c r="H109" s="25">
        <f t="shared" si="31"/>
        <v>0</v>
      </c>
      <c r="I109" s="198">
        <f t="shared" si="31"/>
        <v>86</v>
      </c>
      <c r="J109" s="333" t="str">
        <f t="shared" si="31"/>
        <v>NA</v>
      </c>
      <c r="K109" s="334">
        <f t="shared" si="31"/>
        <v>31648</v>
      </c>
      <c r="L109" s="335">
        <f t="shared" si="31"/>
        <v>31648</v>
      </c>
      <c r="M109" s="199" t="str">
        <f t="shared" si="31"/>
        <v>NA</v>
      </c>
      <c r="N109" s="25">
        <f t="shared" si="31"/>
        <v>36120</v>
      </c>
      <c r="O109" s="198">
        <f t="shared" si="31"/>
        <v>36120</v>
      </c>
      <c r="P109" s="333" t="str">
        <f t="shared" si="31"/>
        <v>NA</v>
      </c>
      <c r="Q109" s="334">
        <f t="shared" si="31"/>
        <v>36120</v>
      </c>
      <c r="R109" s="335">
        <f t="shared" si="31"/>
        <v>36120</v>
      </c>
      <c r="S109" s="185">
        <f t="shared" si="31"/>
        <v>34629.333333333336</v>
      </c>
      <c r="T109" s="37"/>
      <c r="U109" s="138"/>
    </row>
    <row r="110" spans="2:22" ht="13.5" thickBot="1">
      <c r="B110" s="573" t="s">
        <v>76</v>
      </c>
      <c r="C110" s="207">
        <f>C51</f>
        <v>0</v>
      </c>
      <c r="D110" s="208">
        <f t="shared" ref="D110:T110" si="32">D51</f>
        <v>0</v>
      </c>
      <c r="E110" s="208">
        <f t="shared" si="32"/>
        <v>1677</v>
      </c>
      <c r="F110" s="208">
        <f t="shared" si="32"/>
        <v>2365</v>
      </c>
      <c r="G110" s="208">
        <f t="shared" si="32"/>
        <v>0</v>
      </c>
      <c r="H110" s="208">
        <f t="shared" si="32"/>
        <v>0</v>
      </c>
      <c r="I110" s="209">
        <f t="shared" si="32"/>
        <v>5042</v>
      </c>
      <c r="J110" s="332">
        <f t="shared" si="32"/>
        <v>6040.3159999999998</v>
      </c>
      <c r="K110" s="296">
        <f t="shared" si="32"/>
        <v>2222836.2879999997</v>
      </c>
      <c r="L110" s="297">
        <f t="shared" si="32"/>
        <v>2222836.2879999997</v>
      </c>
      <c r="M110" s="211">
        <f t="shared" si="32"/>
        <v>6166.366</v>
      </c>
      <c r="N110" s="208">
        <f t="shared" si="32"/>
        <v>2589873.7200000002</v>
      </c>
      <c r="O110" s="209">
        <f t="shared" si="32"/>
        <v>2589873.7200000002</v>
      </c>
      <c r="P110" s="332">
        <f t="shared" si="32"/>
        <v>6287.3740000000007</v>
      </c>
      <c r="Q110" s="296">
        <f t="shared" si="32"/>
        <v>2640697.08</v>
      </c>
      <c r="R110" s="297">
        <f t="shared" si="32"/>
        <v>2640697.08</v>
      </c>
      <c r="S110" s="209">
        <f t="shared" si="32"/>
        <v>1991714.362666667</v>
      </c>
      <c r="T110" s="209">
        <f t="shared" si="32"/>
        <v>492754.66666666669</v>
      </c>
      <c r="U110" s="576" t="s">
        <v>12</v>
      </c>
    </row>
    <row r="111" spans="2:22">
      <c r="B111" s="574" t="s">
        <v>100</v>
      </c>
      <c r="C111" s="197">
        <f t="shared" ref="C111:H112" si="33">C64</f>
        <v>0</v>
      </c>
      <c r="D111" s="25">
        <f t="shared" si="33"/>
        <v>0</v>
      </c>
      <c r="E111" s="25">
        <f t="shared" si="33"/>
        <v>18</v>
      </c>
      <c r="F111" s="25">
        <f t="shared" si="33"/>
        <v>25</v>
      </c>
      <c r="G111" s="25">
        <f t="shared" si="33"/>
        <v>7</v>
      </c>
      <c r="H111" s="25">
        <f t="shared" si="33"/>
        <v>0</v>
      </c>
      <c r="I111" s="198">
        <f t="shared" ref="I111:S111" si="34">I64</f>
        <v>50</v>
      </c>
      <c r="J111" s="333" t="str">
        <f t="shared" si="34"/>
        <v>NA</v>
      </c>
      <c r="K111" s="334">
        <f t="shared" si="34"/>
        <v>18400</v>
      </c>
      <c r="L111" s="335">
        <f t="shared" si="34"/>
        <v>18400</v>
      </c>
      <c r="M111" s="199" t="str">
        <f t="shared" si="34"/>
        <v>NA</v>
      </c>
      <c r="N111" s="25">
        <f t="shared" si="34"/>
        <v>21000</v>
      </c>
      <c r="O111" s="198">
        <f t="shared" si="34"/>
        <v>21000</v>
      </c>
      <c r="P111" s="333" t="str">
        <f t="shared" si="34"/>
        <v>NA</v>
      </c>
      <c r="Q111" s="334">
        <f t="shared" si="34"/>
        <v>21000</v>
      </c>
      <c r="R111" s="335">
        <f t="shared" si="34"/>
        <v>21000</v>
      </c>
      <c r="S111" s="185">
        <f t="shared" si="34"/>
        <v>20133.333333333332</v>
      </c>
      <c r="T111" s="212" t="str">
        <f t="shared" ref="I111:U112" si="35">T64</f>
        <v>NA</v>
      </c>
      <c r="U111" s="577" t="str">
        <f t="shared" si="35"/>
        <v>NA</v>
      </c>
    </row>
    <row r="112" spans="2:22" ht="13.5" thickBot="1">
      <c r="B112" s="573" t="s">
        <v>76</v>
      </c>
      <c r="C112" s="207">
        <f t="shared" si="33"/>
        <v>0</v>
      </c>
      <c r="D112" s="208">
        <f t="shared" si="33"/>
        <v>0</v>
      </c>
      <c r="E112" s="208">
        <f t="shared" si="33"/>
        <v>794</v>
      </c>
      <c r="F112" s="208">
        <f t="shared" si="33"/>
        <v>1232</v>
      </c>
      <c r="G112" s="208">
        <f t="shared" si="33"/>
        <v>388</v>
      </c>
      <c r="H112" s="208">
        <f t="shared" si="33"/>
        <v>0</v>
      </c>
      <c r="I112" s="209">
        <f t="shared" si="35"/>
        <v>2414</v>
      </c>
      <c r="J112" s="332">
        <f t="shared" si="35"/>
        <v>2891.9719999999998</v>
      </c>
      <c r="K112" s="296">
        <f t="shared" si="35"/>
        <v>1064245.696</v>
      </c>
      <c r="L112" s="297">
        <f t="shared" si="35"/>
        <v>1064245.696</v>
      </c>
      <c r="M112" s="207">
        <f t="shared" si="35"/>
        <v>2952.3220000000001</v>
      </c>
      <c r="N112" s="208">
        <f t="shared" si="35"/>
        <v>1239975.24</v>
      </c>
      <c r="O112" s="209">
        <f t="shared" si="35"/>
        <v>1239975.24</v>
      </c>
      <c r="P112" s="339">
        <f t="shared" si="35"/>
        <v>3010.2580000000003</v>
      </c>
      <c r="Q112" s="296">
        <f t="shared" si="35"/>
        <v>1264308.3600000003</v>
      </c>
      <c r="R112" s="297">
        <f t="shared" si="35"/>
        <v>1264308.3600000003</v>
      </c>
      <c r="S112" s="209">
        <f t="shared" si="35"/>
        <v>1189509.7653333333</v>
      </c>
      <c r="T112" s="210" t="str">
        <f t="shared" si="35"/>
        <v>NA</v>
      </c>
      <c r="U112" s="392" t="s">
        <v>12</v>
      </c>
    </row>
    <row r="113" spans="2:21">
      <c r="B113" s="574" t="s">
        <v>101</v>
      </c>
      <c r="C113" s="213">
        <f>C88</f>
        <v>0</v>
      </c>
      <c r="D113" s="214">
        <f t="shared" ref="D113:S113" si="36">D88</f>
        <v>25</v>
      </c>
      <c r="E113" s="214">
        <f t="shared" si="36"/>
        <v>25.2</v>
      </c>
      <c r="F113" s="214">
        <f t="shared" si="36"/>
        <v>48.3</v>
      </c>
      <c r="G113" s="214">
        <f t="shared" si="36"/>
        <v>47</v>
      </c>
      <c r="H113" s="214">
        <f t="shared" si="36"/>
        <v>5</v>
      </c>
      <c r="I113" s="215">
        <f t="shared" si="36"/>
        <v>150.5</v>
      </c>
      <c r="J113" s="336" t="str">
        <f t="shared" si="36"/>
        <v>NA</v>
      </c>
      <c r="K113" s="337" t="str">
        <f t="shared" si="36"/>
        <v>NA</v>
      </c>
      <c r="L113" s="294">
        <f t="shared" si="36"/>
        <v>49984.5</v>
      </c>
      <c r="M113" s="216" t="str">
        <f t="shared" si="36"/>
        <v>NA</v>
      </c>
      <c r="N113" s="217" t="str">
        <f t="shared" si="36"/>
        <v>NA</v>
      </c>
      <c r="O113" s="215">
        <f t="shared" si="36"/>
        <v>57004.5</v>
      </c>
      <c r="P113" s="336" t="str">
        <f t="shared" si="36"/>
        <v>NA</v>
      </c>
      <c r="Q113" s="337" t="str">
        <f t="shared" si="36"/>
        <v>NA</v>
      </c>
      <c r="R113" s="294">
        <f t="shared" si="36"/>
        <v>57004.5</v>
      </c>
      <c r="S113" s="185">
        <f t="shared" si="36"/>
        <v>54664.5</v>
      </c>
      <c r="T113" s="136" t="s">
        <v>12</v>
      </c>
      <c r="U113" s="147" t="s">
        <v>12</v>
      </c>
    </row>
    <row r="114" spans="2:21" ht="13.5" thickBot="1">
      <c r="B114" s="573" t="s">
        <v>76</v>
      </c>
      <c r="C114" s="207">
        <f>C89</f>
        <v>0</v>
      </c>
      <c r="D114" s="208">
        <f t="shared" ref="D114:T114" si="37">D89</f>
        <v>1022</v>
      </c>
      <c r="E114" s="208">
        <f t="shared" si="37"/>
        <v>1112</v>
      </c>
      <c r="F114" s="208">
        <f t="shared" si="37"/>
        <v>2380</v>
      </c>
      <c r="G114" s="208">
        <f t="shared" si="37"/>
        <v>2606</v>
      </c>
      <c r="H114" s="208">
        <f t="shared" si="37"/>
        <v>293</v>
      </c>
      <c r="I114" s="209">
        <f t="shared" si="37"/>
        <v>7413</v>
      </c>
      <c r="J114" s="332">
        <f t="shared" si="37"/>
        <v>8880.7739999999994</v>
      </c>
      <c r="K114" s="338" t="str">
        <f t="shared" si="37"/>
        <v>NA</v>
      </c>
      <c r="L114" s="297">
        <f t="shared" si="37"/>
        <v>2917310.1792000001</v>
      </c>
      <c r="M114" s="211">
        <f t="shared" si="37"/>
        <v>9066.0990000000002</v>
      </c>
      <c r="N114" s="219" t="str">
        <f t="shared" si="37"/>
        <v>NA</v>
      </c>
      <c r="O114" s="209">
        <f t="shared" si="37"/>
        <v>3396205.4472000003</v>
      </c>
      <c r="P114" s="332">
        <f t="shared" si="37"/>
        <v>9244.0110000000004</v>
      </c>
      <c r="Q114" s="338" t="str">
        <f t="shared" si="37"/>
        <v>NA</v>
      </c>
      <c r="R114" s="297">
        <f t="shared" si="37"/>
        <v>3462852.1608000007</v>
      </c>
      <c r="S114" s="209">
        <f t="shared" si="37"/>
        <v>3258789.2623999999</v>
      </c>
      <c r="T114" s="209">
        <f t="shared" si="37"/>
        <v>0</v>
      </c>
      <c r="U114" s="392" t="s">
        <v>12</v>
      </c>
    </row>
    <row r="115" spans="2:21">
      <c r="B115" s="574" t="s">
        <v>102</v>
      </c>
      <c r="C115" s="197">
        <f>C98</f>
        <v>0</v>
      </c>
      <c r="D115" s="25">
        <f t="shared" ref="D115:S115" si="38">D98</f>
        <v>0</v>
      </c>
      <c r="E115" s="25">
        <f t="shared" si="38"/>
        <v>16</v>
      </c>
      <c r="F115" s="25">
        <f t="shared" si="38"/>
        <v>8</v>
      </c>
      <c r="G115" s="25">
        <f t="shared" si="38"/>
        <v>12</v>
      </c>
      <c r="H115" s="25">
        <f t="shared" si="38"/>
        <v>6</v>
      </c>
      <c r="I115" s="198">
        <f t="shared" si="38"/>
        <v>42</v>
      </c>
      <c r="J115" s="333" t="str">
        <f t="shared" si="38"/>
        <v>NA</v>
      </c>
      <c r="K115" s="334">
        <f t="shared" si="38"/>
        <v>15456</v>
      </c>
      <c r="L115" s="335">
        <f t="shared" si="38"/>
        <v>15456</v>
      </c>
      <c r="M115" s="199" t="str">
        <f t="shared" si="38"/>
        <v>NA</v>
      </c>
      <c r="N115" s="25">
        <f t="shared" si="38"/>
        <v>17640</v>
      </c>
      <c r="O115" s="198">
        <f t="shared" si="38"/>
        <v>17640</v>
      </c>
      <c r="P115" s="333" t="str">
        <f t="shared" si="38"/>
        <v>NA</v>
      </c>
      <c r="Q115" s="334">
        <f t="shared" si="38"/>
        <v>17640</v>
      </c>
      <c r="R115" s="335">
        <f t="shared" si="38"/>
        <v>17640</v>
      </c>
      <c r="S115" s="185">
        <f t="shared" si="38"/>
        <v>16912</v>
      </c>
      <c r="T115" s="136" t="s">
        <v>12</v>
      </c>
      <c r="U115" s="147" t="s">
        <v>12</v>
      </c>
    </row>
    <row r="116" spans="2:21" ht="13.5" thickBot="1">
      <c r="B116" s="578" t="s">
        <v>76</v>
      </c>
      <c r="C116" s="220">
        <f>C99</f>
        <v>0</v>
      </c>
      <c r="D116" s="221">
        <f t="shared" ref="D116:T116" si="39">D99</f>
        <v>0</v>
      </c>
      <c r="E116" s="221">
        <f t="shared" si="39"/>
        <v>706</v>
      </c>
      <c r="F116" s="221">
        <f t="shared" si="39"/>
        <v>394</v>
      </c>
      <c r="G116" s="221">
        <f t="shared" si="39"/>
        <v>666</v>
      </c>
      <c r="H116" s="221">
        <f t="shared" si="39"/>
        <v>351</v>
      </c>
      <c r="I116" s="222">
        <f t="shared" si="39"/>
        <v>2117</v>
      </c>
      <c r="J116" s="304">
        <f t="shared" si="39"/>
        <v>2536.1660000000002</v>
      </c>
      <c r="K116" s="305">
        <f t="shared" si="39"/>
        <v>933309.08799999999</v>
      </c>
      <c r="L116" s="306">
        <f t="shared" si="39"/>
        <v>933309.08799999999</v>
      </c>
      <c r="M116" s="220">
        <f t="shared" si="39"/>
        <v>2589.0910000000003</v>
      </c>
      <c r="N116" s="221">
        <f t="shared" si="39"/>
        <v>1087418.2200000002</v>
      </c>
      <c r="O116" s="222">
        <f t="shared" si="39"/>
        <v>1087418.2200000002</v>
      </c>
      <c r="P116" s="311">
        <f t="shared" si="39"/>
        <v>2639.8990000000003</v>
      </c>
      <c r="Q116" s="305">
        <f t="shared" si="39"/>
        <v>1108757.58</v>
      </c>
      <c r="R116" s="306">
        <f t="shared" si="39"/>
        <v>1108757.58</v>
      </c>
      <c r="S116" s="222">
        <f t="shared" si="39"/>
        <v>1043161.6293333335</v>
      </c>
      <c r="T116" s="223" t="str">
        <f t="shared" si="39"/>
        <v>NA</v>
      </c>
      <c r="U116" s="224" t="s">
        <v>12</v>
      </c>
    </row>
    <row r="117" spans="2:21" ht="18.75" thickTop="1">
      <c r="B117" s="579" t="s">
        <v>13</v>
      </c>
      <c r="C117" s="183" t="s">
        <v>45</v>
      </c>
      <c r="D117" s="108" t="s">
        <v>46</v>
      </c>
      <c r="E117" s="107" t="s">
        <v>47</v>
      </c>
      <c r="F117" s="107" t="s">
        <v>48</v>
      </c>
      <c r="G117" s="107" t="s">
        <v>49</v>
      </c>
      <c r="H117" s="107" t="s">
        <v>50</v>
      </c>
      <c r="I117" s="109" t="s">
        <v>13</v>
      </c>
      <c r="J117" s="110" t="s">
        <v>56</v>
      </c>
      <c r="K117" s="108" t="s">
        <v>13</v>
      </c>
      <c r="L117" s="111" t="s">
        <v>68</v>
      </c>
      <c r="M117" s="110" t="s">
        <v>56</v>
      </c>
      <c r="N117" s="108" t="s">
        <v>13</v>
      </c>
      <c r="O117" s="111" t="s">
        <v>68</v>
      </c>
      <c r="P117" s="110" t="s">
        <v>56</v>
      </c>
      <c r="Q117" s="108" t="s">
        <v>13</v>
      </c>
      <c r="R117" s="111" t="s">
        <v>68</v>
      </c>
      <c r="S117" s="111"/>
      <c r="T117" s="37"/>
      <c r="U117" s="138"/>
    </row>
    <row r="118" spans="2:21">
      <c r="B118" s="580" t="s">
        <v>75</v>
      </c>
      <c r="C118" s="195">
        <f t="shared" ref="C118:I119" si="40">C103+C105+C107+C109+C111+C113+C115</f>
        <v>0</v>
      </c>
      <c r="D118" s="101">
        <f t="shared" si="40"/>
        <v>93</v>
      </c>
      <c r="E118" s="101">
        <f t="shared" si="40"/>
        <v>165.2</v>
      </c>
      <c r="F118" s="101">
        <f t="shared" si="40"/>
        <v>147.30000000000001</v>
      </c>
      <c r="G118" s="101">
        <f t="shared" si="40"/>
        <v>80</v>
      </c>
      <c r="H118" s="101">
        <f t="shared" si="40"/>
        <v>21</v>
      </c>
      <c r="I118" s="102">
        <f t="shared" si="40"/>
        <v>506.5</v>
      </c>
      <c r="J118" s="340" t="s">
        <v>12</v>
      </c>
      <c r="K118" s="281">
        <f>K103+K105+K107+K109+K111+K115</f>
        <v>120403.6</v>
      </c>
      <c r="L118" s="289">
        <f>L103+L105+L107+L109+L111+L113+L115</f>
        <v>161182.72857142857</v>
      </c>
      <c r="M118" s="103" t="s">
        <v>12</v>
      </c>
      <c r="N118" s="101">
        <f>N103+N105+N107+N109+N111+N115</f>
        <v>136950</v>
      </c>
      <c r="O118" s="102">
        <f>O103+O105+O107+O109+O111+O113+O115</f>
        <v>183848.78571428571</v>
      </c>
      <c r="P118" s="340" t="s">
        <v>12</v>
      </c>
      <c r="Q118" s="281">
        <f>Q103+Q105+Q107+Q109+Q111+Q115</f>
        <v>136950</v>
      </c>
      <c r="R118" s="289">
        <f>R103+R105+R107+R109+R111+R113+R115</f>
        <v>183848.78571428571</v>
      </c>
      <c r="S118" s="174">
        <f>S103+S105+S107+S109+S111+S113+S115</f>
        <v>176293.43333333335</v>
      </c>
      <c r="T118" s="102"/>
      <c r="U118" s="140" t="s">
        <v>12</v>
      </c>
    </row>
    <row r="119" spans="2:21" s="235" customFormat="1" ht="16.5" thickBot="1">
      <c r="B119" s="581" t="s">
        <v>76</v>
      </c>
      <c r="C119" s="582">
        <f t="shared" si="40"/>
        <v>0</v>
      </c>
      <c r="D119" s="583">
        <f t="shared" si="40"/>
        <v>1409</v>
      </c>
      <c r="E119" s="583">
        <f t="shared" si="40"/>
        <v>4702</v>
      </c>
      <c r="F119" s="583">
        <f t="shared" si="40"/>
        <v>7258</v>
      </c>
      <c r="G119" s="583">
        <f t="shared" si="40"/>
        <v>4437</v>
      </c>
      <c r="H119" s="583">
        <f t="shared" si="40"/>
        <v>1230</v>
      </c>
      <c r="I119" s="584">
        <f t="shared" si="40"/>
        <v>25814</v>
      </c>
      <c r="J119" s="585">
        <f>J104+J106+J108+J110+J112+J114+J116</f>
        <v>30925.171999999995</v>
      </c>
      <c r="K119" s="586">
        <f>K104+K106+K108+K110+K112+K116</f>
        <v>7034582.9220000003</v>
      </c>
      <c r="L119" s="587">
        <f>L104+L106+L108+L110+L112+L114+L116</f>
        <v>10598055.759828571</v>
      </c>
      <c r="M119" s="582">
        <f>M104+M106+M108+M110+M112+M114+M116</f>
        <v>31570.522000000004</v>
      </c>
      <c r="N119" s="588">
        <f>N104+N106+N108+N110+N112+N116</f>
        <v>8165275.1130000018</v>
      </c>
      <c r="O119" s="584">
        <f>O104+O106+O108+O110+O112+O114+O116</f>
        <v>12340795.553485716</v>
      </c>
      <c r="P119" s="589">
        <f>P104+P106+P108+P110+P112+P114+P116</f>
        <v>32190.058000000008</v>
      </c>
      <c r="Q119" s="586">
        <f>Q104+Q106+Q108+Q110+Q112+Q116</f>
        <v>8325509.4570000004</v>
      </c>
      <c r="R119" s="587">
        <f>R104+R106+R108+R110+R112+R114+R116</f>
        <v>12582969.791657144</v>
      </c>
      <c r="S119" s="590">
        <f>S104+S106+S108+S110+S112+S114+S116</f>
        <v>10483067.928323811</v>
      </c>
      <c r="T119" s="584">
        <f>SUM(T104,T106,T108,T110,T112,T114,T116)</f>
        <v>886958.40000000014</v>
      </c>
      <c r="U119" s="591">
        <f>SUM(U104,U106,U108,U110,U112,U114,U116)</f>
        <v>864784.44</v>
      </c>
    </row>
  </sheetData>
  <mergeCells count="35">
    <mergeCell ref="G91:I91"/>
    <mergeCell ref="Q8:R8"/>
    <mergeCell ref="K8:L8"/>
    <mergeCell ref="N8:O8"/>
    <mergeCell ref="G53:I53"/>
    <mergeCell ref="G68:I68"/>
    <mergeCell ref="N19:O19"/>
    <mergeCell ref="G42:I42"/>
    <mergeCell ref="G41:I41"/>
    <mergeCell ref="K54:L54"/>
    <mergeCell ref="C5:I5"/>
    <mergeCell ref="G18:I18"/>
    <mergeCell ref="G31:I31"/>
    <mergeCell ref="N85:O85"/>
    <mergeCell ref="S2:T2"/>
    <mergeCell ref="Q19:R19"/>
    <mergeCell ref="G7:I7"/>
    <mergeCell ref="K19:L19"/>
    <mergeCell ref="F2:G2"/>
    <mergeCell ref="G32:I32"/>
    <mergeCell ref="K92:L92"/>
    <mergeCell ref="N32:O32"/>
    <mergeCell ref="N42:O42"/>
    <mergeCell ref="N69:O69"/>
    <mergeCell ref="N92:O92"/>
    <mergeCell ref="N54:O54"/>
    <mergeCell ref="K32:L32"/>
    <mergeCell ref="K69:L69"/>
    <mergeCell ref="K42:L42"/>
    <mergeCell ref="Q92:R92"/>
    <mergeCell ref="Q32:R32"/>
    <mergeCell ref="Q42:R42"/>
    <mergeCell ref="Q54:R54"/>
    <mergeCell ref="Q85:R85"/>
    <mergeCell ref="Q69:R69"/>
  </mergeCells>
  <phoneticPr fontId="2" type="noConversion"/>
  <dataValidations count="1">
    <dataValidation allowBlank="1" showInputMessage="1" showErrorMessage="1" sqref="D34 D21"/>
  </dataValidations>
  <pageMargins left="0.25" right="0.28000000000000003" top="0.64" bottom="0.47" header="0.5" footer="0.44"/>
  <pageSetup scale="48" fitToHeight="25" orientation="landscape" r:id="rId1"/>
  <headerFooter alignWithMargins="0"/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U129"/>
  <sheetViews>
    <sheetView topLeftCell="B30" zoomScaleNormal="100" workbookViewId="0">
      <selection activeCell="R65" sqref="R65"/>
    </sheetView>
  </sheetViews>
  <sheetFormatPr defaultRowHeight="12.75"/>
  <cols>
    <col min="1" max="1" width="34" customWidth="1"/>
    <col min="2" max="2" width="12.85546875" customWidth="1"/>
    <col min="3" max="3" width="10.28515625" bestFit="1" customWidth="1"/>
    <col min="4" max="4" width="14.42578125" bestFit="1" customWidth="1"/>
    <col min="5" max="5" width="14.7109375" style="10" customWidth="1"/>
    <col min="6" max="6" width="12.28515625" customWidth="1"/>
    <col min="7" max="7" width="11.140625" customWidth="1"/>
    <col min="8" max="8" width="13" customWidth="1"/>
    <col min="9" max="9" width="15" customWidth="1"/>
    <col min="10" max="10" width="14.42578125" customWidth="1"/>
    <col min="11" max="11" width="14.140625" bestFit="1" customWidth="1"/>
    <col min="12" max="12" width="13.85546875" bestFit="1" customWidth="1"/>
    <col min="13" max="13" width="14.5703125" customWidth="1"/>
    <col min="14" max="14" width="14.140625" bestFit="1" customWidth="1"/>
    <col min="15" max="15" width="12.140625" customWidth="1"/>
    <col min="16" max="16" width="13.85546875" customWidth="1"/>
    <col min="17" max="17" width="14.140625" bestFit="1" customWidth="1"/>
    <col min="18" max="18" width="15.42578125" customWidth="1"/>
    <col min="19" max="19" width="18.42578125" customWidth="1"/>
    <col min="20" max="20" width="19.28515625" bestFit="1" customWidth="1"/>
  </cols>
  <sheetData>
    <row r="1" spans="1:21" ht="18">
      <c r="A1" s="473" t="s">
        <v>0</v>
      </c>
      <c r="B1" s="474" t="s">
        <v>80</v>
      </c>
      <c r="C1" s="6"/>
      <c r="D1" s="475" t="s">
        <v>31</v>
      </c>
      <c r="E1" s="476">
        <v>41306</v>
      </c>
      <c r="F1" s="6"/>
      <c r="G1" s="6"/>
      <c r="H1" s="43"/>
      <c r="I1" s="477" t="s">
        <v>5</v>
      </c>
      <c r="J1" s="478">
        <v>2013</v>
      </c>
      <c r="K1" s="479"/>
      <c r="L1" s="480" t="s">
        <v>10</v>
      </c>
      <c r="M1" s="481">
        <f>J1+1</f>
        <v>2014</v>
      </c>
      <c r="N1" s="6"/>
      <c r="O1" s="482" t="s">
        <v>11</v>
      </c>
      <c r="P1" s="483">
        <f>M1+1</f>
        <v>2015</v>
      </c>
      <c r="Q1" s="65"/>
      <c r="R1" s="1437" t="s">
        <v>77</v>
      </c>
      <c r="S1" s="1438"/>
      <c r="T1" s="507" t="s">
        <v>79</v>
      </c>
    </row>
    <row r="2" spans="1:21" ht="15.75">
      <c r="A2" s="484"/>
      <c r="B2" s="112"/>
      <c r="C2" s="29"/>
      <c r="D2" s="80"/>
      <c r="E2" s="7"/>
      <c r="F2" s="5"/>
      <c r="G2" s="5"/>
      <c r="H2" s="145" t="s">
        <v>59</v>
      </c>
      <c r="I2" s="425" t="s">
        <v>71</v>
      </c>
      <c r="J2" s="426"/>
      <c r="K2" s="403" t="s">
        <v>69</v>
      </c>
      <c r="L2" s="396" t="s">
        <v>71</v>
      </c>
      <c r="M2" s="5"/>
      <c r="N2" s="145" t="s">
        <v>69</v>
      </c>
      <c r="O2" s="425" t="s">
        <v>71</v>
      </c>
      <c r="P2" s="426"/>
      <c r="Q2" s="403" t="s">
        <v>69</v>
      </c>
      <c r="R2" s="5"/>
      <c r="S2" s="159" t="s">
        <v>69</v>
      </c>
      <c r="T2" s="227"/>
    </row>
    <row r="3" spans="1:21">
      <c r="A3" s="484"/>
      <c r="B3" s="5"/>
      <c r="C3" s="5"/>
      <c r="D3" s="5"/>
      <c r="E3" s="7"/>
      <c r="F3" s="5"/>
      <c r="G3" s="5"/>
      <c r="H3" s="50">
        <v>0.2</v>
      </c>
      <c r="I3" s="94">
        <v>153</v>
      </c>
      <c r="J3" s="427" t="s">
        <v>81</v>
      </c>
      <c r="K3" s="157">
        <v>8</v>
      </c>
      <c r="L3" s="94">
        <v>153</v>
      </c>
      <c r="M3" s="428" t="s">
        <v>81</v>
      </c>
      <c r="N3" s="157">
        <v>8</v>
      </c>
      <c r="O3" s="94">
        <v>153</v>
      </c>
      <c r="P3" s="427" t="s">
        <v>81</v>
      </c>
      <c r="Q3" s="156">
        <v>8</v>
      </c>
      <c r="R3" s="428" t="s">
        <v>81</v>
      </c>
      <c r="S3" s="106">
        <f t="shared" ref="S3:S9" si="0">AVERAGE(K3,N3,Q3)</f>
        <v>8</v>
      </c>
      <c r="T3" s="227"/>
    </row>
    <row r="4" spans="1:21" ht="12.75" customHeight="1">
      <c r="A4" s="485" t="s">
        <v>2</v>
      </c>
      <c r="B4" s="1439"/>
      <c r="C4" s="1440"/>
      <c r="D4" s="1440"/>
      <c r="E4" s="1440"/>
      <c r="F4" s="1440"/>
      <c r="G4" s="1440"/>
      <c r="H4" s="1441"/>
      <c r="I4" s="426"/>
      <c r="J4" s="427" t="s">
        <v>83</v>
      </c>
      <c r="K4" s="157">
        <v>78</v>
      </c>
      <c r="L4" s="5"/>
      <c r="M4" s="428" t="s">
        <v>83</v>
      </c>
      <c r="N4" s="157">
        <v>78</v>
      </c>
      <c r="O4" s="429"/>
      <c r="P4" s="427" t="s">
        <v>83</v>
      </c>
      <c r="Q4" s="157">
        <v>78</v>
      </c>
      <c r="R4" s="428" t="s">
        <v>83</v>
      </c>
      <c r="S4" s="106">
        <f t="shared" si="0"/>
        <v>78</v>
      </c>
      <c r="T4" s="227"/>
    </row>
    <row r="5" spans="1:21" ht="12.75" customHeight="1">
      <c r="A5" s="485"/>
      <c r="B5" s="430"/>
      <c r="C5" s="430"/>
      <c r="D5" s="430"/>
      <c r="E5" s="430"/>
      <c r="F5" s="430"/>
      <c r="G5" s="430"/>
      <c r="H5" s="158"/>
      <c r="I5" s="429"/>
      <c r="J5" s="427" t="s">
        <v>84</v>
      </c>
      <c r="K5" s="157">
        <v>119</v>
      </c>
      <c r="L5" s="431"/>
      <c r="M5" s="428" t="s">
        <v>84</v>
      </c>
      <c r="N5" s="157">
        <v>119</v>
      </c>
      <c r="O5" s="429"/>
      <c r="P5" s="427" t="s">
        <v>84</v>
      </c>
      <c r="Q5" s="157">
        <v>119</v>
      </c>
      <c r="R5" s="428" t="s">
        <v>84</v>
      </c>
      <c r="S5" s="106">
        <f t="shared" si="0"/>
        <v>119</v>
      </c>
      <c r="T5" s="227"/>
    </row>
    <row r="6" spans="1:21" ht="12.75" customHeight="1">
      <c r="A6" s="485"/>
      <c r="B6" s="430"/>
      <c r="C6" s="430"/>
      <c r="D6" s="430"/>
      <c r="E6" s="430"/>
      <c r="F6" s="430"/>
      <c r="G6" s="430"/>
      <c r="H6" s="158"/>
      <c r="I6" s="429"/>
      <c r="J6" s="427" t="s">
        <v>82</v>
      </c>
      <c r="K6" s="157">
        <v>385</v>
      </c>
      <c r="L6" s="431"/>
      <c r="M6" s="428" t="s">
        <v>82</v>
      </c>
      <c r="N6" s="157">
        <v>385</v>
      </c>
      <c r="O6" s="429"/>
      <c r="P6" s="427" t="s">
        <v>82</v>
      </c>
      <c r="Q6" s="157">
        <v>385</v>
      </c>
      <c r="R6" s="428" t="s">
        <v>82</v>
      </c>
      <c r="S6" s="106">
        <f t="shared" si="0"/>
        <v>385</v>
      </c>
      <c r="T6" s="227"/>
    </row>
    <row r="7" spans="1:21" ht="12.75" customHeight="1">
      <c r="A7" s="485"/>
      <c r="B7" s="430"/>
      <c r="C7" s="430"/>
      <c r="D7" s="430"/>
      <c r="E7" s="430"/>
      <c r="F7" s="430"/>
      <c r="G7" s="430"/>
      <c r="H7" s="158"/>
      <c r="I7" s="429"/>
      <c r="J7" s="427" t="s">
        <v>85</v>
      </c>
      <c r="K7" s="157">
        <v>181</v>
      </c>
      <c r="L7" s="431"/>
      <c r="M7" s="428" t="s">
        <v>85</v>
      </c>
      <c r="N7" s="157">
        <v>181</v>
      </c>
      <c r="O7" s="429"/>
      <c r="P7" s="427" t="s">
        <v>85</v>
      </c>
      <c r="Q7" s="157">
        <v>181</v>
      </c>
      <c r="R7" s="428" t="s">
        <v>85</v>
      </c>
      <c r="S7" s="106">
        <f t="shared" si="0"/>
        <v>181</v>
      </c>
      <c r="T7" s="5"/>
      <c r="U7" s="288"/>
    </row>
    <row r="8" spans="1:21" ht="12.75" customHeight="1">
      <c r="A8" s="485"/>
      <c r="B8" s="430"/>
      <c r="C8" s="430"/>
      <c r="D8" s="430"/>
      <c r="E8" s="430"/>
      <c r="F8" s="430"/>
      <c r="G8" s="430"/>
      <c r="H8" s="158"/>
      <c r="I8" s="429"/>
      <c r="J8" s="427" t="s">
        <v>86</v>
      </c>
      <c r="K8" s="157">
        <v>37</v>
      </c>
      <c r="L8" s="431"/>
      <c r="M8" s="428" t="s">
        <v>86</v>
      </c>
      <c r="N8" s="157">
        <v>37</v>
      </c>
      <c r="O8" s="429"/>
      <c r="P8" s="427" t="s">
        <v>86</v>
      </c>
      <c r="Q8" s="157">
        <v>37</v>
      </c>
      <c r="R8" s="428" t="s">
        <v>86</v>
      </c>
      <c r="S8" s="106">
        <f t="shared" si="0"/>
        <v>37</v>
      </c>
      <c r="T8" s="227"/>
    </row>
    <row r="9" spans="1:21" ht="12.75" customHeight="1" thickBot="1">
      <c r="A9" s="485"/>
      <c r="B9" s="430"/>
      <c r="C9" s="430"/>
      <c r="D9" s="430"/>
      <c r="E9" s="430"/>
      <c r="F9" s="430"/>
      <c r="G9" s="430"/>
      <c r="H9" s="158"/>
      <c r="I9" s="429"/>
      <c r="J9" s="427" t="s">
        <v>87</v>
      </c>
      <c r="K9" s="157">
        <v>407</v>
      </c>
      <c r="L9" s="431"/>
      <c r="M9" s="428" t="s">
        <v>87</v>
      </c>
      <c r="N9" s="162">
        <v>407</v>
      </c>
      <c r="O9" s="429"/>
      <c r="P9" s="427" t="s">
        <v>87</v>
      </c>
      <c r="Q9" s="162">
        <v>407</v>
      </c>
      <c r="R9" s="428" t="s">
        <v>87</v>
      </c>
      <c r="S9" s="160">
        <f t="shared" si="0"/>
        <v>407</v>
      </c>
      <c r="T9" s="227"/>
    </row>
    <row r="10" spans="1:21" ht="12.75" customHeight="1">
      <c r="A10" s="485"/>
      <c r="B10" s="430"/>
      <c r="C10" s="430"/>
      <c r="D10" s="430"/>
      <c r="E10" s="430"/>
      <c r="F10" s="430"/>
      <c r="G10" s="430"/>
      <c r="H10" s="158"/>
      <c r="I10" s="429"/>
      <c r="J10" s="429" t="s">
        <v>89</v>
      </c>
      <c r="K10" s="169">
        <f>SUM(K3:K9)</f>
        <v>1215</v>
      </c>
      <c r="L10" s="431"/>
      <c r="M10" s="431" t="s">
        <v>88</v>
      </c>
      <c r="N10" s="164">
        <f>SUM(N3:N9)</f>
        <v>1215</v>
      </c>
      <c r="O10" s="429"/>
      <c r="P10" s="429" t="s">
        <v>88</v>
      </c>
      <c r="Q10" s="164">
        <f>SUM(Q3:Q9)</f>
        <v>1215</v>
      </c>
      <c r="R10" s="431" t="s">
        <v>89</v>
      </c>
      <c r="S10" s="161">
        <f>AVERAGE(K10,N10,Q10)</f>
        <v>1215</v>
      </c>
      <c r="T10" s="227"/>
    </row>
    <row r="11" spans="1:21" ht="12.75" customHeight="1">
      <c r="A11" s="485"/>
      <c r="B11" s="430"/>
      <c r="C11" s="430"/>
      <c r="D11" s="430"/>
      <c r="E11" s="430"/>
      <c r="F11" s="430"/>
      <c r="G11" s="430"/>
      <c r="H11" s="158"/>
      <c r="I11" s="429"/>
      <c r="J11" s="429" t="s">
        <v>144</v>
      </c>
      <c r="K11" s="532">
        <f>(K3*4/12+K4*5/12+K5*6/12+K6*7/12+K7*8/12+K8*9/12+K9)/K10</f>
        <v>0.71989026063100148</v>
      </c>
      <c r="L11" s="448"/>
      <c r="M11" s="429" t="s">
        <v>144</v>
      </c>
      <c r="N11" s="532">
        <f>(N3*4/12+N4*5/12+N5*6/12+N6*7/12+N7*8/12+N8*9/12+N9)/N10</f>
        <v>0.71989026063100148</v>
      </c>
      <c r="O11" s="533"/>
      <c r="P11" s="429" t="s">
        <v>144</v>
      </c>
      <c r="Q11" s="532">
        <f>(Q3*4/12+Q4*5/12+Q5*6/12+Q6*7/12+Q7*8/12+Q8*9/12+Q9)/Q10</f>
        <v>0.71989026063100148</v>
      </c>
      <c r="R11" s="448"/>
      <c r="S11" s="165"/>
      <c r="T11" s="227"/>
    </row>
    <row r="12" spans="1:21" ht="12.75" customHeight="1">
      <c r="A12" s="485"/>
      <c r="B12" s="430"/>
      <c r="C12" s="430"/>
      <c r="D12" s="430"/>
      <c r="E12" s="430"/>
      <c r="F12" s="430"/>
      <c r="G12" s="430"/>
      <c r="H12" s="158"/>
      <c r="I12" s="429"/>
      <c r="J12" s="429" t="s">
        <v>70</v>
      </c>
      <c r="K12" s="59">
        <f>K10*$H$3</f>
        <v>243</v>
      </c>
      <c r="L12" s="431"/>
      <c r="M12" s="431" t="s">
        <v>70</v>
      </c>
      <c r="N12" s="59">
        <f>N10*$H$3</f>
        <v>243</v>
      </c>
      <c r="O12" s="429"/>
      <c r="P12" s="429" t="s">
        <v>70</v>
      </c>
      <c r="Q12" s="406">
        <f>Q10*$H$3</f>
        <v>243</v>
      </c>
      <c r="R12" s="115" t="s">
        <v>71</v>
      </c>
      <c r="S12" s="116">
        <f>AVERAGE(I3,L3,O3)</f>
        <v>153</v>
      </c>
      <c r="T12" s="227"/>
    </row>
    <row r="13" spans="1:21" ht="18.75" customHeight="1" thickBot="1">
      <c r="A13" s="486" t="s">
        <v>73</v>
      </c>
      <c r="B13" s="410"/>
      <c r="C13" s="410"/>
      <c r="D13" s="410"/>
      <c r="E13" s="411"/>
      <c r="F13" s="410"/>
      <c r="G13" s="410"/>
      <c r="H13" s="236"/>
      <c r="I13" s="412"/>
      <c r="J13" s="413"/>
      <c r="K13" s="414"/>
      <c r="L13" s="410"/>
      <c r="M13" s="410"/>
      <c r="N13" s="236"/>
      <c r="O13" s="412"/>
      <c r="P13" s="413"/>
      <c r="Q13" s="414"/>
      <c r="R13" s="416" t="s">
        <v>17</v>
      </c>
      <c r="S13" s="417" t="s">
        <v>78</v>
      </c>
      <c r="T13" s="514"/>
    </row>
    <row r="14" spans="1:21" ht="16.5" thickTop="1">
      <c r="A14" s="487" t="s">
        <v>122</v>
      </c>
      <c r="B14" s="5"/>
      <c r="C14" s="431" t="s">
        <v>54</v>
      </c>
      <c r="D14" s="28">
        <v>7</v>
      </c>
      <c r="E14" s="112" t="s">
        <v>6</v>
      </c>
      <c r="F14" s="1412"/>
      <c r="G14" s="1413"/>
      <c r="H14" s="1414"/>
      <c r="I14" s="181" t="s">
        <v>3</v>
      </c>
      <c r="J14" s="409"/>
      <c r="K14" s="180"/>
      <c r="L14" s="181" t="s">
        <v>3</v>
      </c>
      <c r="M14" s="426"/>
      <c r="N14" s="67"/>
      <c r="O14" s="181" t="s">
        <v>3</v>
      </c>
      <c r="P14" s="426"/>
      <c r="Q14" s="67"/>
      <c r="R14" s="225"/>
      <c r="S14" s="415"/>
      <c r="T14" s="227"/>
    </row>
    <row r="15" spans="1:21">
      <c r="A15" s="488" t="s">
        <v>44</v>
      </c>
      <c r="B15" s="6"/>
      <c r="C15" s="6"/>
      <c r="D15" s="6"/>
      <c r="E15" s="11"/>
      <c r="F15" s="6"/>
      <c r="G15" s="6"/>
      <c r="H15" s="47" t="s">
        <v>55</v>
      </c>
      <c r="I15" s="318" t="s">
        <v>55</v>
      </c>
      <c r="J15" s="1428" t="s">
        <v>57</v>
      </c>
      <c r="K15" s="1420"/>
      <c r="L15" s="57" t="s">
        <v>55</v>
      </c>
      <c r="M15" s="1429" t="s">
        <v>57</v>
      </c>
      <c r="N15" s="1430"/>
      <c r="O15" s="277" t="s">
        <v>55</v>
      </c>
      <c r="P15" s="1419" t="s">
        <v>57</v>
      </c>
      <c r="Q15" s="1420"/>
      <c r="R15" s="125"/>
      <c r="S15" s="145"/>
      <c r="T15" s="538"/>
    </row>
    <row r="16" spans="1:21">
      <c r="A16" s="489" t="s">
        <v>53</v>
      </c>
      <c r="B16" s="23" t="s">
        <v>45</v>
      </c>
      <c r="C16" s="24" t="s">
        <v>46</v>
      </c>
      <c r="D16" s="23" t="s">
        <v>47</v>
      </c>
      <c r="E16" s="23" t="s">
        <v>48</v>
      </c>
      <c r="F16" s="23" t="s">
        <v>49</v>
      </c>
      <c r="G16" s="23" t="s">
        <v>50</v>
      </c>
      <c r="H16" s="47" t="s">
        <v>13</v>
      </c>
      <c r="I16" s="260" t="s">
        <v>56</v>
      </c>
      <c r="J16" s="261" t="s">
        <v>13</v>
      </c>
      <c r="K16" s="262" t="s">
        <v>68</v>
      </c>
      <c r="L16" s="77" t="s">
        <v>56</v>
      </c>
      <c r="M16" s="24" t="s">
        <v>13</v>
      </c>
      <c r="N16" s="38" t="s">
        <v>68</v>
      </c>
      <c r="O16" s="261" t="s">
        <v>56</v>
      </c>
      <c r="P16" s="261" t="s">
        <v>13</v>
      </c>
      <c r="Q16" s="262" t="s">
        <v>68</v>
      </c>
      <c r="R16" s="123"/>
      <c r="S16" s="146"/>
      <c r="T16" s="517"/>
    </row>
    <row r="17" spans="1:20">
      <c r="A17" s="490" t="s">
        <v>51</v>
      </c>
      <c r="B17" s="21">
        <v>0</v>
      </c>
      <c r="C17" s="21">
        <v>0</v>
      </c>
      <c r="D17" s="21">
        <v>0</v>
      </c>
      <c r="E17" s="21">
        <v>10</v>
      </c>
      <c r="F17" s="21">
        <v>10</v>
      </c>
      <c r="G17" s="21">
        <v>10</v>
      </c>
      <c r="H17" s="48">
        <f>SUM(B17:G17)</f>
        <v>30</v>
      </c>
      <c r="I17" s="263" t="s">
        <v>12</v>
      </c>
      <c r="J17" s="283">
        <f>H17*$I$3</f>
        <v>4590</v>
      </c>
      <c r="K17" s="282">
        <f>J17/$D$14</f>
        <v>655.71428571428567</v>
      </c>
      <c r="L17" s="58" t="s">
        <v>12</v>
      </c>
      <c r="M17" s="432">
        <f>H17*$L$3</f>
        <v>4590</v>
      </c>
      <c r="N17" s="68">
        <f>M17/$D$14</f>
        <v>655.71428571428567</v>
      </c>
      <c r="O17" s="263" t="s">
        <v>12</v>
      </c>
      <c r="P17" s="433">
        <f>$H17*$O$3</f>
        <v>4590</v>
      </c>
      <c r="Q17" s="289">
        <f>P17/$D$14</f>
        <v>655.71428571428567</v>
      </c>
      <c r="R17" s="121">
        <f>AVERAGE(K17,N17,Q17)</f>
        <v>655.71428571428567</v>
      </c>
      <c r="S17" s="119" t="s">
        <v>12</v>
      </c>
      <c r="T17" s="232" t="s">
        <v>12</v>
      </c>
    </row>
    <row r="18" spans="1:20" s="1" customFormat="1" ht="13.5" thickBot="1">
      <c r="A18" s="491" t="s">
        <v>52</v>
      </c>
      <c r="B18" s="373">
        <f>ROUND(B17*Labor!$D$3,0)</f>
        <v>0</v>
      </c>
      <c r="C18" s="374">
        <f>ROUND(C17*Labor!$D$4,0)</f>
        <v>0</v>
      </c>
      <c r="D18" s="374">
        <f>ROUND(D17*Labor!$D$5,0)</f>
        <v>0</v>
      </c>
      <c r="E18" s="374">
        <f>ROUND(E17*Labor!$D$6,0)</f>
        <v>493</v>
      </c>
      <c r="F18" s="374">
        <f>ROUND(F17*Labor!$D$7,0)</f>
        <v>555</v>
      </c>
      <c r="G18" s="374">
        <f>ROUND(G17*Labor!$D$8,0)</f>
        <v>586</v>
      </c>
      <c r="H18" s="375">
        <f>SUM(B18:G18)</f>
        <v>1634</v>
      </c>
      <c r="I18" s="332">
        <f>HLOOKUP(Labor!$B$11,InflationTable,2)*$H18</f>
        <v>1957.5319999999999</v>
      </c>
      <c r="J18" s="296">
        <f>I18*$I$3</f>
        <v>299502.39600000001</v>
      </c>
      <c r="K18" s="297">
        <f>J18/$D$14</f>
        <v>42786.056571428569</v>
      </c>
      <c r="L18" s="376">
        <f>HLOOKUP(Labor!$B$11,InflationTable,3)*$H18</f>
        <v>1998.3820000000001</v>
      </c>
      <c r="M18" s="377">
        <f>L18*$I$3</f>
        <v>305752.446</v>
      </c>
      <c r="N18" s="378">
        <f>M18/$D$14</f>
        <v>43678.920857142853</v>
      </c>
      <c r="O18" s="339">
        <f>HLOOKUP(Labor!$B$11,InflationTable,4)*$H18</f>
        <v>2037.5980000000002</v>
      </c>
      <c r="P18" s="296">
        <f>O18*$I$3</f>
        <v>311752.49400000001</v>
      </c>
      <c r="Q18" s="297">
        <f>P18/$D$14</f>
        <v>44536.070571428572</v>
      </c>
      <c r="R18" s="211">
        <f>AVERAGE(K18,N18,Q18)</f>
        <v>43667.015999999996</v>
      </c>
      <c r="S18" s="218" t="s">
        <v>12</v>
      </c>
      <c r="T18" s="228" t="s">
        <v>12</v>
      </c>
    </row>
    <row r="19" spans="1:20">
      <c r="A19" s="492" t="s">
        <v>7</v>
      </c>
      <c r="B19" s="5"/>
      <c r="C19" s="5"/>
      <c r="D19" s="5"/>
      <c r="E19" s="7"/>
      <c r="F19" s="5"/>
      <c r="G19" s="8"/>
      <c r="H19" s="37"/>
      <c r="I19" s="404"/>
      <c r="J19" s="404"/>
      <c r="K19" s="405"/>
      <c r="L19" s="426"/>
      <c r="M19" s="426"/>
      <c r="N19" s="67"/>
      <c r="O19" s="404"/>
      <c r="P19" s="404"/>
      <c r="Q19" s="405"/>
      <c r="R19" s="122"/>
      <c r="S19" s="37"/>
      <c r="T19" s="227"/>
    </row>
    <row r="20" spans="1:20">
      <c r="A20" s="490" t="s">
        <v>51</v>
      </c>
      <c r="B20" s="21">
        <v>0</v>
      </c>
      <c r="C20" s="21">
        <v>0</v>
      </c>
      <c r="D20" s="21">
        <v>0</v>
      </c>
      <c r="E20" s="21">
        <v>4</v>
      </c>
      <c r="F20" s="21">
        <v>4</v>
      </c>
      <c r="G20" s="21">
        <v>0</v>
      </c>
      <c r="H20" s="48">
        <f>SUM(B20:G20)</f>
        <v>8</v>
      </c>
      <c r="I20" s="263" t="s">
        <v>12</v>
      </c>
      <c r="J20" s="283">
        <f>H20*$I$3</f>
        <v>1224</v>
      </c>
      <c r="K20" s="282">
        <f>J20/$D$14</f>
        <v>174.85714285714286</v>
      </c>
      <c r="L20" s="58" t="s">
        <v>12</v>
      </c>
      <c r="M20" s="60">
        <f>H20*$L$3</f>
        <v>1224</v>
      </c>
      <c r="N20" s="59">
        <f>M20/$D$14</f>
        <v>174.85714285714286</v>
      </c>
      <c r="O20" s="263" t="s">
        <v>12</v>
      </c>
      <c r="P20" s="291">
        <f>$H20*$O$3</f>
        <v>1224</v>
      </c>
      <c r="Q20" s="282">
        <f>P20/$D$14</f>
        <v>174.85714285714286</v>
      </c>
      <c r="R20" s="121">
        <f>AVERAGE(K20,N20,Q20)</f>
        <v>174.85714285714286</v>
      </c>
      <c r="S20" s="119" t="s">
        <v>12</v>
      </c>
      <c r="T20" s="232" t="s">
        <v>12</v>
      </c>
    </row>
    <row r="21" spans="1:20" s="1" customFormat="1" ht="13.5" thickBot="1">
      <c r="A21" s="491" t="s">
        <v>52</v>
      </c>
      <c r="B21" s="373">
        <f>ROUND(B20*Labor!$D$3,0)</f>
        <v>0</v>
      </c>
      <c r="C21" s="374">
        <f>ROUND(C20*Labor!$D$4,0)</f>
        <v>0</v>
      </c>
      <c r="D21" s="374">
        <f>ROUND(D20*Labor!$D$5,0)</f>
        <v>0</v>
      </c>
      <c r="E21" s="374">
        <f>ROUND(E20*Labor!$D$6,0)</f>
        <v>197</v>
      </c>
      <c r="F21" s="374">
        <f>ROUND(F20*Labor!$D$7,0)</f>
        <v>222</v>
      </c>
      <c r="G21" s="374">
        <f>ROUND(G20*Labor!$D$8,0)</f>
        <v>0</v>
      </c>
      <c r="H21" s="375">
        <f>SUM(B21:G21)</f>
        <v>419</v>
      </c>
      <c r="I21" s="332">
        <f>HLOOKUP(Labor!$B$11,InflationTable,2)*H21</f>
        <v>501.96199999999999</v>
      </c>
      <c r="J21" s="296">
        <f>I21*$I$3</f>
        <v>76800.186000000002</v>
      </c>
      <c r="K21" s="297">
        <f>J21/$D$14</f>
        <v>10971.455142857143</v>
      </c>
      <c r="L21" s="376">
        <f>HLOOKUP(Labor!$B$11,InflationTable,3)*H21</f>
        <v>512.43700000000001</v>
      </c>
      <c r="M21" s="377">
        <f>L21*$I$3</f>
        <v>78402.861000000004</v>
      </c>
      <c r="N21" s="378">
        <f>M21/$D$14</f>
        <v>11200.408714285715</v>
      </c>
      <c r="O21" s="339">
        <f>HLOOKUP(Labor!$B$11,InflationTable,4)*H21</f>
        <v>522.49300000000005</v>
      </c>
      <c r="P21" s="296">
        <f>O21*$I$3</f>
        <v>79941.429000000004</v>
      </c>
      <c r="Q21" s="297">
        <f>P21/$D$14</f>
        <v>11420.204142857143</v>
      </c>
      <c r="R21" s="211">
        <f>AVERAGE(K21,N21,Q21)</f>
        <v>11197.356</v>
      </c>
      <c r="S21" s="218" t="s">
        <v>12</v>
      </c>
      <c r="T21" s="228" t="s">
        <v>12</v>
      </c>
    </row>
    <row r="22" spans="1:20">
      <c r="A22" s="493" t="s">
        <v>66</v>
      </c>
      <c r="B22" s="33">
        <f t="shared" ref="B22:H23" si="1">B17+B20</f>
        <v>0</v>
      </c>
      <c r="C22" s="33">
        <f t="shared" si="1"/>
        <v>0</v>
      </c>
      <c r="D22" s="33">
        <f t="shared" si="1"/>
        <v>0</v>
      </c>
      <c r="E22" s="33">
        <f t="shared" si="1"/>
        <v>14</v>
      </c>
      <c r="F22" s="33">
        <f t="shared" si="1"/>
        <v>14</v>
      </c>
      <c r="G22" s="33">
        <f t="shared" si="1"/>
        <v>10</v>
      </c>
      <c r="H22" s="49">
        <f t="shared" si="1"/>
        <v>38</v>
      </c>
      <c r="I22" s="284" t="s">
        <v>12</v>
      </c>
      <c r="J22" s="285">
        <f>J17+J20</f>
        <v>5814</v>
      </c>
      <c r="K22" s="286">
        <f>K17+K20</f>
        <v>830.57142857142856</v>
      </c>
      <c r="L22" s="61" t="s">
        <v>12</v>
      </c>
      <c r="M22" s="426">
        <f>H22*$L$3</f>
        <v>5814</v>
      </c>
      <c r="N22" s="62">
        <f>M22/$D$14</f>
        <v>830.57142857142856</v>
      </c>
      <c r="O22" s="293" t="s">
        <v>12</v>
      </c>
      <c r="P22" s="433">
        <f>$H22*$O$3</f>
        <v>5814</v>
      </c>
      <c r="Q22" s="294">
        <f>P22/$D$14</f>
        <v>830.57142857142856</v>
      </c>
      <c r="R22" s="129">
        <f>AVERAGE(K22,N22,Q22)</f>
        <v>830.57142857142856</v>
      </c>
      <c r="S22" s="136" t="s">
        <v>12</v>
      </c>
      <c r="T22" s="230" t="s">
        <v>12</v>
      </c>
    </row>
    <row r="23" spans="1:20" s="1" customFormat="1" ht="13.5" thickBot="1">
      <c r="A23" s="494" t="s">
        <v>67</v>
      </c>
      <c r="B23" s="240">
        <f t="shared" si="1"/>
        <v>0</v>
      </c>
      <c r="C23" s="240">
        <f t="shared" si="1"/>
        <v>0</v>
      </c>
      <c r="D23" s="240">
        <f t="shared" si="1"/>
        <v>0</v>
      </c>
      <c r="E23" s="240">
        <f t="shared" si="1"/>
        <v>690</v>
      </c>
      <c r="F23" s="240">
        <f t="shared" si="1"/>
        <v>777</v>
      </c>
      <c r="G23" s="240">
        <f t="shared" si="1"/>
        <v>586</v>
      </c>
      <c r="H23" s="241">
        <f t="shared" si="1"/>
        <v>2053</v>
      </c>
      <c r="I23" s="274">
        <f>I18+I21</f>
        <v>2459.4939999999997</v>
      </c>
      <c r="J23" s="275">
        <f>J18+J21</f>
        <v>376302.58199999999</v>
      </c>
      <c r="K23" s="276">
        <f>K18+K21</f>
        <v>53757.511714285713</v>
      </c>
      <c r="L23" s="408">
        <f>L18+L21</f>
        <v>2510.819</v>
      </c>
      <c r="M23" s="240">
        <f>M18+M21</f>
        <v>384155.30700000003</v>
      </c>
      <c r="N23" s="243">
        <f>N18+N21</f>
        <v>54879.32957142857</v>
      </c>
      <c r="O23" s="274">
        <f>O18+O21</f>
        <v>2560.0910000000003</v>
      </c>
      <c r="P23" s="305">
        <f>O23*$O$3</f>
        <v>391693.92300000007</v>
      </c>
      <c r="Q23" s="306">
        <f>P23/$D$14</f>
        <v>55956.274714285726</v>
      </c>
      <c r="R23" s="255">
        <f>AVERAGE(K23,N23,Q23)</f>
        <v>54864.372000000003</v>
      </c>
      <c r="S23" s="249" t="s">
        <v>12</v>
      </c>
      <c r="T23" s="231" t="s">
        <v>12</v>
      </c>
    </row>
    <row r="24" spans="1:20" ht="14.25" thickTop="1" thickBot="1">
      <c r="E24"/>
    </row>
    <row r="25" spans="1:20" ht="16.5" thickTop="1">
      <c r="A25" s="495" t="s">
        <v>16</v>
      </c>
      <c r="B25" s="418"/>
      <c r="C25" s="431" t="s">
        <v>54</v>
      </c>
      <c r="D25" s="70">
        <v>7</v>
      </c>
      <c r="E25" s="112" t="s">
        <v>6</v>
      </c>
      <c r="F25" s="1412"/>
      <c r="G25" s="1413"/>
      <c r="H25" s="1414"/>
      <c r="I25" s="181" t="s">
        <v>16</v>
      </c>
      <c r="J25" s="426"/>
      <c r="K25" s="180"/>
      <c r="L25" s="181" t="s">
        <v>16</v>
      </c>
      <c r="M25" s="5"/>
      <c r="N25" s="37"/>
      <c r="O25" s="181" t="s">
        <v>16</v>
      </c>
      <c r="P25" s="426"/>
      <c r="Q25" s="180"/>
      <c r="R25" s="122"/>
      <c r="S25" s="37"/>
      <c r="T25" s="508"/>
    </row>
    <row r="26" spans="1:20">
      <c r="A26" s="484"/>
      <c r="B26" s="23" t="s">
        <v>60</v>
      </c>
      <c r="C26" s="23" t="s">
        <v>62</v>
      </c>
      <c r="D26" s="5"/>
      <c r="E26" s="5"/>
      <c r="F26" s="5"/>
      <c r="G26" s="6"/>
      <c r="H26" s="43"/>
      <c r="I26" s="277" t="s">
        <v>61</v>
      </c>
      <c r="J26" s="1419" t="s">
        <v>57</v>
      </c>
      <c r="K26" s="1420"/>
      <c r="L26" s="93" t="s">
        <v>61</v>
      </c>
      <c r="M26" s="1429" t="s">
        <v>57</v>
      </c>
      <c r="N26" s="1430"/>
      <c r="O26" s="278" t="s">
        <v>61</v>
      </c>
      <c r="P26" s="1419" t="s">
        <v>57</v>
      </c>
      <c r="Q26" s="1420"/>
      <c r="R26" s="131"/>
      <c r="S26" s="37"/>
      <c r="T26" s="227"/>
    </row>
    <row r="27" spans="1:20">
      <c r="A27" s="26" t="s">
        <v>58</v>
      </c>
      <c r="B27" s="23"/>
      <c r="C27" s="23"/>
      <c r="D27" s="9"/>
      <c r="E27" s="72"/>
      <c r="F27" s="72"/>
      <c r="G27" s="72"/>
      <c r="H27" s="73"/>
      <c r="I27" s="260" t="s">
        <v>56</v>
      </c>
      <c r="J27" s="261" t="s">
        <v>13</v>
      </c>
      <c r="K27" s="262" t="s">
        <v>68</v>
      </c>
      <c r="L27" s="77" t="s">
        <v>56</v>
      </c>
      <c r="M27" s="24" t="s">
        <v>13</v>
      </c>
      <c r="N27" s="38" t="s">
        <v>68</v>
      </c>
      <c r="O27" s="260" t="s">
        <v>56</v>
      </c>
      <c r="P27" s="261" t="s">
        <v>13</v>
      </c>
      <c r="Q27" s="262" t="s">
        <v>68</v>
      </c>
      <c r="R27" s="123"/>
      <c r="S27" s="37"/>
      <c r="T27" s="227"/>
    </row>
    <row r="28" spans="1:20" s="1" customFormat="1">
      <c r="A28" s="496" t="s">
        <v>14</v>
      </c>
      <c r="B28" s="458">
        <f>VLOOKUP(B$1,Monitor_Costs,2,FALSE)</f>
        <v>7200</v>
      </c>
      <c r="C28" s="381">
        <f>VLOOKUP(B1,Monitor_Costs,3,FALSE)</f>
        <v>2013</v>
      </c>
      <c r="D28" s="459"/>
      <c r="E28" s="93"/>
      <c r="F28" s="460"/>
      <c r="G28" s="460"/>
      <c r="H28" s="466"/>
      <c r="I28" s="384">
        <f>HLOOKUP(C28,InflationTable,2)*$B$28</f>
        <v>8625.6</v>
      </c>
      <c r="J28" s="384">
        <f>I28*$K$10</f>
        <v>10480104</v>
      </c>
      <c r="K28" s="385">
        <f>J28/$D$25</f>
        <v>1497157.7142857143</v>
      </c>
      <c r="L28" s="467">
        <f>HLOOKUP($C$28,InflationTable,3)*$B$28</f>
        <v>8805.6</v>
      </c>
      <c r="M28" s="468">
        <f>L28*$K$10</f>
        <v>10698804</v>
      </c>
      <c r="N28" s="407">
        <f>M28/$D$25</f>
        <v>1528400.5714285714</v>
      </c>
      <c r="O28" s="383">
        <f>HLOOKUP($C$28,InflationTable,4)*$B$28</f>
        <v>8978.4000000000015</v>
      </c>
      <c r="P28" s="384">
        <f>O28*$Q$10</f>
        <v>10908756.000000002</v>
      </c>
      <c r="Q28" s="385">
        <f>P28/$D$25</f>
        <v>1558393.7142857146</v>
      </c>
      <c r="R28" s="462" t="s">
        <v>12</v>
      </c>
      <c r="S28" s="380" t="s">
        <v>12</v>
      </c>
      <c r="T28" s="509">
        <f>AVERAGE(K28,N28,Q28)</f>
        <v>1527984</v>
      </c>
    </row>
    <row r="29" spans="1:20" s="1" customFormat="1" ht="13.5" thickBot="1">
      <c r="A29" s="497" t="s">
        <v>15</v>
      </c>
      <c r="B29" s="469"/>
      <c r="C29" s="469"/>
      <c r="D29" s="469"/>
      <c r="E29" s="470"/>
      <c r="F29" s="469"/>
      <c r="G29" s="469"/>
      <c r="H29" s="368"/>
      <c r="I29" s="369"/>
      <c r="J29" s="296">
        <f>I28*$K$12</f>
        <v>2096020.8</v>
      </c>
      <c r="K29" s="297">
        <f>J29/$D$25</f>
        <v>299431.54285714286</v>
      </c>
      <c r="L29" s="469"/>
      <c r="M29" s="208">
        <f>L28*$K$12</f>
        <v>2139760.8000000003</v>
      </c>
      <c r="N29" s="209">
        <f>M29/$D$25</f>
        <v>305680.11428571434</v>
      </c>
      <c r="O29" s="471"/>
      <c r="P29" s="296">
        <f>O28*$K$12</f>
        <v>2181751.2000000002</v>
      </c>
      <c r="Q29" s="297">
        <f>P29/$D$25</f>
        <v>311678.74285714288</v>
      </c>
      <c r="R29" s="472" t="s">
        <v>12</v>
      </c>
      <c r="S29" s="218" t="s">
        <v>12</v>
      </c>
      <c r="T29" s="229">
        <f>AVERAGE(K29,N29,Q29)</f>
        <v>305596.80000000005</v>
      </c>
    </row>
    <row r="30" spans="1:20">
      <c r="A30" s="498" t="s">
        <v>17</v>
      </c>
      <c r="B30" s="107" t="s">
        <v>45</v>
      </c>
      <c r="C30" s="108" t="s">
        <v>46</v>
      </c>
      <c r="D30" s="107" t="s">
        <v>47</v>
      </c>
      <c r="E30" s="107" t="s">
        <v>48</v>
      </c>
      <c r="F30" s="107" t="s">
        <v>49</v>
      </c>
      <c r="G30" s="107" t="s">
        <v>50</v>
      </c>
      <c r="H30" s="350" t="s">
        <v>74</v>
      </c>
      <c r="I30" s="623"/>
      <c r="J30" s="623"/>
      <c r="K30" s="629"/>
      <c r="L30" s="110"/>
      <c r="M30" s="108"/>
      <c r="N30" s="111"/>
      <c r="O30" s="352"/>
      <c r="P30" s="352"/>
      <c r="Q30" s="356"/>
      <c r="R30" s="125"/>
      <c r="S30" s="37"/>
      <c r="T30" s="227"/>
    </row>
    <row r="31" spans="1:20">
      <c r="A31" s="499" t="s">
        <v>142</v>
      </c>
      <c r="B31" s="31">
        <v>0</v>
      </c>
      <c r="C31" s="21">
        <v>0</v>
      </c>
      <c r="D31" s="21">
        <v>0</v>
      </c>
      <c r="E31" s="21">
        <v>4</v>
      </c>
      <c r="F31" s="21">
        <v>0</v>
      </c>
      <c r="G31" s="21">
        <v>0</v>
      </c>
      <c r="H31" s="48">
        <f>SUM(B31:G31)</f>
        <v>4</v>
      </c>
      <c r="I31" s="263" t="s">
        <v>12</v>
      </c>
      <c r="J31" s="281">
        <f>H31*($K$10+$K$12)</f>
        <v>5832</v>
      </c>
      <c r="K31" s="282">
        <f>J31/$D$25</f>
        <v>833.14285714285711</v>
      </c>
      <c r="L31" s="58" t="s">
        <v>12</v>
      </c>
      <c r="M31" s="69">
        <f>$H$31*($N$10+$N$12)</f>
        <v>5832</v>
      </c>
      <c r="N31" s="59">
        <f>M31/$D$25</f>
        <v>833.14285714285711</v>
      </c>
      <c r="O31" s="263" t="s">
        <v>12</v>
      </c>
      <c r="P31" s="281">
        <f>$H$31*($Q$10+$Q$12)</f>
        <v>5832</v>
      </c>
      <c r="Q31" s="282">
        <f>P31/$D$25</f>
        <v>833.14285714285711</v>
      </c>
      <c r="R31" s="151">
        <f>AVERAGE(K31,N31,Q31)</f>
        <v>833.14285714285722</v>
      </c>
      <c r="S31" s="119" t="s">
        <v>12</v>
      </c>
      <c r="T31" s="232" t="s">
        <v>12</v>
      </c>
    </row>
    <row r="32" spans="1:20" s="1" customFormat="1" ht="13.5" thickBot="1">
      <c r="A32" s="491" t="s">
        <v>8</v>
      </c>
      <c r="B32" s="389">
        <f>ROUND(B31*Labor!$D$3,0)</f>
        <v>0</v>
      </c>
      <c r="C32" s="374">
        <f>ROUND(C31*Labor!$D$4,0)</f>
        <v>0</v>
      </c>
      <c r="D32" s="374">
        <f>ROUND(D31*Labor!$D$5,0)</f>
        <v>0</v>
      </c>
      <c r="E32" s="374">
        <f>ROUND(E31*Labor!$D$6,0)</f>
        <v>197</v>
      </c>
      <c r="F32" s="374">
        <f>ROUND(F31*Labor!$D$7,0)</f>
        <v>0</v>
      </c>
      <c r="G32" s="374">
        <f>ROUND(G31*Labor!$D$8,0)</f>
        <v>0</v>
      </c>
      <c r="H32" s="375">
        <f>SUM(B32:G32)</f>
        <v>197</v>
      </c>
      <c r="I32" s="339">
        <f>HLOOKUP(Labor!$B$11,InflationTable,2)*H32</f>
        <v>236.006</v>
      </c>
      <c r="J32" s="296">
        <f>I32*($K$10+$K$12)</f>
        <v>344096.74800000002</v>
      </c>
      <c r="K32" s="297">
        <f>J32/$D$25</f>
        <v>49156.67828571429</v>
      </c>
      <c r="L32" s="376">
        <f>HLOOKUP(Labor!$B$11,InflationTable,3)*$H32</f>
        <v>240.93100000000001</v>
      </c>
      <c r="M32" s="377">
        <f>L32*$K$10</f>
        <v>292731.16500000004</v>
      </c>
      <c r="N32" s="378">
        <f>M32/$D$25</f>
        <v>41818.737857142864</v>
      </c>
      <c r="O32" s="332">
        <f>HLOOKUP(Labor!$B$11,InflationTable,4)*$H32</f>
        <v>245.65900000000002</v>
      </c>
      <c r="P32" s="296">
        <f>O32*$Q$10</f>
        <v>298475.685</v>
      </c>
      <c r="Q32" s="297">
        <f>P32/$D$25</f>
        <v>42639.383571428574</v>
      </c>
      <c r="R32" s="391">
        <f>AVERAGE(K32,N32,Q32)</f>
        <v>44538.266571428576</v>
      </c>
      <c r="S32" s="218" t="s">
        <v>12</v>
      </c>
      <c r="T32" s="228" t="s">
        <v>12</v>
      </c>
    </row>
    <row r="33" spans="1:20">
      <c r="A33" s="492" t="s">
        <v>143</v>
      </c>
      <c r="B33" s="346">
        <v>0</v>
      </c>
      <c r="C33" s="365">
        <v>8</v>
      </c>
      <c r="D33" s="365">
        <v>8</v>
      </c>
      <c r="E33" s="365">
        <v>0</v>
      </c>
      <c r="F33" s="365">
        <v>0</v>
      </c>
      <c r="G33" s="365">
        <v>0</v>
      </c>
      <c r="H33" s="366">
        <f>SUM(B33:G33)</f>
        <v>16</v>
      </c>
      <c r="I33" s="293" t="s">
        <v>12</v>
      </c>
      <c r="J33" s="334">
        <f>H33*$K$10</f>
        <v>19440</v>
      </c>
      <c r="K33" s="294">
        <f>J33/$D$25</f>
        <v>2777.1428571428573</v>
      </c>
      <c r="L33" s="61" t="s">
        <v>12</v>
      </c>
      <c r="M33" s="348">
        <f>H33*$N$10</f>
        <v>19440</v>
      </c>
      <c r="N33" s="62">
        <f>M33/$D$25</f>
        <v>2777.1428571428573</v>
      </c>
      <c r="O33" s="293" t="s">
        <v>12</v>
      </c>
      <c r="P33" s="327">
        <f>$H33*Q$10</f>
        <v>19440</v>
      </c>
      <c r="Q33" s="294">
        <f>P33/$D$25</f>
        <v>2777.1428571428573</v>
      </c>
      <c r="R33" s="129">
        <f>AVERAGE(K33,N33,Q33)</f>
        <v>2777.1428571428573</v>
      </c>
      <c r="S33" s="136" t="s">
        <v>12</v>
      </c>
      <c r="T33" s="230" t="s">
        <v>12</v>
      </c>
    </row>
    <row r="34" spans="1:20" s="1" customFormat="1" ht="13.5" thickBot="1">
      <c r="A34" s="500" t="s">
        <v>8</v>
      </c>
      <c r="B34" s="373">
        <f>ROUND(B33*Labor!$D$3,0)</f>
        <v>0</v>
      </c>
      <c r="C34" s="374">
        <f>ROUND(C33*Labor!$D$4,0)</f>
        <v>327</v>
      </c>
      <c r="D34" s="374">
        <f>ROUND(D33*Labor!$D$5,0)</f>
        <v>353</v>
      </c>
      <c r="E34" s="374">
        <f>ROUND(E33*Labor!$D$6,0)</f>
        <v>0</v>
      </c>
      <c r="F34" s="374">
        <f>ROUND(F33*Labor!$D$7,0)</f>
        <v>0</v>
      </c>
      <c r="G34" s="374">
        <f>ROUND(G33*Labor!$D$8,0)</f>
        <v>0</v>
      </c>
      <c r="H34" s="375">
        <f>SUM(B34:G34)</f>
        <v>680</v>
      </c>
      <c r="I34" s="332">
        <f>HLOOKUP(Labor!$B$11,InflationTable,2)*H34</f>
        <v>814.64</v>
      </c>
      <c r="J34" s="296">
        <f>I34*$K$10</f>
        <v>989787.6</v>
      </c>
      <c r="K34" s="297">
        <f>J34/$D$25</f>
        <v>141398.22857142857</v>
      </c>
      <c r="L34" s="376">
        <f>HLOOKUP(Labor!$B$11,InflationTable,3)*$H34</f>
        <v>831.6400000000001</v>
      </c>
      <c r="M34" s="377">
        <f>L34*$N$10</f>
        <v>1010442.6000000001</v>
      </c>
      <c r="N34" s="378">
        <f>M34/$D$25</f>
        <v>144348.94285714286</v>
      </c>
      <c r="O34" s="339">
        <f>HLOOKUP(Labor!$B$11,InflationTable,4)*$H34</f>
        <v>847.96</v>
      </c>
      <c r="P34" s="296">
        <f>O34*$Q$10</f>
        <v>1030271.4</v>
      </c>
      <c r="Q34" s="297">
        <f>P34/$D$25</f>
        <v>147181.62857142856</v>
      </c>
      <c r="R34" s="211">
        <f>AVERAGE(K34,N34,Q34)</f>
        <v>144309.6</v>
      </c>
      <c r="S34" s="393" t="s">
        <v>12</v>
      </c>
      <c r="T34" s="228" t="s">
        <v>12</v>
      </c>
    </row>
    <row r="35" spans="1:20">
      <c r="A35" s="493" t="s">
        <v>66</v>
      </c>
      <c r="B35" s="33">
        <f t="shared" ref="B35:H35" si="2">B31+B33</f>
        <v>0</v>
      </c>
      <c r="C35" s="33">
        <f t="shared" si="2"/>
        <v>8</v>
      </c>
      <c r="D35" s="33">
        <f t="shared" si="2"/>
        <v>8</v>
      </c>
      <c r="E35" s="33">
        <f t="shared" si="2"/>
        <v>4</v>
      </c>
      <c r="F35" s="33">
        <f t="shared" si="2"/>
        <v>0</v>
      </c>
      <c r="G35" s="33">
        <f t="shared" si="2"/>
        <v>0</v>
      </c>
      <c r="H35" s="49">
        <f t="shared" si="2"/>
        <v>20</v>
      </c>
      <c r="I35" s="284" t="s">
        <v>12</v>
      </c>
      <c r="J35" s="285">
        <f>J31+J33</f>
        <v>25272</v>
      </c>
      <c r="K35" s="286">
        <f>K31+K33</f>
        <v>3610.2857142857147</v>
      </c>
      <c r="L35" s="44" t="s">
        <v>12</v>
      </c>
      <c r="M35" s="33">
        <f>M31+M33</f>
        <v>25272</v>
      </c>
      <c r="N35" s="40">
        <f>N31+N33</f>
        <v>3610.2857142857147</v>
      </c>
      <c r="O35" s="284" t="s">
        <v>12</v>
      </c>
      <c r="P35" s="285">
        <f>P31+P33</f>
        <v>25272</v>
      </c>
      <c r="Q35" s="286">
        <f>Q31+Q33</f>
        <v>3610.2857142857147</v>
      </c>
      <c r="R35" s="175">
        <f>AVERAGE(K35,N35,Q35)</f>
        <v>3610.2857142857151</v>
      </c>
      <c r="S35" s="136" t="s">
        <v>12</v>
      </c>
      <c r="T35" s="230" t="s">
        <v>12</v>
      </c>
    </row>
    <row r="36" spans="1:20" s="1" customFormat="1" ht="13.5" thickBot="1">
      <c r="A36" s="494" t="s">
        <v>67</v>
      </c>
      <c r="B36" s="240">
        <f t="shared" ref="B36:I36" si="3">B34+B32</f>
        <v>0</v>
      </c>
      <c r="C36" s="240">
        <f t="shared" si="3"/>
        <v>327</v>
      </c>
      <c r="D36" s="240">
        <f t="shared" si="3"/>
        <v>353</v>
      </c>
      <c r="E36" s="240">
        <f t="shared" si="3"/>
        <v>197</v>
      </c>
      <c r="F36" s="240">
        <f t="shared" si="3"/>
        <v>0</v>
      </c>
      <c r="G36" s="240">
        <f t="shared" si="3"/>
        <v>0</v>
      </c>
      <c r="H36" s="241">
        <f t="shared" si="3"/>
        <v>877</v>
      </c>
      <c r="I36" s="313">
        <f t="shared" si="3"/>
        <v>1050.646</v>
      </c>
      <c r="J36" s="287"/>
      <c r="K36" s="276">
        <f>K34+K32+K29+K28</f>
        <v>1987144.1640000001</v>
      </c>
      <c r="L36" s="242">
        <f>L34+L32</f>
        <v>1072.5710000000001</v>
      </c>
      <c r="M36" s="247"/>
      <c r="N36" s="243">
        <f>N34+N32+N29+N28</f>
        <v>2020248.3664285713</v>
      </c>
      <c r="O36" s="274">
        <f>O34+O32</f>
        <v>1093.6190000000001</v>
      </c>
      <c r="P36" s="287"/>
      <c r="Q36" s="276">
        <f>Q34+Q32+Q29+Q28</f>
        <v>2059893.4692857144</v>
      </c>
      <c r="R36" s="248">
        <f>SUM(R34,R32)</f>
        <v>188847.86657142857</v>
      </c>
      <c r="S36" s="249" t="s">
        <v>12</v>
      </c>
      <c r="T36" s="510">
        <f>SUM(T28:T29)</f>
        <v>1833580.8</v>
      </c>
    </row>
    <row r="37" spans="1:20" ht="14.25" thickTop="1" thickBot="1">
      <c r="E37"/>
    </row>
    <row r="38" spans="1:20" ht="15.75">
      <c r="A38" s="539" t="s">
        <v>146</v>
      </c>
      <c r="B38" s="5"/>
      <c r="C38" s="5"/>
      <c r="D38" s="5"/>
      <c r="E38" s="112" t="s">
        <v>6</v>
      </c>
      <c r="F38" s="1421"/>
      <c r="G38" s="1422"/>
      <c r="H38" s="1423"/>
      <c r="I38" s="81" t="s">
        <v>22</v>
      </c>
      <c r="J38" s="426"/>
      <c r="K38" s="180"/>
      <c r="L38" s="81" t="s">
        <v>22</v>
      </c>
      <c r="M38" s="426"/>
      <c r="N38" s="67"/>
      <c r="O38" s="81" t="s">
        <v>22</v>
      </c>
      <c r="P38" s="426"/>
      <c r="Q38" s="67"/>
      <c r="R38" s="124"/>
      <c r="S38" s="37"/>
      <c r="T38" s="227"/>
    </row>
    <row r="39" spans="1:20">
      <c r="A39" s="484"/>
      <c r="B39" s="5"/>
      <c r="C39" s="5"/>
      <c r="D39" s="5"/>
      <c r="E39" s="112"/>
      <c r="F39" s="1415"/>
      <c r="G39" s="1415"/>
      <c r="H39" s="1416"/>
      <c r="I39" s="277" t="s">
        <v>61</v>
      </c>
      <c r="J39" s="1434" t="s">
        <v>57</v>
      </c>
      <c r="K39" s="1435"/>
      <c r="L39" s="57" t="s">
        <v>61</v>
      </c>
      <c r="M39" s="1429" t="s">
        <v>57</v>
      </c>
      <c r="N39" s="1430"/>
      <c r="O39" s="277" t="s">
        <v>61</v>
      </c>
      <c r="P39" s="1419" t="s">
        <v>57</v>
      </c>
      <c r="Q39" s="1420"/>
      <c r="R39" s="131"/>
      <c r="S39" s="37"/>
      <c r="T39" s="227"/>
    </row>
    <row r="40" spans="1:20">
      <c r="A40" s="501" t="s">
        <v>18</v>
      </c>
      <c r="B40" s="23" t="s">
        <v>60</v>
      </c>
      <c r="C40" s="23" t="s">
        <v>62</v>
      </c>
      <c r="D40" s="9"/>
      <c r="E40" s="72"/>
      <c r="F40" s="72"/>
      <c r="G40" s="72"/>
      <c r="H40" s="37"/>
      <c r="I40" s="261" t="s">
        <v>56</v>
      </c>
      <c r="J40" s="261" t="s">
        <v>13</v>
      </c>
      <c r="K40" s="262" t="s">
        <v>68</v>
      </c>
      <c r="L40" s="77" t="s">
        <v>56</v>
      </c>
      <c r="M40" s="24" t="s">
        <v>13</v>
      </c>
      <c r="N40" s="38" t="s">
        <v>68</v>
      </c>
      <c r="O40" s="260" t="s">
        <v>56</v>
      </c>
      <c r="P40" s="261" t="s">
        <v>13</v>
      </c>
      <c r="Q40" s="262" t="s">
        <v>68</v>
      </c>
      <c r="R40" s="123"/>
      <c r="S40" s="37"/>
      <c r="T40" s="227"/>
    </row>
    <row r="41" spans="1:20" s="1" customFormat="1" ht="13.5" thickBot="1">
      <c r="A41" s="398"/>
      <c r="B41" s="458">
        <f>VLOOKUP(B$1,Monitor_Costs,4,FALSE)</f>
        <v>800</v>
      </c>
      <c r="C41" s="381">
        <f>VLOOKUP(B$1,Monitor_Costs,5,FALSE)</f>
        <v>2013</v>
      </c>
      <c r="D41" s="112"/>
      <c r="E41" s="396"/>
      <c r="F41" s="112"/>
      <c r="G41" s="465"/>
      <c r="H41" s="45"/>
      <c r="I41" s="384">
        <f>HLOOKUP($C$41,InflationTable,2)*$B$41*K$11</f>
        <v>689.94282578875175</v>
      </c>
      <c r="J41" s="296">
        <f>I41*($K$10)</f>
        <v>838280.53333333333</v>
      </c>
      <c r="K41" s="385">
        <f>J41</f>
        <v>838280.53333333333</v>
      </c>
      <c r="L41" s="386">
        <f>HLOOKUP($C$41,InflationTable,3)*$B$41*N$11</f>
        <v>704.34063100137189</v>
      </c>
      <c r="M41" s="387">
        <f>L41*N$10</f>
        <v>855773.86666666681</v>
      </c>
      <c r="N41" s="388">
        <f>M41</f>
        <v>855773.86666666681</v>
      </c>
      <c r="O41" s="384">
        <f>HLOOKUP($C$41,InflationTable,4)*$B$41*Q$11</f>
        <v>718.16252400548717</v>
      </c>
      <c r="P41" s="384">
        <f>O41*Q$10</f>
        <v>872567.46666666691</v>
      </c>
      <c r="Q41" s="385">
        <f>P41</f>
        <v>872567.46666666691</v>
      </c>
      <c r="R41" s="462" t="s">
        <v>12</v>
      </c>
      <c r="S41" s="382">
        <f>AVERAGE(K41,N41,Q41)</f>
        <v>855540.62222222239</v>
      </c>
      <c r="T41" s="511" t="s">
        <v>12</v>
      </c>
    </row>
    <row r="42" spans="1:20">
      <c r="A42" s="484"/>
      <c r="B42" s="23" t="s">
        <v>45</v>
      </c>
      <c r="C42" s="24" t="s">
        <v>46</v>
      </c>
      <c r="D42" s="23" t="s">
        <v>47</v>
      </c>
      <c r="E42" s="23" t="s">
        <v>48</v>
      </c>
      <c r="F42" s="23" t="s">
        <v>49</v>
      </c>
      <c r="G42" s="23" t="s">
        <v>50</v>
      </c>
      <c r="H42" s="47" t="s">
        <v>74</v>
      </c>
      <c r="I42" s="261"/>
      <c r="J42" s="261"/>
      <c r="K42" s="262"/>
      <c r="L42" s="77"/>
      <c r="M42" s="24"/>
      <c r="N42" s="38"/>
      <c r="O42" s="261"/>
      <c r="P42" s="261"/>
      <c r="Q42" s="262"/>
      <c r="R42" s="120"/>
      <c r="S42" s="37"/>
      <c r="T42" s="227"/>
    </row>
    <row r="43" spans="1:20">
      <c r="A43" s="501" t="s">
        <v>141</v>
      </c>
      <c r="B43" s="21">
        <v>0</v>
      </c>
      <c r="C43" s="21">
        <v>60</v>
      </c>
      <c r="D43" s="21">
        <v>60</v>
      </c>
      <c r="E43" s="21">
        <v>0</v>
      </c>
      <c r="F43" s="21">
        <v>0</v>
      </c>
      <c r="G43" s="21">
        <v>0</v>
      </c>
      <c r="H43" s="48">
        <f>SUM(B43:G43)</f>
        <v>120</v>
      </c>
      <c r="I43" s="299" t="s">
        <v>12</v>
      </c>
      <c r="J43" s="281">
        <f>$H43*K$10*K$11</f>
        <v>104960.00000000001</v>
      </c>
      <c r="K43" s="289">
        <f>J43</f>
        <v>104960.00000000001</v>
      </c>
      <c r="L43" s="58" t="s">
        <v>12</v>
      </c>
      <c r="M43" s="69">
        <f>$H43*N$10*N$11</f>
        <v>104960.00000000001</v>
      </c>
      <c r="N43" s="68">
        <f>M43</f>
        <v>104960.00000000001</v>
      </c>
      <c r="O43" s="299" t="s">
        <v>12</v>
      </c>
      <c r="P43" s="281">
        <f>$H43*Q$10*Q$11</f>
        <v>104960.00000000001</v>
      </c>
      <c r="Q43" s="289">
        <f>P43</f>
        <v>104960.00000000001</v>
      </c>
      <c r="R43" s="121">
        <f>AVERAGE(K43,N43,Q43)</f>
        <v>104960.00000000001</v>
      </c>
      <c r="S43" s="119" t="s">
        <v>12</v>
      </c>
      <c r="T43" s="232" t="s">
        <v>12</v>
      </c>
    </row>
    <row r="44" spans="1:20" s="1" customFormat="1" ht="13.5" thickBot="1">
      <c r="A44" s="491" t="s">
        <v>8</v>
      </c>
      <c r="B44" s="373">
        <f>ROUND(B43*Labor!$D$3,0)</f>
        <v>0</v>
      </c>
      <c r="C44" s="374">
        <f>ROUND(C43*Labor!$D$4,0)</f>
        <v>2451</v>
      </c>
      <c r="D44" s="374">
        <f>ROUND(D43*Labor!$D$5,0)</f>
        <v>2647</v>
      </c>
      <c r="E44" s="374">
        <f>ROUND(E43*Labor!$D$6,0)</f>
        <v>0</v>
      </c>
      <c r="F44" s="374">
        <f>ROUND(F43*Labor!$D$7,0)</f>
        <v>0</v>
      </c>
      <c r="G44" s="374">
        <f>ROUND(G43*Labor!$D$8,0)</f>
        <v>0</v>
      </c>
      <c r="H44" s="375">
        <f>SUM(B44:G44)</f>
        <v>5098</v>
      </c>
      <c r="I44" s="296">
        <f>HLOOKUP(Labor!$B$11,InflationTable,2)*H44*K$11</f>
        <v>4396.6606573388208</v>
      </c>
      <c r="J44" s="296">
        <f>I44*K$10</f>
        <v>5341942.6986666676</v>
      </c>
      <c r="K44" s="390">
        <f>J44</f>
        <v>5341942.6986666676</v>
      </c>
      <c r="L44" s="376">
        <f>HLOOKUP(Labor!$B$11,InflationTable,3)*H44*N$11</f>
        <v>4488.4106710562419</v>
      </c>
      <c r="M44" s="377">
        <f>L44*N$10</f>
        <v>5453418.9653333342</v>
      </c>
      <c r="N44" s="378">
        <f>M44</f>
        <v>5453418.9653333342</v>
      </c>
      <c r="O44" s="296">
        <f>HLOOKUP(Labor!$B$11,InflationTable,4)*$H$44*Q$11</f>
        <v>4576.4906842249666</v>
      </c>
      <c r="P44" s="296">
        <f>O44*Q$10</f>
        <v>5560436.1813333342</v>
      </c>
      <c r="Q44" s="390">
        <f>P44</f>
        <v>5560436.1813333342</v>
      </c>
      <c r="R44" s="211">
        <f>AVERAGE(K44,N44,Q44)</f>
        <v>5451932.6151111117</v>
      </c>
      <c r="S44" s="393" t="s">
        <v>12</v>
      </c>
      <c r="T44" s="228" t="s">
        <v>12</v>
      </c>
    </row>
    <row r="45" spans="1:20">
      <c r="A45" s="493" t="s">
        <v>66</v>
      </c>
      <c r="B45" s="36">
        <f t="shared" ref="B45:H45" si="4">B43</f>
        <v>0</v>
      </c>
      <c r="C45" s="36">
        <f t="shared" si="4"/>
        <v>60</v>
      </c>
      <c r="D45" s="36">
        <f t="shared" si="4"/>
        <v>60</v>
      </c>
      <c r="E45" s="36">
        <f t="shared" si="4"/>
        <v>0</v>
      </c>
      <c r="F45" s="36">
        <f t="shared" si="4"/>
        <v>0</v>
      </c>
      <c r="G45" s="36">
        <f t="shared" si="4"/>
        <v>0</v>
      </c>
      <c r="H45" s="51">
        <f t="shared" si="4"/>
        <v>120</v>
      </c>
      <c r="I45" s="307" t="s">
        <v>12</v>
      </c>
      <c r="J45" s="302">
        <f>J43</f>
        <v>104960.00000000001</v>
      </c>
      <c r="K45" s="303">
        <f>K43</f>
        <v>104960.00000000001</v>
      </c>
      <c r="L45" s="85" t="s">
        <v>12</v>
      </c>
      <c r="M45" s="82">
        <f>M43</f>
        <v>104960.00000000001</v>
      </c>
      <c r="N45" s="96">
        <f>N43</f>
        <v>104960.00000000001</v>
      </c>
      <c r="O45" s="301" t="s">
        <v>12</v>
      </c>
      <c r="P45" s="302">
        <f>P43</f>
        <v>104960.00000000001</v>
      </c>
      <c r="Q45" s="303">
        <f>Q43</f>
        <v>104960.00000000001</v>
      </c>
      <c r="R45" s="96">
        <f>R43</f>
        <v>104960.00000000001</v>
      </c>
      <c r="S45" s="136" t="s">
        <v>12</v>
      </c>
      <c r="T45" s="230" t="s">
        <v>12</v>
      </c>
    </row>
    <row r="46" spans="1:20" ht="13.5" thickBot="1">
      <c r="A46" s="494" t="s">
        <v>67</v>
      </c>
      <c r="B46" s="435">
        <f t="shared" ref="B46:G46" si="5">B45</f>
        <v>0</v>
      </c>
      <c r="C46" s="435">
        <f t="shared" si="5"/>
        <v>60</v>
      </c>
      <c r="D46" s="435">
        <f t="shared" si="5"/>
        <v>60</v>
      </c>
      <c r="E46" s="435">
        <f t="shared" si="5"/>
        <v>0</v>
      </c>
      <c r="F46" s="435">
        <f t="shared" si="5"/>
        <v>0</v>
      </c>
      <c r="G46" s="435">
        <f t="shared" si="5"/>
        <v>0</v>
      </c>
      <c r="H46" s="457">
        <f>H44+B41</f>
        <v>5898</v>
      </c>
      <c r="I46" s="630">
        <f t="shared" ref="I46:Q46" si="6">I44+I41</f>
        <v>5086.6034831275729</v>
      </c>
      <c r="J46" s="451">
        <f t="shared" si="6"/>
        <v>6180223.2320000008</v>
      </c>
      <c r="K46" s="442">
        <f t="shared" si="6"/>
        <v>6180223.2320000008</v>
      </c>
      <c r="L46" s="452">
        <f t="shared" si="6"/>
        <v>5192.7513020576134</v>
      </c>
      <c r="M46" s="453">
        <f>M44+M41</f>
        <v>6309192.8320000013</v>
      </c>
      <c r="N46" s="443">
        <f t="shared" si="6"/>
        <v>6309192.8320000013</v>
      </c>
      <c r="O46" s="454">
        <f t="shared" si="6"/>
        <v>5294.6532082304539</v>
      </c>
      <c r="P46" s="451">
        <f>P44+P41</f>
        <v>6433003.648000001</v>
      </c>
      <c r="Q46" s="442">
        <f t="shared" si="6"/>
        <v>6433003.648000001</v>
      </c>
      <c r="R46" s="464">
        <f>R44</f>
        <v>5451932.6151111117</v>
      </c>
      <c r="S46" s="456">
        <f>S41</f>
        <v>855540.62222222239</v>
      </c>
      <c r="T46" s="512" t="s">
        <v>12</v>
      </c>
    </row>
    <row r="47" spans="1:20" ht="13.5" thickTop="1">
      <c r="E47"/>
    </row>
    <row r="48" spans="1:20" ht="15.75">
      <c r="A48" s="540" t="s">
        <v>147</v>
      </c>
      <c r="B48" s="5"/>
      <c r="C48" s="5"/>
      <c r="D48" s="5"/>
      <c r="E48" s="112" t="s">
        <v>6</v>
      </c>
      <c r="F48" s="1412"/>
      <c r="G48" s="1413"/>
      <c r="H48" s="1414"/>
      <c r="I48" s="181" t="s">
        <v>24</v>
      </c>
      <c r="J48" s="426"/>
      <c r="K48" s="180"/>
      <c r="L48" s="181" t="s">
        <v>24</v>
      </c>
      <c r="M48" s="426"/>
      <c r="N48" s="67"/>
      <c r="O48" s="181" t="s">
        <v>24</v>
      </c>
      <c r="P48" s="426"/>
      <c r="Q48" s="67"/>
      <c r="R48" s="225"/>
      <c r="S48" s="37"/>
      <c r="T48" s="227"/>
    </row>
    <row r="49" spans="1:20">
      <c r="A49" s="484"/>
      <c r="B49" s="5"/>
      <c r="C49" s="5"/>
      <c r="D49" s="5"/>
      <c r="E49" s="112"/>
      <c r="F49" s="1415"/>
      <c r="G49" s="1415"/>
      <c r="H49" s="1416"/>
      <c r="I49" s="277" t="s">
        <v>61</v>
      </c>
      <c r="J49" s="1419" t="s">
        <v>57</v>
      </c>
      <c r="K49" s="1420"/>
      <c r="L49" s="57" t="s">
        <v>61</v>
      </c>
      <c r="M49" s="1429" t="s">
        <v>57</v>
      </c>
      <c r="N49" s="1430"/>
      <c r="O49" s="277" t="s">
        <v>61</v>
      </c>
      <c r="P49" s="1419" t="s">
        <v>57</v>
      </c>
      <c r="Q49" s="1420"/>
      <c r="R49" s="131"/>
      <c r="S49" s="37"/>
      <c r="T49" s="227"/>
    </row>
    <row r="50" spans="1:20">
      <c r="A50" s="501" t="s">
        <v>19</v>
      </c>
      <c r="B50" s="23" t="s">
        <v>60</v>
      </c>
      <c r="C50" s="23" t="s">
        <v>62</v>
      </c>
      <c r="D50" s="9"/>
      <c r="E50" s="72"/>
      <c r="F50" s="72"/>
      <c r="G50" s="72"/>
      <c r="H50" s="73"/>
      <c r="I50" s="260" t="s">
        <v>56</v>
      </c>
      <c r="J50" s="261" t="s">
        <v>13</v>
      </c>
      <c r="K50" s="262" t="s">
        <v>68</v>
      </c>
      <c r="L50" s="77" t="s">
        <v>56</v>
      </c>
      <c r="M50" s="24" t="s">
        <v>13</v>
      </c>
      <c r="N50" s="38" t="s">
        <v>68</v>
      </c>
      <c r="O50" s="260" t="s">
        <v>56</v>
      </c>
      <c r="P50" s="261" t="s">
        <v>13</v>
      </c>
      <c r="Q50" s="262" t="s">
        <v>68</v>
      </c>
      <c r="R50" s="123"/>
      <c r="S50" s="73"/>
      <c r="T50" s="227"/>
    </row>
    <row r="51" spans="1:20" s="1" customFormat="1">
      <c r="A51" s="398"/>
      <c r="B51" s="458">
        <f>VLOOKUP(B$1,Monitor_Costs,6,FALSE)</f>
        <v>1000</v>
      </c>
      <c r="C51" s="381">
        <f>VLOOKUP(B$1,Monitor_Costs,7,FALSE)</f>
        <v>2013</v>
      </c>
      <c r="D51" s="459"/>
      <c r="E51" s="93"/>
      <c r="F51" s="460"/>
      <c r="G51" s="460"/>
      <c r="H51" s="461"/>
      <c r="I51" s="384">
        <f>HLOOKUP(C51,InflationTable,2)*B51*K$11</f>
        <v>862.42853223593977</v>
      </c>
      <c r="J51" s="384">
        <f>I51*K$10</f>
        <v>1047850.6666666669</v>
      </c>
      <c r="K51" s="385">
        <f>J51</f>
        <v>1047850.6666666669</v>
      </c>
      <c r="L51" s="387">
        <f>HLOOKUP($C$51,InflationTable,3)*$B$51*N$11</f>
        <v>880.42578875171478</v>
      </c>
      <c r="M51" s="387">
        <f>L51*N$10</f>
        <v>1069717.3333333335</v>
      </c>
      <c r="N51" s="388">
        <f>M51</f>
        <v>1069717.3333333335</v>
      </c>
      <c r="O51" s="384">
        <f>HLOOKUP($C$51,InflationTable,4)*$B$51*Q$11</f>
        <v>897.70315500685888</v>
      </c>
      <c r="P51" s="384">
        <f>O51*Q$10</f>
        <v>1090709.3333333335</v>
      </c>
      <c r="Q51" s="385">
        <f>P51</f>
        <v>1090709.3333333335</v>
      </c>
      <c r="R51" s="462" t="s">
        <v>12</v>
      </c>
      <c r="S51" s="463">
        <f>AVERAGE(K51,N51,Q51)</f>
        <v>1069425.777777778</v>
      </c>
      <c r="T51" s="511" t="s">
        <v>12</v>
      </c>
    </row>
    <row r="52" spans="1:20">
      <c r="A52" s="484"/>
      <c r="B52" s="23" t="s">
        <v>45</v>
      </c>
      <c r="C52" s="24" t="s">
        <v>46</v>
      </c>
      <c r="D52" s="23" t="s">
        <v>47</v>
      </c>
      <c r="E52" s="23" t="s">
        <v>48</v>
      </c>
      <c r="F52" s="23" t="s">
        <v>49</v>
      </c>
      <c r="G52" s="23" t="s">
        <v>50</v>
      </c>
      <c r="H52" s="47" t="s">
        <v>74</v>
      </c>
      <c r="I52" s="260"/>
      <c r="J52" s="261"/>
      <c r="K52" s="262"/>
      <c r="L52" s="77"/>
      <c r="M52" s="24"/>
      <c r="N52" s="38"/>
      <c r="O52" s="260"/>
      <c r="P52" s="261"/>
      <c r="Q52" s="262"/>
      <c r="R52" s="134"/>
      <c r="S52" s="136"/>
      <c r="T52" s="227"/>
    </row>
    <row r="53" spans="1:20">
      <c r="A53" s="501" t="s">
        <v>140</v>
      </c>
      <c r="B53" s="21">
        <v>0</v>
      </c>
      <c r="C53" s="21">
        <v>6</v>
      </c>
      <c r="D53" s="21">
        <v>3</v>
      </c>
      <c r="E53" s="21">
        <v>3</v>
      </c>
      <c r="F53" s="21">
        <v>0</v>
      </c>
      <c r="G53" s="21">
        <v>0</v>
      </c>
      <c r="H53" s="52">
        <f>SUM(B53:G53)</f>
        <v>12</v>
      </c>
      <c r="I53" s="263" t="s">
        <v>12</v>
      </c>
      <c r="J53" s="281">
        <f>$H53*K$10*K$11</f>
        <v>10496.000000000002</v>
      </c>
      <c r="K53" s="289">
        <f>J53</f>
        <v>10496.000000000002</v>
      </c>
      <c r="L53" s="58" t="s">
        <v>12</v>
      </c>
      <c r="M53" s="69">
        <f>$H53*N$10*N$11</f>
        <v>10496.000000000002</v>
      </c>
      <c r="N53" s="68">
        <f>M53</f>
        <v>10496.000000000002</v>
      </c>
      <c r="O53" s="263" t="s">
        <v>12</v>
      </c>
      <c r="P53" s="281">
        <f>$H53*Q$10*Q$11</f>
        <v>10496.000000000002</v>
      </c>
      <c r="Q53" s="289">
        <f>P53</f>
        <v>10496.000000000002</v>
      </c>
      <c r="R53" s="121">
        <f>AVERAGE(K53,N53,Q53)</f>
        <v>10496.000000000002</v>
      </c>
      <c r="S53" s="119" t="s">
        <v>12</v>
      </c>
      <c r="T53" s="232" t="s">
        <v>12</v>
      </c>
    </row>
    <row r="54" spans="1:20" s="1" customFormat="1" ht="13.5" thickBot="1">
      <c r="A54" s="491" t="s">
        <v>8</v>
      </c>
      <c r="B54" s="373">
        <f>ROUND(B53*Labor!$D$3,0)</f>
        <v>0</v>
      </c>
      <c r="C54" s="374">
        <f>ROUND(C53*Labor!$D$4,0)</f>
        <v>245</v>
      </c>
      <c r="D54" s="374">
        <f>ROUND(D53*Labor!$D$5,0)</f>
        <v>132</v>
      </c>
      <c r="E54" s="374">
        <f>ROUND(E53*Labor!$D$6,0)</f>
        <v>148</v>
      </c>
      <c r="F54" s="374">
        <f>ROUND(F53*Labor!$D$7,0)</f>
        <v>0</v>
      </c>
      <c r="G54" s="374">
        <f>ROUND(G53*Labor!$D$8,0)</f>
        <v>0</v>
      </c>
      <c r="H54" s="209">
        <f>SUM(B54:G54)</f>
        <v>525</v>
      </c>
      <c r="I54" s="332">
        <f>HLOOKUP(Labor!$B$11,InflationTable,2)*H54*K$11</f>
        <v>452.77497942386833</v>
      </c>
      <c r="J54" s="296">
        <f>I54*K$10</f>
        <v>550121.6</v>
      </c>
      <c r="K54" s="297">
        <f>J54</f>
        <v>550121.6</v>
      </c>
      <c r="L54" s="376">
        <f>HLOOKUP(Labor!$B$11,InflationTable,3)*$H$54*N$11</f>
        <v>462.22353909465033</v>
      </c>
      <c r="M54" s="377">
        <f>L54*N$10</f>
        <v>561601.60000000021</v>
      </c>
      <c r="N54" s="378">
        <f>M54</f>
        <v>561601.60000000021</v>
      </c>
      <c r="O54" s="383">
        <f>HLOOKUP(Labor!$B$11,InflationTable,4)*$H$54*Q$11</f>
        <v>471.29415637860092</v>
      </c>
      <c r="P54" s="384">
        <f>O54*Q$10</f>
        <v>572622.40000000014</v>
      </c>
      <c r="Q54" s="385">
        <f>P54</f>
        <v>572622.40000000014</v>
      </c>
      <c r="R54" s="379">
        <f>AVERAGE(K54,N54,Q54)</f>
        <v>561448.53333333344</v>
      </c>
      <c r="S54" s="380" t="s">
        <v>12</v>
      </c>
      <c r="T54" s="511" t="s">
        <v>12</v>
      </c>
    </row>
    <row r="55" spans="1:20">
      <c r="A55" s="502" t="s">
        <v>139</v>
      </c>
      <c r="B55" s="346">
        <v>0</v>
      </c>
      <c r="C55" s="346">
        <v>16</v>
      </c>
      <c r="D55" s="346">
        <v>8</v>
      </c>
      <c r="E55" s="346">
        <v>32</v>
      </c>
      <c r="F55" s="346">
        <v>0</v>
      </c>
      <c r="G55" s="346">
        <v>0</v>
      </c>
      <c r="H55" s="347">
        <f>SUM(B55:G55)</f>
        <v>56</v>
      </c>
      <c r="I55" s="293" t="s">
        <v>12</v>
      </c>
      <c r="J55" s="327">
        <f>$H55*K$10*K$11</f>
        <v>48981.333333333343</v>
      </c>
      <c r="K55" s="328">
        <f>J55</f>
        <v>48981.333333333343</v>
      </c>
      <c r="L55" s="61" t="s">
        <v>12</v>
      </c>
      <c r="M55" s="348">
        <f>$H55*N$10*N$11</f>
        <v>48981.333333333343</v>
      </c>
      <c r="N55" s="349">
        <f>M55</f>
        <v>48981.333333333343</v>
      </c>
      <c r="O55" s="263" t="s">
        <v>12</v>
      </c>
      <c r="P55" s="281">
        <f>$H55*Q$10*Q$11</f>
        <v>48981.333333333343</v>
      </c>
      <c r="Q55" s="289">
        <f>P55</f>
        <v>48981.333333333343</v>
      </c>
      <c r="R55" s="121">
        <f>AVERAGE(K55,N55,Q55)</f>
        <v>48981.333333333343</v>
      </c>
      <c r="S55" s="119" t="s">
        <v>12</v>
      </c>
      <c r="T55" s="232" t="s">
        <v>12</v>
      </c>
    </row>
    <row r="56" spans="1:20" s="1" customFormat="1" ht="13.5" thickBot="1">
      <c r="A56" s="500" t="s">
        <v>8</v>
      </c>
      <c r="B56" s="373">
        <f>ROUND(B55*Labor!$D$3,0)</f>
        <v>0</v>
      </c>
      <c r="C56" s="374">
        <f>ROUND(C55*Labor!$D$4,0)</f>
        <v>654</v>
      </c>
      <c r="D56" s="374">
        <f>ROUND(D55*Labor!$D$5,0)</f>
        <v>353</v>
      </c>
      <c r="E56" s="374">
        <f>ROUND(E55*Labor!$D$6,0)</f>
        <v>1576</v>
      </c>
      <c r="F56" s="374">
        <f>ROUND(F55*Labor!$D$7,0)</f>
        <v>0</v>
      </c>
      <c r="G56" s="374">
        <f>ROUND(G55*Labor!$D$8,0)</f>
        <v>0</v>
      </c>
      <c r="H56" s="209">
        <f>SUM(B56:G56)</f>
        <v>2583</v>
      </c>
      <c r="I56" s="332">
        <f>HLOOKUP(Labor!$B$11,InflationTable,2)*$H$56*K$11</f>
        <v>2227.6528987654324</v>
      </c>
      <c r="J56" s="296">
        <f>I56*K$10</f>
        <v>2706598.2720000003</v>
      </c>
      <c r="K56" s="297">
        <f>J56</f>
        <v>2706598.2720000003</v>
      </c>
      <c r="L56" s="376">
        <f>HLOOKUP(Labor!$B$11,InflationTable,3)*$H$56*N$11</f>
        <v>2274.1398123456793</v>
      </c>
      <c r="M56" s="377">
        <f>L56*N$10</f>
        <v>2763079.8720000004</v>
      </c>
      <c r="N56" s="378">
        <f>M56</f>
        <v>2763079.8720000004</v>
      </c>
      <c r="O56" s="332">
        <f>HLOOKUP(Labor!$B$11,InflationTable,4)*$H$56*Q$11</f>
        <v>2318.7672493827167</v>
      </c>
      <c r="P56" s="296">
        <f>O56*Q$10</f>
        <v>2817302.208000001</v>
      </c>
      <c r="Q56" s="297">
        <f>P56</f>
        <v>2817302.208000001</v>
      </c>
      <c r="R56" s="450">
        <f>AVERAGE(K56,N56,Q56)</f>
        <v>2762326.7840000005</v>
      </c>
      <c r="S56" s="218" t="s">
        <v>12</v>
      </c>
      <c r="T56" s="228" t="s">
        <v>12</v>
      </c>
    </row>
    <row r="57" spans="1:20">
      <c r="A57" s="493" t="s">
        <v>66</v>
      </c>
      <c r="B57" s="36">
        <f t="shared" ref="B57:H57" si="7">B53+B55</f>
        <v>0</v>
      </c>
      <c r="C57" s="36">
        <f t="shared" si="7"/>
        <v>22</v>
      </c>
      <c r="D57" s="36">
        <f t="shared" si="7"/>
        <v>11</v>
      </c>
      <c r="E57" s="36">
        <f t="shared" si="7"/>
        <v>35</v>
      </c>
      <c r="F57" s="36">
        <f t="shared" si="7"/>
        <v>0</v>
      </c>
      <c r="G57" s="36">
        <f t="shared" si="7"/>
        <v>0</v>
      </c>
      <c r="H57" s="46">
        <f t="shared" si="7"/>
        <v>68</v>
      </c>
      <c r="I57" s="301" t="s">
        <v>12</v>
      </c>
      <c r="J57" s="309">
        <f>J53+J55</f>
        <v>59477.333333333343</v>
      </c>
      <c r="K57" s="310">
        <f>K53+K55</f>
        <v>59477.333333333343</v>
      </c>
      <c r="L57" s="85" t="s">
        <v>12</v>
      </c>
      <c r="M57" s="86">
        <f>M53+M55</f>
        <v>59477.333333333343</v>
      </c>
      <c r="N57" s="97">
        <f>N53+N55</f>
        <v>59477.333333333343</v>
      </c>
      <c r="O57" s="301" t="s">
        <v>12</v>
      </c>
      <c r="P57" s="309">
        <f>P53+P55</f>
        <v>59477.333333333343</v>
      </c>
      <c r="Q57" s="310">
        <f>Q53+Q55</f>
        <v>59477.333333333343</v>
      </c>
      <c r="R57" s="121">
        <f>AVERAGE(K57,N57,Q57)</f>
        <v>59477.333333333343</v>
      </c>
      <c r="S57" s="136" t="s">
        <v>12</v>
      </c>
      <c r="T57" s="513" t="s">
        <v>12</v>
      </c>
    </row>
    <row r="58" spans="1:20" s="1" customFormat="1" ht="13.5" thickBot="1">
      <c r="A58" s="494" t="s">
        <v>67</v>
      </c>
      <c r="B58" s="240">
        <f t="shared" ref="B58:G58" si="8">B54+B56</f>
        <v>0</v>
      </c>
      <c r="C58" s="240">
        <f t="shared" si="8"/>
        <v>899</v>
      </c>
      <c r="D58" s="240">
        <f t="shared" si="8"/>
        <v>485</v>
      </c>
      <c r="E58" s="240">
        <f t="shared" si="8"/>
        <v>1724</v>
      </c>
      <c r="F58" s="240">
        <f t="shared" si="8"/>
        <v>0</v>
      </c>
      <c r="G58" s="240">
        <f t="shared" si="8"/>
        <v>0</v>
      </c>
      <c r="H58" s="222">
        <f>H56+H54+B51</f>
        <v>4108</v>
      </c>
      <c r="I58" s="311">
        <f t="shared" ref="I58:Q58" si="9">I56+I54+I51</f>
        <v>3542.8564104252405</v>
      </c>
      <c r="J58" s="305">
        <f t="shared" si="9"/>
        <v>4304570.5386666674</v>
      </c>
      <c r="K58" s="306">
        <f t="shared" si="9"/>
        <v>4304570.5386666674</v>
      </c>
      <c r="L58" s="252">
        <f t="shared" si="9"/>
        <v>3616.7891401920442</v>
      </c>
      <c r="M58" s="253">
        <f t="shared" si="9"/>
        <v>4394398.805333334</v>
      </c>
      <c r="N58" s="254">
        <f t="shared" si="9"/>
        <v>4394398.805333334</v>
      </c>
      <c r="O58" s="304">
        <f t="shared" si="9"/>
        <v>3687.7645607681761</v>
      </c>
      <c r="P58" s="305">
        <f t="shared" si="9"/>
        <v>4480633.9413333349</v>
      </c>
      <c r="Q58" s="306">
        <f t="shared" si="9"/>
        <v>4480633.9413333349</v>
      </c>
      <c r="R58" s="257">
        <f>R56+R54</f>
        <v>3323775.3173333341</v>
      </c>
      <c r="S58" s="251">
        <f>S51</f>
        <v>1069425.777777778</v>
      </c>
      <c r="T58" s="231" t="s">
        <v>12</v>
      </c>
    </row>
    <row r="59" spans="1:20" ht="13.5" thickTop="1">
      <c r="E59"/>
    </row>
    <row r="60" spans="1:20" ht="15.75">
      <c r="A60" s="540" t="s">
        <v>148</v>
      </c>
      <c r="B60" s="5"/>
      <c r="C60" s="5"/>
      <c r="D60" s="5"/>
      <c r="E60" s="112" t="s">
        <v>6</v>
      </c>
      <c r="F60" s="1412"/>
      <c r="G60" s="1413"/>
      <c r="H60" s="1414"/>
      <c r="I60" s="181" t="s">
        <v>26</v>
      </c>
      <c r="J60" s="426"/>
      <c r="K60" s="67"/>
      <c r="L60" s="245" t="s">
        <v>26</v>
      </c>
      <c r="M60" s="426"/>
      <c r="N60" s="426"/>
      <c r="O60" s="245" t="s">
        <v>26</v>
      </c>
      <c r="P60" s="426"/>
      <c r="Q60" s="67"/>
      <c r="R60" s="225"/>
      <c r="S60" s="37"/>
      <c r="T60" s="227"/>
    </row>
    <row r="61" spans="1:20">
      <c r="A61" s="484"/>
      <c r="B61" s="5"/>
      <c r="C61" s="5"/>
      <c r="D61" s="5"/>
      <c r="E61" s="7"/>
      <c r="F61" s="5"/>
      <c r="G61" s="5"/>
      <c r="H61" s="45" t="s">
        <v>61</v>
      </c>
      <c r="I61" s="277" t="s">
        <v>61</v>
      </c>
      <c r="J61" s="1419" t="s">
        <v>57</v>
      </c>
      <c r="K61" s="1420"/>
      <c r="L61" s="57" t="s">
        <v>61</v>
      </c>
      <c r="M61" s="1429" t="s">
        <v>57</v>
      </c>
      <c r="N61" s="1430"/>
      <c r="O61" s="277" t="s">
        <v>61</v>
      </c>
      <c r="P61" s="1419" t="s">
        <v>57</v>
      </c>
      <c r="Q61" s="1420"/>
      <c r="R61" s="131"/>
      <c r="S61" s="37"/>
      <c r="T61" s="227"/>
    </row>
    <row r="62" spans="1:20">
      <c r="A62" s="501" t="s">
        <v>27</v>
      </c>
      <c r="B62" s="23" t="s">
        <v>45</v>
      </c>
      <c r="C62" s="24" t="s">
        <v>46</v>
      </c>
      <c r="D62" s="23" t="s">
        <v>47</v>
      </c>
      <c r="E62" s="23" t="s">
        <v>48</v>
      </c>
      <c r="F62" s="23" t="s">
        <v>49</v>
      </c>
      <c r="G62" s="23" t="s">
        <v>50</v>
      </c>
      <c r="H62" s="45" t="s">
        <v>13</v>
      </c>
      <c r="I62" s="260" t="s">
        <v>56</v>
      </c>
      <c r="J62" s="261" t="s">
        <v>13</v>
      </c>
      <c r="K62" s="262" t="s">
        <v>68</v>
      </c>
      <c r="L62" s="77" t="s">
        <v>56</v>
      </c>
      <c r="M62" s="24" t="s">
        <v>13</v>
      </c>
      <c r="N62" s="38" t="s">
        <v>68</v>
      </c>
      <c r="O62" s="260" t="s">
        <v>56</v>
      </c>
      <c r="P62" s="261" t="s">
        <v>13</v>
      </c>
      <c r="Q62" s="262" t="s">
        <v>68</v>
      </c>
      <c r="R62" s="123"/>
      <c r="S62" s="37"/>
      <c r="T62" s="227"/>
    </row>
    <row r="63" spans="1:20">
      <c r="A63" s="503" t="s">
        <v>4</v>
      </c>
      <c r="B63" s="21">
        <v>0</v>
      </c>
      <c r="C63" s="21">
        <v>6</v>
      </c>
      <c r="D63" s="21">
        <v>3</v>
      </c>
      <c r="E63" s="21">
        <v>3</v>
      </c>
      <c r="F63" s="21">
        <v>2</v>
      </c>
      <c r="G63" s="21">
        <v>0</v>
      </c>
      <c r="H63" s="52">
        <f t="shared" ref="H63:H70" si="10">SUM(B63:G63)</f>
        <v>14</v>
      </c>
      <c r="I63" s="263" t="s">
        <v>12</v>
      </c>
      <c r="J63" s="281">
        <f>$H63*K$10*K$11</f>
        <v>12245.333333333336</v>
      </c>
      <c r="K63" s="289">
        <f t="shared" ref="K63:K70" si="11">J63</f>
        <v>12245.333333333336</v>
      </c>
      <c r="L63" s="58" t="s">
        <v>12</v>
      </c>
      <c r="M63" s="69">
        <f>$H63*N$10*N$11</f>
        <v>12245.333333333336</v>
      </c>
      <c r="N63" s="68">
        <f t="shared" ref="N63:N70" si="12">M63</f>
        <v>12245.333333333336</v>
      </c>
      <c r="O63" s="263" t="s">
        <v>12</v>
      </c>
      <c r="P63" s="281">
        <f>$H63*Q$10*Q$11</f>
        <v>12245.333333333336</v>
      </c>
      <c r="Q63" s="289">
        <f t="shared" ref="Q63:Q70" si="13">P63</f>
        <v>12245.333333333336</v>
      </c>
      <c r="R63" s="121">
        <f t="shared" ref="R63:R72" si="14">AVERAGE(K63,N63,Q63)</f>
        <v>12245.333333333336</v>
      </c>
      <c r="S63" s="119" t="s">
        <v>12</v>
      </c>
      <c r="T63" s="232" t="s">
        <v>12</v>
      </c>
    </row>
    <row r="64" spans="1:20" s="1" customFormat="1" ht="13.5" thickBot="1">
      <c r="A64" s="491" t="s">
        <v>8</v>
      </c>
      <c r="B64" s="373">
        <f>ROUND(B63*Labor!$D$3,0)</f>
        <v>0</v>
      </c>
      <c r="C64" s="374">
        <f>ROUND(C63*Labor!$D$4,0)</f>
        <v>245</v>
      </c>
      <c r="D64" s="374">
        <f>ROUND(D63*Labor!$D$5,0)</f>
        <v>132</v>
      </c>
      <c r="E64" s="374">
        <f>ROUND(E63*Labor!$D$6,0)</f>
        <v>148</v>
      </c>
      <c r="F64" s="374">
        <f>ROUND(F63*Labor!$D$7,0)</f>
        <v>111</v>
      </c>
      <c r="G64" s="374">
        <f>ROUND(G63*Labor!$D$8,0)</f>
        <v>0</v>
      </c>
      <c r="H64" s="209">
        <f t="shared" si="10"/>
        <v>636</v>
      </c>
      <c r="I64" s="332">
        <f>HLOOKUP(Labor!$B$11,InflationTable,2)*H64*K$11</f>
        <v>548.50454650205768</v>
      </c>
      <c r="J64" s="296">
        <f>I64*K$10</f>
        <v>666433.02400000009</v>
      </c>
      <c r="K64" s="297">
        <f t="shared" si="11"/>
        <v>666433.02400000009</v>
      </c>
      <c r="L64" s="376">
        <f>HLOOKUP(Labor!$B$11,InflationTable,3)*$H$64*N$11</f>
        <v>559.95080164609067</v>
      </c>
      <c r="M64" s="377">
        <f>L64*N$10</f>
        <v>680340.22400000016</v>
      </c>
      <c r="N64" s="378">
        <f t="shared" si="12"/>
        <v>680340.22400000016</v>
      </c>
      <c r="O64" s="339">
        <f>HLOOKUP(Labor!$B$11,InflationTable,4)*$H$64*Q$11</f>
        <v>570.9392065843623</v>
      </c>
      <c r="P64" s="296">
        <f>O64*Q$10</f>
        <v>693691.13600000017</v>
      </c>
      <c r="Q64" s="297">
        <f t="shared" si="13"/>
        <v>693691.13600000017</v>
      </c>
      <c r="R64" s="211">
        <f t="shared" si="14"/>
        <v>680154.79466666677</v>
      </c>
      <c r="S64" s="218" t="s">
        <v>12</v>
      </c>
      <c r="T64" s="228" t="s">
        <v>12</v>
      </c>
    </row>
    <row r="65" spans="1:20">
      <c r="A65" s="492" t="s">
        <v>138</v>
      </c>
      <c r="B65" s="346">
        <v>0</v>
      </c>
      <c r="C65" s="346">
        <v>1</v>
      </c>
      <c r="D65" s="346">
        <v>2</v>
      </c>
      <c r="E65" s="346">
        <v>4</v>
      </c>
      <c r="F65" s="346">
        <v>2</v>
      </c>
      <c r="G65" s="346">
        <v>0</v>
      </c>
      <c r="H65" s="347">
        <f t="shared" si="10"/>
        <v>9</v>
      </c>
      <c r="I65" s="293" t="s">
        <v>12</v>
      </c>
      <c r="J65" s="327">
        <f>$H65*K$10*K$11</f>
        <v>7872.0000000000009</v>
      </c>
      <c r="K65" s="328">
        <f t="shared" si="11"/>
        <v>7872.0000000000009</v>
      </c>
      <c r="L65" s="61" t="s">
        <v>12</v>
      </c>
      <c r="M65" s="348">
        <f>$H65*N$10*N$11</f>
        <v>7872.0000000000009</v>
      </c>
      <c r="N65" s="349">
        <f t="shared" si="12"/>
        <v>7872.0000000000009</v>
      </c>
      <c r="O65" s="293" t="s">
        <v>12</v>
      </c>
      <c r="P65" s="327">
        <f>$H65*Q$10*Q$11</f>
        <v>7872.0000000000009</v>
      </c>
      <c r="Q65" s="328">
        <f t="shared" si="13"/>
        <v>7872.0000000000009</v>
      </c>
      <c r="R65" s="129">
        <f t="shared" si="14"/>
        <v>7872.0000000000009</v>
      </c>
      <c r="S65" s="136" t="s">
        <v>12</v>
      </c>
      <c r="T65" s="230" t="s">
        <v>12</v>
      </c>
    </row>
    <row r="66" spans="1:20" s="1" customFormat="1" ht="13.5" thickBot="1">
      <c r="A66" s="491" t="s">
        <v>8</v>
      </c>
      <c r="B66" s="373">
        <f>ROUND(B65*Labor!$D$3,0)</f>
        <v>0</v>
      </c>
      <c r="C66" s="374">
        <f>ROUND(C65*Labor!$D$4,0)</f>
        <v>41</v>
      </c>
      <c r="D66" s="374">
        <f>ROUND(D65*Labor!$D$5,0)</f>
        <v>88</v>
      </c>
      <c r="E66" s="374">
        <f>ROUND(E65*Labor!$D$6,0)</f>
        <v>197</v>
      </c>
      <c r="F66" s="374">
        <f>ROUND(F65*Labor!$D$7,0)</f>
        <v>111</v>
      </c>
      <c r="G66" s="374">
        <f>ROUND(G65*Labor!$D$8,0)</f>
        <v>0</v>
      </c>
      <c r="H66" s="209">
        <f t="shared" si="10"/>
        <v>437</v>
      </c>
      <c r="I66" s="332">
        <f>HLOOKUP(Labor!$B$11,InflationTable,2)*H66*K$11</f>
        <v>376.88126858710564</v>
      </c>
      <c r="J66" s="296">
        <f>I66*K$10</f>
        <v>457910.74133333337</v>
      </c>
      <c r="K66" s="297">
        <f t="shared" si="11"/>
        <v>457910.74133333337</v>
      </c>
      <c r="L66" s="376">
        <f>HLOOKUP(Labor!$B$11,InflationTable,3)*H66*N$11</f>
        <v>384.74606968449939</v>
      </c>
      <c r="M66" s="377">
        <f>L66*N$10</f>
        <v>467466.47466666676</v>
      </c>
      <c r="N66" s="378">
        <f t="shared" si="12"/>
        <v>467466.47466666676</v>
      </c>
      <c r="O66" s="339">
        <f>HLOOKUP(Labor!$B$11,InflationTable,4)*$H$66*Q$11</f>
        <v>392.2962787379974</v>
      </c>
      <c r="P66" s="296">
        <f>O66*Q$10</f>
        <v>476639.97866666684</v>
      </c>
      <c r="Q66" s="297">
        <f t="shared" si="13"/>
        <v>476639.97866666684</v>
      </c>
      <c r="R66" s="211">
        <f t="shared" si="14"/>
        <v>467339.06488888897</v>
      </c>
      <c r="S66" s="218" t="s">
        <v>12</v>
      </c>
      <c r="T66" s="228" t="s">
        <v>12</v>
      </c>
    </row>
    <row r="67" spans="1:20">
      <c r="A67" s="492" t="s">
        <v>137</v>
      </c>
      <c r="B67" s="346">
        <v>0</v>
      </c>
      <c r="C67" s="346">
        <v>0</v>
      </c>
      <c r="D67" s="346">
        <v>4</v>
      </c>
      <c r="E67" s="346">
        <v>8</v>
      </c>
      <c r="F67" s="346">
        <v>0</v>
      </c>
      <c r="G67" s="346">
        <v>0</v>
      </c>
      <c r="H67" s="347">
        <f t="shared" si="10"/>
        <v>12</v>
      </c>
      <c r="I67" s="293" t="s">
        <v>12</v>
      </c>
      <c r="J67" s="327">
        <f>$H67*K$10*K$11</f>
        <v>10496.000000000002</v>
      </c>
      <c r="K67" s="328">
        <f t="shared" si="11"/>
        <v>10496.000000000002</v>
      </c>
      <c r="L67" s="61" t="s">
        <v>12</v>
      </c>
      <c r="M67" s="348">
        <f>$H67*N$10*N$11</f>
        <v>10496.000000000002</v>
      </c>
      <c r="N67" s="349">
        <f t="shared" si="12"/>
        <v>10496.000000000002</v>
      </c>
      <c r="O67" s="293" t="s">
        <v>12</v>
      </c>
      <c r="P67" s="327">
        <f>$H67*Q$10*Q$11</f>
        <v>10496.000000000002</v>
      </c>
      <c r="Q67" s="328">
        <f t="shared" si="13"/>
        <v>10496.000000000002</v>
      </c>
      <c r="R67" s="129">
        <f t="shared" si="14"/>
        <v>10496.000000000002</v>
      </c>
      <c r="S67" s="136" t="s">
        <v>12</v>
      </c>
      <c r="T67" s="230" t="s">
        <v>12</v>
      </c>
    </row>
    <row r="68" spans="1:20" s="1" customFormat="1" ht="13.5" thickBot="1">
      <c r="A68" s="491" t="s">
        <v>8</v>
      </c>
      <c r="B68" s="373">
        <f>ROUND(B67*Labor!$D$3,0)</f>
        <v>0</v>
      </c>
      <c r="C68" s="374">
        <f>ROUND(C67*Labor!$D$4,0)</f>
        <v>0</v>
      </c>
      <c r="D68" s="374">
        <f>ROUND(D67*Labor!$D$5,0)</f>
        <v>176</v>
      </c>
      <c r="E68" s="374">
        <f>ROUND(E67*Labor!$D$6,0)</f>
        <v>394</v>
      </c>
      <c r="F68" s="374">
        <f>ROUND(F67*Labor!$D$7,0)</f>
        <v>0</v>
      </c>
      <c r="G68" s="374">
        <f>ROUND(G67*Labor!$D$8,0)</f>
        <v>0</v>
      </c>
      <c r="H68" s="209">
        <f t="shared" si="10"/>
        <v>570</v>
      </c>
      <c r="I68" s="332">
        <f>HLOOKUP(Labor!$B$11,InflationTable,2)*H68*K$11</f>
        <v>491.58426337448566</v>
      </c>
      <c r="J68" s="296">
        <f>I68*K$10</f>
        <v>597274.88000000012</v>
      </c>
      <c r="K68" s="297">
        <f t="shared" si="11"/>
        <v>597274.88000000012</v>
      </c>
      <c r="L68" s="376">
        <f>HLOOKUP(Labor!$B$11,InflationTable,3)*$H$68*N$11</f>
        <v>501.84269958847744</v>
      </c>
      <c r="M68" s="377">
        <f>L68*N$10</f>
        <v>609738.88000000012</v>
      </c>
      <c r="N68" s="378">
        <f t="shared" si="12"/>
        <v>609738.88000000012</v>
      </c>
      <c r="O68" s="332">
        <f>HLOOKUP(Labor!$B$11,InflationTable,4)*$H$68*Q$11</f>
        <v>511.6907983539096</v>
      </c>
      <c r="P68" s="296">
        <f>O68*Q$10</f>
        <v>621704.32000000018</v>
      </c>
      <c r="Q68" s="297">
        <f t="shared" si="13"/>
        <v>621704.32000000018</v>
      </c>
      <c r="R68" s="211">
        <f t="shared" si="14"/>
        <v>609572.69333333347</v>
      </c>
      <c r="S68" s="218" t="s">
        <v>12</v>
      </c>
      <c r="T68" s="228" t="s">
        <v>12</v>
      </c>
    </row>
    <row r="69" spans="1:20">
      <c r="A69" s="492" t="s">
        <v>136</v>
      </c>
      <c r="B69" s="346">
        <v>0</v>
      </c>
      <c r="C69" s="346">
        <v>1</v>
      </c>
      <c r="D69" s="346">
        <v>1</v>
      </c>
      <c r="E69" s="346">
        <v>2</v>
      </c>
      <c r="F69" s="346">
        <v>0</v>
      </c>
      <c r="G69" s="346">
        <v>0</v>
      </c>
      <c r="H69" s="347">
        <f t="shared" si="10"/>
        <v>4</v>
      </c>
      <c r="I69" s="293" t="s">
        <v>12</v>
      </c>
      <c r="J69" s="327">
        <f>$H69*K$10*K$11</f>
        <v>3498.666666666667</v>
      </c>
      <c r="K69" s="328">
        <f t="shared" si="11"/>
        <v>3498.666666666667</v>
      </c>
      <c r="L69" s="61" t="s">
        <v>12</v>
      </c>
      <c r="M69" s="348">
        <f>$H69*N$10*N$11</f>
        <v>3498.666666666667</v>
      </c>
      <c r="N69" s="349">
        <f t="shared" si="12"/>
        <v>3498.666666666667</v>
      </c>
      <c r="O69" s="293" t="s">
        <v>12</v>
      </c>
      <c r="P69" s="327">
        <f>$H69*Q$10*Q$11</f>
        <v>3498.666666666667</v>
      </c>
      <c r="Q69" s="328">
        <f t="shared" si="13"/>
        <v>3498.666666666667</v>
      </c>
      <c r="R69" s="129">
        <f t="shared" si="14"/>
        <v>3498.6666666666665</v>
      </c>
      <c r="S69" s="136" t="s">
        <v>12</v>
      </c>
      <c r="T69" s="230" t="s">
        <v>12</v>
      </c>
    </row>
    <row r="70" spans="1:20" s="1" customFormat="1" ht="13.5" thickBot="1">
      <c r="A70" s="491" t="s">
        <v>8</v>
      </c>
      <c r="B70" s="373">
        <f>ROUND(B69*Labor!$D$3,0)</f>
        <v>0</v>
      </c>
      <c r="C70" s="374">
        <f>ROUND(C69*Labor!$D$4,0)</f>
        <v>41</v>
      </c>
      <c r="D70" s="374">
        <f>ROUND(D69*Labor!$D$5,0)</f>
        <v>44</v>
      </c>
      <c r="E70" s="374">
        <f>ROUND(E69*Labor!$D$6,0)</f>
        <v>99</v>
      </c>
      <c r="F70" s="374">
        <f>ROUND(F69*Labor!$D$7,0)</f>
        <v>0</v>
      </c>
      <c r="G70" s="374">
        <f>ROUND(G69*Labor!$D$8,0)</f>
        <v>0</v>
      </c>
      <c r="H70" s="209">
        <f t="shared" si="10"/>
        <v>184</v>
      </c>
      <c r="I70" s="332">
        <f>HLOOKUP(Labor!$B$11,InflationTable,2)*H70*K$11</f>
        <v>158.68684993141292</v>
      </c>
      <c r="J70" s="296">
        <f>I70*K$10</f>
        <v>192804.52266666671</v>
      </c>
      <c r="K70" s="390">
        <f t="shared" si="11"/>
        <v>192804.52266666671</v>
      </c>
      <c r="L70" s="376">
        <f>HLOOKUP(Labor!$B$11,InflationTable,3)*$H$70*N$11</f>
        <v>161.99834513031553</v>
      </c>
      <c r="M70" s="377">
        <f>L70*N$10</f>
        <v>196827.98933333336</v>
      </c>
      <c r="N70" s="449">
        <f t="shared" si="12"/>
        <v>196827.98933333336</v>
      </c>
      <c r="O70" s="332">
        <f>HLOOKUP(Labor!$B$11,InflationTable,4)*$H$70*Q$11</f>
        <v>165.17738052126202</v>
      </c>
      <c r="P70" s="296">
        <f>O70*Q$10</f>
        <v>200690.51733333335</v>
      </c>
      <c r="Q70" s="390">
        <f t="shared" si="13"/>
        <v>200690.51733333335</v>
      </c>
      <c r="R70" s="211">
        <f t="shared" si="14"/>
        <v>196774.34311111117</v>
      </c>
      <c r="S70" s="393" t="s">
        <v>12</v>
      </c>
      <c r="T70" s="228" t="s">
        <v>12</v>
      </c>
    </row>
    <row r="71" spans="1:20">
      <c r="A71" s="493" t="s">
        <v>66</v>
      </c>
      <c r="B71" s="36">
        <f t="shared" ref="B71:H72" si="15">B63+B65+B67+B69</f>
        <v>0</v>
      </c>
      <c r="C71" s="36">
        <f t="shared" si="15"/>
        <v>8</v>
      </c>
      <c r="D71" s="36">
        <f t="shared" si="15"/>
        <v>10</v>
      </c>
      <c r="E71" s="36">
        <f t="shared" si="15"/>
        <v>17</v>
      </c>
      <c r="F71" s="36">
        <f t="shared" si="15"/>
        <v>4</v>
      </c>
      <c r="G71" s="36">
        <f t="shared" si="15"/>
        <v>0</v>
      </c>
      <c r="H71" s="46">
        <f t="shared" si="15"/>
        <v>39</v>
      </c>
      <c r="I71" s="301" t="s">
        <v>12</v>
      </c>
      <c r="J71" s="285">
        <f>J63+J65+J67+J69</f>
        <v>34112</v>
      </c>
      <c r="K71" s="312">
        <f>K63+K65+K67+K69</f>
        <v>34112</v>
      </c>
      <c r="L71" s="85" t="s">
        <v>12</v>
      </c>
      <c r="M71" s="33">
        <f>M63+M65+M67+M69</f>
        <v>34112</v>
      </c>
      <c r="N71" s="99">
        <f>N63+N65+N67+N69</f>
        <v>34112</v>
      </c>
      <c r="O71" s="301" t="s">
        <v>12</v>
      </c>
      <c r="P71" s="285">
        <f>P63+P65+P67+P69</f>
        <v>34112</v>
      </c>
      <c r="Q71" s="312">
        <f>Q63+Q65+Q67+Q69</f>
        <v>34112</v>
      </c>
      <c r="R71" s="129">
        <f t="shared" si="14"/>
        <v>34112</v>
      </c>
      <c r="S71" s="136" t="s">
        <v>12</v>
      </c>
      <c r="T71" s="230" t="s">
        <v>12</v>
      </c>
    </row>
    <row r="72" spans="1:20" s="1" customFormat="1" ht="13.5" thickBot="1">
      <c r="A72" s="494" t="s">
        <v>67</v>
      </c>
      <c r="B72" s="240">
        <f t="shared" si="15"/>
        <v>0</v>
      </c>
      <c r="C72" s="240">
        <f t="shared" si="15"/>
        <v>327</v>
      </c>
      <c r="D72" s="240">
        <f t="shared" si="15"/>
        <v>440</v>
      </c>
      <c r="E72" s="240">
        <f t="shared" si="15"/>
        <v>838</v>
      </c>
      <c r="F72" s="240">
        <f t="shared" si="15"/>
        <v>222</v>
      </c>
      <c r="G72" s="240">
        <f t="shared" si="15"/>
        <v>0</v>
      </c>
      <c r="H72" s="243">
        <f t="shared" si="15"/>
        <v>1827</v>
      </c>
      <c r="I72" s="313">
        <f>I64+I66+I68+I70</f>
        <v>1575.6569283950619</v>
      </c>
      <c r="J72" s="275">
        <f>J64+J66+J68+J70</f>
        <v>1914423.1680000003</v>
      </c>
      <c r="K72" s="276">
        <f>K64+K66+K68+K70</f>
        <v>1914423.1680000003</v>
      </c>
      <c r="L72" s="242">
        <f>L64+L66+L68+L70</f>
        <v>1608.5379160493831</v>
      </c>
      <c r="M72" s="240">
        <f>M64+M66+M68+M70</f>
        <v>1954373.5680000004</v>
      </c>
      <c r="N72" s="243">
        <f>N64+N66+N68+N70</f>
        <v>1954373.5680000004</v>
      </c>
      <c r="O72" s="313">
        <f>O64+O66+O68+O70</f>
        <v>1640.1036641975311</v>
      </c>
      <c r="P72" s="275">
        <f>P64+P66+P68+P70</f>
        <v>1992725.9520000005</v>
      </c>
      <c r="Q72" s="276">
        <f>Q64+Q66+Q68+Q70</f>
        <v>1992725.9520000005</v>
      </c>
      <c r="R72" s="255">
        <f t="shared" si="14"/>
        <v>1953840.8960000004</v>
      </c>
      <c r="S72" s="249" t="s">
        <v>12</v>
      </c>
      <c r="T72" s="231" t="s">
        <v>12</v>
      </c>
    </row>
    <row r="73" spans="1:20" s="1" customFormat="1" ht="13.5" thickTop="1">
      <c r="A73" s="610"/>
      <c r="B73" s="622"/>
      <c r="C73" s="622"/>
      <c r="D73" s="622"/>
      <c r="E73" s="622"/>
      <c r="F73" s="622"/>
      <c r="G73" s="622"/>
      <c r="H73" s="622"/>
      <c r="I73" s="623"/>
      <c r="J73" s="623"/>
      <c r="K73" s="623"/>
      <c r="L73" s="622"/>
      <c r="M73" s="622"/>
      <c r="N73" s="622"/>
      <c r="O73" s="623"/>
      <c r="P73" s="623"/>
      <c r="Q73" s="623"/>
      <c r="R73" s="625"/>
      <c r="S73" s="626"/>
      <c r="T73" s="626"/>
    </row>
    <row r="74" spans="1:20">
      <c r="E74"/>
    </row>
    <row r="75" spans="1:20" ht="15.75">
      <c r="A75" s="540" t="s">
        <v>149</v>
      </c>
      <c r="B75" s="5"/>
      <c r="C75" s="5"/>
      <c r="D75" s="5"/>
      <c r="E75" s="112" t="s">
        <v>6</v>
      </c>
      <c r="F75" s="1412"/>
      <c r="G75" s="1413"/>
      <c r="H75" s="1414"/>
      <c r="I75" s="181" t="s">
        <v>28</v>
      </c>
      <c r="J75" s="426"/>
      <c r="K75" s="67"/>
      <c r="L75" s="181" t="s">
        <v>28</v>
      </c>
      <c r="M75" s="426"/>
      <c r="N75" s="67"/>
      <c r="O75" s="181" t="s">
        <v>28</v>
      </c>
      <c r="P75" s="426"/>
      <c r="Q75" s="67"/>
      <c r="R75" s="225"/>
      <c r="S75" s="133"/>
      <c r="T75" s="227"/>
    </row>
    <row r="76" spans="1:20">
      <c r="A76" s="484"/>
      <c r="B76" s="5"/>
      <c r="C76" s="5"/>
      <c r="D76" s="5"/>
      <c r="E76" s="7"/>
      <c r="F76" s="5"/>
      <c r="G76" s="5"/>
      <c r="H76" s="45" t="s">
        <v>61</v>
      </c>
      <c r="I76" s="277" t="s">
        <v>61</v>
      </c>
      <c r="J76" s="1419" t="s">
        <v>57</v>
      </c>
      <c r="K76" s="1420"/>
      <c r="L76" s="57" t="s">
        <v>61</v>
      </c>
      <c r="M76" s="1429" t="s">
        <v>57</v>
      </c>
      <c r="N76" s="1433"/>
      <c r="O76" s="318" t="s">
        <v>61</v>
      </c>
      <c r="P76" s="1419" t="s">
        <v>57</v>
      </c>
      <c r="Q76" s="1420"/>
      <c r="R76" s="126"/>
      <c r="S76" s="133"/>
      <c r="T76" s="227"/>
    </row>
    <row r="77" spans="1:20">
      <c r="A77" s="484"/>
      <c r="B77" s="23" t="s">
        <v>45</v>
      </c>
      <c r="C77" s="24" t="s">
        <v>46</v>
      </c>
      <c r="D77" s="23" t="s">
        <v>47</v>
      </c>
      <c r="E77" s="23" t="s">
        <v>48</v>
      </c>
      <c r="F77" s="23" t="s">
        <v>49</v>
      </c>
      <c r="G77" s="23" t="s">
        <v>50</v>
      </c>
      <c r="H77" s="45" t="s">
        <v>13</v>
      </c>
      <c r="I77" s="260" t="s">
        <v>56</v>
      </c>
      <c r="J77" s="261" t="s">
        <v>13</v>
      </c>
      <c r="K77" s="262" t="s">
        <v>68</v>
      </c>
      <c r="L77" s="77" t="s">
        <v>56</v>
      </c>
      <c r="M77" s="24" t="s">
        <v>13</v>
      </c>
      <c r="N77" s="38" t="s">
        <v>68</v>
      </c>
      <c r="O77" s="260" t="s">
        <v>56</v>
      </c>
      <c r="P77" s="261" t="s">
        <v>13</v>
      </c>
      <c r="Q77" s="262" t="s">
        <v>68</v>
      </c>
      <c r="R77" s="120"/>
      <c r="S77" s="133"/>
      <c r="T77" s="227"/>
    </row>
    <row r="78" spans="1:20">
      <c r="A78" s="488" t="s">
        <v>132</v>
      </c>
      <c r="B78" s="21">
        <v>0</v>
      </c>
      <c r="C78" s="21">
        <v>0</v>
      </c>
      <c r="D78" s="21">
        <v>0</v>
      </c>
      <c r="E78" s="21">
        <v>20</v>
      </c>
      <c r="F78" s="21">
        <v>16</v>
      </c>
      <c r="G78" s="21">
        <v>0</v>
      </c>
      <c r="H78" s="52">
        <f>SUM(B78:G78)</f>
        <v>36</v>
      </c>
      <c r="I78" s="263" t="s">
        <v>12</v>
      </c>
      <c r="J78" s="281">
        <f>$H78*K$10*K$11</f>
        <v>31488.000000000004</v>
      </c>
      <c r="K78" s="289">
        <f>J78</f>
        <v>31488.000000000004</v>
      </c>
      <c r="L78" s="58" t="s">
        <v>12</v>
      </c>
      <c r="M78" s="69">
        <f>$H$78*$N$10*N$11</f>
        <v>31488.000000000004</v>
      </c>
      <c r="N78" s="68">
        <f>M78</f>
        <v>31488.000000000004</v>
      </c>
      <c r="O78" s="263" t="s">
        <v>12</v>
      </c>
      <c r="P78" s="281">
        <f>$H$78*Q$10*Q$11</f>
        <v>31488.000000000004</v>
      </c>
      <c r="Q78" s="289">
        <f>P78</f>
        <v>31488.000000000004</v>
      </c>
      <c r="R78" s="121">
        <f>AVERAGE(K78,N78,Q78)</f>
        <v>31488.000000000004</v>
      </c>
      <c r="S78" s="135" t="s">
        <v>12</v>
      </c>
      <c r="T78" s="230" t="s">
        <v>12</v>
      </c>
    </row>
    <row r="79" spans="1:20" s="1" customFormat="1" ht="13.5" thickBot="1">
      <c r="A79" s="500" t="s">
        <v>8</v>
      </c>
      <c r="B79" s="373">
        <f>ROUND(B78*Labor!$D$3,0)</f>
        <v>0</v>
      </c>
      <c r="C79" s="374">
        <f>ROUND(C78*Labor!$D$4,0)</f>
        <v>0</v>
      </c>
      <c r="D79" s="374">
        <f>ROUND(D78*Labor!$D$5,0)</f>
        <v>0</v>
      </c>
      <c r="E79" s="374">
        <f>ROUND(E78*Labor!$D$6,0)</f>
        <v>985</v>
      </c>
      <c r="F79" s="374">
        <f>ROUND(F78*Labor!$D$7,0)</f>
        <v>887</v>
      </c>
      <c r="G79" s="374">
        <f>ROUND(G78*Labor!$D$8,0)</f>
        <v>0</v>
      </c>
      <c r="H79" s="209">
        <f>SUM(B79:G79)</f>
        <v>1872</v>
      </c>
      <c r="I79" s="332">
        <f>HLOOKUP(Labor!$B$11,InflationTable,2)*H79*K$11</f>
        <v>1614.4662123456792</v>
      </c>
      <c r="J79" s="296">
        <f>I79*K$10</f>
        <v>1961576.4480000003</v>
      </c>
      <c r="K79" s="297">
        <f>J79</f>
        <v>1961576.4480000003</v>
      </c>
      <c r="L79" s="376">
        <f>HLOOKUP(Labor!$B$11,InflationTable,3)*$H$79*N$11</f>
        <v>1648.1570765432102</v>
      </c>
      <c r="M79" s="377">
        <f>L79*$N$10</f>
        <v>2002510.8480000005</v>
      </c>
      <c r="N79" s="378">
        <f>M79</f>
        <v>2002510.8480000005</v>
      </c>
      <c r="O79" s="339">
        <f>HLOOKUP(Labor!$B$11,InflationTable,4)*$H79*Q$11</f>
        <v>1680.5003061728398</v>
      </c>
      <c r="P79" s="296">
        <f>O79*$Q$10</f>
        <v>2041807.8720000004</v>
      </c>
      <c r="Q79" s="297">
        <f>P79</f>
        <v>2041807.8720000004</v>
      </c>
      <c r="R79" s="211">
        <f>AVERAGE(K79,N79,Q79)</f>
        <v>2001965.0560000006</v>
      </c>
      <c r="S79" s="393" t="s">
        <v>12</v>
      </c>
      <c r="T79" s="228" t="s">
        <v>12</v>
      </c>
    </row>
    <row r="80" spans="1:20">
      <c r="A80" s="492" t="s">
        <v>133</v>
      </c>
      <c r="B80" s="346">
        <v>0</v>
      </c>
      <c r="C80" s="346">
        <v>26</v>
      </c>
      <c r="D80" s="346">
        <v>0</v>
      </c>
      <c r="E80" s="346">
        <v>0</v>
      </c>
      <c r="F80" s="346">
        <v>0</v>
      </c>
      <c r="G80" s="346">
        <v>0</v>
      </c>
      <c r="H80" s="347">
        <f>SUM(B80:G80)</f>
        <v>26</v>
      </c>
      <c r="I80" s="293" t="s">
        <v>12</v>
      </c>
      <c r="J80" s="327">
        <f>$H80*K$10*K$11</f>
        <v>22741.333333333336</v>
      </c>
      <c r="K80" s="328">
        <f>J80</f>
        <v>22741.333333333336</v>
      </c>
      <c r="L80" s="61" t="s">
        <v>12</v>
      </c>
      <c r="M80" s="348">
        <f>$H$80*$N$10*N$11</f>
        <v>22741.333333333336</v>
      </c>
      <c r="N80" s="349">
        <f>M80</f>
        <v>22741.333333333336</v>
      </c>
      <c r="O80" s="293" t="s">
        <v>12</v>
      </c>
      <c r="P80" s="327">
        <f>$H$80*Q$10*Q$11</f>
        <v>22741.333333333336</v>
      </c>
      <c r="Q80" s="328">
        <f>P80</f>
        <v>22741.333333333336</v>
      </c>
      <c r="R80" s="129">
        <f>AVERAGE(K80,N80,Q80)</f>
        <v>22741.333333333332</v>
      </c>
      <c r="S80" s="135" t="s">
        <v>12</v>
      </c>
      <c r="T80" s="230" t="s">
        <v>12</v>
      </c>
    </row>
    <row r="81" spans="1:20" s="1" customFormat="1" ht="13.5" thickBot="1">
      <c r="A81" s="500" t="s">
        <v>8</v>
      </c>
      <c r="B81" s="373">
        <f>ROUND(B80*Labor!$D$3,0)</f>
        <v>0</v>
      </c>
      <c r="C81" s="374">
        <f>ROUND(C80*Labor!$D$4,0)</f>
        <v>1062</v>
      </c>
      <c r="D81" s="374">
        <f>ROUND(D80*Labor!$D$5,0)</f>
        <v>0</v>
      </c>
      <c r="E81" s="374">
        <f>ROUND(E80*Labor!$D$6,0)</f>
        <v>0</v>
      </c>
      <c r="F81" s="374">
        <f>ROUND(F80*Labor!$D$7,0)</f>
        <v>0</v>
      </c>
      <c r="G81" s="374">
        <f>ROUND(G80*Labor!$D$8,0)</f>
        <v>0</v>
      </c>
      <c r="H81" s="209">
        <f>SUM(B81:G81)</f>
        <v>1062</v>
      </c>
      <c r="I81" s="332">
        <f>HLOOKUP(Labor!$B$11,InflationTable,2)*H81*K$11</f>
        <v>915.89910123456787</v>
      </c>
      <c r="J81" s="296">
        <f>I81*K$10</f>
        <v>1112817.4080000001</v>
      </c>
      <c r="K81" s="297">
        <f>J81</f>
        <v>1112817.4080000001</v>
      </c>
      <c r="L81" s="376">
        <f>HLOOKUP(Labor!$B$11,InflationTable,3)*$H$81*N$11</f>
        <v>935.01218765432111</v>
      </c>
      <c r="M81" s="377">
        <f>L81*$N$10</f>
        <v>1136039.8080000002</v>
      </c>
      <c r="N81" s="378">
        <f>M81</f>
        <v>1136039.8080000002</v>
      </c>
      <c r="O81" s="339">
        <f>HLOOKUP(Labor!$B$11,InflationTable,4)*$H81*Q$11</f>
        <v>953.36075061728411</v>
      </c>
      <c r="P81" s="296">
        <f>O81*$Q$10</f>
        <v>1158333.3120000002</v>
      </c>
      <c r="Q81" s="297">
        <f>P81</f>
        <v>1158333.3120000002</v>
      </c>
      <c r="R81" s="211">
        <f>AVERAGE(K81,N81,Q81)</f>
        <v>1135730.176</v>
      </c>
      <c r="S81" s="393" t="s">
        <v>12</v>
      </c>
      <c r="T81" s="228" t="s">
        <v>12</v>
      </c>
    </row>
    <row r="82" spans="1:20">
      <c r="A82" s="492" t="s">
        <v>20</v>
      </c>
      <c r="B82" s="107" t="s">
        <v>45</v>
      </c>
      <c r="C82" s="108" t="s">
        <v>46</v>
      </c>
      <c r="D82" s="107" t="s">
        <v>47</v>
      </c>
      <c r="E82" s="107" t="s">
        <v>48</v>
      </c>
      <c r="F82" s="107" t="s">
        <v>49</v>
      </c>
      <c r="G82" s="107" t="s">
        <v>50</v>
      </c>
      <c r="H82" s="109" t="s">
        <v>13</v>
      </c>
      <c r="I82" s="351"/>
      <c r="J82" s="352"/>
      <c r="K82" s="356"/>
      <c r="L82" s="110"/>
      <c r="M82" s="108"/>
      <c r="N82" s="111"/>
      <c r="O82" s="351"/>
      <c r="P82" s="352"/>
      <c r="Q82" s="356"/>
      <c r="R82" s="123"/>
      <c r="S82" s="133"/>
      <c r="T82" s="227"/>
    </row>
    <row r="83" spans="1:20">
      <c r="A83" s="489" t="s">
        <v>4</v>
      </c>
      <c r="B83" s="21">
        <v>0</v>
      </c>
      <c r="C83" s="21">
        <v>0</v>
      </c>
      <c r="D83" s="21">
        <v>0</v>
      </c>
      <c r="E83" s="21">
        <v>2</v>
      </c>
      <c r="F83" s="21">
        <v>2</v>
      </c>
      <c r="G83" s="21">
        <v>0</v>
      </c>
      <c r="H83" s="52">
        <f t="shared" ref="H83:H88" si="16">SUM(B83:G83)</f>
        <v>4</v>
      </c>
      <c r="I83" s="263" t="s">
        <v>12</v>
      </c>
      <c r="J83" s="281">
        <f>$H83*K$10*K$11</f>
        <v>3498.666666666667</v>
      </c>
      <c r="K83" s="289">
        <f t="shared" ref="K83:K88" si="17">J83</f>
        <v>3498.666666666667</v>
      </c>
      <c r="L83" s="58" t="s">
        <v>12</v>
      </c>
      <c r="M83" s="69">
        <f>$H83*$N$10*N$11</f>
        <v>3498.666666666667</v>
      </c>
      <c r="N83" s="68">
        <f t="shared" ref="N83:N88" si="18">M83</f>
        <v>3498.666666666667</v>
      </c>
      <c r="O83" s="263" t="s">
        <v>12</v>
      </c>
      <c r="P83" s="281">
        <f>$H83*Q$10*Q$11</f>
        <v>3498.666666666667</v>
      </c>
      <c r="Q83" s="289">
        <f t="shared" ref="Q83:Q88" si="19">P83</f>
        <v>3498.666666666667</v>
      </c>
      <c r="R83" s="121">
        <f t="shared" ref="R83:R88" si="20">AVERAGE(K83,N83,Q83)</f>
        <v>3498.6666666666665</v>
      </c>
      <c r="S83" s="135" t="s">
        <v>12</v>
      </c>
      <c r="T83" s="230" t="s">
        <v>12</v>
      </c>
    </row>
    <row r="84" spans="1:20" s="1" customFormat="1" ht="13.5" thickBot="1">
      <c r="A84" s="500" t="s">
        <v>8</v>
      </c>
      <c r="B84" s="373">
        <f>ROUND(B83*Labor!$D$3,0)</f>
        <v>0</v>
      </c>
      <c r="C84" s="374">
        <f>ROUND(C83*Labor!$D$4,0)</f>
        <v>0</v>
      </c>
      <c r="D84" s="374">
        <f>ROUND(D83*Labor!$D$5,0)</f>
        <v>0</v>
      </c>
      <c r="E84" s="374">
        <f>ROUND(E83*Labor!$D$6,0)</f>
        <v>99</v>
      </c>
      <c r="F84" s="374">
        <f>ROUND(F83*Labor!$D$7,0)</f>
        <v>111</v>
      </c>
      <c r="G84" s="374">
        <f>ROUND(G83*Labor!$D$8,0)</f>
        <v>0</v>
      </c>
      <c r="H84" s="209">
        <f t="shared" si="16"/>
        <v>210</v>
      </c>
      <c r="I84" s="332">
        <f>HLOOKUP(Labor!$B$11,InflationTable,2)*H84*K$11</f>
        <v>181.10999176954735</v>
      </c>
      <c r="J84" s="296">
        <f>I84*K$10</f>
        <v>220048.64000000004</v>
      </c>
      <c r="K84" s="297">
        <f t="shared" si="17"/>
        <v>220048.64000000004</v>
      </c>
      <c r="L84" s="450">
        <f>HLOOKUP(Labor!$B$11,InflationTable,3)*$H84*N$11</f>
        <v>184.88941563786014</v>
      </c>
      <c r="M84" s="377">
        <f>L84*$N$10</f>
        <v>224640.64000000007</v>
      </c>
      <c r="N84" s="378">
        <f t="shared" si="18"/>
        <v>224640.64000000007</v>
      </c>
      <c r="O84" s="339">
        <f>HLOOKUP(Labor!$B$11,InflationTable,4)*$H84*Q$11</f>
        <v>188.51766255144037</v>
      </c>
      <c r="P84" s="296">
        <f>O84*$Q$10</f>
        <v>229048.96000000005</v>
      </c>
      <c r="Q84" s="297">
        <f t="shared" si="19"/>
        <v>229048.96000000005</v>
      </c>
      <c r="R84" s="211">
        <f t="shared" si="20"/>
        <v>224579.41333333342</v>
      </c>
      <c r="S84" s="393" t="s">
        <v>12</v>
      </c>
      <c r="T84" s="228" t="s">
        <v>12</v>
      </c>
    </row>
    <row r="85" spans="1:20">
      <c r="A85" s="492" t="s">
        <v>134</v>
      </c>
      <c r="B85" s="346">
        <v>0</v>
      </c>
      <c r="C85" s="346">
        <v>1</v>
      </c>
      <c r="D85" s="346">
        <v>1</v>
      </c>
      <c r="E85" s="346">
        <v>2</v>
      </c>
      <c r="F85" s="346">
        <v>1</v>
      </c>
      <c r="G85" s="346">
        <v>0</v>
      </c>
      <c r="H85" s="347">
        <f t="shared" si="16"/>
        <v>5</v>
      </c>
      <c r="I85" s="293" t="s">
        <v>12</v>
      </c>
      <c r="J85" s="327">
        <f>$H85*K$10</f>
        <v>6075</v>
      </c>
      <c r="K85" s="328">
        <f t="shared" si="17"/>
        <v>6075</v>
      </c>
      <c r="L85" s="61" t="s">
        <v>12</v>
      </c>
      <c r="M85" s="348">
        <f>$H85*$N$10</f>
        <v>6075</v>
      </c>
      <c r="N85" s="349">
        <f t="shared" si="18"/>
        <v>6075</v>
      </c>
      <c r="O85" s="293" t="s">
        <v>12</v>
      </c>
      <c r="P85" s="327">
        <f>$H85*$Q$10</f>
        <v>6075</v>
      </c>
      <c r="Q85" s="328">
        <f t="shared" si="19"/>
        <v>6075</v>
      </c>
      <c r="R85" s="129">
        <f t="shared" si="20"/>
        <v>6075</v>
      </c>
      <c r="S85" s="135" t="s">
        <v>12</v>
      </c>
      <c r="T85" s="230" t="s">
        <v>12</v>
      </c>
    </row>
    <row r="86" spans="1:20" s="1" customFormat="1" ht="13.5" thickBot="1">
      <c r="A86" s="500" t="s">
        <v>8</v>
      </c>
      <c r="B86" s="373">
        <f>ROUND(B85*Labor!$D$3,0)</f>
        <v>0</v>
      </c>
      <c r="C86" s="374">
        <f>ROUND(C85*Labor!$D$4,0)</f>
        <v>41</v>
      </c>
      <c r="D86" s="374">
        <f>ROUND(D85*Labor!$D$5,0)</f>
        <v>44</v>
      </c>
      <c r="E86" s="374">
        <f>ROUND(E85*Labor!$D$6,0)</f>
        <v>99</v>
      </c>
      <c r="F86" s="374">
        <f>ROUND(F85*Labor!$D$7,0)</f>
        <v>55</v>
      </c>
      <c r="G86" s="374">
        <f>ROUND(G85*Labor!$D$8,0)</f>
        <v>0</v>
      </c>
      <c r="H86" s="209">
        <f t="shared" si="16"/>
        <v>239</v>
      </c>
      <c r="I86" s="339">
        <f>HLOOKUP(Labor!$B$11,InflationTable,2)*H86</f>
        <v>286.322</v>
      </c>
      <c r="J86" s="296">
        <f>I86*K$10</f>
        <v>347881.23</v>
      </c>
      <c r="K86" s="297">
        <f t="shared" si="17"/>
        <v>347881.23</v>
      </c>
      <c r="L86" s="376">
        <f>HLOOKUP(Labor!$B$11,InflationTable,3)*$H86</f>
        <v>292.29700000000003</v>
      </c>
      <c r="M86" s="377">
        <f>L86*$N$10</f>
        <v>355140.85500000004</v>
      </c>
      <c r="N86" s="378">
        <f t="shared" si="18"/>
        <v>355140.85500000004</v>
      </c>
      <c r="O86" s="383">
        <f>HLOOKUP(Labor!$B$11,InflationTable,4)*$H86</f>
        <v>298.03300000000002</v>
      </c>
      <c r="P86" s="384">
        <f>O86*$Q$10</f>
        <v>362110.09500000003</v>
      </c>
      <c r="Q86" s="385">
        <f t="shared" si="19"/>
        <v>362110.09500000003</v>
      </c>
      <c r="R86" s="446">
        <f t="shared" si="20"/>
        <v>355044.06</v>
      </c>
      <c r="S86" s="444" t="s">
        <v>12</v>
      </c>
      <c r="T86" s="511" t="s">
        <v>12</v>
      </c>
    </row>
    <row r="87" spans="1:20">
      <c r="A87" s="492" t="s">
        <v>135</v>
      </c>
      <c r="B87" s="346">
        <v>0</v>
      </c>
      <c r="C87" s="346">
        <v>0</v>
      </c>
      <c r="D87" s="346">
        <v>0</v>
      </c>
      <c r="E87" s="346">
        <v>3</v>
      </c>
      <c r="F87" s="346">
        <v>2</v>
      </c>
      <c r="G87" s="346">
        <v>0</v>
      </c>
      <c r="H87" s="347">
        <f t="shared" si="16"/>
        <v>5</v>
      </c>
      <c r="I87" s="293" t="s">
        <v>12</v>
      </c>
      <c r="J87" s="327">
        <f>H87*$K$10*K$11</f>
        <v>4373.3333333333339</v>
      </c>
      <c r="K87" s="328">
        <f t="shared" si="17"/>
        <v>4373.3333333333339</v>
      </c>
      <c r="L87" s="61" t="s">
        <v>12</v>
      </c>
      <c r="M87" s="348">
        <f>$H87*$N$10*N$11</f>
        <v>4373.3333333333339</v>
      </c>
      <c r="N87" s="349">
        <f t="shared" si="18"/>
        <v>4373.3333333333339</v>
      </c>
      <c r="O87" s="263" t="s">
        <v>12</v>
      </c>
      <c r="P87" s="281">
        <f>$H87*$Q$10*Q$11</f>
        <v>4373.3333333333339</v>
      </c>
      <c r="Q87" s="289">
        <f t="shared" si="19"/>
        <v>4373.3333333333339</v>
      </c>
      <c r="R87" s="121">
        <f t="shared" si="20"/>
        <v>4373.3333333333339</v>
      </c>
      <c r="S87" s="135" t="s">
        <v>12</v>
      </c>
      <c r="T87" s="230" t="s">
        <v>12</v>
      </c>
    </row>
    <row r="88" spans="1:20" s="1" customFormat="1" ht="13.5" thickBot="1">
      <c r="A88" s="500" t="s">
        <v>8</v>
      </c>
      <c r="B88" s="373">
        <f>ROUND(B87*Labor!$D$3,0)</f>
        <v>0</v>
      </c>
      <c r="C88" s="374">
        <f>ROUND(C87*Labor!$D$4,0)</f>
        <v>0</v>
      </c>
      <c r="D88" s="374">
        <f>ROUND(D87*Labor!$D$5,0)</f>
        <v>0</v>
      </c>
      <c r="E88" s="374">
        <f>ROUND(E87*Labor!$D$6,0)</f>
        <v>148</v>
      </c>
      <c r="F88" s="374">
        <f>ROUND(F87*Labor!$D$7,0)</f>
        <v>111</v>
      </c>
      <c r="G88" s="374">
        <f>ROUND(G87*Labor!$D$8,0)</f>
        <v>0</v>
      </c>
      <c r="H88" s="209">
        <f t="shared" si="16"/>
        <v>259</v>
      </c>
      <c r="I88" s="332">
        <f>HLOOKUP(Labor!$B$11,InflationTable,2)*H88*K$11</f>
        <v>223.36898984910837</v>
      </c>
      <c r="J88" s="534">
        <f>I88*K$10</f>
        <v>271393.3226666667</v>
      </c>
      <c r="K88" s="297">
        <f t="shared" si="17"/>
        <v>271393.3226666667</v>
      </c>
      <c r="L88" s="376">
        <f>HLOOKUP(Labor!$B$11,InflationTable,3)*$H88*N$11</f>
        <v>228.03027928669414</v>
      </c>
      <c r="M88" s="377">
        <f>L88*$N$10</f>
        <v>277056.78933333338</v>
      </c>
      <c r="N88" s="378">
        <f t="shared" si="18"/>
        <v>277056.78933333338</v>
      </c>
      <c r="O88" s="339">
        <f>HLOOKUP(Labor!$B$11,InflationTable,4)*$H88*Q$11</f>
        <v>232.50511714677646</v>
      </c>
      <c r="P88" s="296">
        <f>O88*$Q$10</f>
        <v>282493.71733333339</v>
      </c>
      <c r="Q88" s="297">
        <f t="shared" si="19"/>
        <v>282493.71733333339</v>
      </c>
      <c r="R88" s="211">
        <f t="shared" si="20"/>
        <v>276981.27644444449</v>
      </c>
      <c r="S88" s="393" t="s">
        <v>12</v>
      </c>
      <c r="T88" s="228" t="s">
        <v>12</v>
      </c>
    </row>
    <row r="89" spans="1:20">
      <c r="A89" s="484"/>
      <c r="B89" s="36"/>
      <c r="C89" s="447"/>
      <c r="D89" s="447"/>
      <c r="E89" s="447"/>
      <c r="F89" s="447"/>
      <c r="G89" s="447"/>
      <c r="H89" s="109" t="s">
        <v>55</v>
      </c>
      <c r="I89" s="259"/>
      <c r="J89" s="1428"/>
      <c r="K89" s="1436"/>
      <c r="L89" s="364"/>
      <c r="M89" s="1431"/>
      <c r="N89" s="1432"/>
      <c r="O89" s="259"/>
      <c r="P89" s="1428"/>
      <c r="Q89" s="1436"/>
      <c r="R89" s="170"/>
      <c r="S89" s="133"/>
      <c r="T89" s="227"/>
    </row>
    <row r="90" spans="1:20">
      <c r="A90" s="501" t="s">
        <v>29</v>
      </c>
      <c r="B90" s="23" t="s">
        <v>45</v>
      </c>
      <c r="C90" s="24" t="s">
        <v>46</v>
      </c>
      <c r="D90" s="23" t="s">
        <v>47</v>
      </c>
      <c r="E90" s="23" t="s">
        <v>48</v>
      </c>
      <c r="F90" s="23" t="s">
        <v>49</v>
      </c>
      <c r="G90" s="23" t="s">
        <v>50</v>
      </c>
      <c r="H90" s="45" t="s">
        <v>17</v>
      </c>
      <c r="I90" s="260"/>
      <c r="J90" s="261"/>
      <c r="K90" s="262"/>
      <c r="L90" s="77"/>
      <c r="M90" s="24"/>
      <c r="N90" s="38"/>
      <c r="O90" s="260"/>
      <c r="P90" s="261"/>
      <c r="Q90" s="262"/>
      <c r="R90" s="120"/>
      <c r="S90" s="133"/>
      <c r="T90" s="227"/>
    </row>
    <row r="91" spans="1:20">
      <c r="A91" s="503" t="s">
        <v>63</v>
      </c>
      <c r="B91" s="21">
        <v>0</v>
      </c>
      <c r="C91" s="21">
        <v>0</v>
      </c>
      <c r="D91" s="21">
        <v>0.2</v>
      </c>
      <c r="E91" s="21">
        <v>0.3</v>
      </c>
      <c r="F91" s="21">
        <v>0</v>
      </c>
      <c r="G91" s="21">
        <v>0</v>
      </c>
      <c r="H91" s="52">
        <f>SUM(B91:G91)</f>
        <v>0.5</v>
      </c>
      <c r="I91" s="263" t="s">
        <v>12</v>
      </c>
      <c r="J91" s="314">
        <f>H91*$I$3</f>
        <v>76.5</v>
      </c>
      <c r="K91" s="289">
        <f>J91</f>
        <v>76.5</v>
      </c>
      <c r="L91" s="58" t="s">
        <v>12</v>
      </c>
      <c r="M91" s="89">
        <f>$H91*L$3</f>
        <v>76.5</v>
      </c>
      <c r="N91" s="68">
        <f>M91</f>
        <v>76.5</v>
      </c>
      <c r="O91" s="263" t="s">
        <v>12</v>
      </c>
      <c r="P91" s="314">
        <f>$H91*O$3</f>
        <v>76.5</v>
      </c>
      <c r="Q91" s="289">
        <f>P91</f>
        <v>76.5</v>
      </c>
      <c r="R91" s="151">
        <f>AVERAGE(K91,N91,Q91)</f>
        <v>76.5</v>
      </c>
      <c r="S91" s="135" t="s">
        <v>12</v>
      </c>
      <c r="T91" s="230" t="s">
        <v>12</v>
      </c>
    </row>
    <row r="92" spans="1:20" s="1" customFormat="1" ht="13.5" thickBot="1">
      <c r="A92" s="491" t="s">
        <v>64</v>
      </c>
      <c r="B92" s="373">
        <f>ROUND(B91*Labor!$D$3,0)</f>
        <v>0</v>
      </c>
      <c r="C92" s="374">
        <f>ROUND(C91*Labor!$D$4,0)</f>
        <v>0</v>
      </c>
      <c r="D92" s="374">
        <f>ROUND(D91*Labor!$D$5,0)</f>
        <v>9</v>
      </c>
      <c r="E92" s="374">
        <f>ROUND(E91*Labor!$D$6,0)</f>
        <v>15</v>
      </c>
      <c r="F92" s="374">
        <f>ROUND(F91*Labor!$D$7,0)</f>
        <v>0</v>
      </c>
      <c r="G92" s="374">
        <f>ROUND(G91*Labor!$D$8,0)</f>
        <v>0</v>
      </c>
      <c r="H92" s="209">
        <f>SUM(B92:G92)</f>
        <v>24</v>
      </c>
      <c r="I92" s="332">
        <f>HLOOKUP(Labor!$B$11,InflationTable,2)*H92</f>
        <v>28.751999999999999</v>
      </c>
      <c r="J92" s="296">
        <f>I92*$I$3</f>
        <v>4399.0559999999996</v>
      </c>
      <c r="K92" s="297">
        <f>J92</f>
        <v>4399.0559999999996</v>
      </c>
      <c r="L92" s="376">
        <f>HLOOKUP(Labor!$B$11,InflationTable,3)*$H92</f>
        <v>29.352000000000004</v>
      </c>
      <c r="M92" s="377">
        <f>L92*$L$3</f>
        <v>4490.8560000000007</v>
      </c>
      <c r="N92" s="378">
        <f>M92</f>
        <v>4490.8560000000007</v>
      </c>
      <c r="O92" s="339">
        <f>HLOOKUP(Labor!$B$11,InflationTable,4)*$H92</f>
        <v>29.928000000000004</v>
      </c>
      <c r="P92" s="296">
        <f>O92*$O$3</f>
        <v>4578.9840000000004</v>
      </c>
      <c r="Q92" s="297">
        <f>P92</f>
        <v>4578.9840000000004</v>
      </c>
      <c r="R92" s="391">
        <f>AVERAGE(K92,N92,Q92)</f>
        <v>4489.6320000000005</v>
      </c>
      <c r="S92" s="393" t="s">
        <v>12</v>
      </c>
      <c r="T92" s="228" t="s">
        <v>12</v>
      </c>
    </row>
    <row r="93" spans="1:20">
      <c r="A93" s="484"/>
      <c r="B93" s="32"/>
      <c r="C93" s="431" t="s">
        <v>54</v>
      </c>
      <c r="D93" s="28">
        <v>5</v>
      </c>
      <c r="E93" s="7"/>
      <c r="F93" s="5"/>
      <c r="G93" s="5"/>
      <c r="H93" s="109" t="s">
        <v>55</v>
      </c>
      <c r="I93" s="259"/>
      <c r="J93" s="1428"/>
      <c r="K93" s="1436"/>
      <c r="L93" s="364"/>
      <c r="M93" s="1431"/>
      <c r="N93" s="1432"/>
      <c r="O93" s="259"/>
      <c r="P93" s="1428"/>
      <c r="Q93" s="1436"/>
      <c r="R93" s="170"/>
      <c r="S93" s="133"/>
      <c r="T93" s="227"/>
    </row>
    <row r="94" spans="1:20">
      <c r="A94" s="501" t="s">
        <v>65</v>
      </c>
      <c r="B94" s="23" t="s">
        <v>45</v>
      </c>
      <c r="C94" s="24" t="s">
        <v>46</v>
      </c>
      <c r="D94" s="23" t="s">
        <v>47</v>
      </c>
      <c r="E94" s="23" t="s">
        <v>48</v>
      </c>
      <c r="F94" s="23" t="s">
        <v>49</v>
      </c>
      <c r="G94" s="23" t="s">
        <v>50</v>
      </c>
      <c r="H94" s="45" t="s">
        <v>17</v>
      </c>
      <c r="I94" s="260"/>
      <c r="J94" s="261"/>
      <c r="K94" s="262"/>
      <c r="L94" s="77"/>
      <c r="M94" s="24"/>
      <c r="N94" s="38"/>
      <c r="O94" s="260"/>
      <c r="P94" s="261"/>
      <c r="Q94" s="262"/>
      <c r="R94" s="120"/>
      <c r="S94" s="133"/>
      <c r="T94" s="227"/>
    </row>
    <row r="95" spans="1:20">
      <c r="A95" s="503" t="s">
        <v>63</v>
      </c>
      <c r="B95" s="21">
        <v>0</v>
      </c>
      <c r="C95" s="21">
        <v>0</v>
      </c>
      <c r="D95" s="21">
        <v>0</v>
      </c>
      <c r="E95" s="21">
        <v>5</v>
      </c>
      <c r="F95" s="21">
        <v>5</v>
      </c>
      <c r="G95" s="21">
        <v>5</v>
      </c>
      <c r="H95" s="52">
        <f>SUM(B95:G95)</f>
        <v>15</v>
      </c>
      <c r="I95" s="263" t="s">
        <v>12</v>
      </c>
      <c r="J95" s="283">
        <f>H95*$I$3</f>
        <v>2295</v>
      </c>
      <c r="K95" s="282">
        <f>J95/$D$93</f>
        <v>459</v>
      </c>
      <c r="L95" s="58" t="s">
        <v>12</v>
      </c>
      <c r="M95" s="60">
        <f>$H$95*$L$3</f>
        <v>2295</v>
      </c>
      <c r="N95" s="59">
        <f>M95/$D$93</f>
        <v>459</v>
      </c>
      <c r="O95" s="263" t="s">
        <v>12</v>
      </c>
      <c r="P95" s="283">
        <f>$H$95*$O$3</f>
        <v>2295</v>
      </c>
      <c r="Q95" s="282">
        <f>P95/$D$93</f>
        <v>459</v>
      </c>
      <c r="R95" s="121">
        <f>AVERAGE(K95,N95,Q95)</f>
        <v>459</v>
      </c>
      <c r="S95" s="135" t="s">
        <v>12</v>
      </c>
      <c r="T95" s="230" t="s">
        <v>12</v>
      </c>
    </row>
    <row r="96" spans="1:20" s="1" customFormat="1" ht="13.5" thickBot="1">
      <c r="A96" s="491" t="s">
        <v>64</v>
      </c>
      <c r="B96" s="373">
        <f>ROUND(B95*Labor!$D$3,0)</f>
        <v>0</v>
      </c>
      <c r="C96" s="374">
        <f>ROUND(C95*Labor!$D$4,0)</f>
        <v>0</v>
      </c>
      <c r="D96" s="374">
        <f>ROUND(D95*Labor!$D$5,0)</f>
        <v>0</v>
      </c>
      <c r="E96" s="374">
        <f>ROUND(E95*Labor!$D$6,0)</f>
        <v>246</v>
      </c>
      <c r="F96" s="374">
        <f>ROUND(F95*Labor!$D$7,0)</f>
        <v>277</v>
      </c>
      <c r="G96" s="374">
        <f>ROUND(G95*Labor!$D$8,0)</f>
        <v>293</v>
      </c>
      <c r="H96" s="209">
        <f>SUM(B96:G96)</f>
        <v>816</v>
      </c>
      <c r="I96" s="332">
        <f>HLOOKUP(Labor!$B$11,InflationTable,2)*H96</f>
        <v>977.56799999999998</v>
      </c>
      <c r="J96" s="296">
        <f>I96*$I$3</f>
        <v>149567.90400000001</v>
      </c>
      <c r="K96" s="297">
        <f>J96/$D$93</f>
        <v>29913.580800000003</v>
      </c>
      <c r="L96" s="445">
        <f>HLOOKUP(Labor!$B$11,InflationTable,3)*$H96</f>
        <v>997.96800000000007</v>
      </c>
      <c r="M96" s="377">
        <f>L96*$L$3</f>
        <v>152689.10400000002</v>
      </c>
      <c r="N96" s="378">
        <f>M96/$D$93</f>
        <v>30537.820800000005</v>
      </c>
      <c r="O96" s="339">
        <f>HLOOKUP(Labor!$B$11,InflationTable,4)*$H96</f>
        <v>1017.5520000000001</v>
      </c>
      <c r="P96" s="296">
        <f>O96*$O$3</f>
        <v>155685.45600000003</v>
      </c>
      <c r="Q96" s="297">
        <f>P96/$D$93</f>
        <v>31137.091200000006</v>
      </c>
      <c r="R96" s="211">
        <f>AVERAGE(K96,N96,Q96)</f>
        <v>30529.497600000006</v>
      </c>
      <c r="S96" s="393" t="s">
        <v>12</v>
      </c>
      <c r="T96" s="228" t="s">
        <v>12</v>
      </c>
    </row>
    <row r="97" spans="1:21">
      <c r="A97" s="493" t="s">
        <v>66</v>
      </c>
      <c r="B97" s="42">
        <f t="shared" ref="B97:H98" si="21">B78+B80+B83+B85+B87+B91+B95</f>
        <v>0</v>
      </c>
      <c r="C97" s="42">
        <f t="shared" si="21"/>
        <v>27</v>
      </c>
      <c r="D97" s="42">
        <f t="shared" si="21"/>
        <v>1.2</v>
      </c>
      <c r="E97" s="42">
        <f t="shared" si="21"/>
        <v>32.299999999999997</v>
      </c>
      <c r="F97" s="42">
        <f t="shared" si="21"/>
        <v>26</v>
      </c>
      <c r="G97" s="42">
        <f t="shared" si="21"/>
        <v>5</v>
      </c>
      <c r="H97" s="53">
        <f t="shared" si="21"/>
        <v>91.5</v>
      </c>
      <c r="I97" s="293" t="s">
        <v>12</v>
      </c>
      <c r="J97" s="315" t="s">
        <v>12</v>
      </c>
      <c r="K97" s="316">
        <f>K95+K91+K87+K85+K83+K80+K78</f>
        <v>68711.833333333343</v>
      </c>
      <c r="L97" s="92" t="s">
        <v>12</v>
      </c>
      <c r="M97" s="42" t="s">
        <v>12</v>
      </c>
      <c r="N97" s="90">
        <f>N95+N91+N87+N85+N83+N80+N78</f>
        <v>68711.833333333343</v>
      </c>
      <c r="O97" s="293" t="s">
        <v>12</v>
      </c>
      <c r="P97" s="315" t="s">
        <v>12</v>
      </c>
      <c r="Q97" s="316">
        <f>Q95+Q91+Q87+Q85+Q83+Q80+Q78</f>
        <v>68711.833333333343</v>
      </c>
      <c r="R97" s="176">
        <f>AVERAGE(K97,N97,Q97)</f>
        <v>68711.833333333343</v>
      </c>
      <c r="S97" s="133"/>
      <c r="T97" s="227"/>
    </row>
    <row r="98" spans="1:21" s="1" customFormat="1" ht="13.5" thickBot="1">
      <c r="A98" s="494" t="s">
        <v>67</v>
      </c>
      <c r="B98" s="240">
        <f t="shared" si="21"/>
        <v>0</v>
      </c>
      <c r="C98" s="240">
        <f t="shared" si="21"/>
        <v>1103</v>
      </c>
      <c r="D98" s="240">
        <f t="shared" si="21"/>
        <v>53</v>
      </c>
      <c r="E98" s="240">
        <f t="shared" si="21"/>
        <v>1592</v>
      </c>
      <c r="F98" s="240">
        <f t="shared" si="21"/>
        <v>1441</v>
      </c>
      <c r="G98" s="240">
        <f t="shared" si="21"/>
        <v>293</v>
      </c>
      <c r="H98" s="243">
        <f t="shared" si="21"/>
        <v>4482</v>
      </c>
      <c r="I98" s="313">
        <f>I79+I81+I84+I86+I88+I92+I96</f>
        <v>4227.4862951989026</v>
      </c>
      <c r="J98" s="317" t="s">
        <v>12</v>
      </c>
      <c r="K98" s="535">
        <f>K96+J92+J88+J86+J84+J81+J79</f>
        <v>3948029.6854666672</v>
      </c>
      <c r="L98" s="242">
        <f>L79+L81+L84+L86+L88+L92+L96</f>
        <v>4315.7059591220859</v>
      </c>
      <c r="M98" s="256" t="s">
        <v>12</v>
      </c>
      <c r="N98" s="254">
        <f>N96+M92+M88+M86+M84+M81+M79</f>
        <v>4030417.6171333343</v>
      </c>
      <c r="O98" s="313">
        <f>O79+O81+O84+O86+O88+O92+O96</f>
        <v>4400.3968364883403</v>
      </c>
      <c r="P98" s="317" t="s">
        <v>12</v>
      </c>
      <c r="Q98" s="306">
        <f>Q96+P92+P88+P86+P84+P81+P79</f>
        <v>4109510.0315333339</v>
      </c>
      <c r="R98" s="248">
        <f>AVERAGE(K98,N98,Q98)</f>
        <v>4029319.1113777789</v>
      </c>
      <c r="S98" s="536"/>
      <c r="T98" s="537"/>
    </row>
    <row r="99" spans="1:21" ht="13.5" thickTop="1">
      <c r="E99"/>
    </row>
    <row r="100" spans="1:21" ht="15.75">
      <c r="A100" s="540" t="s">
        <v>150</v>
      </c>
      <c r="B100" s="5"/>
      <c r="C100" s="5"/>
      <c r="D100" s="5"/>
      <c r="E100" s="112" t="s">
        <v>6</v>
      </c>
      <c r="F100" s="1412"/>
      <c r="G100" s="1413"/>
      <c r="H100" s="1414"/>
      <c r="I100" s="181" t="s">
        <v>30</v>
      </c>
      <c r="J100" s="426"/>
      <c r="K100" s="67"/>
      <c r="L100" s="181" t="s">
        <v>30</v>
      </c>
      <c r="M100" s="426"/>
      <c r="N100" s="67"/>
      <c r="O100" s="181" t="s">
        <v>30</v>
      </c>
      <c r="P100" s="319"/>
      <c r="Q100" s="180"/>
      <c r="R100" s="225"/>
      <c r="S100" s="133"/>
      <c r="T100" s="227"/>
    </row>
    <row r="101" spans="1:21">
      <c r="A101" s="484"/>
      <c r="B101" s="5"/>
      <c r="C101" s="5"/>
      <c r="D101" s="5"/>
      <c r="E101" s="7"/>
      <c r="F101" s="5"/>
      <c r="G101" s="5"/>
      <c r="H101" s="45" t="s">
        <v>61</v>
      </c>
      <c r="I101" s="277" t="s">
        <v>61</v>
      </c>
      <c r="J101" s="1419" t="s">
        <v>57</v>
      </c>
      <c r="K101" s="1420"/>
      <c r="L101" s="57" t="s">
        <v>61</v>
      </c>
      <c r="M101" s="1429" t="s">
        <v>57</v>
      </c>
      <c r="N101" s="1433"/>
      <c r="O101" s="318" t="s">
        <v>61</v>
      </c>
      <c r="P101" s="1428" t="s">
        <v>57</v>
      </c>
      <c r="Q101" s="1436"/>
      <c r="R101" s="131"/>
      <c r="S101" s="133"/>
      <c r="T101" s="227"/>
    </row>
    <row r="102" spans="1:21">
      <c r="A102" s="484"/>
      <c r="B102" s="23" t="s">
        <v>45</v>
      </c>
      <c r="C102" s="24" t="s">
        <v>46</v>
      </c>
      <c r="D102" s="23" t="s">
        <v>47</v>
      </c>
      <c r="E102" s="23" t="s">
        <v>48</v>
      </c>
      <c r="F102" s="23" t="s">
        <v>49</v>
      </c>
      <c r="G102" s="23" t="s">
        <v>50</v>
      </c>
      <c r="H102" s="45" t="s">
        <v>13</v>
      </c>
      <c r="I102" s="260" t="s">
        <v>56</v>
      </c>
      <c r="J102" s="261" t="s">
        <v>13</v>
      </c>
      <c r="K102" s="262" t="s">
        <v>68</v>
      </c>
      <c r="L102" s="77" t="s">
        <v>56</v>
      </c>
      <c r="M102" s="24" t="s">
        <v>13</v>
      </c>
      <c r="N102" s="38" t="s">
        <v>68</v>
      </c>
      <c r="O102" s="260" t="s">
        <v>56</v>
      </c>
      <c r="P102" s="261" t="s">
        <v>13</v>
      </c>
      <c r="Q102" s="262" t="s">
        <v>68</v>
      </c>
      <c r="R102" s="123"/>
      <c r="S102" s="133"/>
      <c r="T102" s="227"/>
    </row>
    <row r="103" spans="1:21">
      <c r="A103" s="501" t="s">
        <v>130</v>
      </c>
      <c r="B103" s="21">
        <v>0</v>
      </c>
      <c r="C103" s="21">
        <v>0</v>
      </c>
      <c r="D103" s="21">
        <v>0</v>
      </c>
      <c r="E103" s="21">
        <v>0</v>
      </c>
      <c r="F103" s="21">
        <v>8</v>
      </c>
      <c r="G103" s="21">
        <v>4</v>
      </c>
      <c r="H103" s="52">
        <f>SUM(B103:G103)</f>
        <v>12</v>
      </c>
      <c r="I103" s="263" t="s">
        <v>12</v>
      </c>
      <c r="J103" s="281">
        <f>H103*$K$10*K$11</f>
        <v>10496.000000000002</v>
      </c>
      <c r="K103" s="289">
        <f>J103</f>
        <v>10496.000000000002</v>
      </c>
      <c r="L103" s="58" t="s">
        <v>12</v>
      </c>
      <c r="M103" s="69">
        <f>$H103*N$10*N$11</f>
        <v>10496.000000000002</v>
      </c>
      <c r="N103" s="68">
        <f>M103</f>
        <v>10496.000000000002</v>
      </c>
      <c r="O103" s="263" t="s">
        <v>12</v>
      </c>
      <c r="P103" s="281">
        <f>$H103*Q$10*Q$11</f>
        <v>10496.000000000002</v>
      </c>
      <c r="Q103" s="289">
        <f>P103</f>
        <v>10496.000000000002</v>
      </c>
      <c r="R103" s="173">
        <f t="shared" ref="R103:R108" si="22">AVERAGE(K103,N103,Q103)</f>
        <v>10496.000000000002</v>
      </c>
      <c r="S103" s="135" t="s">
        <v>12</v>
      </c>
      <c r="T103" s="230" t="s">
        <v>12</v>
      </c>
    </row>
    <row r="104" spans="1:21" s="1" customFormat="1" ht="13.5" thickBot="1">
      <c r="A104" s="491" t="s">
        <v>8</v>
      </c>
      <c r="B104" s="373">
        <f>ROUND(B103*Labor!$D$3,0)</f>
        <v>0</v>
      </c>
      <c r="C104" s="374">
        <f>ROUND(C103*Labor!$D$4,0)</f>
        <v>0</v>
      </c>
      <c r="D104" s="374">
        <f>ROUND(D103*Labor!$D$5,0)</f>
        <v>0</v>
      </c>
      <c r="E104" s="374">
        <f>ROUND(E103*Labor!$D$6,0)</f>
        <v>0</v>
      </c>
      <c r="F104" s="374">
        <f>ROUND(F103*Labor!$D$7,0)</f>
        <v>444</v>
      </c>
      <c r="G104" s="374">
        <f>ROUND(G103*Labor!$D$8,0)</f>
        <v>234</v>
      </c>
      <c r="H104" s="209">
        <f>SUM(B104:G104)</f>
        <v>678</v>
      </c>
      <c r="I104" s="332">
        <f>HLOOKUP(Labor!$B$11,InflationTable,2)*H104*K$11</f>
        <v>584.72654485596706</v>
      </c>
      <c r="J104" s="296">
        <f>I104*$K$10</f>
        <v>710442.75199999998</v>
      </c>
      <c r="K104" s="297">
        <f>J104</f>
        <v>710442.75199999998</v>
      </c>
      <c r="L104" s="376">
        <f>HLOOKUP(Labor!$B$11,InflationTable,3)*$H104*N$11</f>
        <v>596.92868477366267</v>
      </c>
      <c r="M104" s="377">
        <f>L104*N$10</f>
        <v>725268.35200000019</v>
      </c>
      <c r="N104" s="378">
        <f>M104</f>
        <v>725268.35200000019</v>
      </c>
      <c r="O104" s="332">
        <f>HLOOKUP(Labor!$B$11,InflationTable,4)*$H104*Q$11</f>
        <v>608.64273909465044</v>
      </c>
      <c r="P104" s="296">
        <f>O104*Q$10</f>
        <v>739500.92800000031</v>
      </c>
      <c r="Q104" s="297">
        <f>P104</f>
        <v>739500.92800000031</v>
      </c>
      <c r="R104" s="450">
        <f t="shared" si="22"/>
        <v>725070.67733333353</v>
      </c>
      <c r="S104" s="393" t="s">
        <v>12</v>
      </c>
      <c r="T104" s="228" t="s">
        <v>12</v>
      </c>
    </row>
    <row r="105" spans="1:21">
      <c r="A105" s="492" t="s">
        <v>131</v>
      </c>
      <c r="B105" s="21">
        <v>0</v>
      </c>
      <c r="C105" s="21">
        <v>0</v>
      </c>
      <c r="D105" s="21">
        <v>16</v>
      </c>
      <c r="E105" s="21">
        <v>8</v>
      </c>
      <c r="F105" s="21">
        <v>4</v>
      </c>
      <c r="G105" s="21">
        <v>2</v>
      </c>
      <c r="H105" s="52">
        <f>SUM(B105:G105)</f>
        <v>30</v>
      </c>
      <c r="I105" s="263" t="s">
        <v>12</v>
      </c>
      <c r="J105" s="281">
        <f>H105*$K$10*K$11</f>
        <v>26240.000000000004</v>
      </c>
      <c r="K105" s="289">
        <f>J105</f>
        <v>26240.000000000004</v>
      </c>
      <c r="L105" s="58" t="s">
        <v>12</v>
      </c>
      <c r="M105" s="69">
        <f>$H105*N$10*N$11</f>
        <v>26240.000000000004</v>
      </c>
      <c r="N105" s="68">
        <f>M105</f>
        <v>26240.000000000004</v>
      </c>
      <c r="O105" s="263" t="s">
        <v>12</v>
      </c>
      <c r="P105" s="281">
        <f>$H105*Q$10*Q$11</f>
        <v>26240.000000000004</v>
      </c>
      <c r="Q105" s="289">
        <f>P105</f>
        <v>26240.000000000004</v>
      </c>
      <c r="R105" s="173">
        <f t="shared" si="22"/>
        <v>26240.000000000004</v>
      </c>
      <c r="S105" s="135" t="s">
        <v>12</v>
      </c>
      <c r="T105" s="230" t="s">
        <v>12</v>
      </c>
    </row>
    <row r="106" spans="1:21" s="1" customFormat="1" ht="13.5" thickBot="1">
      <c r="A106" s="500" t="s">
        <v>8</v>
      </c>
      <c r="B106" s="373">
        <f>ROUND(B105*Labor!$D$3,0)</f>
        <v>0</v>
      </c>
      <c r="C106" s="374">
        <f>ROUND(C105*Labor!$D$4,0)</f>
        <v>0</v>
      </c>
      <c r="D106" s="374">
        <f>ROUND(D105*Labor!$D$5,0)</f>
        <v>706</v>
      </c>
      <c r="E106" s="374">
        <f>ROUND(E105*Labor!$D$6,0)</f>
        <v>394</v>
      </c>
      <c r="F106" s="374">
        <f>ROUND(F105*Labor!$D$7,0)</f>
        <v>222</v>
      </c>
      <c r="G106" s="374">
        <f>ROUND(G105*Labor!$D$8,0)</f>
        <v>117</v>
      </c>
      <c r="H106" s="209">
        <f>SUM(B106:G106)</f>
        <v>1439</v>
      </c>
      <c r="I106" s="332">
        <f>HLOOKUP(Labor!$B$11,InflationTable,2)*H106*K$11</f>
        <v>1241.0346578875174</v>
      </c>
      <c r="J106" s="296">
        <f>I106*$K$10</f>
        <v>1507857.1093333336</v>
      </c>
      <c r="K106" s="390">
        <f>J106</f>
        <v>1507857.1093333336</v>
      </c>
      <c r="L106" s="376">
        <f>HLOOKUP(Labor!$B$11,InflationTable,3)*$H106*N$11</f>
        <v>1266.9327100137177</v>
      </c>
      <c r="M106" s="377">
        <f>L106*N$10</f>
        <v>1539323.2426666671</v>
      </c>
      <c r="N106" s="378">
        <f>M106</f>
        <v>1539323.2426666671</v>
      </c>
      <c r="O106" s="339">
        <f>HLOOKUP(Labor!$B$11,InflationTable,4)*$H106*Q$11</f>
        <v>1291.7948400548701</v>
      </c>
      <c r="P106" s="296">
        <f>O106*Q$10</f>
        <v>1569530.7306666672</v>
      </c>
      <c r="Q106" s="390">
        <f>P106</f>
        <v>1569530.7306666672</v>
      </c>
      <c r="R106" s="211">
        <f t="shared" si="22"/>
        <v>1538903.6942222228</v>
      </c>
      <c r="S106" s="444" t="s">
        <v>12</v>
      </c>
      <c r="T106" s="511" t="s">
        <v>12</v>
      </c>
    </row>
    <row r="107" spans="1:21">
      <c r="A107" s="493" t="s">
        <v>66</v>
      </c>
      <c r="B107" s="36">
        <f t="shared" ref="B107:H108" si="23">B103+B105</f>
        <v>0</v>
      </c>
      <c r="C107" s="36">
        <f t="shared" si="23"/>
        <v>0</v>
      </c>
      <c r="D107" s="36">
        <f t="shared" si="23"/>
        <v>16</v>
      </c>
      <c r="E107" s="36">
        <f t="shared" si="23"/>
        <v>8</v>
      </c>
      <c r="F107" s="36">
        <f t="shared" si="23"/>
        <v>12</v>
      </c>
      <c r="G107" s="36">
        <f t="shared" si="23"/>
        <v>6</v>
      </c>
      <c r="H107" s="46">
        <f t="shared" si="23"/>
        <v>42</v>
      </c>
      <c r="I107" s="301" t="s">
        <v>12</v>
      </c>
      <c r="J107" s="285">
        <f>J103+J105</f>
        <v>36736.000000000007</v>
      </c>
      <c r="K107" s="312">
        <f>K103+K105</f>
        <v>36736.000000000007</v>
      </c>
      <c r="L107" s="85" t="s">
        <v>12</v>
      </c>
      <c r="M107" s="33">
        <f>M103+M105</f>
        <v>36736.000000000007</v>
      </c>
      <c r="N107" s="99">
        <f>N103+N105</f>
        <v>36736.000000000007</v>
      </c>
      <c r="O107" s="301" t="s">
        <v>12</v>
      </c>
      <c r="P107" s="285">
        <f>P103+P105</f>
        <v>36736.000000000007</v>
      </c>
      <c r="Q107" s="321">
        <f>Q103+Q105</f>
        <v>36736.000000000007</v>
      </c>
      <c r="R107" s="121">
        <f t="shared" si="22"/>
        <v>36736.000000000007</v>
      </c>
      <c r="S107" s="135" t="s">
        <v>12</v>
      </c>
      <c r="T107" s="230" t="s">
        <v>12</v>
      </c>
    </row>
    <row r="108" spans="1:21" ht="13.5" thickBot="1">
      <c r="A108" s="494" t="s">
        <v>67</v>
      </c>
      <c r="B108" s="435">
        <f t="shared" si="23"/>
        <v>0</v>
      </c>
      <c r="C108" s="435">
        <f t="shared" si="23"/>
        <v>0</v>
      </c>
      <c r="D108" s="435">
        <f t="shared" si="23"/>
        <v>706</v>
      </c>
      <c r="E108" s="435">
        <f t="shared" si="23"/>
        <v>394</v>
      </c>
      <c r="F108" s="435">
        <f t="shared" si="23"/>
        <v>666</v>
      </c>
      <c r="G108" s="435">
        <f t="shared" si="23"/>
        <v>351</v>
      </c>
      <c r="H108" s="436">
        <f t="shared" si="23"/>
        <v>2117</v>
      </c>
      <c r="I108" s="437">
        <f>I104+I106</f>
        <v>1825.7612027434843</v>
      </c>
      <c r="J108" s="438">
        <f>J104+J106</f>
        <v>2218299.8613333334</v>
      </c>
      <c r="K108" s="439">
        <f>K104+K106</f>
        <v>2218299.8613333334</v>
      </c>
      <c r="L108" s="440">
        <f>L104+L106</f>
        <v>1863.8613947873805</v>
      </c>
      <c r="M108" s="435">
        <f>M104+M106</f>
        <v>2264591.5946666673</v>
      </c>
      <c r="N108" s="436">
        <f>N104+N106</f>
        <v>2264591.5946666673</v>
      </c>
      <c r="O108" s="437">
        <f>O104+O106</f>
        <v>1900.4375791495204</v>
      </c>
      <c r="P108" s="438">
        <f>P104+P106</f>
        <v>2309031.6586666675</v>
      </c>
      <c r="Q108" s="439">
        <f>Q104+Q106</f>
        <v>2309031.6586666675</v>
      </c>
      <c r="R108" s="455">
        <f t="shared" si="22"/>
        <v>2263974.3715555561</v>
      </c>
      <c r="S108" s="441" t="s">
        <v>12</v>
      </c>
      <c r="T108" s="512" t="s">
        <v>12</v>
      </c>
    </row>
    <row r="109" spans="1:21" ht="13.5" thickTop="1">
      <c r="E109"/>
    </row>
    <row r="110" spans="1:21" ht="18.75" thickBot="1">
      <c r="A110" s="504" t="s">
        <v>121</v>
      </c>
      <c r="B110" s="79" t="str">
        <f>B1</f>
        <v>O3</v>
      </c>
      <c r="C110" s="4"/>
      <c r="D110" s="4"/>
      <c r="E110" s="12"/>
      <c r="F110" s="4"/>
      <c r="G110" s="4"/>
      <c r="H110" s="41"/>
      <c r="I110" s="233" t="str">
        <f>I1</f>
        <v>Year 1</v>
      </c>
      <c r="J110" s="233">
        <f>J1</f>
        <v>2013</v>
      </c>
      <c r="K110" s="83"/>
      <c r="L110" s="79" t="str">
        <f>L1</f>
        <v>Year 2</v>
      </c>
      <c r="M110" s="79">
        <f>M1</f>
        <v>2014</v>
      </c>
      <c r="N110" s="41"/>
      <c r="O110" s="233" t="str">
        <f>O1</f>
        <v>Year 3</v>
      </c>
      <c r="P110" s="233">
        <f>P1</f>
        <v>2015</v>
      </c>
      <c r="Q110" s="83"/>
      <c r="R110" s="152"/>
      <c r="S110" s="130"/>
      <c r="T110" s="226"/>
    </row>
    <row r="111" spans="1:21" ht="13.5" thickBot="1">
      <c r="A111" s="505"/>
      <c r="B111" s="187" t="s">
        <v>45</v>
      </c>
      <c r="C111" s="190" t="s">
        <v>46</v>
      </c>
      <c r="D111" s="187" t="s">
        <v>47</v>
      </c>
      <c r="E111" s="187" t="s">
        <v>48</v>
      </c>
      <c r="F111" s="187" t="s">
        <v>49</v>
      </c>
      <c r="G111" s="187" t="s">
        <v>50</v>
      </c>
      <c r="H111" s="188" t="s">
        <v>13</v>
      </c>
      <c r="I111" s="434" t="s">
        <v>56</v>
      </c>
      <c r="J111" s="324" t="s">
        <v>13</v>
      </c>
      <c r="K111" s="325" t="s">
        <v>68</v>
      </c>
      <c r="L111" s="189" t="s">
        <v>56</v>
      </c>
      <c r="M111" s="190" t="s">
        <v>13</v>
      </c>
      <c r="N111" s="191" t="s">
        <v>68</v>
      </c>
      <c r="O111" s="323" t="s">
        <v>56</v>
      </c>
      <c r="P111" s="324" t="s">
        <v>13</v>
      </c>
      <c r="Q111" s="356" t="s">
        <v>68</v>
      </c>
      <c r="R111" s="123"/>
      <c r="S111" s="37"/>
      <c r="T111" s="515"/>
      <c r="U111" s="5"/>
    </row>
    <row r="112" spans="1:21">
      <c r="A112" s="492" t="s">
        <v>129</v>
      </c>
      <c r="B112" s="184">
        <f t="shared" ref="B112:R112" si="24">B22</f>
        <v>0</v>
      </c>
      <c r="C112" s="184">
        <f t="shared" si="24"/>
        <v>0</v>
      </c>
      <c r="D112" s="184">
        <f t="shared" si="24"/>
        <v>0</v>
      </c>
      <c r="E112" s="184">
        <f t="shared" si="24"/>
        <v>14</v>
      </c>
      <c r="F112" s="184">
        <f t="shared" si="24"/>
        <v>14</v>
      </c>
      <c r="G112" s="184">
        <f t="shared" si="24"/>
        <v>10</v>
      </c>
      <c r="H112" s="185">
        <f t="shared" si="24"/>
        <v>38</v>
      </c>
      <c r="I112" s="326" t="str">
        <f t="shared" si="24"/>
        <v>NA</v>
      </c>
      <c r="J112" s="327">
        <f t="shared" si="24"/>
        <v>5814</v>
      </c>
      <c r="K112" s="328">
        <f t="shared" si="24"/>
        <v>830.57142857142856</v>
      </c>
      <c r="L112" s="186" t="str">
        <f t="shared" si="24"/>
        <v>NA</v>
      </c>
      <c r="M112" s="184">
        <f t="shared" si="24"/>
        <v>5814</v>
      </c>
      <c r="N112" s="185">
        <f t="shared" si="24"/>
        <v>830.57142857142856</v>
      </c>
      <c r="O112" s="326" t="str">
        <f t="shared" si="24"/>
        <v>NA</v>
      </c>
      <c r="P112" s="327">
        <f t="shared" si="24"/>
        <v>5814</v>
      </c>
      <c r="Q112" s="289">
        <f t="shared" si="24"/>
        <v>830.57142857142856</v>
      </c>
      <c r="R112" s="102">
        <f t="shared" si="24"/>
        <v>830.57142857142856</v>
      </c>
      <c r="S112" s="37"/>
      <c r="T112" s="227"/>
    </row>
    <row r="113" spans="1:20" s="1" customFormat="1" ht="13.5" thickBot="1">
      <c r="A113" s="506" t="s">
        <v>76</v>
      </c>
      <c r="B113" s="204">
        <f t="shared" ref="B113:R113" si="25">B23</f>
        <v>0</v>
      </c>
      <c r="C113" s="204">
        <f t="shared" si="25"/>
        <v>0</v>
      </c>
      <c r="D113" s="204">
        <f t="shared" si="25"/>
        <v>0</v>
      </c>
      <c r="E113" s="204">
        <f t="shared" si="25"/>
        <v>690</v>
      </c>
      <c r="F113" s="204">
        <f t="shared" si="25"/>
        <v>777</v>
      </c>
      <c r="G113" s="204">
        <f t="shared" si="25"/>
        <v>586</v>
      </c>
      <c r="H113" s="205">
        <f t="shared" si="25"/>
        <v>2053</v>
      </c>
      <c r="I113" s="329">
        <f t="shared" si="25"/>
        <v>2459.4939999999997</v>
      </c>
      <c r="J113" s="330">
        <f t="shared" si="25"/>
        <v>376302.58199999999</v>
      </c>
      <c r="K113" s="331">
        <f t="shared" si="25"/>
        <v>53757.511714285713</v>
      </c>
      <c r="L113" s="203">
        <f t="shared" si="25"/>
        <v>2510.819</v>
      </c>
      <c r="M113" s="204">
        <f t="shared" si="25"/>
        <v>384155.30700000003</v>
      </c>
      <c r="N113" s="205">
        <f t="shared" si="25"/>
        <v>54879.32957142857</v>
      </c>
      <c r="O113" s="329">
        <f t="shared" si="25"/>
        <v>2560.0910000000003</v>
      </c>
      <c r="P113" s="330">
        <f t="shared" si="25"/>
        <v>391693.92300000007</v>
      </c>
      <c r="Q113" s="422">
        <f t="shared" si="25"/>
        <v>55956.274714285726</v>
      </c>
      <c r="R113" s="419">
        <f t="shared" si="25"/>
        <v>54864.372000000003</v>
      </c>
      <c r="S113" s="420" t="str">
        <f>S23</f>
        <v>NA</v>
      </c>
      <c r="T113" s="516" t="s">
        <v>12</v>
      </c>
    </row>
    <row r="114" spans="1:20">
      <c r="A114" s="492" t="s">
        <v>123</v>
      </c>
      <c r="B114" s="184">
        <f t="shared" ref="B114:R114" si="26">B35</f>
        <v>0</v>
      </c>
      <c r="C114" s="184">
        <f t="shared" si="26"/>
        <v>8</v>
      </c>
      <c r="D114" s="184">
        <f t="shared" si="26"/>
        <v>8</v>
      </c>
      <c r="E114" s="184">
        <f t="shared" si="26"/>
        <v>4</v>
      </c>
      <c r="F114" s="184">
        <f t="shared" si="26"/>
        <v>0</v>
      </c>
      <c r="G114" s="184">
        <f t="shared" si="26"/>
        <v>0</v>
      </c>
      <c r="H114" s="185">
        <f t="shared" si="26"/>
        <v>20</v>
      </c>
      <c r="I114" s="326" t="str">
        <f t="shared" si="26"/>
        <v>NA</v>
      </c>
      <c r="J114" s="327">
        <f t="shared" si="26"/>
        <v>25272</v>
      </c>
      <c r="K114" s="328">
        <f t="shared" si="26"/>
        <v>3610.2857142857147</v>
      </c>
      <c r="L114" s="186" t="str">
        <f t="shared" si="26"/>
        <v>NA</v>
      </c>
      <c r="M114" s="184">
        <f t="shared" si="26"/>
        <v>25272</v>
      </c>
      <c r="N114" s="185">
        <f t="shared" si="26"/>
        <v>3610.2857142857147</v>
      </c>
      <c r="O114" s="326" t="str">
        <f t="shared" si="26"/>
        <v>NA</v>
      </c>
      <c r="P114" s="327">
        <f t="shared" si="26"/>
        <v>25272</v>
      </c>
      <c r="Q114" s="289">
        <f t="shared" si="26"/>
        <v>3610.2857142857147</v>
      </c>
      <c r="R114" s="102">
        <f t="shared" si="26"/>
        <v>3610.2857142857151</v>
      </c>
      <c r="S114" s="37"/>
      <c r="T114" s="517"/>
    </row>
    <row r="115" spans="1:20" s="1" customFormat="1" ht="13.5" thickBot="1">
      <c r="A115" s="506" t="s">
        <v>76</v>
      </c>
      <c r="B115" s="208">
        <f t="shared" ref="B115:R115" si="27">B36</f>
        <v>0</v>
      </c>
      <c r="C115" s="208">
        <f t="shared" si="27"/>
        <v>327</v>
      </c>
      <c r="D115" s="208">
        <f t="shared" si="27"/>
        <v>353</v>
      </c>
      <c r="E115" s="208">
        <f t="shared" si="27"/>
        <v>197</v>
      </c>
      <c r="F115" s="208">
        <f t="shared" si="27"/>
        <v>0</v>
      </c>
      <c r="G115" s="208">
        <f t="shared" si="27"/>
        <v>0</v>
      </c>
      <c r="H115" s="209">
        <f t="shared" si="27"/>
        <v>877</v>
      </c>
      <c r="I115" s="332">
        <f t="shared" si="27"/>
        <v>1050.646</v>
      </c>
      <c r="J115" s="296">
        <f t="shared" si="27"/>
        <v>0</v>
      </c>
      <c r="K115" s="297">
        <f t="shared" si="27"/>
        <v>1987144.1640000001</v>
      </c>
      <c r="L115" s="207">
        <f t="shared" si="27"/>
        <v>1072.5710000000001</v>
      </c>
      <c r="M115" s="208">
        <f t="shared" si="27"/>
        <v>0</v>
      </c>
      <c r="N115" s="209">
        <f t="shared" si="27"/>
        <v>2020248.3664285713</v>
      </c>
      <c r="O115" s="332">
        <f t="shared" si="27"/>
        <v>1093.6190000000001</v>
      </c>
      <c r="P115" s="296">
        <f t="shared" si="27"/>
        <v>0</v>
      </c>
      <c r="Q115" s="385">
        <f t="shared" si="27"/>
        <v>2059893.4692857144</v>
      </c>
      <c r="R115" s="407">
        <f t="shared" si="27"/>
        <v>188847.86657142857</v>
      </c>
      <c r="S115" s="421" t="str">
        <f>S36</f>
        <v>NA</v>
      </c>
      <c r="T115" s="509">
        <f>T36</f>
        <v>1833580.8</v>
      </c>
    </row>
    <row r="116" spans="1:20">
      <c r="A116" s="502" t="s">
        <v>125</v>
      </c>
      <c r="B116" s="25">
        <f t="shared" ref="B116:R116" si="28">B45</f>
        <v>0</v>
      </c>
      <c r="C116" s="25">
        <f t="shared" si="28"/>
        <v>60</v>
      </c>
      <c r="D116" s="25">
        <f t="shared" si="28"/>
        <v>60</v>
      </c>
      <c r="E116" s="25">
        <f t="shared" si="28"/>
        <v>0</v>
      </c>
      <c r="F116" s="25">
        <f t="shared" si="28"/>
        <v>0</v>
      </c>
      <c r="G116" s="25">
        <f t="shared" si="28"/>
        <v>0</v>
      </c>
      <c r="H116" s="198">
        <f t="shared" si="28"/>
        <v>120</v>
      </c>
      <c r="I116" s="333" t="str">
        <f t="shared" si="28"/>
        <v>NA</v>
      </c>
      <c r="J116" s="334">
        <f t="shared" si="28"/>
        <v>104960.00000000001</v>
      </c>
      <c r="K116" s="335">
        <f t="shared" si="28"/>
        <v>104960.00000000001</v>
      </c>
      <c r="L116" s="199" t="str">
        <f t="shared" si="28"/>
        <v>NA</v>
      </c>
      <c r="M116" s="25">
        <f t="shared" si="28"/>
        <v>104960.00000000001</v>
      </c>
      <c r="N116" s="198">
        <f t="shared" si="28"/>
        <v>104960.00000000001</v>
      </c>
      <c r="O116" s="333" t="str">
        <f t="shared" si="28"/>
        <v>NA</v>
      </c>
      <c r="P116" s="334">
        <f t="shared" si="28"/>
        <v>104960.00000000001</v>
      </c>
      <c r="Q116" s="423">
        <f t="shared" si="28"/>
        <v>104960.00000000001</v>
      </c>
      <c r="R116" s="66">
        <f t="shared" si="28"/>
        <v>104960.00000000001</v>
      </c>
      <c r="S116" s="153" t="str">
        <f>S28</f>
        <v>NA</v>
      </c>
      <c r="T116" s="232" t="s">
        <v>12</v>
      </c>
    </row>
    <row r="117" spans="1:20" s="1" customFormat="1" ht="13.5" thickBot="1">
      <c r="A117" s="506" t="s">
        <v>76</v>
      </c>
      <c r="B117" s="208">
        <f t="shared" ref="B117:R117" si="29">B46</f>
        <v>0</v>
      </c>
      <c r="C117" s="208">
        <f t="shared" si="29"/>
        <v>60</v>
      </c>
      <c r="D117" s="208">
        <f t="shared" si="29"/>
        <v>60</v>
      </c>
      <c r="E117" s="208">
        <f t="shared" si="29"/>
        <v>0</v>
      </c>
      <c r="F117" s="208">
        <f t="shared" si="29"/>
        <v>0</v>
      </c>
      <c r="G117" s="208">
        <f t="shared" si="29"/>
        <v>0</v>
      </c>
      <c r="H117" s="209">
        <f t="shared" si="29"/>
        <v>5898</v>
      </c>
      <c r="I117" s="332">
        <f t="shared" si="29"/>
        <v>5086.6034831275729</v>
      </c>
      <c r="J117" s="296">
        <f t="shared" si="29"/>
        <v>6180223.2320000008</v>
      </c>
      <c r="K117" s="297">
        <f t="shared" si="29"/>
        <v>6180223.2320000008</v>
      </c>
      <c r="L117" s="207">
        <f t="shared" si="29"/>
        <v>5192.7513020576134</v>
      </c>
      <c r="M117" s="208">
        <f t="shared" si="29"/>
        <v>6309192.8320000013</v>
      </c>
      <c r="N117" s="209">
        <f t="shared" si="29"/>
        <v>6309192.8320000013</v>
      </c>
      <c r="O117" s="332">
        <f t="shared" si="29"/>
        <v>5294.6532082304539</v>
      </c>
      <c r="P117" s="296">
        <f t="shared" si="29"/>
        <v>6433003.648000001</v>
      </c>
      <c r="Q117" s="385">
        <f t="shared" si="29"/>
        <v>6433003.648000001</v>
      </c>
      <c r="R117" s="407">
        <f t="shared" si="29"/>
        <v>5451932.6151111117</v>
      </c>
      <c r="S117" s="407">
        <f>S46</f>
        <v>855540.62222222239</v>
      </c>
      <c r="T117" s="511" t="s">
        <v>12</v>
      </c>
    </row>
    <row r="118" spans="1:20">
      <c r="A118" s="492" t="s">
        <v>124</v>
      </c>
      <c r="B118" s="25">
        <f t="shared" ref="B118:R118" si="30">B57</f>
        <v>0</v>
      </c>
      <c r="C118" s="25">
        <f t="shared" si="30"/>
        <v>22</v>
      </c>
      <c r="D118" s="25">
        <f t="shared" si="30"/>
        <v>11</v>
      </c>
      <c r="E118" s="25">
        <f t="shared" si="30"/>
        <v>35</v>
      </c>
      <c r="F118" s="25">
        <f t="shared" si="30"/>
        <v>0</v>
      </c>
      <c r="G118" s="25">
        <f t="shared" si="30"/>
        <v>0</v>
      </c>
      <c r="H118" s="198">
        <f t="shared" si="30"/>
        <v>68</v>
      </c>
      <c r="I118" s="333" t="str">
        <f t="shared" si="30"/>
        <v>NA</v>
      </c>
      <c r="J118" s="334">
        <f t="shared" si="30"/>
        <v>59477.333333333343</v>
      </c>
      <c r="K118" s="335">
        <f t="shared" si="30"/>
        <v>59477.333333333343</v>
      </c>
      <c r="L118" s="199" t="str">
        <f t="shared" si="30"/>
        <v>NA</v>
      </c>
      <c r="M118" s="25">
        <f t="shared" si="30"/>
        <v>59477.333333333343</v>
      </c>
      <c r="N118" s="198">
        <f t="shared" si="30"/>
        <v>59477.333333333343</v>
      </c>
      <c r="O118" s="333" t="str">
        <f t="shared" si="30"/>
        <v>NA</v>
      </c>
      <c r="P118" s="334">
        <f t="shared" si="30"/>
        <v>59477.333333333343</v>
      </c>
      <c r="Q118" s="423">
        <f t="shared" si="30"/>
        <v>59477.333333333343</v>
      </c>
      <c r="R118" s="66">
        <f t="shared" si="30"/>
        <v>59477.333333333343</v>
      </c>
      <c r="S118" s="37"/>
      <c r="T118" s="227"/>
    </row>
    <row r="119" spans="1:20" s="1" customFormat="1" ht="13.5" thickBot="1">
      <c r="A119" s="506" t="s">
        <v>76</v>
      </c>
      <c r="B119" s="208">
        <f t="shared" ref="B119:R119" si="31">B58</f>
        <v>0</v>
      </c>
      <c r="C119" s="208">
        <f t="shared" si="31"/>
        <v>899</v>
      </c>
      <c r="D119" s="208">
        <f t="shared" si="31"/>
        <v>485</v>
      </c>
      <c r="E119" s="208">
        <f t="shared" si="31"/>
        <v>1724</v>
      </c>
      <c r="F119" s="208">
        <f t="shared" si="31"/>
        <v>0</v>
      </c>
      <c r="G119" s="208">
        <f t="shared" si="31"/>
        <v>0</v>
      </c>
      <c r="H119" s="209">
        <f t="shared" si="31"/>
        <v>4108</v>
      </c>
      <c r="I119" s="332">
        <f t="shared" si="31"/>
        <v>3542.8564104252405</v>
      </c>
      <c r="J119" s="296">
        <f t="shared" si="31"/>
        <v>4304570.5386666674</v>
      </c>
      <c r="K119" s="297">
        <f t="shared" si="31"/>
        <v>4304570.5386666674</v>
      </c>
      <c r="L119" s="207">
        <f t="shared" si="31"/>
        <v>3616.7891401920442</v>
      </c>
      <c r="M119" s="208">
        <f t="shared" si="31"/>
        <v>4394398.805333334</v>
      </c>
      <c r="N119" s="209">
        <f t="shared" si="31"/>
        <v>4394398.805333334</v>
      </c>
      <c r="O119" s="332">
        <f t="shared" si="31"/>
        <v>3687.7645607681761</v>
      </c>
      <c r="P119" s="296">
        <f t="shared" si="31"/>
        <v>4480633.9413333349</v>
      </c>
      <c r="Q119" s="385">
        <f t="shared" si="31"/>
        <v>4480633.9413333349</v>
      </c>
      <c r="R119" s="407">
        <f t="shared" si="31"/>
        <v>3323775.3173333341</v>
      </c>
      <c r="S119" s="407">
        <f>S58</f>
        <v>1069425.777777778</v>
      </c>
      <c r="T119" s="516" t="s">
        <v>12</v>
      </c>
    </row>
    <row r="120" spans="1:20">
      <c r="A120" s="492" t="s">
        <v>126</v>
      </c>
      <c r="B120" s="25">
        <f t="shared" ref="B120:T120" si="32">B71</f>
        <v>0</v>
      </c>
      <c r="C120" s="25">
        <f t="shared" si="32"/>
        <v>8</v>
      </c>
      <c r="D120" s="25">
        <f t="shared" si="32"/>
        <v>10</v>
      </c>
      <c r="E120" s="25">
        <f t="shared" si="32"/>
        <v>17</v>
      </c>
      <c r="F120" s="25">
        <f t="shared" si="32"/>
        <v>4</v>
      </c>
      <c r="G120" s="25">
        <f t="shared" si="32"/>
        <v>0</v>
      </c>
      <c r="H120" s="198">
        <f t="shared" si="32"/>
        <v>39</v>
      </c>
      <c r="I120" s="333" t="str">
        <f t="shared" si="32"/>
        <v>NA</v>
      </c>
      <c r="J120" s="334">
        <f t="shared" si="32"/>
        <v>34112</v>
      </c>
      <c r="K120" s="335">
        <f t="shared" si="32"/>
        <v>34112</v>
      </c>
      <c r="L120" s="199" t="str">
        <f t="shared" si="32"/>
        <v>NA</v>
      </c>
      <c r="M120" s="25">
        <f t="shared" si="32"/>
        <v>34112</v>
      </c>
      <c r="N120" s="198">
        <f t="shared" si="32"/>
        <v>34112</v>
      </c>
      <c r="O120" s="333" t="str">
        <f t="shared" si="32"/>
        <v>NA</v>
      </c>
      <c r="P120" s="334">
        <f t="shared" si="32"/>
        <v>34112</v>
      </c>
      <c r="Q120" s="423">
        <f t="shared" si="32"/>
        <v>34112</v>
      </c>
      <c r="R120" s="66">
        <f t="shared" si="32"/>
        <v>34112</v>
      </c>
      <c r="S120" s="154" t="str">
        <f t="shared" si="32"/>
        <v>NA</v>
      </c>
      <c r="T120" s="518" t="str">
        <f t="shared" si="32"/>
        <v>NA</v>
      </c>
    </row>
    <row r="121" spans="1:20" s="1" customFormat="1" ht="13.5" thickBot="1">
      <c r="A121" s="506" t="s">
        <v>76</v>
      </c>
      <c r="B121" s="208">
        <f t="shared" ref="B121:S121" si="33">B72</f>
        <v>0</v>
      </c>
      <c r="C121" s="208">
        <f t="shared" si="33"/>
        <v>327</v>
      </c>
      <c r="D121" s="208">
        <f t="shared" si="33"/>
        <v>440</v>
      </c>
      <c r="E121" s="208">
        <f t="shared" si="33"/>
        <v>838</v>
      </c>
      <c r="F121" s="208">
        <f t="shared" si="33"/>
        <v>222</v>
      </c>
      <c r="G121" s="208">
        <f t="shared" si="33"/>
        <v>0</v>
      </c>
      <c r="H121" s="209">
        <f t="shared" si="33"/>
        <v>1827</v>
      </c>
      <c r="I121" s="332">
        <f t="shared" si="33"/>
        <v>1575.6569283950619</v>
      </c>
      <c r="J121" s="296">
        <f t="shared" si="33"/>
        <v>1914423.1680000003</v>
      </c>
      <c r="K121" s="297">
        <f t="shared" si="33"/>
        <v>1914423.1680000003</v>
      </c>
      <c r="L121" s="207">
        <f t="shared" si="33"/>
        <v>1608.5379160493831</v>
      </c>
      <c r="M121" s="208">
        <f t="shared" si="33"/>
        <v>1954373.5680000004</v>
      </c>
      <c r="N121" s="209">
        <f t="shared" si="33"/>
        <v>1954373.5680000004</v>
      </c>
      <c r="O121" s="332">
        <f t="shared" si="33"/>
        <v>1640.1036641975311</v>
      </c>
      <c r="P121" s="296">
        <f t="shared" si="33"/>
        <v>1992725.9520000005</v>
      </c>
      <c r="Q121" s="385">
        <f t="shared" si="33"/>
        <v>1992725.9520000005</v>
      </c>
      <c r="R121" s="407">
        <f t="shared" si="33"/>
        <v>1953840.8960000004</v>
      </c>
      <c r="S121" s="421" t="str">
        <f t="shared" si="33"/>
        <v>NA</v>
      </c>
      <c r="T121" s="516" t="s">
        <v>12</v>
      </c>
    </row>
    <row r="122" spans="1:20">
      <c r="A122" s="492" t="s">
        <v>127</v>
      </c>
      <c r="B122" s="214">
        <f t="shared" ref="B122:R122" si="34">B97</f>
        <v>0</v>
      </c>
      <c r="C122" s="214">
        <f t="shared" si="34"/>
        <v>27</v>
      </c>
      <c r="D122" s="214">
        <f t="shared" si="34"/>
        <v>1.2</v>
      </c>
      <c r="E122" s="214">
        <f t="shared" si="34"/>
        <v>32.299999999999997</v>
      </c>
      <c r="F122" s="214">
        <f t="shared" si="34"/>
        <v>26</v>
      </c>
      <c r="G122" s="214">
        <f t="shared" si="34"/>
        <v>5</v>
      </c>
      <c r="H122" s="215">
        <f t="shared" si="34"/>
        <v>91.5</v>
      </c>
      <c r="I122" s="336" t="str">
        <f t="shared" si="34"/>
        <v>NA</v>
      </c>
      <c r="J122" s="337" t="str">
        <f t="shared" si="34"/>
        <v>NA</v>
      </c>
      <c r="K122" s="294">
        <f t="shared" si="34"/>
        <v>68711.833333333343</v>
      </c>
      <c r="L122" s="216" t="str">
        <f t="shared" si="34"/>
        <v>NA</v>
      </c>
      <c r="M122" s="217" t="str">
        <f t="shared" si="34"/>
        <v>NA</v>
      </c>
      <c r="N122" s="215">
        <f t="shared" si="34"/>
        <v>68711.833333333343</v>
      </c>
      <c r="O122" s="336" t="str">
        <f t="shared" si="34"/>
        <v>NA</v>
      </c>
      <c r="P122" s="337" t="str">
        <f t="shared" si="34"/>
        <v>NA</v>
      </c>
      <c r="Q122" s="282">
        <f t="shared" si="34"/>
        <v>68711.833333333343</v>
      </c>
      <c r="R122" s="113">
        <f t="shared" si="34"/>
        <v>68711.833333333343</v>
      </c>
      <c r="S122" s="136" t="s">
        <v>12</v>
      </c>
      <c r="T122" s="230" t="s">
        <v>12</v>
      </c>
    </row>
    <row r="123" spans="1:20" s="1" customFormat="1" ht="13.5" thickBot="1">
      <c r="A123" s="506" t="s">
        <v>76</v>
      </c>
      <c r="B123" s="208">
        <f t="shared" ref="B123:R123" si="35">B98</f>
        <v>0</v>
      </c>
      <c r="C123" s="208">
        <f t="shared" si="35"/>
        <v>1103</v>
      </c>
      <c r="D123" s="208">
        <f t="shared" si="35"/>
        <v>53</v>
      </c>
      <c r="E123" s="208">
        <f t="shared" si="35"/>
        <v>1592</v>
      </c>
      <c r="F123" s="208">
        <f t="shared" si="35"/>
        <v>1441</v>
      </c>
      <c r="G123" s="208">
        <f t="shared" si="35"/>
        <v>293</v>
      </c>
      <c r="H123" s="209">
        <f t="shared" si="35"/>
        <v>4482</v>
      </c>
      <c r="I123" s="332">
        <f t="shared" si="35"/>
        <v>4227.4862951989026</v>
      </c>
      <c r="J123" s="338" t="str">
        <f t="shared" si="35"/>
        <v>NA</v>
      </c>
      <c r="K123" s="297">
        <f t="shared" si="35"/>
        <v>3948029.6854666672</v>
      </c>
      <c r="L123" s="207">
        <f t="shared" si="35"/>
        <v>4315.7059591220859</v>
      </c>
      <c r="M123" s="219" t="str">
        <f t="shared" si="35"/>
        <v>NA</v>
      </c>
      <c r="N123" s="209">
        <f t="shared" si="35"/>
        <v>4030417.6171333343</v>
      </c>
      <c r="O123" s="332">
        <f t="shared" si="35"/>
        <v>4400.3968364883403</v>
      </c>
      <c r="P123" s="338" t="str">
        <f t="shared" si="35"/>
        <v>NA</v>
      </c>
      <c r="Q123" s="385">
        <f t="shared" si="35"/>
        <v>4109510.0315333339</v>
      </c>
      <c r="R123" s="407">
        <f t="shared" si="35"/>
        <v>4029319.1113777789</v>
      </c>
      <c r="S123" s="407">
        <f>S98</f>
        <v>0</v>
      </c>
      <c r="T123" s="516" t="s">
        <v>12</v>
      </c>
    </row>
    <row r="124" spans="1:20">
      <c r="A124" s="492" t="s">
        <v>128</v>
      </c>
      <c r="B124" s="25">
        <f t="shared" ref="B124:R124" si="36">B107</f>
        <v>0</v>
      </c>
      <c r="C124" s="25">
        <f t="shared" si="36"/>
        <v>0</v>
      </c>
      <c r="D124" s="25">
        <f t="shared" si="36"/>
        <v>16</v>
      </c>
      <c r="E124" s="25">
        <f t="shared" si="36"/>
        <v>8</v>
      </c>
      <c r="F124" s="25">
        <f t="shared" si="36"/>
        <v>12</v>
      </c>
      <c r="G124" s="25">
        <f t="shared" si="36"/>
        <v>6</v>
      </c>
      <c r="H124" s="198">
        <f t="shared" si="36"/>
        <v>42</v>
      </c>
      <c r="I124" s="333" t="str">
        <f t="shared" si="36"/>
        <v>NA</v>
      </c>
      <c r="J124" s="334">
        <f t="shared" si="36"/>
        <v>36736.000000000007</v>
      </c>
      <c r="K124" s="335">
        <f t="shared" si="36"/>
        <v>36736.000000000007</v>
      </c>
      <c r="L124" s="199" t="str">
        <f t="shared" si="36"/>
        <v>NA</v>
      </c>
      <c r="M124" s="25">
        <f t="shared" si="36"/>
        <v>36736.000000000007</v>
      </c>
      <c r="N124" s="198">
        <f t="shared" si="36"/>
        <v>36736.000000000007</v>
      </c>
      <c r="O124" s="333" t="str">
        <f t="shared" si="36"/>
        <v>NA</v>
      </c>
      <c r="P124" s="334">
        <f t="shared" si="36"/>
        <v>36736.000000000007</v>
      </c>
      <c r="Q124" s="423">
        <f t="shared" si="36"/>
        <v>36736.000000000007</v>
      </c>
      <c r="R124" s="66">
        <f t="shared" si="36"/>
        <v>36736.000000000007</v>
      </c>
      <c r="S124" s="136" t="s">
        <v>12</v>
      </c>
      <c r="T124" s="230" t="s">
        <v>12</v>
      </c>
    </row>
    <row r="125" spans="1:20" ht="13.5" thickBot="1">
      <c r="A125" s="528" t="s">
        <v>76</v>
      </c>
      <c r="B125" s="104">
        <f t="shared" ref="B125:R125" si="37">B108</f>
        <v>0</v>
      </c>
      <c r="C125" s="104">
        <f t="shared" si="37"/>
        <v>0</v>
      </c>
      <c r="D125" s="104">
        <f t="shared" si="37"/>
        <v>706</v>
      </c>
      <c r="E125" s="104">
        <f t="shared" si="37"/>
        <v>394</v>
      </c>
      <c r="F125" s="104">
        <f t="shared" si="37"/>
        <v>666</v>
      </c>
      <c r="G125" s="104">
        <f t="shared" si="37"/>
        <v>351</v>
      </c>
      <c r="H125" s="105">
        <f t="shared" si="37"/>
        <v>2117</v>
      </c>
      <c r="I125" s="424">
        <f t="shared" si="37"/>
        <v>1825.7612027434843</v>
      </c>
      <c r="J125" s="355">
        <f t="shared" si="37"/>
        <v>2218299.8613333334</v>
      </c>
      <c r="K125" s="308">
        <f t="shared" si="37"/>
        <v>2218299.8613333334</v>
      </c>
      <c r="L125" s="114">
        <f t="shared" si="37"/>
        <v>1863.8613947873805</v>
      </c>
      <c r="M125" s="104">
        <f t="shared" si="37"/>
        <v>2264591.5946666673</v>
      </c>
      <c r="N125" s="105">
        <f t="shared" si="37"/>
        <v>2264591.5946666673</v>
      </c>
      <c r="O125" s="424">
        <f t="shared" si="37"/>
        <v>1900.4375791495204</v>
      </c>
      <c r="P125" s="355">
        <f t="shared" si="37"/>
        <v>2309031.6586666675</v>
      </c>
      <c r="Q125" s="308">
        <f t="shared" si="37"/>
        <v>2309031.6586666675</v>
      </c>
      <c r="R125" s="105">
        <f t="shared" si="37"/>
        <v>2263974.3715555561</v>
      </c>
      <c r="S125" s="155" t="str">
        <f>S108</f>
        <v>NA</v>
      </c>
      <c r="T125" s="519" t="s">
        <v>12</v>
      </c>
    </row>
    <row r="126" spans="1:20" ht="15.75">
      <c r="A126" s="529" t="s">
        <v>13</v>
      </c>
      <c r="B126" s="107" t="s">
        <v>45</v>
      </c>
      <c r="C126" s="108" t="s">
        <v>46</v>
      </c>
      <c r="D126" s="107" t="s">
        <v>47</v>
      </c>
      <c r="E126" s="107" t="s">
        <v>48</v>
      </c>
      <c r="F126" s="107" t="s">
        <v>49</v>
      </c>
      <c r="G126" s="107" t="s">
        <v>50</v>
      </c>
      <c r="H126" s="109" t="s">
        <v>13</v>
      </c>
      <c r="I126" s="110" t="s">
        <v>56</v>
      </c>
      <c r="J126" s="108" t="s">
        <v>13</v>
      </c>
      <c r="K126" s="111" t="s">
        <v>68</v>
      </c>
      <c r="L126" s="110" t="s">
        <v>56</v>
      </c>
      <c r="M126" s="108" t="s">
        <v>13</v>
      </c>
      <c r="N126" s="111" t="s">
        <v>68</v>
      </c>
      <c r="O126" s="110" t="s">
        <v>56</v>
      </c>
      <c r="P126" s="108" t="s">
        <v>13</v>
      </c>
      <c r="Q126" s="111" t="s">
        <v>68</v>
      </c>
      <c r="R126" s="111"/>
      <c r="S126" s="37"/>
      <c r="T126" s="227"/>
    </row>
    <row r="127" spans="1:20">
      <c r="A127" s="530" t="s">
        <v>75</v>
      </c>
      <c r="B127" s="101">
        <f t="shared" ref="B127:H128" si="38">B112+B114+B116+B118+B120+B122+B124</f>
        <v>0</v>
      </c>
      <c r="C127" s="101">
        <f t="shared" si="38"/>
        <v>125</v>
      </c>
      <c r="D127" s="101">
        <f t="shared" si="38"/>
        <v>106.2</v>
      </c>
      <c r="E127" s="101">
        <f t="shared" si="38"/>
        <v>110.3</v>
      </c>
      <c r="F127" s="101">
        <f t="shared" si="38"/>
        <v>56</v>
      </c>
      <c r="G127" s="101">
        <f t="shared" si="38"/>
        <v>21</v>
      </c>
      <c r="H127" s="102">
        <f t="shared" si="38"/>
        <v>418.5</v>
      </c>
      <c r="I127" s="340" t="s">
        <v>12</v>
      </c>
      <c r="J127" s="281">
        <f>J112+J114+J116+J118+J120+J124</f>
        <v>266371.33333333337</v>
      </c>
      <c r="K127" s="289">
        <f>K112+K114+K116+K118+K120+K122+K124</f>
        <v>308438.02380952385</v>
      </c>
      <c r="L127" s="103" t="s">
        <v>12</v>
      </c>
      <c r="M127" s="101">
        <f>M112+M114+M116+M118+M120+M124</f>
        <v>266371.33333333337</v>
      </c>
      <c r="N127" s="102">
        <f>N112+N114+N116+N118+N120+N122+N124</f>
        <v>308438.02380952385</v>
      </c>
      <c r="O127" s="340" t="s">
        <v>12</v>
      </c>
      <c r="P127" s="281">
        <f>P112+P114+P116+P118+P120+P124</f>
        <v>266371.33333333337</v>
      </c>
      <c r="Q127" s="289">
        <f>Q112+Q114+Q116+Q118+Q120+Q122+Q124</f>
        <v>308438.02380952385</v>
      </c>
      <c r="R127" s="102">
        <f>R112+R114+R116+R118+R120+R122+R124</f>
        <v>308438.02380952385</v>
      </c>
      <c r="S127" s="102"/>
      <c r="T127" s="232" t="s">
        <v>12</v>
      </c>
    </row>
    <row r="128" spans="1:20" s="3" customFormat="1" ht="16.5" thickBot="1">
      <c r="A128" s="531" t="s">
        <v>76</v>
      </c>
      <c r="B128" s="520">
        <f t="shared" si="38"/>
        <v>0</v>
      </c>
      <c r="C128" s="520">
        <f t="shared" si="38"/>
        <v>2716</v>
      </c>
      <c r="D128" s="520">
        <f t="shared" si="38"/>
        <v>2097</v>
      </c>
      <c r="E128" s="520">
        <f t="shared" si="38"/>
        <v>5435</v>
      </c>
      <c r="F128" s="520">
        <f t="shared" si="38"/>
        <v>3106</v>
      </c>
      <c r="G128" s="520">
        <f t="shared" si="38"/>
        <v>1230</v>
      </c>
      <c r="H128" s="521">
        <f t="shared" si="38"/>
        <v>21362</v>
      </c>
      <c r="I128" s="522">
        <f>I113+I115+I117+I119+I121+I123+I125</f>
        <v>19768.50431989026</v>
      </c>
      <c r="J128" s="523">
        <f>J113+J115+J117+J119+J121+J125</f>
        <v>14993819.382000001</v>
      </c>
      <c r="K128" s="524">
        <f>K113+K115+K117+K119+K121+K123+K125</f>
        <v>20606448.161180954</v>
      </c>
      <c r="L128" s="525">
        <f>L113+L115+L117+L119+L121+L123+L125</f>
        <v>20181.035712208512</v>
      </c>
      <c r="M128" s="526">
        <f>M113+M115+M117+M119+M121+M125</f>
        <v>15306712.107000003</v>
      </c>
      <c r="N128" s="521">
        <f>N113+N115+N117+N119+N121+N123+N125</f>
        <v>21028102.113133337</v>
      </c>
      <c r="O128" s="522">
        <f>O113+O115+O117+O119+O121+O123+O125</f>
        <v>20577.06584883402</v>
      </c>
      <c r="P128" s="523">
        <f>P113+P115+P117+P119+P121+P125</f>
        <v>15607089.123000003</v>
      </c>
      <c r="Q128" s="524">
        <f>Q113+Q115+Q117+Q119+Q121+Q123+Q125</f>
        <v>21440754.975533336</v>
      </c>
      <c r="R128" s="541">
        <f>R113+R115+R117+R119+R121+R123+R125</f>
        <v>17266554.54994921</v>
      </c>
      <c r="S128" s="521">
        <f>SUM(S113,S115,S117,S119,S121,S123,S125)</f>
        <v>1924966.4000000004</v>
      </c>
      <c r="T128" s="527">
        <f>SUM(T113,T115,T117,T119,T121,T123,T125)</f>
        <v>1833580.8</v>
      </c>
    </row>
    <row r="129" spans="1:1" ht="15.75" thickTop="1">
      <c r="A129" s="235" t="s">
        <v>145</v>
      </c>
    </row>
  </sheetData>
  <mergeCells count="38">
    <mergeCell ref="P101:Q101"/>
    <mergeCell ref="P39:Q39"/>
    <mergeCell ref="P49:Q49"/>
    <mergeCell ref="P61:Q61"/>
    <mergeCell ref="P93:Q93"/>
    <mergeCell ref="P76:Q76"/>
    <mergeCell ref="P89:Q89"/>
    <mergeCell ref="M39:N39"/>
    <mergeCell ref="M49:N49"/>
    <mergeCell ref="M89:N89"/>
    <mergeCell ref="M76:N76"/>
    <mergeCell ref="M101:N101"/>
    <mergeCell ref="M61:N61"/>
    <mergeCell ref="M93:N93"/>
    <mergeCell ref="F38:H38"/>
    <mergeCell ref="J101:K101"/>
    <mergeCell ref="J49:K49"/>
    <mergeCell ref="F100:H100"/>
    <mergeCell ref="J89:K89"/>
    <mergeCell ref="J76:K76"/>
    <mergeCell ref="J39:K39"/>
    <mergeCell ref="F39:H39"/>
    <mergeCell ref="F49:H49"/>
    <mergeCell ref="F48:H48"/>
    <mergeCell ref="J61:K61"/>
    <mergeCell ref="J93:K93"/>
    <mergeCell ref="F60:H60"/>
    <mergeCell ref="F75:H75"/>
    <mergeCell ref="R1:S1"/>
    <mergeCell ref="P26:Q26"/>
    <mergeCell ref="F14:H14"/>
    <mergeCell ref="J26:K26"/>
    <mergeCell ref="B4:H4"/>
    <mergeCell ref="F25:H25"/>
    <mergeCell ref="P15:Q15"/>
    <mergeCell ref="J15:K15"/>
    <mergeCell ref="M15:N15"/>
    <mergeCell ref="M26:N26"/>
  </mergeCells>
  <phoneticPr fontId="2" type="noConversion"/>
  <dataValidations disablePrompts="1" count="1">
    <dataValidation allowBlank="1" showInputMessage="1" showErrorMessage="1" sqref="C41 C28"/>
  </dataValidations>
  <pageMargins left="0.25" right="0.21" top="0.64" bottom="0.56999999999999995" header="0.5" footer="0.5"/>
  <pageSetup scale="43" fitToHeight="25" orientation="landscape" r:id="rId1"/>
  <headerFooter alignWithMargins="0"/>
  <rowBreaks count="1" manualBreakCount="1">
    <brk id="7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69"/>
  <sheetViews>
    <sheetView topLeftCell="A118" zoomScaleNormal="100" workbookViewId="0">
      <selection activeCell="S122" sqref="S122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42578125" bestFit="1" customWidth="1"/>
    <col min="5" max="5" width="11.28515625" customWidth="1"/>
    <col min="6" max="6" width="9.7109375" style="10" customWidth="1"/>
    <col min="7" max="7" width="9.85546875" bestFit="1" customWidth="1"/>
    <col min="8" max="8" width="10" bestFit="1" customWidth="1"/>
    <col min="9" max="9" width="13.28515625" customWidth="1"/>
    <col min="10" max="10" width="15" customWidth="1"/>
    <col min="11" max="11" width="14.42578125" customWidth="1"/>
    <col min="12" max="12" width="14.71093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3.28515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</row>
    <row r="2" spans="1:21" ht="18.75" thickTop="1">
      <c r="A2" s="615"/>
      <c r="B2" s="596" t="s">
        <v>0</v>
      </c>
      <c r="C2" s="593" t="s">
        <v>164</v>
      </c>
      <c r="D2" s="5"/>
      <c r="E2" s="396" t="s">
        <v>31</v>
      </c>
      <c r="F2" s="1424">
        <v>41306</v>
      </c>
      <c r="G2" s="1425"/>
      <c r="H2" s="5"/>
      <c r="I2" s="5"/>
      <c r="J2" s="594" t="s">
        <v>5</v>
      </c>
      <c r="K2" s="595">
        <v>2013</v>
      </c>
      <c r="L2" s="426"/>
      <c r="M2" s="592" t="s">
        <v>10</v>
      </c>
      <c r="N2" s="550">
        <f>K2+1</f>
        <v>2014</v>
      </c>
      <c r="O2" s="549"/>
      <c r="P2" s="551" t="s">
        <v>11</v>
      </c>
      <c r="Q2" s="552">
        <f>N2+1</f>
        <v>2015</v>
      </c>
      <c r="R2" s="553"/>
      <c r="S2" s="1417" t="s">
        <v>77</v>
      </c>
      <c r="T2" s="1418"/>
      <c r="U2" s="1073" t="s">
        <v>79</v>
      </c>
    </row>
    <row r="3" spans="1:21">
      <c r="A3" s="615"/>
      <c r="F3"/>
      <c r="I3" s="1119" t="s">
        <v>217</v>
      </c>
      <c r="J3" s="1" t="s">
        <v>212</v>
      </c>
      <c r="K3" s="769" t="s">
        <v>213</v>
      </c>
      <c r="L3" s="20">
        <v>230</v>
      </c>
      <c r="M3" s="1" t="s">
        <v>212</v>
      </c>
      <c r="N3" s="769" t="s">
        <v>213</v>
      </c>
      <c r="O3" s="20">
        <v>230</v>
      </c>
      <c r="P3" s="1" t="s">
        <v>212</v>
      </c>
      <c r="Q3" s="769" t="s">
        <v>213</v>
      </c>
      <c r="R3" s="20">
        <v>230</v>
      </c>
      <c r="T3" s="37"/>
      <c r="U3" s="615"/>
    </row>
    <row r="4" spans="1:21">
      <c r="A4" s="615"/>
      <c r="F4"/>
      <c r="I4" s="50">
        <v>0.05</v>
      </c>
      <c r="J4" s="1" t="s">
        <v>69</v>
      </c>
      <c r="K4" s="770" t="s">
        <v>214</v>
      </c>
      <c r="L4" s="20">
        <v>1</v>
      </c>
      <c r="M4" s="1" t="s">
        <v>166</v>
      </c>
      <c r="N4" s="770" t="s">
        <v>214</v>
      </c>
      <c r="O4" s="20">
        <v>1</v>
      </c>
      <c r="P4" s="1" t="s">
        <v>166</v>
      </c>
      <c r="Q4" s="770" t="s">
        <v>214</v>
      </c>
      <c r="R4" s="20">
        <v>1</v>
      </c>
      <c r="T4" s="37"/>
      <c r="U4" s="615"/>
    </row>
    <row r="5" spans="1:21" ht="13.5" thickBot="1">
      <c r="A5" s="615"/>
      <c r="B5" s="597" t="s">
        <v>2</v>
      </c>
      <c r="C5" s="1426"/>
      <c r="D5" s="1427"/>
      <c r="E5" s="1427"/>
      <c r="F5" s="1427"/>
      <c r="G5" s="1427"/>
      <c r="H5" s="1427"/>
      <c r="I5" s="1443"/>
      <c r="K5" s="770" t="s">
        <v>215</v>
      </c>
      <c r="L5" s="20">
        <v>44</v>
      </c>
      <c r="N5" s="770" t="s">
        <v>215</v>
      </c>
      <c r="O5" s="20">
        <v>44</v>
      </c>
      <c r="Q5" s="770" t="s">
        <v>215</v>
      </c>
      <c r="R5" s="20">
        <v>44</v>
      </c>
      <c r="T5" s="37"/>
      <c r="U5" s="615"/>
    </row>
    <row r="6" spans="1:21" ht="13.5" thickTop="1">
      <c r="A6" s="615"/>
      <c r="F6"/>
      <c r="I6" s="37"/>
      <c r="J6" s="425" t="s">
        <v>71</v>
      </c>
      <c r="K6" s="771" t="s">
        <v>216</v>
      </c>
      <c r="L6" s="20">
        <v>383</v>
      </c>
      <c r="M6" s="425" t="s">
        <v>71</v>
      </c>
      <c r="N6" s="771" t="s">
        <v>216</v>
      </c>
      <c r="O6" s="20">
        <v>383</v>
      </c>
      <c r="P6" s="425" t="s">
        <v>71</v>
      </c>
      <c r="Q6" s="771" t="s">
        <v>216</v>
      </c>
      <c r="R6" s="20">
        <v>383</v>
      </c>
      <c r="T6" s="37"/>
      <c r="U6" s="615"/>
    </row>
    <row r="7" spans="1:21">
      <c r="A7" s="615"/>
      <c r="F7"/>
      <c r="I7" s="37"/>
      <c r="J7" s="1124">
        <v>146</v>
      </c>
      <c r="K7" s="769" t="s">
        <v>219</v>
      </c>
      <c r="L7" s="20">
        <v>151</v>
      </c>
      <c r="M7" s="1125">
        <v>146</v>
      </c>
      <c r="N7" s="769" t="s">
        <v>219</v>
      </c>
      <c r="O7" s="20">
        <v>151</v>
      </c>
      <c r="P7" s="1124">
        <v>146</v>
      </c>
      <c r="Q7" s="769" t="s">
        <v>219</v>
      </c>
      <c r="R7" s="20">
        <v>151</v>
      </c>
      <c r="T7" s="37"/>
      <c r="U7" s="615"/>
    </row>
    <row r="8" spans="1:21">
      <c r="A8" s="615"/>
      <c r="B8" s="5"/>
      <c r="C8" s="5"/>
      <c r="D8" s="5"/>
      <c r="E8" s="5"/>
      <c r="F8" s="7"/>
      <c r="G8" s="5"/>
      <c r="H8" s="5"/>
      <c r="I8" s="37"/>
      <c r="K8" s="429" t="s">
        <v>13</v>
      </c>
      <c r="L8" s="772">
        <f>SUM(L3:L7)</f>
        <v>809</v>
      </c>
      <c r="M8" s="1126"/>
      <c r="N8" s="429" t="s">
        <v>13</v>
      </c>
      <c r="O8" s="772">
        <f>SUM(O3:O7)</f>
        <v>809</v>
      </c>
      <c r="Q8" s="429" t="s">
        <v>13</v>
      </c>
      <c r="R8" s="772">
        <f>SUM(R3:R7)</f>
        <v>809</v>
      </c>
      <c r="S8" s="429" t="s">
        <v>13</v>
      </c>
      <c r="T8" s="106">
        <f>AVERAGE(L8,O8,R8)</f>
        <v>809</v>
      </c>
      <c r="U8" s="615"/>
    </row>
    <row r="9" spans="1:21">
      <c r="A9" s="615"/>
      <c r="B9" s="5"/>
      <c r="C9" s="5"/>
      <c r="D9" s="5"/>
      <c r="E9" s="5"/>
      <c r="F9" s="7"/>
      <c r="G9" s="5"/>
      <c r="H9" s="5"/>
      <c r="I9" s="37"/>
      <c r="K9" s="429" t="s">
        <v>166</v>
      </c>
      <c r="L9" s="776">
        <f>L3*4+L4*3+L5*2+L6+L7</f>
        <v>1545</v>
      </c>
      <c r="N9" s="429" t="s">
        <v>166</v>
      </c>
      <c r="O9" s="776">
        <f>O3*4+O4*3+O5*2+O6+O7</f>
        <v>1545</v>
      </c>
      <c r="Q9" s="429" t="s">
        <v>166</v>
      </c>
      <c r="R9" s="776">
        <f>R3*4+R4*3+R5*2+R6+R7</f>
        <v>1545</v>
      </c>
      <c r="S9" s="429" t="s">
        <v>166</v>
      </c>
      <c r="T9" s="106">
        <f>AVERAGE(L9,O9,R9)</f>
        <v>1545</v>
      </c>
      <c r="U9" s="615"/>
    </row>
    <row r="10" spans="1:21" ht="12.75" customHeight="1" thickBot="1">
      <c r="A10" s="615"/>
      <c r="I10" s="37"/>
      <c r="K10" s="429" t="s">
        <v>70</v>
      </c>
      <c r="L10" s="343">
        <f>L9*$I$4</f>
        <v>77.25</v>
      </c>
      <c r="N10" s="429" t="s">
        <v>70</v>
      </c>
      <c r="O10" s="343">
        <f>O9*$I$4</f>
        <v>77.25</v>
      </c>
      <c r="Q10" s="429" t="s">
        <v>70</v>
      </c>
      <c r="R10" s="343">
        <f>R9*$I$4</f>
        <v>77.25</v>
      </c>
      <c r="S10" s="115" t="s">
        <v>70</v>
      </c>
      <c r="T10" s="774">
        <f>AVERAGE(L10,O10,R10)</f>
        <v>77.25</v>
      </c>
      <c r="U10" s="615"/>
    </row>
    <row r="11" spans="1:21" ht="12.75" customHeight="1" thickTop="1">
      <c r="A11" s="615"/>
      <c r="B11" s="597"/>
      <c r="F11"/>
      <c r="I11" s="37"/>
      <c r="K11" s="429" t="s">
        <v>144</v>
      </c>
      <c r="L11" s="775">
        <f>(L3+L4/2+L5/3+L6/6)/L8</f>
        <v>0.38195302843016071</v>
      </c>
      <c r="N11" s="429" t="s">
        <v>144</v>
      </c>
      <c r="O11" s="775">
        <f>(O3+O4/2+O5/3+O6/6)/O8</f>
        <v>0.38195302843016071</v>
      </c>
      <c r="Q11" s="429" t="s">
        <v>144</v>
      </c>
      <c r="R11" s="775">
        <f>(R3+R4/2+R5/3+R6/6)/R8</f>
        <v>0.38195302843016071</v>
      </c>
      <c r="S11" s="115"/>
      <c r="T11" s="829"/>
      <c r="U11" s="615"/>
    </row>
    <row r="12" spans="1:21" ht="12.75" customHeight="1">
      <c r="A12" s="615"/>
      <c r="B12" s="597"/>
      <c r="F12"/>
      <c r="I12" s="37"/>
      <c r="K12" s="773" t="s">
        <v>218</v>
      </c>
      <c r="L12" s="20">
        <v>268</v>
      </c>
      <c r="M12" s="1"/>
      <c r="N12" s="773" t="s">
        <v>218</v>
      </c>
      <c r="O12" s="20">
        <v>268</v>
      </c>
      <c r="P12" s="1"/>
      <c r="Q12" s="773" t="s">
        <v>218</v>
      </c>
      <c r="R12" s="20">
        <v>268</v>
      </c>
      <c r="S12" s="429" t="s">
        <v>167</v>
      </c>
      <c r="T12" s="106">
        <f>AVERAGE(L12,O12,R12)</f>
        <v>268</v>
      </c>
      <c r="U12" s="615"/>
    </row>
    <row r="13" spans="1:21" ht="12.75" customHeight="1">
      <c r="A13" s="615"/>
      <c r="B13" s="597"/>
      <c r="F13"/>
      <c r="I13" s="37"/>
      <c r="K13" s="429" t="s">
        <v>70</v>
      </c>
      <c r="L13" s="59">
        <f>L12*$I$4</f>
        <v>13.4</v>
      </c>
      <c r="N13" s="825" t="s">
        <v>70</v>
      </c>
      <c r="O13" s="1122">
        <f>O12*$I$4</f>
        <v>13.4</v>
      </c>
      <c r="Q13" s="429" t="s">
        <v>70</v>
      </c>
      <c r="R13" s="1123">
        <f>R12*$I$4</f>
        <v>13.4</v>
      </c>
      <c r="S13" s="115" t="s">
        <v>70</v>
      </c>
      <c r="T13" s="774">
        <f>AVERAGE(L13,O13,R13)</f>
        <v>13.4</v>
      </c>
      <c r="U13" s="615"/>
    </row>
    <row r="14" spans="1:21" ht="12.75" customHeight="1" thickBot="1">
      <c r="A14" s="615"/>
      <c r="B14" s="597"/>
      <c r="C14" s="410"/>
      <c r="D14" s="410"/>
      <c r="E14" s="410"/>
      <c r="F14" s="410"/>
      <c r="G14" s="410"/>
      <c r="H14" s="410"/>
      <c r="I14" s="236"/>
      <c r="J14" s="410"/>
      <c r="K14" s="342" t="s">
        <v>338</v>
      </c>
      <c r="L14" s="1143">
        <v>947</v>
      </c>
      <c r="M14" s="1144"/>
      <c r="N14" s="342" t="s">
        <v>338</v>
      </c>
      <c r="O14" s="1145">
        <v>947</v>
      </c>
      <c r="P14" s="1144"/>
      <c r="Q14" s="342" t="s">
        <v>338</v>
      </c>
      <c r="R14" s="1145">
        <v>947</v>
      </c>
      <c r="S14" s="1147" t="s">
        <v>338</v>
      </c>
      <c r="T14" s="1121">
        <f>AVERAGE(L14,O14,R14)</f>
        <v>947</v>
      </c>
      <c r="U14" s="615"/>
    </row>
    <row r="15" spans="1:21" ht="30" customHeight="1" thickTop="1" thickBot="1">
      <c r="A15" s="615"/>
      <c r="B15" s="598" t="s">
        <v>73</v>
      </c>
      <c r="C15" s="4"/>
      <c r="D15" s="4"/>
      <c r="E15" s="4"/>
      <c r="F15" s="12"/>
      <c r="G15" s="4"/>
      <c r="H15" s="4"/>
      <c r="I15" s="41"/>
      <c r="K15" s="87"/>
      <c r="L15" s="83"/>
      <c r="N15" s="4"/>
      <c r="O15" s="41"/>
      <c r="Q15" s="87"/>
      <c r="R15" s="83"/>
      <c r="S15" s="1146" t="s">
        <v>17</v>
      </c>
      <c r="T15" s="1120" t="s">
        <v>103</v>
      </c>
      <c r="U15" s="226"/>
    </row>
    <row r="16" spans="1:21" ht="15.75">
      <c r="A16" s="615"/>
      <c r="B16" s="55" t="s">
        <v>3</v>
      </c>
      <c r="C16" s="239"/>
      <c r="D16" s="431" t="s">
        <v>54</v>
      </c>
      <c r="E16" s="28">
        <v>7</v>
      </c>
      <c r="F16" s="112" t="s">
        <v>6</v>
      </c>
      <c r="G16" s="1421"/>
      <c r="H16" s="1422"/>
      <c r="I16" s="1423"/>
      <c r="J16" s="88" t="s">
        <v>3</v>
      </c>
      <c r="K16" s="179"/>
      <c r="L16" s="180"/>
      <c r="M16" s="55" t="s">
        <v>3</v>
      </c>
      <c r="N16" s="426"/>
      <c r="O16" s="67"/>
      <c r="P16" s="55" t="s">
        <v>3</v>
      </c>
      <c r="Q16" s="426"/>
      <c r="R16" s="180"/>
      <c r="S16" s="959"/>
      <c r="T16" s="117"/>
      <c r="U16" s="515"/>
    </row>
    <row r="17" spans="1:22">
      <c r="A17" s="615"/>
      <c r="B17" s="600" t="s">
        <v>44</v>
      </c>
      <c r="C17" s="6"/>
      <c r="D17" s="6"/>
      <c r="E17" s="6"/>
      <c r="F17" s="11"/>
      <c r="G17" s="6"/>
      <c r="H17" s="6"/>
      <c r="I17" s="47" t="s">
        <v>55</v>
      </c>
      <c r="J17" s="259" t="s">
        <v>55</v>
      </c>
      <c r="K17" s="1428" t="s">
        <v>57</v>
      </c>
      <c r="L17" s="1420"/>
      <c r="M17" s="57" t="s">
        <v>55</v>
      </c>
      <c r="N17" s="1429" t="s">
        <v>57</v>
      </c>
      <c r="O17" s="1430"/>
      <c r="P17" s="277" t="s">
        <v>55</v>
      </c>
      <c r="Q17" s="1419" t="s">
        <v>57</v>
      </c>
      <c r="R17" s="1420"/>
      <c r="S17" s="125"/>
      <c r="T17" s="145"/>
      <c r="U17" s="1074"/>
    </row>
    <row r="18" spans="1:22">
      <c r="A18" s="615"/>
      <c r="B18" s="601" t="s">
        <v>53</v>
      </c>
      <c r="C18" s="23" t="s">
        <v>45</v>
      </c>
      <c r="D18" s="24" t="s">
        <v>46</v>
      </c>
      <c r="E18" s="23" t="s">
        <v>47</v>
      </c>
      <c r="F18" s="23" t="s">
        <v>48</v>
      </c>
      <c r="G18" s="23" t="s">
        <v>49</v>
      </c>
      <c r="H18" s="23" t="s">
        <v>50</v>
      </c>
      <c r="I18" s="47" t="s">
        <v>13</v>
      </c>
      <c r="J18" s="260" t="s">
        <v>56</v>
      </c>
      <c r="K18" s="261" t="s">
        <v>13</v>
      </c>
      <c r="L18" s="262" t="s">
        <v>68</v>
      </c>
      <c r="M18" s="77" t="s">
        <v>56</v>
      </c>
      <c r="N18" s="24" t="s">
        <v>13</v>
      </c>
      <c r="O18" s="38" t="s">
        <v>68</v>
      </c>
      <c r="P18" s="261" t="s">
        <v>56</v>
      </c>
      <c r="Q18" s="261" t="s">
        <v>13</v>
      </c>
      <c r="R18" s="262" t="s">
        <v>68</v>
      </c>
      <c r="S18" s="123"/>
      <c r="T18" s="146"/>
      <c r="U18" s="517"/>
    </row>
    <row r="19" spans="1:22">
      <c r="A19" s="615"/>
      <c r="B19" s="602" t="s">
        <v>51</v>
      </c>
      <c r="C19" s="21">
        <v>0</v>
      </c>
      <c r="D19" s="21">
        <v>0</v>
      </c>
      <c r="E19" s="21">
        <v>0</v>
      </c>
      <c r="F19" s="21">
        <v>10</v>
      </c>
      <c r="G19" s="21">
        <v>10</v>
      </c>
      <c r="H19" s="21">
        <v>10</v>
      </c>
      <c r="I19" s="48">
        <f>SUM(C19:H19)</f>
        <v>30</v>
      </c>
      <c r="J19" s="263" t="s">
        <v>12</v>
      </c>
      <c r="K19" s="1051">
        <f>$I19*J$7</f>
        <v>4380</v>
      </c>
      <c r="L19" s="265">
        <f>K19/$E$16</f>
        <v>625.71428571428567</v>
      </c>
      <c r="M19" s="58" t="s">
        <v>12</v>
      </c>
      <c r="N19" s="1052">
        <f>$I19*M$7</f>
        <v>4380</v>
      </c>
      <c r="O19" s="68">
        <f>N19/$E$16</f>
        <v>625.71428571428567</v>
      </c>
      <c r="P19" s="263" t="s">
        <v>12</v>
      </c>
      <c r="Q19" s="433">
        <f>$I19*$M$10</f>
        <v>0</v>
      </c>
      <c r="R19" s="289">
        <f>Q19/$E$16</f>
        <v>0</v>
      </c>
      <c r="S19" s="121">
        <f>AVERAGE(L19,O19,R19)</f>
        <v>417.14285714285711</v>
      </c>
      <c r="T19" s="119" t="s">
        <v>12</v>
      </c>
      <c r="U19" s="1075" t="s">
        <v>12</v>
      </c>
    </row>
    <row r="20" spans="1:22" s="1" customFormat="1">
      <c r="A20" s="616"/>
      <c r="B20" s="603" t="s">
        <v>52</v>
      </c>
      <c r="C20" s="381">
        <f>ROUND(C19*Labor!$D$3,0)</f>
        <v>0</v>
      </c>
      <c r="D20" s="23">
        <f>ROUND(D19*Labor!$D$4,0)</f>
        <v>0</v>
      </c>
      <c r="E20" s="23">
        <f>ROUND(E19*Labor!$D$5,0)</f>
        <v>0</v>
      </c>
      <c r="F20" s="23">
        <f>ROUND(F19*Labor!$D$6,0)</f>
        <v>493</v>
      </c>
      <c r="G20" s="23">
        <f>ROUND(G19*Labor!$D$7,0)</f>
        <v>555</v>
      </c>
      <c r="H20" s="23">
        <f>ROUND(H19*Labor!$D$8,0)</f>
        <v>586</v>
      </c>
      <c r="I20" s="382">
        <f>SUM(C20:H20)</f>
        <v>1634</v>
      </c>
      <c r="J20" s="383">
        <f>HLOOKUP(Labor!$B$11,InflationTable,2)*$I20</f>
        <v>1957.5319999999999</v>
      </c>
      <c r="K20" s="384">
        <f>J20*$J$7</f>
        <v>285799.67199999996</v>
      </c>
      <c r="L20" s="385">
        <f>K20/$E$16</f>
        <v>40828.524571428563</v>
      </c>
      <c r="M20" s="386">
        <f>HLOOKUP(Labor!$B$11,InflationTable,3)*$I20</f>
        <v>1998.3820000000001</v>
      </c>
      <c r="N20" s="387">
        <f>M20*$J$7</f>
        <v>291763.772</v>
      </c>
      <c r="O20" s="388">
        <f>N20/$E$16</f>
        <v>41680.538857142856</v>
      </c>
      <c r="P20" s="383">
        <f>HLOOKUP(Labor!$B$11,InflationTable,4)*$I20</f>
        <v>2037.5980000000002</v>
      </c>
      <c r="Q20" s="384">
        <f>P20*$J$7</f>
        <v>297489.30800000002</v>
      </c>
      <c r="R20" s="385">
        <f>Q20/$E$16</f>
        <v>42498.472571428574</v>
      </c>
      <c r="S20" s="379">
        <f>AVERAGE(L20,O20,R20)</f>
        <v>41669.178666666667</v>
      </c>
      <c r="T20" s="380" t="s">
        <v>12</v>
      </c>
      <c r="U20" s="1076" t="s">
        <v>12</v>
      </c>
    </row>
    <row r="21" spans="1:22">
      <c r="A21" s="615"/>
      <c r="B21" s="112" t="s">
        <v>7</v>
      </c>
      <c r="C21" s="5"/>
      <c r="D21" s="5"/>
      <c r="E21" s="5"/>
      <c r="F21" s="7"/>
      <c r="G21" s="5"/>
      <c r="H21" s="8"/>
      <c r="I21" s="37"/>
      <c r="J21" s="266"/>
      <c r="K21" s="266"/>
      <c r="L21" s="267"/>
      <c r="M21" s="426"/>
      <c r="N21" s="426"/>
      <c r="O21" s="65"/>
      <c r="P21" s="404"/>
      <c r="Q21" s="404"/>
      <c r="R21" s="290"/>
      <c r="S21" s="122"/>
      <c r="T21" s="37"/>
      <c r="U21" s="615"/>
    </row>
    <row r="22" spans="1:22">
      <c r="A22" s="615"/>
      <c r="B22" s="602" t="s">
        <v>51</v>
      </c>
      <c r="C22" s="21">
        <v>0</v>
      </c>
      <c r="D22" s="21">
        <v>6</v>
      </c>
      <c r="E22" s="21">
        <v>2</v>
      </c>
      <c r="F22" s="21">
        <v>2</v>
      </c>
      <c r="G22" s="21">
        <v>0</v>
      </c>
      <c r="H22" s="21">
        <v>0</v>
      </c>
      <c r="I22" s="48">
        <f>SUM(C22:H22)</f>
        <v>10</v>
      </c>
      <c r="J22" s="263" t="s">
        <v>12</v>
      </c>
      <c r="K22" s="1051">
        <f>$I22*J$7</f>
        <v>1460</v>
      </c>
      <c r="L22" s="265">
        <f>K22/$E$16</f>
        <v>208.57142857142858</v>
      </c>
      <c r="M22" s="58" t="s">
        <v>12</v>
      </c>
      <c r="N22" s="1052">
        <f>$I22*M$7</f>
        <v>1460</v>
      </c>
      <c r="O22" s="59">
        <f>N22/$E$16</f>
        <v>208.57142857142858</v>
      </c>
      <c r="P22" s="263" t="s">
        <v>12</v>
      </c>
      <c r="Q22" s="1051">
        <f>$I22*P$7</f>
        <v>1460</v>
      </c>
      <c r="R22" s="282">
        <f>Q22/$E$16</f>
        <v>208.57142857142858</v>
      </c>
      <c r="S22" s="121">
        <f>AVERAGE(L22,O22,R22)</f>
        <v>208.57142857142858</v>
      </c>
      <c r="T22" s="119" t="s">
        <v>12</v>
      </c>
      <c r="U22" s="1075" t="s">
        <v>12</v>
      </c>
    </row>
    <row r="23" spans="1:22" s="1" customFormat="1" ht="13.5" thickBot="1">
      <c r="A23" s="616"/>
      <c r="B23" s="604" t="s">
        <v>52</v>
      </c>
      <c r="C23" s="373">
        <f>ROUND(C22*Labor!$D$3,0)</f>
        <v>0</v>
      </c>
      <c r="D23" s="374">
        <f>ROUND(D22*Labor!$D$4,0)</f>
        <v>245</v>
      </c>
      <c r="E23" s="374">
        <f>ROUND(E22*Labor!$D$5,0)</f>
        <v>88</v>
      </c>
      <c r="F23" s="374">
        <f>ROUND(F22*Labor!$D$6,0)</f>
        <v>99</v>
      </c>
      <c r="G23" s="374">
        <f>ROUND(G22*Labor!$D$7,0)</f>
        <v>0</v>
      </c>
      <c r="H23" s="374">
        <f>ROUND(H22*Labor!$D$8,0)</f>
        <v>0</v>
      </c>
      <c r="I23" s="375">
        <f>SUM(C23:H23)</f>
        <v>432</v>
      </c>
      <c r="J23" s="332">
        <f>HLOOKUP(Labor!$B$11,InflationTable,2)*I23</f>
        <v>517.53599999999994</v>
      </c>
      <c r="K23" s="296">
        <f>J23*$J$7</f>
        <v>75560.255999999994</v>
      </c>
      <c r="L23" s="297">
        <f>K23/$E$16</f>
        <v>10794.322285714285</v>
      </c>
      <c r="M23" s="376">
        <f>HLOOKUP(Labor!$B$11,InflationTable,3)*I23</f>
        <v>528.33600000000001</v>
      </c>
      <c r="N23" s="377">
        <f>M23*$J$7</f>
        <v>77137.055999999997</v>
      </c>
      <c r="O23" s="378">
        <f>N23/$E$16</f>
        <v>11019.579428571427</v>
      </c>
      <c r="P23" s="339">
        <f>HLOOKUP(Labor!$B$11,InflationTable,4)*I23</f>
        <v>538.70400000000006</v>
      </c>
      <c r="Q23" s="296">
        <f>P23*$J$7</f>
        <v>78650.784000000014</v>
      </c>
      <c r="R23" s="297">
        <f>Q23/$E$16</f>
        <v>11235.826285714287</v>
      </c>
      <c r="S23" s="211">
        <f>AVERAGE(L23,O23,R23)</f>
        <v>11016.576000000001</v>
      </c>
      <c r="T23" s="218" t="s">
        <v>12</v>
      </c>
      <c r="U23" s="1077" t="s">
        <v>12</v>
      </c>
    </row>
    <row r="24" spans="1:22">
      <c r="A24" s="615"/>
      <c r="B24" s="605" t="s">
        <v>66</v>
      </c>
      <c r="C24" s="33">
        <f t="shared" ref="C24:I25" si="0">C19+C22</f>
        <v>0</v>
      </c>
      <c r="D24" s="33">
        <f t="shared" si="0"/>
        <v>6</v>
      </c>
      <c r="E24" s="33">
        <f t="shared" si="0"/>
        <v>2</v>
      </c>
      <c r="F24" s="33">
        <f t="shared" si="0"/>
        <v>12</v>
      </c>
      <c r="G24" s="33">
        <f t="shared" si="0"/>
        <v>10</v>
      </c>
      <c r="H24" s="33">
        <f t="shared" si="0"/>
        <v>10</v>
      </c>
      <c r="I24" s="49">
        <f t="shared" si="0"/>
        <v>40</v>
      </c>
      <c r="J24" s="271" t="s">
        <v>12</v>
      </c>
      <c r="K24" s="272">
        <f>K19+K22</f>
        <v>5840</v>
      </c>
      <c r="L24" s="273">
        <f>L19+L22</f>
        <v>834.28571428571422</v>
      </c>
      <c r="M24" s="61" t="s">
        <v>12</v>
      </c>
      <c r="N24" s="1053">
        <f>N19+N22</f>
        <v>5840</v>
      </c>
      <c r="O24" s="62">
        <f>N24/$E$16</f>
        <v>834.28571428571433</v>
      </c>
      <c r="P24" s="293" t="s">
        <v>12</v>
      </c>
      <c r="Q24" s="272">
        <f>Q19+Q22</f>
        <v>1460</v>
      </c>
      <c r="R24" s="294">
        <f>Q24/$E$16</f>
        <v>208.57142857142858</v>
      </c>
      <c r="S24" s="129">
        <f>AVERAGE(L24,O24,R24)</f>
        <v>625.71428571428567</v>
      </c>
      <c r="T24" s="136" t="s">
        <v>12</v>
      </c>
      <c r="U24" s="1086" t="s">
        <v>12</v>
      </c>
    </row>
    <row r="25" spans="1:22" ht="13.5" thickBot="1">
      <c r="A25" s="615"/>
      <c r="B25" s="606" t="s">
        <v>67</v>
      </c>
      <c r="C25" s="240">
        <f t="shared" si="0"/>
        <v>0</v>
      </c>
      <c r="D25" s="240">
        <f t="shared" si="0"/>
        <v>245</v>
      </c>
      <c r="E25" s="240">
        <f t="shared" si="0"/>
        <v>88</v>
      </c>
      <c r="F25" s="240">
        <f t="shared" si="0"/>
        <v>592</v>
      </c>
      <c r="G25" s="240">
        <f t="shared" si="0"/>
        <v>555</v>
      </c>
      <c r="H25" s="240">
        <f t="shared" si="0"/>
        <v>586</v>
      </c>
      <c r="I25" s="241">
        <f t="shared" si="0"/>
        <v>2066</v>
      </c>
      <c r="J25" s="274">
        <f>J20+J23</f>
        <v>2475.0679999999998</v>
      </c>
      <c r="K25" s="275">
        <f>K20+K23</f>
        <v>361359.92799999996</v>
      </c>
      <c r="L25" s="276">
        <f>L20+L23</f>
        <v>51622.846857142846</v>
      </c>
      <c r="M25" s="242">
        <f>M20+M23</f>
        <v>2526.7179999999998</v>
      </c>
      <c r="N25" s="240">
        <f>N20+N23</f>
        <v>368900.82799999998</v>
      </c>
      <c r="O25" s="243">
        <f>O20+O23</f>
        <v>52700.118285714285</v>
      </c>
      <c r="P25" s="295">
        <f>P20+P23</f>
        <v>2576.3020000000001</v>
      </c>
      <c r="Q25" s="275">
        <f>Q20+Q23</f>
        <v>376140.09200000006</v>
      </c>
      <c r="R25" s="276">
        <f>R20+R23</f>
        <v>53734.298857142858</v>
      </c>
      <c r="S25" s="211">
        <f>AVERAGE(L25,O25,R25)</f>
        <v>52685.754666666668</v>
      </c>
      <c r="T25" s="218" t="s">
        <v>12</v>
      </c>
      <c r="U25" s="1077" t="s">
        <v>12</v>
      </c>
    </row>
    <row r="26" spans="1:22" ht="14.25" thickTop="1" thickBot="1">
      <c r="A26" s="615"/>
      <c r="B26" s="617"/>
      <c r="C26" s="618"/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410"/>
      <c r="O26" s="410"/>
      <c r="P26" s="410"/>
      <c r="Q26" s="410"/>
      <c r="R26" s="410"/>
      <c r="S26" s="410"/>
      <c r="T26" s="410"/>
      <c r="U26" s="410"/>
      <c r="V26" s="5"/>
    </row>
    <row r="27" spans="1:22" ht="16.5" thickTop="1">
      <c r="A27" s="615"/>
      <c r="B27" s="181" t="s">
        <v>16</v>
      </c>
      <c r="C27" s="72"/>
      <c r="D27" s="431" t="s">
        <v>54</v>
      </c>
      <c r="E27" s="70">
        <v>7</v>
      </c>
      <c r="F27" s="112" t="s">
        <v>6</v>
      </c>
      <c r="G27" s="1412"/>
      <c r="H27" s="1413"/>
      <c r="I27" s="1414"/>
      <c r="J27" s="181" t="s">
        <v>16</v>
      </c>
      <c r="K27" s="426"/>
      <c r="L27" s="180"/>
      <c r="M27" s="181" t="s">
        <v>16</v>
      </c>
      <c r="N27" s="426"/>
      <c r="O27" s="67"/>
      <c r="P27" s="181" t="s">
        <v>16</v>
      </c>
      <c r="Q27" s="426"/>
      <c r="R27" s="180"/>
      <c r="S27" s="225"/>
      <c r="T27" s="37"/>
      <c r="U27" s="227"/>
    </row>
    <row r="28" spans="1:22">
      <c r="A28" s="615"/>
      <c r="B28" s="5"/>
      <c r="C28" s="107" t="s">
        <v>60</v>
      </c>
      <c r="D28" s="23" t="s">
        <v>62</v>
      </c>
      <c r="E28" s="5"/>
      <c r="F28" s="5"/>
      <c r="G28" s="5"/>
      <c r="H28" s="6"/>
      <c r="I28" s="43"/>
      <c r="J28" s="277" t="s">
        <v>61</v>
      </c>
      <c r="K28" s="1419" t="s">
        <v>57</v>
      </c>
      <c r="L28" s="1420"/>
      <c r="M28" s="93" t="s">
        <v>61</v>
      </c>
      <c r="N28" s="1429" t="s">
        <v>57</v>
      </c>
      <c r="O28" s="1430"/>
      <c r="P28" s="318" t="s">
        <v>61</v>
      </c>
      <c r="Q28" s="1442" t="s">
        <v>57</v>
      </c>
      <c r="R28" s="1420"/>
      <c r="S28" s="131"/>
      <c r="T28" s="37"/>
      <c r="U28" s="227"/>
    </row>
    <row r="29" spans="1:22">
      <c r="A29" s="615"/>
      <c r="B29" s="607" t="s">
        <v>58</v>
      </c>
      <c r="C29" s="23"/>
      <c r="D29" s="23"/>
      <c r="E29" s="9"/>
      <c r="F29" s="72"/>
      <c r="G29" s="72"/>
      <c r="H29" s="72"/>
      <c r="I29" s="73"/>
      <c r="J29" s="260" t="s">
        <v>56</v>
      </c>
      <c r="K29" s="261" t="s">
        <v>13</v>
      </c>
      <c r="L29" s="262" t="s">
        <v>68</v>
      </c>
      <c r="M29" s="77" t="s">
        <v>56</v>
      </c>
      <c r="N29" s="24" t="s">
        <v>13</v>
      </c>
      <c r="O29" s="38" t="s">
        <v>68</v>
      </c>
      <c r="P29" s="260" t="s">
        <v>56</v>
      </c>
      <c r="Q29" s="261" t="s">
        <v>13</v>
      </c>
      <c r="R29" s="262" t="s">
        <v>68</v>
      </c>
      <c r="S29" s="123"/>
      <c r="T29" s="37"/>
      <c r="U29" s="227"/>
    </row>
    <row r="30" spans="1:22" s="1" customFormat="1">
      <c r="A30" s="616"/>
      <c r="B30" s="671" t="s">
        <v>14</v>
      </c>
      <c r="C30" s="458">
        <f>VLOOKUP(C$2,Monitor_Costs,2,FALSE)</f>
        <v>5500</v>
      </c>
      <c r="D30" s="381">
        <f>VLOOKUP(C$2,Monitor_Costs,3,FALSE)</f>
        <v>2013</v>
      </c>
      <c r="E30" s="459"/>
      <c r="F30" s="93"/>
      <c r="G30" s="460"/>
      <c r="H30" s="460"/>
      <c r="I30" s="466"/>
      <c r="J30" s="384">
        <f>HLOOKUP(D30,InflationTable,2)*$C30</f>
        <v>6589</v>
      </c>
      <c r="K30" s="384">
        <f>J30*$L$8</f>
        <v>5330501</v>
      </c>
      <c r="L30" s="385">
        <f>K30/$E$27</f>
        <v>761500.14285714284</v>
      </c>
      <c r="M30" s="467">
        <f>HLOOKUP($D$30,InflationTable,3)*$C30</f>
        <v>6726.5000000000009</v>
      </c>
      <c r="N30" s="468">
        <f>M30*$L$8</f>
        <v>5441738.5000000009</v>
      </c>
      <c r="O30" s="672">
        <f>N30/$E$27</f>
        <v>777391.21428571444</v>
      </c>
      <c r="P30" s="383">
        <f>HLOOKUP($D$30,InflationTable,4)*$C30</f>
        <v>6858.5000000000009</v>
      </c>
      <c r="Q30" s="384">
        <f>P30*$L$8</f>
        <v>5548526.5000000009</v>
      </c>
      <c r="R30" s="385">
        <f>Q30/$E$27</f>
        <v>792646.64285714296</v>
      </c>
      <c r="S30" s="462" t="s">
        <v>12</v>
      </c>
      <c r="T30" s="380" t="s">
        <v>12</v>
      </c>
      <c r="U30" s="509">
        <f>AVERAGE(L30,O30,R30)</f>
        <v>777179.33333333337</v>
      </c>
    </row>
    <row r="31" spans="1:22" s="1" customFormat="1" ht="13.5" thickBot="1">
      <c r="A31" s="616"/>
      <c r="B31" s="673" t="s">
        <v>15</v>
      </c>
      <c r="C31" s="1134"/>
      <c r="D31" s="1135"/>
      <c r="E31" s="1135"/>
      <c r="F31" s="159"/>
      <c r="G31" s="1135"/>
      <c r="H31" s="1135"/>
      <c r="I31" s="47"/>
      <c r="J31" s="277"/>
      <c r="K31" s="384">
        <f>J30*$L$10</f>
        <v>509000.25</v>
      </c>
      <c r="L31" s="385">
        <f>K31/$E$27</f>
        <v>72714.321428571435</v>
      </c>
      <c r="M31" s="1135"/>
      <c r="N31" s="468">
        <f>M30*$L$10</f>
        <v>519622.12500000006</v>
      </c>
      <c r="O31" s="1138">
        <f>N31/$E$27</f>
        <v>74231.732142857145</v>
      </c>
      <c r="P31" s="1142"/>
      <c r="Q31" s="384">
        <f>P30*$L$10</f>
        <v>529819.12500000012</v>
      </c>
      <c r="R31" s="385">
        <f>Q31/$E$27</f>
        <v>75688.446428571449</v>
      </c>
      <c r="S31" s="462" t="s">
        <v>12</v>
      </c>
      <c r="T31" s="380" t="s">
        <v>12</v>
      </c>
      <c r="U31" s="509">
        <f>AVERAGE(L31,O31,R31)</f>
        <v>74211.500000000015</v>
      </c>
    </row>
    <row r="32" spans="1:22" s="1" customFormat="1">
      <c r="A32" s="616"/>
      <c r="B32" s="671" t="s">
        <v>168</v>
      </c>
      <c r="C32" s="1132">
        <f>VLOOKUP(C$2,Monitor_Costs,11,FALSE)</f>
        <v>17600</v>
      </c>
      <c r="D32" s="1133">
        <f>VLOOKUP(C$2,Monitor_Costs,12,FALSE)</f>
        <v>2013</v>
      </c>
      <c r="E32" s="1134"/>
      <c r="F32" s="159"/>
      <c r="G32" s="1135"/>
      <c r="H32" s="1135"/>
      <c r="I32" s="466"/>
      <c r="J32" s="750">
        <f>HLOOKUP(D32,InflationTable,2)*$C32</f>
        <v>21084.799999999999</v>
      </c>
      <c r="K32" s="750">
        <f>J32*$L$12</f>
        <v>5650726.3999999994</v>
      </c>
      <c r="L32" s="751">
        <f>K32/$E$27</f>
        <v>807246.62857142847</v>
      </c>
      <c r="M32" s="1136">
        <f>HLOOKUP($D$30,InflationTable,3)*$C32</f>
        <v>21524.800000000003</v>
      </c>
      <c r="N32" s="753">
        <f>M32*$L$12</f>
        <v>5768646.4000000004</v>
      </c>
      <c r="O32" s="1137">
        <f>N32/$E$27</f>
        <v>824092.34285714291</v>
      </c>
      <c r="P32" s="1139">
        <f>HLOOKUP($D$30,InflationTable,4)*$C32</f>
        <v>21947.200000000001</v>
      </c>
      <c r="Q32" s="750">
        <f>P32*$L$12</f>
        <v>5881849.6000000006</v>
      </c>
      <c r="R32" s="751">
        <f>Q32/$E$27</f>
        <v>840264.22857142868</v>
      </c>
      <c r="S32" s="757" t="s">
        <v>12</v>
      </c>
      <c r="T32" s="1140" t="s">
        <v>12</v>
      </c>
      <c r="U32" s="1141">
        <f>AVERAGE(L32,O32,R32)</f>
        <v>823867.7333333334</v>
      </c>
    </row>
    <row r="33" spans="1:22" s="1" customFormat="1" ht="13.5" thickBot="1">
      <c r="A33" s="616"/>
      <c r="B33" s="673" t="s">
        <v>169</v>
      </c>
      <c r="C33" s="721"/>
      <c r="D33" s="373"/>
      <c r="E33" s="469"/>
      <c r="F33" s="470"/>
      <c r="G33" s="469"/>
      <c r="H33" s="469"/>
      <c r="I33" s="368"/>
      <c r="J33" s="369"/>
      <c r="K33" s="296">
        <f>J32*$L$13</f>
        <v>282536.32000000001</v>
      </c>
      <c r="L33" s="297">
        <f>K33/$E$27</f>
        <v>40362.33142857143</v>
      </c>
      <c r="M33" s="674"/>
      <c r="N33" s="377">
        <f>M32*$L$13</f>
        <v>288432.32000000007</v>
      </c>
      <c r="O33" s="209">
        <f>N33/$E$27</f>
        <v>41204.617142857154</v>
      </c>
      <c r="P33" s="677"/>
      <c r="Q33" s="296">
        <f>P32*$L$13</f>
        <v>294092.48000000004</v>
      </c>
      <c r="R33" s="297">
        <f>Q33/$E$27</f>
        <v>42013.211428571434</v>
      </c>
      <c r="S33" s="472" t="s">
        <v>12</v>
      </c>
      <c r="T33" s="218" t="s">
        <v>12</v>
      </c>
      <c r="U33" s="229">
        <f>AVERAGE(L33,O33,R33)</f>
        <v>41193.386666666673</v>
      </c>
    </row>
    <row r="34" spans="1:22" s="1" customFormat="1" ht="13.5" thickBot="1">
      <c r="A34" s="616"/>
      <c r="B34" s="431" t="s">
        <v>174</v>
      </c>
      <c r="C34" s="1132">
        <f>VLOOKUP(C$2,Monitor_Costs,14,FALSE)</f>
        <v>2000</v>
      </c>
      <c r="D34" s="1133">
        <f>VLOOKUP(C$2,Monitor_Costs,15,FALSE)</f>
        <v>2013</v>
      </c>
      <c r="E34" s="112"/>
      <c r="F34" s="396"/>
      <c r="G34" s="112"/>
      <c r="H34" s="112"/>
      <c r="I34" s="145"/>
      <c r="J34" s="1127">
        <f>HLOOKUP($D$34,InflationTable,2)*$C34</f>
        <v>2396</v>
      </c>
      <c r="K34" s="1128">
        <f>$J34*L$14</f>
        <v>2269012</v>
      </c>
      <c r="L34" s="1129">
        <f>K34/$E$27</f>
        <v>324144.57142857142</v>
      </c>
      <c r="M34" s="1130">
        <f>HLOOKUP($D$34,InflationTable,3)*$C34</f>
        <v>2446</v>
      </c>
      <c r="N34" s="1130">
        <f>$J34*O$14</f>
        <v>2269012</v>
      </c>
      <c r="O34" s="1131">
        <f>N34/$E$27</f>
        <v>324144.57142857142</v>
      </c>
      <c r="P34" s="1128">
        <f>HLOOKUP($D$34,InflationTable,4)*$C34</f>
        <v>2494</v>
      </c>
      <c r="Q34" s="1128">
        <f>$J34*R$14</f>
        <v>2269012</v>
      </c>
      <c r="R34" s="1129">
        <f>Q34/$E$27</f>
        <v>324144.57142857142</v>
      </c>
      <c r="S34" s="472" t="s">
        <v>12</v>
      </c>
      <c r="T34" s="218" t="s">
        <v>12</v>
      </c>
      <c r="U34" s="229">
        <f>AVERAGE(L34,O34,R34)</f>
        <v>324144.57142857142</v>
      </c>
    </row>
    <row r="35" spans="1:22">
      <c r="A35" s="615"/>
      <c r="B35" s="610" t="s">
        <v>17</v>
      </c>
      <c r="C35" s="107" t="s">
        <v>45</v>
      </c>
      <c r="D35" s="108" t="s">
        <v>46</v>
      </c>
      <c r="E35" s="107" t="s">
        <v>47</v>
      </c>
      <c r="F35" s="107" t="s">
        <v>48</v>
      </c>
      <c r="G35" s="107" t="s">
        <v>49</v>
      </c>
      <c r="H35" s="107" t="s">
        <v>50</v>
      </c>
      <c r="I35" s="350" t="s">
        <v>74</v>
      </c>
      <c r="J35" s="351"/>
      <c r="K35" s="352"/>
      <c r="L35" s="356"/>
      <c r="M35" s="110"/>
      <c r="N35" s="108"/>
      <c r="O35" s="111"/>
      <c r="P35" s="352"/>
      <c r="Q35" s="352"/>
      <c r="R35" s="356"/>
      <c r="S35" s="125"/>
      <c r="T35" s="37"/>
      <c r="U35" s="227"/>
    </row>
    <row r="36" spans="1:22">
      <c r="A36" s="615"/>
      <c r="B36" s="611" t="s">
        <v>119</v>
      </c>
      <c r="C36" s="31">
        <v>0</v>
      </c>
      <c r="D36" s="21">
        <v>0</v>
      </c>
      <c r="E36" s="21">
        <v>4</v>
      </c>
      <c r="F36" s="21">
        <v>0</v>
      </c>
      <c r="G36" s="21">
        <v>0</v>
      </c>
      <c r="H36" s="21">
        <v>0</v>
      </c>
      <c r="I36" s="48">
        <f>SUM(C36:H36)</f>
        <v>4</v>
      </c>
      <c r="J36" s="263" t="s">
        <v>12</v>
      </c>
      <c r="K36" s="281">
        <f>$I36*(L$8+L$10+L$12+L$13)</f>
        <v>4670.6000000000004</v>
      </c>
      <c r="L36" s="282">
        <f>K36/$E$27</f>
        <v>667.22857142857151</v>
      </c>
      <c r="M36" s="58" t="s">
        <v>12</v>
      </c>
      <c r="N36" s="69">
        <f>$I36*(O$8+O$10+O$12+O$13)</f>
        <v>4670.6000000000004</v>
      </c>
      <c r="O36" s="59">
        <f>N36/$E$27</f>
        <v>667.22857142857151</v>
      </c>
      <c r="P36" s="263" t="s">
        <v>12</v>
      </c>
      <c r="Q36" s="281">
        <f>$I36*(R$8+R$10+R$12+R$13)</f>
        <v>4670.6000000000004</v>
      </c>
      <c r="R36" s="282">
        <f>Q36/$E$27</f>
        <v>667.22857142857151</v>
      </c>
      <c r="S36" s="173">
        <f>AVERAGE(L36,O36,R36)</f>
        <v>667.22857142857151</v>
      </c>
      <c r="T36" s="119" t="s">
        <v>12</v>
      </c>
      <c r="U36" s="232" t="s">
        <v>12</v>
      </c>
    </row>
    <row r="37" spans="1:22" s="1" customFormat="1" ht="13.5" thickBot="1">
      <c r="A37" s="616"/>
      <c r="B37" s="604" t="s">
        <v>8</v>
      </c>
      <c r="C37" s="389">
        <f>ROUND(C36*Labor!$D$3,0)</f>
        <v>0</v>
      </c>
      <c r="D37" s="374">
        <f>ROUND(D36*Labor!$D$4,0)</f>
        <v>0</v>
      </c>
      <c r="E37" s="374">
        <f>ROUND(E36*Labor!$D$5,0)</f>
        <v>176</v>
      </c>
      <c r="F37" s="374">
        <f>ROUND(F36*Labor!$D$6,0)</f>
        <v>0</v>
      </c>
      <c r="G37" s="374">
        <f>ROUND(G36*Labor!$D$7,0)</f>
        <v>0</v>
      </c>
      <c r="H37" s="374">
        <f>ROUND(H36*Labor!$D$8,0)</f>
        <v>0</v>
      </c>
      <c r="I37" s="375">
        <f>SUM(C37:H37)</f>
        <v>176</v>
      </c>
      <c r="J37" s="332">
        <f>HLOOKUP(Labor!$B$11,InflationTable,2)*I37</f>
        <v>210.84799999999998</v>
      </c>
      <c r="K37" s="296">
        <f>J37*(L$8+L$10+L$12+L$13)</f>
        <v>246196.6672</v>
      </c>
      <c r="L37" s="297">
        <f>K37/$E$27</f>
        <v>35170.952457142856</v>
      </c>
      <c r="M37" s="376">
        <f>HLOOKUP(Labor!$B$11,InflationTable,3)*$I37</f>
        <v>215.24800000000002</v>
      </c>
      <c r="N37" s="377">
        <f>M37*(O$8+O$10+O$12+O$13)</f>
        <v>251334.32720000003</v>
      </c>
      <c r="O37" s="378">
        <f>N37/$E$27</f>
        <v>35904.903885714288</v>
      </c>
      <c r="P37" s="332">
        <f>HLOOKUP(Labor!$B$11,InflationTable,4)*$I37</f>
        <v>219.47200000000001</v>
      </c>
      <c r="Q37" s="296">
        <f>P37*(R$8+R$10+R$12+R$13)</f>
        <v>256266.48080000002</v>
      </c>
      <c r="R37" s="297">
        <f>Q37/$E$27</f>
        <v>36609.497257142859</v>
      </c>
      <c r="S37" s="450">
        <f>AVERAGE(L37,O37,R37)</f>
        <v>35895.117866666667</v>
      </c>
      <c r="T37" s="218" t="s">
        <v>12</v>
      </c>
      <c r="U37" s="228" t="s">
        <v>12</v>
      </c>
    </row>
    <row r="38" spans="1:22" s="1" customFormat="1" ht="13.5" thickBot="1">
      <c r="A38" s="616"/>
      <c r="B38" s="610" t="s">
        <v>177</v>
      </c>
      <c r="C38" s="667"/>
      <c r="D38" s="658"/>
      <c r="E38" s="658"/>
      <c r="F38" s="658"/>
      <c r="G38" s="658"/>
      <c r="H38" s="658"/>
      <c r="I38" s="659"/>
      <c r="J38" s="660"/>
      <c r="K38" s="661"/>
      <c r="L38" s="662"/>
      <c r="M38" s="663"/>
      <c r="N38" s="664"/>
      <c r="O38" s="665"/>
      <c r="P38" s="660"/>
      <c r="Q38" s="661"/>
      <c r="R38" s="662"/>
      <c r="S38" s="669"/>
      <c r="T38" s="666"/>
      <c r="U38" s="1079"/>
    </row>
    <row r="39" spans="1:22">
      <c r="A39" s="615"/>
      <c r="B39" s="610" t="s">
        <v>176</v>
      </c>
      <c r="C39" s="346">
        <v>0</v>
      </c>
      <c r="D39" s="365">
        <v>4</v>
      </c>
      <c r="E39" s="365">
        <v>0</v>
      </c>
      <c r="F39" s="365">
        <v>0</v>
      </c>
      <c r="G39" s="365">
        <v>0</v>
      </c>
      <c r="H39" s="365">
        <v>0</v>
      </c>
      <c r="I39" s="366">
        <f>SUM(C39:H39)</f>
        <v>4</v>
      </c>
      <c r="J39" s="293" t="s">
        <v>12</v>
      </c>
      <c r="K39" s="334">
        <f>I39*$L$8</f>
        <v>3236</v>
      </c>
      <c r="L39" s="294">
        <f>K39/$E$27</f>
        <v>462.28571428571428</v>
      </c>
      <c r="M39" s="61" t="s">
        <v>12</v>
      </c>
      <c r="N39" s="348">
        <f>I39*$O$8</f>
        <v>3236</v>
      </c>
      <c r="O39" s="62">
        <f>N39/$E$27</f>
        <v>462.28571428571428</v>
      </c>
      <c r="P39" s="293" t="s">
        <v>12</v>
      </c>
      <c r="Q39" s="327">
        <f>$I39*$O$8</f>
        <v>3236</v>
      </c>
      <c r="R39" s="367">
        <f>Q39/$E$27</f>
        <v>462.28571428571428</v>
      </c>
      <c r="S39" s="129">
        <f>AVERAGE(L39,O39,R39)</f>
        <v>462.28571428571428</v>
      </c>
      <c r="T39" s="136" t="s">
        <v>12</v>
      </c>
      <c r="U39" s="230" t="s">
        <v>12</v>
      </c>
    </row>
    <row r="40" spans="1:22" s="1" customFormat="1" ht="13.5" thickBot="1">
      <c r="A40" s="616"/>
      <c r="B40" s="612" t="s">
        <v>8</v>
      </c>
      <c r="C40" s="373">
        <f>ROUND(C39*Labor!$D$3,0)</f>
        <v>0</v>
      </c>
      <c r="D40" s="374">
        <f>ROUND(D39*Labor!$D$4,0)</f>
        <v>163</v>
      </c>
      <c r="E40" s="374">
        <f>ROUND(E39*Labor!$D$5,0)</f>
        <v>0</v>
      </c>
      <c r="F40" s="374">
        <f>ROUND(F39*Labor!$D$6,0)</f>
        <v>0</v>
      </c>
      <c r="G40" s="374">
        <f>ROUND(G39*Labor!$D$7,0)</f>
        <v>0</v>
      </c>
      <c r="H40" s="374">
        <f>ROUND(H39*Labor!$D$8,0)</f>
        <v>0</v>
      </c>
      <c r="I40" s="375">
        <f>SUM(C40:H40)</f>
        <v>163</v>
      </c>
      <c r="J40" s="332">
        <f>HLOOKUP(Labor!$B$11,InflationTable,2)*I40</f>
        <v>195.274</v>
      </c>
      <c r="K40" s="296">
        <f>J40*$L$8</f>
        <v>157976.666</v>
      </c>
      <c r="L40" s="297">
        <f>K40/$E$27</f>
        <v>22568.095142857142</v>
      </c>
      <c r="M40" s="376">
        <f>HLOOKUP(Labor!$B$11,InflationTable,3)*$I40</f>
        <v>199.34900000000002</v>
      </c>
      <c r="N40" s="377">
        <f>M40*$O$8</f>
        <v>161273.34100000001</v>
      </c>
      <c r="O40" s="378">
        <f>N40/$E$27</f>
        <v>23039.048714285716</v>
      </c>
      <c r="P40" s="339">
        <f>HLOOKUP(Labor!$B$11,InflationTable,4)*$I40</f>
        <v>203.26100000000002</v>
      </c>
      <c r="Q40" s="296">
        <f>P40*$R$8</f>
        <v>164438.14900000003</v>
      </c>
      <c r="R40" s="297">
        <f>Q40/$E$27</f>
        <v>23491.164142857149</v>
      </c>
      <c r="S40" s="211">
        <f>AVERAGE(L40,O40,R40)</f>
        <v>23032.769333333334</v>
      </c>
      <c r="T40" s="393" t="s">
        <v>12</v>
      </c>
      <c r="U40" s="228" t="s">
        <v>12</v>
      </c>
    </row>
    <row r="41" spans="1:22">
      <c r="A41" s="615"/>
      <c r="B41" s="610" t="s">
        <v>175</v>
      </c>
      <c r="C41" s="346">
        <v>0</v>
      </c>
      <c r="D41" s="365">
        <v>0</v>
      </c>
      <c r="E41" s="365">
        <v>0</v>
      </c>
      <c r="F41" s="365">
        <v>10</v>
      </c>
      <c r="G41" s="365">
        <v>0</v>
      </c>
      <c r="H41" s="365">
        <v>0</v>
      </c>
      <c r="I41" s="366">
        <f>SUM(C41:H41)</f>
        <v>10</v>
      </c>
      <c r="J41" s="293" t="s">
        <v>12</v>
      </c>
      <c r="K41" s="334">
        <f>$I41*L$12</f>
        <v>2680</v>
      </c>
      <c r="L41" s="294">
        <f>K41/$E$27</f>
        <v>382.85714285714283</v>
      </c>
      <c r="M41" s="61" t="s">
        <v>12</v>
      </c>
      <c r="N41" s="668">
        <f>$I41*O$12</f>
        <v>2680</v>
      </c>
      <c r="O41" s="62">
        <f>N41/$E$27</f>
        <v>382.85714285714283</v>
      </c>
      <c r="P41" s="293" t="s">
        <v>12</v>
      </c>
      <c r="Q41" s="334">
        <f>$I41*R$12</f>
        <v>2680</v>
      </c>
      <c r="R41" s="367">
        <f>Q41/$E$27</f>
        <v>382.85714285714283</v>
      </c>
      <c r="S41" s="129">
        <f>AVERAGE(L41,O41,R41)</f>
        <v>382.85714285714283</v>
      </c>
      <c r="T41" s="136" t="s">
        <v>12</v>
      </c>
      <c r="U41" s="230" t="s">
        <v>12</v>
      </c>
    </row>
    <row r="42" spans="1:22" s="1" customFormat="1" ht="13.5" thickBot="1">
      <c r="A42" s="616"/>
      <c r="B42" s="612" t="s">
        <v>8</v>
      </c>
      <c r="C42" s="373">
        <f>ROUND(C41*Labor!$D$3,0)</f>
        <v>0</v>
      </c>
      <c r="D42" s="374">
        <f>ROUND(D41*Labor!$D$4,0)</f>
        <v>0</v>
      </c>
      <c r="E42" s="374">
        <f>ROUND(E41*Labor!$D$5,0)</f>
        <v>0</v>
      </c>
      <c r="F42" s="374">
        <f>ROUND(F41*Labor!$D$6,0)</f>
        <v>493</v>
      </c>
      <c r="G42" s="374">
        <f>ROUND(G41*Labor!$D$7,0)</f>
        <v>0</v>
      </c>
      <c r="H42" s="374">
        <f>ROUND(H41*Labor!$D$8,0)</f>
        <v>0</v>
      </c>
      <c r="I42" s="375">
        <f>SUM(C42:H42)</f>
        <v>493</v>
      </c>
      <c r="J42" s="332">
        <f>HLOOKUP(Labor!$B$11,InflationTable,2)*I42</f>
        <v>590.61400000000003</v>
      </c>
      <c r="K42" s="296">
        <f>J42*$L$12</f>
        <v>158284.552</v>
      </c>
      <c r="L42" s="297">
        <f>K42/$E$27</f>
        <v>22612.078857142857</v>
      </c>
      <c r="M42" s="376">
        <f>HLOOKUP(Labor!$B$11,InflationTable,3)*$I42</f>
        <v>602.93900000000008</v>
      </c>
      <c r="N42" s="377">
        <f>M42*$L$12</f>
        <v>161587.65200000003</v>
      </c>
      <c r="O42" s="378">
        <f>N42/$E$27</f>
        <v>23083.950285714291</v>
      </c>
      <c r="P42" s="339">
        <f>HLOOKUP(Labor!$B$11,InflationTable,4)*$I42</f>
        <v>614.77100000000007</v>
      </c>
      <c r="Q42" s="296">
        <f>P42*$L$12</f>
        <v>164758.62800000003</v>
      </c>
      <c r="R42" s="297">
        <f>Q42/$E$27</f>
        <v>23536.946857142862</v>
      </c>
      <c r="S42" s="211">
        <f>AVERAGE(L42,O42,R42)</f>
        <v>23077.65866666667</v>
      </c>
      <c r="T42" s="393" t="s">
        <v>12</v>
      </c>
      <c r="U42" s="228" t="s">
        <v>12</v>
      </c>
    </row>
    <row r="43" spans="1:22">
      <c r="A43" s="615"/>
      <c r="B43" s="605" t="s">
        <v>66</v>
      </c>
      <c r="C43" s="33">
        <f t="shared" ref="C43:I43" si="1">C36+C39</f>
        <v>0</v>
      </c>
      <c r="D43" s="33">
        <f t="shared" si="1"/>
        <v>4</v>
      </c>
      <c r="E43" s="33">
        <f t="shared" si="1"/>
        <v>4</v>
      </c>
      <c r="F43" s="33">
        <f t="shared" si="1"/>
        <v>0</v>
      </c>
      <c r="G43" s="33">
        <f t="shared" si="1"/>
        <v>0</v>
      </c>
      <c r="H43" s="33">
        <f t="shared" si="1"/>
        <v>0</v>
      </c>
      <c r="I43" s="49">
        <f t="shared" si="1"/>
        <v>8</v>
      </c>
      <c r="J43" s="284" t="s">
        <v>12</v>
      </c>
      <c r="K43" s="285">
        <f>K36+K39</f>
        <v>7906.6</v>
      </c>
      <c r="L43" s="286">
        <f>L36+L39+L41</f>
        <v>1512.3714285714286</v>
      </c>
      <c r="M43" s="44" t="s">
        <v>12</v>
      </c>
      <c r="N43" s="33">
        <f>N36+N39</f>
        <v>7906.6</v>
      </c>
      <c r="O43" s="40">
        <f>O36+O39+O41</f>
        <v>1512.3714285714286</v>
      </c>
      <c r="P43" s="284" t="s">
        <v>12</v>
      </c>
      <c r="Q43" s="285">
        <f>Q36+Q39</f>
        <v>7906.6</v>
      </c>
      <c r="R43" s="286">
        <f>R36+R39+R41</f>
        <v>1512.3714285714286</v>
      </c>
      <c r="S43" s="670">
        <f>AVERAGE(L43,O43,R43)</f>
        <v>1512.3714285714286</v>
      </c>
      <c r="T43" s="136" t="s">
        <v>12</v>
      </c>
      <c r="U43" s="1080" t="s">
        <v>12</v>
      </c>
    </row>
    <row r="44" spans="1:22" ht="13.5" thickBot="1">
      <c r="A44" s="615"/>
      <c r="B44" s="606" t="s">
        <v>67</v>
      </c>
      <c r="C44" s="240">
        <f t="shared" ref="C44:I44" si="2">C40+C37</f>
        <v>0</v>
      </c>
      <c r="D44" s="240">
        <f t="shared" si="2"/>
        <v>163</v>
      </c>
      <c r="E44" s="240">
        <f t="shared" si="2"/>
        <v>176</v>
      </c>
      <c r="F44" s="240">
        <f t="shared" si="2"/>
        <v>0</v>
      </c>
      <c r="G44" s="240">
        <f t="shared" si="2"/>
        <v>0</v>
      </c>
      <c r="H44" s="240">
        <f t="shared" si="2"/>
        <v>0</v>
      </c>
      <c r="I44" s="241">
        <f t="shared" si="2"/>
        <v>339</v>
      </c>
      <c r="J44" s="274">
        <f>J30+J32+J34+J37+J40+J42</f>
        <v>31066.536000000004</v>
      </c>
      <c r="K44" s="274">
        <f>K30+K32+K34+K37+K40+K42</f>
        <v>13812697.285199996</v>
      </c>
      <c r="L44" s="276">
        <f>L42+L40+L37+L30+L31+L32+L33+L34</f>
        <v>2086319.1221714283</v>
      </c>
      <c r="M44" s="242">
        <f>M30+M32+M34+M37+M40+M42</f>
        <v>31714.835999999999</v>
      </c>
      <c r="N44" s="242">
        <f>N30+N32+N34+N37+N40+N42</f>
        <v>14053592.220200002</v>
      </c>
      <c r="O44" s="243">
        <f>O42+O40+O37+O30+O31+O32+O33+O34</f>
        <v>2123092.3807428572</v>
      </c>
      <c r="P44" s="274">
        <f>P30+P32+P34+P37+P40+P42</f>
        <v>32337.204000000002</v>
      </c>
      <c r="Q44" s="274">
        <f>Q30+Q32+Q34+Q37+Q40+Q42</f>
        <v>14284851.357800001</v>
      </c>
      <c r="R44" s="276">
        <f>R42+R40+R37+R30+R31+R32+R33+R34</f>
        <v>2158394.7089714287</v>
      </c>
      <c r="S44" s="257">
        <f>S37+S40+S42</f>
        <v>82005.545866666667</v>
      </c>
      <c r="T44" s="249" t="s">
        <v>12</v>
      </c>
      <c r="U44" s="510">
        <f>SUM(U30:U34)</f>
        <v>2040596.524761905</v>
      </c>
    </row>
    <row r="45" spans="1:22" ht="14.25" thickTop="1" thickBot="1">
      <c r="A45" s="5"/>
      <c r="B45" s="618"/>
      <c r="C45" s="618"/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5"/>
    </row>
    <row r="46" spans="1:22" ht="16.5" thickTop="1">
      <c r="A46" s="615"/>
      <c r="B46" s="710" t="s">
        <v>155</v>
      </c>
      <c r="C46" s="5"/>
      <c r="D46" s="5"/>
      <c r="E46" s="5"/>
      <c r="F46" s="112" t="s">
        <v>6</v>
      </c>
      <c r="G46" s="1412"/>
      <c r="H46" s="1413"/>
      <c r="I46" s="1414"/>
      <c r="J46" s="244" t="s">
        <v>22</v>
      </c>
      <c r="K46" s="426"/>
      <c r="L46" s="180"/>
      <c r="M46" s="244" t="s">
        <v>22</v>
      </c>
      <c r="N46" s="426"/>
      <c r="O46" s="67"/>
      <c r="P46" s="244" t="s">
        <v>22</v>
      </c>
      <c r="Q46" s="426"/>
      <c r="R46" s="67"/>
      <c r="S46" s="225"/>
      <c r="T46" s="37"/>
      <c r="U46" s="227"/>
    </row>
    <row r="47" spans="1:22">
      <c r="A47" s="615"/>
      <c r="B47" s="5"/>
      <c r="C47" s="5"/>
      <c r="D47" s="5"/>
      <c r="E47" s="5"/>
      <c r="F47" s="112"/>
      <c r="G47" s="1415"/>
      <c r="H47" s="1415"/>
      <c r="I47" s="1416"/>
      <c r="J47" s="277" t="s">
        <v>61</v>
      </c>
      <c r="K47" s="1434" t="s">
        <v>57</v>
      </c>
      <c r="L47" s="1435"/>
      <c r="M47" s="57" t="s">
        <v>61</v>
      </c>
      <c r="N47" s="1429" t="s">
        <v>57</v>
      </c>
      <c r="O47" s="1430"/>
      <c r="P47" s="277" t="s">
        <v>61</v>
      </c>
      <c r="Q47" s="1419" t="s">
        <v>57</v>
      </c>
      <c r="R47" s="1420"/>
      <c r="S47" s="131"/>
      <c r="T47" s="37"/>
      <c r="U47" s="227"/>
    </row>
    <row r="48" spans="1:22">
      <c r="A48" s="615"/>
      <c r="B48" s="611" t="s">
        <v>18</v>
      </c>
      <c r="C48" s="23" t="s">
        <v>60</v>
      </c>
      <c r="D48" s="23" t="s">
        <v>62</v>
      </c>
      <c r="E48" s="9"/>
      <c r="F48" s="72"/>
      <c r="G48" s="72"/>
      <c r="H48" s="72"/>
      <c r="I48" s="37"/>
      <c r="J48" s="261" t="s">
        <v>56</v>
      </c>
      <c r="K48" s="261" t="s">
        <v>13</v>
      </c>
      <c r="L48" s="262" t="s">
        <v>68</v>
      </c>
      <c r="M48" s="77" t="s">
        <v>56</v>
      </c>
      <c r="N48" s="24" t="s">
        <v>13</v>
      </c>
      <c r="O48" s="38" t="s">
        <v>68</v>
      </c>
      <c r="P48" s="260" t="s">
        <v>56</v>
      </c>
      <c r="Q48" s="261" t="s">
        <v>13</v>
      </c>
      <c r="R48" s="262" t="s">
        <v>68</v>
      </c>
      <c r="S48" s="123"/>
      <c r="T48" s="37"/>
      <c r="U48" s="227"/>
    </row>
    <row r="49" spans="1:22">
      <c r="A49" s="5"/>
      <c r="B49" s="1153" t="str">
        <f>VLOOKUP($C$2,Monitor_Costs,16,FALSE)</f>
        <v>Filters</v>
      </c>
      <c r="C49" s="163">
        <f>VLOOKUP($C$2,Monitor_Costs,17,FALSE)</f>
        <v>1033.2</v>
      </c>
      <c r="D49" s="22">
        <f>VLOOKUP(C$2,Monitor_Costs,18,FALSE)</f>
        <v>2013</v>
      </c>
      <c r="E49" s="76"/>
      <c r="F49" s="75"/>
      <c r="G49" s="76"/>
      <c r="H49" s="76"/>
      <c r="I49" s="47"/>
      <c r="J49" s="279">
        <f>HLOOKUP($D49,InflationTable,2)*$C49*L11</f>
        <v>472.77137503090239</v>
      </c>
      <c r="K49" s="279">
        <f>J49*$L$9</f>
        <v>730431.77442274417</v>
      </c>
      <c r="L49" s="280">
        <f>K49</f>
        <v>730431.77442274417</v>
      </c>
      <c r="M49" s="707">
        <f>HLOOKUP($D49,InflationTable,3)*$C49*O11</f>
        <v>482.63722175525351</v>
      </c>
      <c r="N49" s="707">
        <f>M49*$L$9</f>
        <v>745674.50761186669</v>
      </c>
      <c r="O49" s="707">
        <f>N49</f>
        <v>745674.50761186669</v>
      </c>
      <c r="P49" s="279">
        <f>HLOOKUP($D49,InflationTable,4)*$C49*R11</f>
        <v>492.10843461063052</v>
      </c>
      <c r="Q49" s="279">
        <f>P49*$L$9</f>
        <v>760307.53147342417</v>
      </c>
      <c r="R49" s="280">
        <f>Q49</f>
        <v>760307.53147342417</v>
      </c>
      <c r="S49" s="127" t="s">
        <v>12</v>
      </c>
      <c r="T49" s="1154">
        <f>AVERAGE(L49,O49,R49)</f>
        <v>745471.27116934501</v>
      </c>
      <c r="U49" s="232" t="s">
        <v>12</v>
      </c>
    </row>
    <row r="50" spans="1:22">
      <c r="A50" s="615"/>
      <c r="B50" s="1153" t="str">
        <f>VLOOKUP($C$2,Monitor_Costs,19,FALSE)</f>
        <v>Filter Tape</v>
      </c>
      <c r="C50" s="163">
        <f>VLOOKUP($C$2,Monitor_Costs,20,FALSE)</f>
        <v>500</v>
      </c>
      <c r="D50" s="22">
        <f>VLOOKUP(C$2,Monitor_Costs,21,FALSE)</f>
        <v>2013</v>
      </c>
      <c r="E50" s="76"/>
      <c r="F50" s="75"/>
      <c r="G50" s="76"/>
      <c r="H50" s="76"/>
      <c r="I50" s="47"/>
      <c r="J50" s="279">
        <f>HLOOKUP($D50,InflationTable,2)*$C50</f>
        <v>599</v>
      </c>
      <c r="K50" s="279">
        <f>J50*L$12</f>
        <v>160532</v>
      </c>
      <c r="L50" s="280">
        <f>K50</f>
        <v>160532</v>
      </c>
      <c r="M50" s="707">
        <f>HLOOKUP($D50,InflationTable,3)*$C50</f>
        <v>611.5</v>
      </c>
      <c r="N50" s="707">
        <f>M50*O$12</f>
        <v>163882</v>
      </c>
      <c r="O50" s="708">
        <f>N50</f>
        <v>163882</v>
      </c>
      <c r="P50" s="1157">
        <f>HLOOKUP($D50,InflationTable,4)*$C50</f>
        <v>623.5</v>
      </c>
      <c r="Q50" s="279">
        <f>P50*R$12</f>
        <v>167098</v>
      </c>
      <c r="R50" s="280">
        <f>Q50</f>
        <v>167098</v>
      </c>
      <c r="S50" s="127" t="s">
        <v>12</v>
      </c>
      <c r="T50" s="1154">
        <f>AVERAGE(L50,O50,R50)</f>
        <v>163837.33333333334</v>
      </c>
      <c r="U50" s="232" t="s">
        <v>12</v>
      </c>
    </row>
    <row r="51" spans="1:22" ht="13.5" thickBot="1">
      <c r="A51" s="615"/>
      <c r="B51" s="1148" t="str">
        <f>VLOOKUP($C$2,Monitor_Costs,22,FALSE)</f>
        <v>Laboratory Service</v>
      </c>
      <c r="C51" s="643">
        <f>VLOOKUP($C$2,Monitor_Costs,23,FALSE)</f>
        <v>85.714285714285708</v>
      </c>
      <c r="D51" s="644">
        <f>VLOOKUP(C$2,Monitor_Costs,24,FALSE)</f>
        <v>2013</v>
      </c>
      <c r="E51" s="4"/>
      <c r="F51" s="12"/>
      <c r="G51" s="4"/>
      <c r="H51" s="4"/>
      <c r="I51" s="368"/>
      <c r="J51" s="1149">
        <f>HLOOKUP($D51,InflationTable,2)*$C51</f>
        <v>102.68571428571427</v>
      </c>
      <c r="K51" s="1149">
        <f>J51*L$9</f>
        <v>158649.42857142855</v>
      </c>
      <c r="L51" s="1150">
        <f>K51</f>
        <v>158649.42857142855</v>
      </c>
      <c r="M51" s="1151">
        <f>HLOOKUP($D51,InflationTable,3)*$C51</f>
        <v>104.82857142857142</v>
      </c>
      <c r="N51" s="1151">
        <f>M51*O$9</f>
        <v>161960.14285714284</v>
      </c>
      <c r="O51" s="1152">
        <f>N51</f>
        <v>161960.14285714284</v>
      </c>
      <c r="P51" s="1149">
        <f>HLOOKUP($D51,InflationTable,4)*$C51</f>
        <v>106.88571428571429</v>
      </c>
      <c r="Q51" s="1149">
        <f>P51*R$9</f>
        <v>165138.42857142858</v>
      </c>
      <c r="R51" s="1150">
        <f>Q51</f>
        <v>165138.42857142858</v>
      </c>
      <c r="S51" s="636" t="s">
        <v>12</v>
      </c>
      <c r="T51" s="1155" t="s">
        <v>12</v>
      </c>
      <c r="U51" s="1156">
        <f>AVERAGE(L51,O51,R51)</f>
        <v>161915.99999999997</v>
      </c>
    </row>
    <row r="52" spans="1:22">
      <c r="A52" s="615"/>
      <c r="B52" s="465" t="s">
        <v>23</v>
      </c>
      <c r="C52" s="107" t="s">
        <v>45</v>
      </c>
      <c r="D52" s="108" t="s">
        <v>46</v>
      </c>
      <c r="E52" s="107" t="s">
        <v>47</v>
      </c>
      <c r="F52" s="107" t="s">
        <v>48</v>
      </c>
      <c r="G52" s="107" t="s">
        <v>49</v>
      </c>
      <c r="H52" s="107" t="s">
        <v>50</v>
      </c>
      <c r="I52" s="350" t="s">
        <v>74</v>
      </c>
      <c r="J52" s="352"/>
      <c r="K52" s="352"/>
      <c r="L52" s="356"/>
      <c r="M52" s="110"/>
      <c r="N52" s="108"/>
      <c r="O52" s="111"/>
      <c r="P52" s="352"/>
      <c r="Q52" s="352"/>
      <c r="R52" s="356"/>
      <c r="S52" s="123"/>
      <c r="T52" s="37"/>
      <c r="U52" s="227"/>
    </row>
    <row r="53" spans="1:22">
      <c r="A53" s="615"/>
      <c r="B53" s="614" t="s">
        <v>228</v>
      </c>
      <c r="C53" s="21">
        <v>0</v>
      </c>
      <c r="D53" s="21">
        <v>45</v>
      </c>
      <c r="E53" s="21">
        <v>50</v>
      </c>
      <c r="F53" s="21">
        <v>25</v>
      </c>
      <c r="G53" s="21">
        <v>0</v>
      </c>
      <c r="H53" s="21">
        <v>0</v>
      </c>
      <c r="I53" s="48">
        <f t="shared" ref="I53:I60" si="3">SUM(C53:H53)</f>
        <v>120</v>
      </c>
      <c r="J53" s="299" t="s">
        <v>12</v>
      </c>
      <c r="K53" s="281">
        <f>$I53*SUM(L$3:L$4)</f>
        <v>27720</v>
      </c>
      <c r="L53" s="289">
        <f t="shared" ref="L53:L60" si="4">K53</f>
        <v>27720</v>
      </c>
      <c r="M53" s="58" t="s">
        <v>12</v>
      </c>
      <c r="N53" s="69">
        <f>$I53*SUM(O$3:O$4)</f>
        <v>27720</v>
      </c>
      <c r="O53" s="68">
        <f t="shared" ref="O53:O60" si="5">N53</f>
        <v>27720</v>
      </c>
      <c r="P53" s="299" t="s">
        <v>12</v>
      </c>
      <c r="Q53" s="281">
        <f>$I53*SUM(R$3:R$4)</f>
        <v>27720</v>
      </c>
      <c r="R53" s="289">
        <f t="shared" ref="R53:R60" si="6">Q53</f>
        <v>27720</v>
      </c>
      <c r="S53" s="121">
        <f t="shared" ref="S53:S59" si="7">AVERAGE(L53,O53,R53)</f>
        <v>27720</v>
      </c>
      <c r="T53" s="119" t="s">
        <v>12</v>
      </c>
      <c r="U53" s="232" t="s">
        <v>12</v>
      </c>
    </row>
    <row r="54" spans="1:22" s="1" customFormat="1" ht="13.5" thickBot="1">
      <c r="A54" s="616"/>
      <c r="B54" s="604" t="s">
        <v>8</v>
      </c>
      <c r="C54" s="373">
        <f>ROUND(C53*Labor!$D$3,0)</f>
        <v>0</v>
      </c>
      <c r="D54" s="374">
        <f>ROUND(D53*Labor!$D$4,0)</f>
        <v>1839</v>
      </c>
      <c r="E54" s="374">
        <f>ROUND(E53*Labor!$D$5,0)</f>
        <v>2206</v>
      </c>
      <c r="F54" s="374">
        <f>ROUND(F53*Labor!$D$6,0)</f>
        <v>1232</v>
      </c>
      <c r="G54" s="374">
        <f>ROUND(G53*Labor!$D$7,0)</f>
        <v>0</v>
      </c>
      <c r="H54" s="374">
        <f>ROUND(H53*Labor!$D$8,0)</f>
        <v>0</v>
      </c>
      <c r="I54" s="375">
        <f t="shared" si="3"/>
        <v>5277</v>
      </c>
      <c r="J54" s="296">
        <f>HLOOKUP(Labor!$B$11,InflationTable,2)*I54</f>
        <v>6321.8459999999995</v>
      </c>
      <c r="K54" s="296">
        <f>J54*SUM(L$3:L$4)</f>
        <v>1460346.426</v>
      </c>
      <c r="L54" s="297">
        <f t="shared" si="4"/>
        <v>1460346.426</v>
      </c>
      <c r="M54" s="376">
        <f>HLOOKUP(Labor!$B$11,InflationTable,3)*I54</f>
        <v>6453.7710000000006</v>
      </c>
      <c r="N54" s="377">
        <f>M54*SUM(O$3:O$4)</f>
        <v>1490821.1010000003</v>
      </c>
      <c r="O54" s="378">
        <f t="shared" si="5"/>
        <v>1490821.1010000003</v>
      </c>
      <c r="P54" s="296">
        <f>HLOOKUP(Labor!$B$11,InflationTable,4)*$I$58</f>
        <v>1774.4810000000002</v>
      </c>
      <c r="Q54" s="296">
        <f>P54*SUM(R$3:R$4)</f>
        <v>409905.11100000003</v>
      </c>
      <c r="R54" s="297">
        <f t="shared" si="6"/>
        <v>409905.11100000003</v>
      </c>
      <c r="S54" s="211">
        <f t="shared" si="7"/>
        <v>1120357.5460000001</v>
      </c>
      <c r="T54" s="393" t="s">
        <v>12</v>
      </c>
      <c r="U54" s="228" t="s">
        <v>12</v>
      </c>
    </row>
    <row r="55" spans="1:22">
      <c r="A55" s="615"/>
      <c r="B55" s="614" t="s">
        <v>227</v>
      </c>
      <c r="C55" s="21">
        <v>0</v>
      </c>
      <c r="D55" s="21">
        <v>15</v>
      </c>
      <c r="E55" s="21">
        <v>65</v>
      </c>
      <c r="F55" s="21">
        <v>100</v>
      </c>
      <c r="G55" s="21">
        <v>0</v>
      </c>
      <c r="H55" s="21">
        <v>0</v>
      </c>
      <c r="I55" s="48">
        <f t="shared" si="3"/>
        <v>180</v>
      </c>
      <c r="J55" s="299" t="s">
        <v>12</v>
      </c>
      <c r="K55" s="327">
        <f>$I55*SUM(L$5:L$7)</f>
        <v>104040</v>
      </c>
      <c r="L55" s="328">
        <f t="shared" si="4"/>
        <v>104040</v>
      </c>
      <c r="M55" s="61" t="s">
        <v>12</v>
      </c>
      <c r="N55" s="348">
        <f>$I55*SUM(O$5:O$7)</f>
        <v>104040</v>
      </c>
      <c r="O55" s="349">
        <f t="shared" si="5"/>
        <v>104040</v>
      </c>
      <c r="P55" s="299" t="s">
        <v>12</v>
      </c>
      <c r="Q55" s="327">
        <f>$I55*SUM(R$5:R$7)</f>
        <v>104040</v>
      </c>
      <c r="R55" s="328">
        <f t="shared" si="6"/>
        <v>104040</v>
      </c>
      <c r="S55" s="121">
        <f t="shared" si="7"/>
        <v>104040</v>
      </c>
      <c r="T55" s="119" t="s">
        <v>12</v>
      </c>
      <c r="U55" s="232" t="s">
        <v>12</v>
      </c>
    </row>
    <row r="56" spans="1:22" s="1" customFormat="1" ht="13.5" thickBot="1">
      <c r="A56" s="616"/>
      <c r="B56" s="604" t="s">
        <v>8</v>
      </c>
      <c r="C56" s="373">
        <f>ROUND(C55*Labor!$D$3,0)</f>
        <v>0</v>
      </c>
      <c r="D56" s="374">
        <f>ROUND(D55*Labor!$D$4,0)</f>
        <v>613</v>
      </c>
      <c r="E56" s="374">
        <f>ROUND(E55*Labor!$D$5,0)</f>
        <v>2868</v>
      </c>
      <c r="F56" s="374">
        <f>ROUND(F55*Labor!$D$6,0)</f>
        <v>4926</v>
      </c>
      <c r="G56" s="374">
        <f>ROUND(G55*Labor!$D$7,0)</f>
        <v>0</v>
      </c>
      <c r="H56" s="374">
        <f>ROUND(H55*Labor!$D$8,0)</f>
        <v>0</v>
      </c>
      <c r="I56" s="375">
        <f t="shared" si="3"/>
        <v>8407</v>
      </c>
      <c r="J56" s="296">
        <f>HLOOKUP(Labor!$B$11,InflationTable,2)*I56</f>
        <v>10071.585999999999</v>
      </c>
      <c r="K56" s="296">
        <f>J56*SUM(L$5:L$7)</f>
        <v>5821376.7079999996</v>
      </c>
      <c r="L56" s="297">
        <f t="shared" si="4"/>
        <v>5821376.7079999996</v>
      </c>
      <c r="M56" s="376">
        <f>HLOOKUP(Labor!$B$11,InflationTable,3)*I56</f>
        <v>10281.761</v>
      </c>
      <c r="N56" s="377">
        <f>M56*SUM(O$5:O$7)</f>
        <v>5942857.858</v>
      </c>
      <c r="O56" s="378">
        <f t="shared" si="5"/>
        <v>5942857.858</v>
      </c>
      <c r="P56" s="296">
        <f>HLOOKUP(Labor!$B$11,InflationTable,4)*$I$58</f>
        <v>1774.4810000000002</v>
      </c>
      <c r="Q56" s="296">
        <f>P56*SUM(R$5:R$7)</f>
        <v>1025650.0180000002</v>
      </c>
      <c r="R56" s="297">
        <f t="shared" si="6"/>
        <v>1025650.0180000002</v>
      </c>
      <c r="S56" s="211">
        <f t="shared" si="7"/>
        <v>4263294.861333333</v>
      </c>
      <c r="T56" s="393" t="s">
        <v>12</v>
      </c>
      <c r="U56" s="228" t="s">
        <v>12</v>
      </c>
    </row>
    <row r="57" spans="1:22">
      <c r="A57" s="615"/>
      <c r="B57" s="614" t="s">
        <v>226</v>
      </c>
      <c r="C57" s="21">
        <v>0</v>
      </c>
      <c r="D57" s="21">
        <v>0</v>
      </c>
      <c r="E57" s="21">
        <v>30</v>
      </c>
      <c r="F57" s="21">
        <v>2</v>
      </c>
      <c r="G57" s="21">
        <v>0</v>
      </c>
      <c r="H57" s="21">
        <v>0</v>
      </c>
      <c r="I57" s="48">
        <f t="shared" si="3"/>
        <v>32</v>
      </c>
      <c r="J57" s="299" t="s">
        <v>12</v>
      </c>
      <c r="K57" s="327">
        <f>I57*$L12</f>
        <v>8576</v>
      </c>
      <c r="L57" s="328">
        <f t="shared" si="4"/>
        <v>8576</v>
      </c>
      <c r="M57" s="61" t="s">
        <v>12</v>
      </c>
      <c r="N57" s="348">
        <f>$I$57*$O$8</f>
        <v>25888</v>
      </c>
      <c r="O57" s="68">
        <f t="shared" si="5"/>
        <v>25888</v>
      </c>
      <c r="P57" s="299" t="s">
        <v>12</v>
      </c>
      <c r="Q57" s="327">
        <f>$I$57*$R$8</f>
        <v>25888</v>
      </c>
      <c r="R57" s="328">
        <f t="shared" si="6"/>
        <v>25888</v>
      </c>
      <c r="S57" s="121">
        <f t="shared" si="7"/>
        <v>20117.333333333332</v>
      </c>
      <c r="T57" s="119" t="s">
        <v>12</v>
      </c>
      <c r="U57" s="232" t="s">
        <v>12</v>
      </c>
    </row>
    <row r="58" spans="1:22" s="1" customFormat="1" ht="13.5" thickBot="1">
      <c r="A58" s="616"/>
      <c r="B58" s="604" t="s">
        <v>8</v>
      </c>
      <c r="C58" s="373">
        <f>ROUND(C57*Labor!$D$3,0)</f>
        <v>0</v>
      </c>
      <c r="D58" s="374">
        <f>ROUND(D57*Labor!$D$4,0)</f>
        <v>0</v>
      </c>
      <c r="E58" s="374">
        <f>ROUND(E57*Labor!$D$5,0)</f>
        <v>1324</v>
      </c>
      <c r="F58" s="374">
        <f>ROUND(F57*Labor!$D$6,0)</f>
        <v>99</v>
      </c>
      <c r="G58" s="374">
        <f>ROUND(G57*Labor!$D$7,0)</f>
        <v>0</v>
      </c>
      <c r="H58" s="374">
        <f>ROUND(H57*Labor!$D$8,0)</f>
        <v>0</v>
      </c>
      <c r="I58" s="375">
        <f t="shared" si="3"/>
        <v>1423</v>
      </c>
      <c r="J58" s="296">
        <f>HLOOKUP(Labor!$B$11,InflationTable,2)*I58</f>
        <v>1704.7539999999999</v>
      </c>
      <c r="K58" s="296">
        <f>J58*$L12</f>
        <v>456874.07199999999</v>
      </c>
      <c r="L58" s="297">
        <f t="shared" si="4"/>
        <v>456874.07199999999</v>
      </c>
      <c r="M58" s="376">
        <f>HLOOKUP(Labor!$B$11,InflationTable,3)*I58</f>
        <v>1740.3290000000002</v>
      </c>
      <c r="N58" s="377">
        <f>M58*$O$8</f>
        <v>1407926.1610000001</v>
      </c>
      <c r="O58" s="378">
        <f t="shared" si="5"/>
        <v>1407926.1610000001</v>
      </c>
      <c r="P58" s="296">
        <f>HLOOKUP(Labor!$B$11,InflationTable,4)*$I$58</f>
        <v>1774.4810000000002</v>
      </c>
      <c r="Q58" s="296">
        <f>P58*$R$8</f>
        <v>1435555.1290000002</v>
      </c>
      <c r="R58" s="297">
        <f t="shared" si="6"/>
        <v>1435555.1290000002</v>
      </c>
      <c r="S58" s="211">
        <f t="shared" si="7"/>
        <v>1100118.4540000001</v>
      </c>
      <c r="T58" s="393" t="s">
        <v>12</v>
      </c>
      <c r="U58" s="228" t="s">
        <v>12</v>
      </c>
    </row>
    <row r="59" spans="1:22">
      <c r="A59" s="615"/>
      <c r="B59" s="780" t="s">
        <v>230</v>
      </c>
      <c r="C59" s="21">
        <v>0</v>
      </c>
      <c r="D59" s="21">
        <v>24</v>
      </c>
      <c r="E59" s="21">
        <v>24</v>
      </c>
      <c r="F59" s="21">
        <v>0</v>
      </c>
      <c r="G59" s="21">
        <v>0</v>
      </c>
      <c r="H59" s="21">
        <v>0</v>
      </c>
      <c r="I59" s="48">
        <f t="shared" si="3"/>
        <v>48</v>
      </c>
      <c r="J59" s="781">
        <f>$I59*L11</f>
        <v>18.333745364647715</v>
      </c>
      <c r="K59" s="281">
        <f>J59*L$9</f>
        <v>28325.636588380719</v>
      </c>
      <c r="L59" s="328">
        <f t="shared" si="4"/>
        <v>28325.636588380719</v>
      </c>
      <c r="M59" s="782">
        <f>$I59*O11</f>
        <v>18.333745364647715</v>
      </c>
      <c r="N59" s="69">
        <f>M59*O$9</f>
        <v>28325.636588380719</v>
      </c>
      <c r="O59" s="68">
        <f t="shared" si="5"/>
        <v>28325.636588380719</v>
      </c>
      <c r="P59" s="781">
        <f>$I59*R11</f>
        <v>18.333745364647715</v>
      </c>
      <c r="Q59" s="281">
        <f>P59*R$9</f>
        <v>28325.636588380719</v>
      </c>
      <c r="R59" s="328">
        <f t="shared" si="6"/>
        <v>28325.636588380719</v>
      </c>
      <c r="S59" s="121">
        <f t="shared" si="7"/>
        <v>28325.636588380719</v>
      </c>
      <c r="T59" s="119" t="s">
        <v>12</v>
      </c>
      <c r="U59" s="232" t="s">
        <v>12</v>
      </c>
    </row>
    <row r="60" spans="1:22" s="1" customFormat="1" ht="13.5" thickBot="1">
      <c r="A60" s="616"/>
      <c r="B60" s="604" t="s">
        <v>8</v>
      </c>
      <c r="C60" s="373">
        <f>ROUND(C59*Labor!$D$3,0)</f>
        <v>0</v>
      </c>
      <c r="D60" s="374">
        <f>ROUND(D59*Labor!$D$4,0)</f>
        <v>981</v>
      </c>
      <c r="E60" s="374">
        <f>ROUND(E59*Labor!$D$5,0)</f>
        <v>1059</v>
      </c>
      <c r="F60" s="374">
        <f>ROUND(F59*Labor!$D$6,0)</f>
        <v>0</v>
      </c>
      <c r="G60" s="374">
        <f>ROUND(G59*Labor!$D$7,0)</f>
        <v>0</v>
      </c>
      <c r="H60" s="374">
        <f>ROUND(H59*Labor!$D$8,0)</f>
        <v>0</v>
      </c>
      <c r="I60" s="375">
        <f t="shared" si="3"/>
        <v>2040</v>
      </c>
      <c r="J60" s="296">
        <f>HLOOKUP(Labor!$B$11,InflationTable,2)*I60</f>
        <v>2443.92</v>
      </c>
      <c r="K60" s="296">
        <f>J60*L$9</f>
        <v>3775856.4</v>
      </c>
      <c r="L60" s="297">
        <f t="shared" si="4"/>
        <v>3775856.4</v>
      </c>
      <c r="M60" s="376">
        <f>HLOOKUP(Labor!$B$11,InflationTable,3)*I60</f>
        <v>2494.92</v>
      </c>
      <c r="N60" s="377">
        <f>M60*O$9</f>
        <v>3854651.4</v>
      </c>
      <c r="O60" s="378">
        <f t="shared" si="5"/>
        <v>3854651.4</v>
      </c>
      <c r="P60" s="296">
        <f>HLOOKUP(Labor!$B$11,InflationTable,4)*$I$58</f>
        <v>1774.4810000000002</v>
      </c>
      <c r="Q60" s="296">
        <f>P60*R$9</f>
        <v>2741573.1450000005</v>
      </c>
      <c r="R60" s="297">
        <f t="shared" si="6"/>
        <v>2741573.1450000005</v>
      </c>
      <c r="S60" s="1054">
        <f>AVERAGE(L60,O60,R60)</f>
        <v>3457360.3149999999</v>
      </c>
      <c r="T60" s="1000" t="s">
        <v>12</v>
      </c>
      <c r="U60" s="228" t="s">
        <v>12</v>
      </c>
    </row>
    <row r="61" spans="1:22">
      <c r="A61" s="615"/>
      <c r="B61" s="605" t="s">
        <v>66</v>
      </c>
      <c r="C61" s="36">
        <f>C53+C55+C57+C59</f>
        <v>0</v>
      </c>
      <c r="D61" s="36">
        <f t="shared" ref="D61:I61" si="8">D53+D55+D57+D59</f>
        <v>84</v>
      </c>
      <c r="E61" s="36">
        <f t="shared" si="8"/>
        <v>169</v>
      </c>
      <c r="F61" s="36">
        <f t="shared" si="8"/>
        <v>127</v>
      </c>
      <c r="G61" s="36">
        <f t="shared" si="8"/>
        <v>0</v>
      </c>
      <c r="H61" s="36">
        <f t="shared" si="8"/>
        <v>0</v>
      </c>
      <c r="I61" s="36">
        <f t="shared" si="8"/>
        <v>380</v>
      </c>
      <c r="J61" s="320" t="s">
        <v>12</v>
      </c>
      <c r="K61" s="285">
        <f>K53+K55+K57+K59</f>
        <v>168661.63658838073</v>
      </c>
      <c r="L61" s="285">
        <f>L53+L55+L57+L59</f>
        <v>168661.63658838073</v>
      </c>
      <c r="M61" s="36" t="s">
        <v>12</v>
      </c>
      <c r="N61" s="33">
        <f>N53+N55+N57+N59</f>
        <v>185973.63658838073</v>
      </c>
      <c r="O61" s="33">
        <f>O53+O55+O57+O59</f>
        <v>185973.63658838073</v>
      </c>
      <c r="P61" s="320" t="s">
        <v>12</v>
      </c>
      <c r="Q61" s="285">
        <f>Q53+Q55+Q57+Q59</f>
        <v>185973.63658838073</v>
      </c>
      <c r="R61" s="285">
        <f>R53+R55+R57+R59</f>
        <v>185973.63658838073</v>
      </c>
      <c r="S61" s="96">
        <f>S57</f>
        <v>20117.333333333332</v>
      </c>
      <c r="T61" s="136" t="s">
        <v>12</v>
      </c>
      <c r="U61" s="230" t="s">
        <v>12</v>
      </c>
    </row>
    <row r="62" spans="1:22" ht="13.5" thickBot="1">
      <c r="A62" s="615"/>
      <c r="B62" s="606" t="s">
        <v>67</v>
      </c>
      <c r="C62" s="240">
        <f>C54+C56+C58+C60</f>
        <v>0</v>
      </c>
      <c r="D62" s="240">
        <f t="shared" ref="D62:I62" si="9">D54+D56+D58+D60</f>
        <v>3433</v>
      </c>
      <c r="E62" s="240">
        <f t="shared" si="9"/>
        <v>7457</v>
      </c>
      <c r="F62" s="240">
        <f t="shared" si="9"/>
        <v>6257</v>
      </c>
      <c r="G62" s="240">
        <f t="shared" si="9"/>
        <v>0</v>
      </c>
      <c r="H62" s="240">
        <f t="shared" si="9"/>
        <v>0</v>
      </c>
      <c r="I62" s="240">
        <f t="shared" si="9"/>
        <v>17147</v>
      </c>
      <c r="J62" s="275">
        <f>J54+J56+J58+J60</f>
        <v>20542.106</v>
      </c>
      <c r="K62" s="275">
        <f>K54+K56+K58+K60</f>
        <v>11514453.605999999</v>
      </c>
      <c r="L62" s="275">
        <f>L54+L56+L58+L60</f>
        <v>11514453.605999999</v>
      </c>
      <c r="M62" s="240">
        <f>M54+M56+M58+M60</f>
        <v>20970.781000000003</v>
      </c>
      <c r="N62" s="240">
        <f>N54+N56+N58+N60</f>
        <v>12696256.520000001</v>
      </c>
      <c r="O62" s="240">
        <f>O54+O56+O58+O60</f>
        <v>12696256.520000001</v>
      </c>
      <c r="P62" s="275">
        <f>P54+P56+P58+P60</f>
        <v>7097.9240000000009</v>
      </c>
      <c r="Q62" s="275">
        <f>Q54+Q56+Q58+Q60</f>
        <v>5612683.4030000009</v>
      </c>
      <c r="R62" s="275">
        <f>R54+R56+R58+R60</f>
        <v>5612683.4030000009</v>
      </c>
      <c r="S62" s="255">
        <f>S54+S56+S58+S60</f>
        <v>9941131.1763333324</v>
      </c>
      <c r="T62" s="251">
        <f>SUM(T49:T51)</f>
        <v>909308.60450267838</v>
      </c>
      <c r="U62" s="1082">
        <f>SUM(U49:U51)</f>
        <v>161915.99999999997</v>
      </c>
    </row>
    <row r="63" spans="1:22" ht="14.25" thickTop="1" thickBot="1">
      <c r="A63" s="5"/>
      <c r="B63" s="618"/>
      <c r="C63" s="618"/>
      <c r="D63" s="618"/>
      <c r="E63" s="618"/>
      <c r="F63" s="618"/>
      <c r="G63" s="618"/>
      <c r="H63" s="618"/>
      <c r="I63" s="618"/>
      <c r="J63" s="618"/>
      <c r="K63" s="618"/>
      <c r="L63" s="618"/>
      <c r="M63" s="618"/>
      <c r="N63" s="618"/>
      <c r="O63" s="618"/>
      <c r="P63" s="618"/>
      <c r="Q63" s="618"/>
      <c r="R63" s="618"/>
      <c r="S63" s="618"/>
      <c r="T63" s="618"/>
      <c r="U63" s="618"/>
      <c r="V63" s="5"/>
    </row>
    <row r="64" spans="1:22" ht="16.5" thickTop="1">
      <c r="A64" s="615"/>
      <c r="B64" s="181" t="s">
        <v>24</v>
      </c>
      <c r="C64" s="5"/>
      <c r="D64" s="5"/>
      <c r="E64" s="5"/>
      <c r="F64" s="112" t="s">
        <v>6</v>
      </c>
      <c r="G64" s="1412"/>
      <c r="H64" s="1413"/>
      <c r="I64" s="1414"/>
      <c r="J64" s="181" t="s">
        <v>24</v>
      </c>
      <c r="K64" s="426"/>
      <c r="L64" s="180"/>
      <c r="M64" s="181" t="s">
        <v>24</v>
      </c>
      <c r="N64" s="319"/>
      <c r="O64" s="67"/>
      <c r="P64" s="181" t="s">
        <v>24</v>
      </c>
      <c r="Q64" s="426"/>
      <c r="R64" s="67"/>
      <c r="S64" s="225"/>
      <c r="T64" s="37"/>
      <c r="U64" s="227"/>
    </row>
    <row r="65" spans="1:22">
      <c r="A65" s="615"/>
      <c r="B65" s="5"/>
      <c r="C65" s="5"/>
      <c r="D65" s="5"/>
      <c r="E65" s="5"/>
      <c r="F65" s="112"/>
      <c r="G65" s="1415"/>
      <c r="H65" s="1415"/>
      <c r="I65" s="1416"/>
      <c r="J65" s="277" t="s">
        <v>61</v>
      </c>
      <c r="K65" s="1419" t="s">
        <v>57</v>
      </c>
      <c r="L65" s="1420"/>
      <c r="M65" s="57" t="s">
        <v>61</v>
      </c>
      <c r="N65" s="1429" t="s">
        <v>57</v>
      </c>
      <c r="O65" s="1430"/>
      <c r="P65" s="277" t="s">
        <v>61</v>
      </c>
      <c r="Q65" s="1419" t="s">
        <v>57</v>
      </c>
      <c r="R65" s="1420"/>
      <c r="S65" s="131"/>
      <c r="T65" s="37"/>
      <c r="U65" s="227"/>
    </row>
    <row r="66" spans="1:22">
      <c r="A66" s="615"/>
      <c r="B66" s="611" t="s">
        <v>19</v>
      </c>
      <c r="C66" s="23" t="s">
        <v>60</v>
      </c>
      <c r="D66" s="23" t="s">
        <v>62</v>
      </c>
      <c r="E66" s="9"/>
      <c r="F66" s="72"/>
      <c r="G66" s="72"/>
      <c r="H66" s="72"/>
      <c r="I66" s="73"/>
      <c r="J66" s="260" t="s">
        <v>56</v>
      </c>
      <c r="K66" s="261" t="s">
        <v>13</v>
      </c>
      <c r="L66" s="262" t="s">
        <v>68</v>
      </c>
      <c r="M66" s="77" t="s">
        <v>56</v>
      </c>
      <c r="N66" s="24" t="s">
        <v>13</v>
      </c>
      <c r="O66" s="38" t="s">
        <v>68</v>
      </c>
      <c r="P66" s="260" t="s">
        <v>56</v>
      </c>
      <c r="Q66" s="261" t="s">
        <v>13</v>
      </c>
      <c r="R66" s="262" t="s">
        <v>68</v>
      </c>
      <c r="S66" s="123"/>
      <c r="T66" s="73"/>
      <c r="U66" s="227"/>
    </row>
    <row r="67" spans="1:22" ht="13.5" thickBot="1">
      <c r="A67" s="615"/>
      <c r="B67" s="1049" t="s">
        <v>305</v>
      </c>
      <c r="C67" s="353">
        <f>VLOOKUP(C$2,Monitor_Costs,6,FALSE)</f>
        <v>950</v>
      </c>
      <c r="D67" s="34">
        <f>VLOOKUP(C$2,Monitor_Costs,7,FALSE)</f>
        <v>2013</v>
      </c>
      <c r="E67" s="354"/>
      <c r="F67" s="71"/>
      <c r="G67" s="56"/>
      <c r="H67" s="56"/>
      <c r="I67" s="54"/>
      <c r="J67" s="355">
        <f>HLOOKUP($D67,InflationTable,2)*$C67</f>
        <v>1138.0999999999999</v>
      </c>
      <c r="K67" s="355">
        <f>J67*$L$8</f>
        <v>920722.89999999991</v>
      </c>
      <c r="L67" s="308">
        <f>K67</f>
        <v>920722.89999999991</v>
      </c>
      <c r="M67" s="357">
        <f>HLOOKUP($D67,InflationTable,3)*$C67</f>
        <v>1161.8500000000001</v>
      </c>
      <c r="N67" s="357">
        <f>M67*$L$8</f>
        <v>939936.65000000014</v>
      </c>
      <c r="O67" s="95">
        <f>N67</f>
        <v>939936.65000000014</v>
      </c>
      <c r="P67" s="355">
        <f>HLOOKUP($D67,InflationTable,4)*$C67</f>
        <v>1184.6500000000001</v>
      </c>
      <c r="Q67" s="355">
        <f>P67*$L$8</f>
        <v>958381.85000000009</v>
      </c>
      <c r="R67" s="308">
        <f>Q67</f>
        <v>958381.85000000009</v>
      </c>
      <c r="S67" s="359" t="s">
        <v>12</v>
      </c>
      <c r="T67" s="360">
        <f>AVERAGE(L67,O67,R67)</f>
        <v>939680.46666666679</v>
      </c>
      <c r="U67" s="519" t="s">
        <v>12</v>
      </c>
    </row>
    <row r="68" spans="1:22" ht="13.5" thickBot="1">
      <c r="A68" s="615"/>
      <c r="B68" s="935" t="str">
        <f>VLOOKUP(C$2,Monitor_Costs,31,FALSE)</f>
        <v>Spare Parts - Continuous</v>
      </c>
      <c r="C68" s="935">
        <f>VLOOKUP(C$2,Monitor_Costs,32,FALSE)</f>
        <v>555</v>
      </c>
      <c r="D68" s="34">
        <f>VLOOKUP(C$2,Monitor_Costs,33,FALSE)</f>
        <v>2013</v>
      </c>
      <c r="E68" s="354"/>
      <c r="F68" s="71"/>
      <c r="G68" s="56"/>
      <c r="H68" s="56"/>
      <c r="I68" s="54"/>
      <c r="J68" s="355">
        <f>HLOOKUP($D68,InflationTable,2)*$C68</f>
        <v>664.89</v>
      </c>
      <c r="K68" s="355">
        <f>J68*L$12</f>
        <v>178190.52</v>
      </c>
      <c r="L68" s="308">
        <f>K68</f>
        <v>178190.52</v>
      </c>
      <c r="M68" s="357">
        <f>HLOOKUP($D68,InflationTable,3)*$C68</f>
        <v>678.7650000000001</v>
      </c>
      <c r="N68" s="357">
        <f>M68*O$12</f>
        <v>181909.02000000002</v>
      </c>
      <c r="O68" s="95">
        <f>N68</f>
        <v>181909.02000000002</v>
      </c>
      <c r="P68" s="355">
        <f>HLOOKUP($D68,InflationTable,4)*$C68</f>
        <v>692.08500000000004</v>
      </c>
      <c r="Q68" s="355">
        <f>P68*R$12</f>
        <v>185478.78</v>
      </c>
      <c r="R68" s="308">
        <f>Q68</f>
        <v>185478.78</v>
      </c>
      <c r="S68" s="359" t="s">
        <v>12</v>
      </c>
      <c r="T68" s="360">
        <f>AVERAGE(L68,O68,R68)</f>
        <v>181859.44000000003</v>
      </c>
      <c r="U68" s="519" t="s">
        <v>12</v>
      </c>
    </row>
    <row r="69" spans="1:22">
      <c r="A69" s="615"/>
      <c r="B69" s="465" t="s">
        <v>25</v>
      </c>
      <c r="C69" s="107" t="s">
        <v>45</v>
      </c>
      <c r="D69" s="108" t="s">
        <v>46</v>
      </c>
      <c r="E69" s="107" t="s">
        <v>47</v>
      </c>
      <c r="F69" s="107" t="s">
        <v>48</v>
      </c>
      <c r="G69" s="107" t="s">
        <v>49</v>
      </c>
      <c r="H69" s="107" t="s">
        <v>50</v>
      </c>
      <c r="I69" s="350" t="s">
        <v>74</v>
      </c>
      <c r="J69" s="351"/>
      <c r="K69" s="352"/>
      <c r="L69" s="356"/>
      <c r="M69" s="110"/>
      <c r="N69" s="108"/>
      <c r="O69" s="111"/>
      <c r="P69" s="351"/>
      <c r="Q69" s="352"/>
      <c r="R69" s="356"/>
      <c r="S69" s="134"/>
      <c r="T69" s="136"/>
      <c r="U69" s="227"/>
    </row>
    <row r="70" spans="1:22">
      <c r="A70" s="615"/>
      <c r="B70" s="1069" t="s">
        <v>304</v>
      </c>
      <c r="C70" s="21">
        <v>0</v>
      </c>
      <c r="D70" s="21">
        <v>85</v>
      </c>
      <c r="E70" s="21">
        <v>0</v>
      </c>
      <c r="F70" s="21">
        <v>0</v>
      </c>
      <c r="G70" s="21">
        <v>0</v>
      </c>
      <c r="H70" s="21">
        <v>0</v>
      </c>
      <c r="I70" s="52">
        <f t="shared" ref="I70:I77" si="10">SUM(C70:H70)</f>
        <v>85</v>
      </c>
      <c r="J70" s="1037">
        <f>$I70*L$11</f>
        <v>32.466007416563663</v>
      </c>
      <c r="K70" s="281">
        <f>J70*L$8</f>
        <v>26265.000000000004</v>
      </c>
      <c r="L70" s="289">
        <f t="shared" ref="L70:L77" si="11">K70</f>
        <v>26265.000000000004</v>
      </c>
      <c r="M70" s="1042">
        <f>$I70*O$11</f>
        <v>32.466007416563663</v>
      </c>
      <c r="N70" s="69">
        <f>M70*O$8</f>
        <v>26265.000000000004</v>
      </c>
      <c r="O70" s="68">
        <f t="shared" ref="O70:O77" si="12">N70</f>
        <v>26265.000000000004</v>
      </c>
      <c r="P70" s="1037">
        <f>$I70*R$11</f>
        <v>32.466007416563663</v>
      </c>
      <c r="Q70" s="281">
        <f>P70*R$8</f>
        <v>26265.000000000004</v>
      </c>
      <c r="R70" s="289">
        <f t="shared" ref="R70:R77" si="13">Q70</f>
        <v>26265.000000000004</v>
      </c>
      <c r="S70" s="121">
        <f t="shared" ref="S70:S78" si="14">AVERAGE(L70,O70,R70)</f>
        <v>26265.000000000004</v>
      </c>
      <c r="T70" s="119" t="s">
        <v>12</v>
      </c>
      <c r="U70" s="232" t="s">
        <v>12</v>
      </c>
    </row>
    <row r="71" spans="1:22" s="1" customFormat="1" ht="13.5" thickBot="1">
      <c r="A71" s="616"/>
      <c r="B71" s="604" t="s">
        <v>8</v>
      </c>
      <c r="C71" s="713">
        <f>ROUND(C70*Labor!$D$3,0)</f>
        <v>0</v>
      </c>
      <c r="D71" s="219">
        <f>ROUND(D70*Labor!$D$4,0)</f>
        <v>3473</v>
      </c>
      <c r="E71" s="219">
        <f>ROUND(E70*Labor!$D$5,0)</f>
        <v>0</v>
      </c>
      <c r="F71" s="219">
        <f>ROUND(F70*Labor!$D$6,0)</f>
        <v>0</v>
      </c>
      <c r="G71" s="219">
        <f>ROUND(G70*Labor!$D$7,0)</f>
        <v>0</v>
      </c>
      <c r="H71" s="219">
        <f>ROUND(H70*Labor!$D$8,0)</f>
        <v>0</v>
      </c>
      <c r="I71" s="209">
        <f t="shared" si="10"/>
        <v>3473</v>
      </c>
      <c r="J71" s="339">
        <f>HLOOKUP(Labor!$B$11,InflationTable,2)*$I71*L$11</f>
        <v>1589.1743955500617</v>
      </c>
      <c r="K71" s="296">
        <f>J71*$L$8</f>
        <v>1285642.0859999999</v>
      </c>
      <c r="L71" s="297">
        <f t="shared" si="11"/>
        <v>1285642.0859999999</v>
      </c>
      <c r="M71" s="450">
        <f>HLOOKUP(Labor!$B$11,InflationTable,3)*$I71*O$11</f>
        <v>1622.3374672435107</v>
      </c>
      <c r="N71" s="377">
        <f>M71*$L$8</f>
        <v>1312471.0110000002</v>
      </c>
      <c r="O71" s="378">
        <f t="shared" si="12"/>
        <v>1312471.0110000002</v>
      </c>
      <c r="P71" s="339">
        <f>HLOOKUP(Labor!$B$11,InflationTable,4)*$I71*R$11</f>
        <v>1654.1740160692214</v>
      </c>
      <c r="Q71" s="296">
        <f>P71*$L$8</f>
        <v>1338226.7790000001</v>
      </c>
      <c r="R71" s="297">
        <f t="shared" si="13"/>
        <v>1338226.7790000001</v>
      </c>
      <c r="S71" s="211">
        <f t="shared" si="14"/>
        <v>1312113.2920000001</v>
      </c>
      <c r="T71" s="1048" t="s">
        <v>12</v>
      </c>
      <c r="U71" s="1083" t="s">
        <v>12</v>
      </c>
    </row>
    <row r="72" spans="1:22">
      <c r="A72" s="615"/>
      <c r="B72" s="1068" t="s">
        <v>298</v>
      </c>
      <c r="C72" s="1038">
        <v>0</v>
      </c>
      <c r="D72" s="1038">
        <v>0</v>
      </c>
      <c r="E72" s="1038">
        <v>6</v>
      </c>
      <c r="F72" s="1038">
        <v>1</v>
      </c>
      <c r="G72" s="1046">
        <v>0.5</v>
      </c>
      <c r="H72" s="1038">
        <v>0</v>
      </c>
      <c r="I72" s="1039">
        <f t="shared" si="10"/>
        <v>7.5</v>
      </c>
      <c r="J72" s="263">
        <f>$I72</f>
        <v>7.5</v>
      </c>
      <c r="K72" s="281">
        <f>$I72*L$12</f>
        <v>2010</v>
      </c>
      <c r="L72" s="289">
        <f t="shared" si="11"/>
        <v>2010</v>
      </c>
      <c r="M72" s="58">
        <f>$I72</f>
        <v>7.5</v>
      </c>
      <c r="N72" s="69">
        <f>$I72*O$12</f>
        <v>2010</v>
      </c>
      <c r="O72" s="68">
        <f t="shared" si="12"/>
        <v>2010</v>
      </c>
      <c r="P72" s="263">
        <f>$I72</f>
        <v>7.5</v>
      </c>
      <c r="Q72" s="281">
        <f>$I72*R$12</f>
        <v>2010</v>
      </c>
      <c r="R72" s="289">
        <f t="shared" si="13"/>
        <v>2010</v>
      </c>
      <c r="S72" s="121">
        <f t="shared" si="14"/>
        <v>2010</v>
      </c>
      <c r="T72" s="119" t="s">
        <v>12</v>
      </c>
      <c r="U72" s="232" t="s">
        <v>12</v>
      </c>
    </row>
    <row r="73" spans="1:22" s="1" customFormat="1" ht="13.5" thickBot="1">
      <c r="A73" s="616"/>
      <c r="B73" s="604" t="s">
        <v>8</v>
      </c>
      <c r="C73" s="713">
        <f>ROUND(C72*Labor!$D$3,0)</f>
        <v>0</v>
      </c>
      <c r="D73" s="219">
        <f>ROUND(D72*Labor!$D$4,0)</f>
        <v>0</v>
      </c>
      <c r="E73" s="219">
        <f>ROUND(E72*Labor!$D$5,0)</f>
        <v>265</v>
      </c>
      <c r="F73" s="219">
        <f>ROUND(F72*Labor!$D$6,0)</f>
        <v>49</v>
      </c>
      <c r="G73" s="219">
        <f>ROUND(G72*Labor!$D$7,0)</f>
        <v>28</v>
      </c>
      <c r="H73" s="219">
        <f>ROUND(H72*Labor!$D$8,0)</f>
        <v>0</v>
      </c>
      <c r="I73" s="209">
        <f t="shared" si="10"/>
        <v>342</v>
      </c>
      <c r="J73" s="332">
        <f>HLOOKUP(Labor!$B$11,InflationTable,2)*$I73</f>
        <v>409.71600000000001</v>
      </c>
      <c r="K73" s="296">
        <f>J73*L$12</f>
        <v>109803.88800000001</v>
      </c>
      <c r="L73" s="297">
        <f t="shared" si="11"/>
        <v>109803.88800000001</v>
      </c>
      <c r="M73" s="376">
        <f>HLOOKUP(Labor!$B$11,InflationTable,3)*$I73</f>
        <v>418.26600000000002</v>
      </c>
      <c r="N73" s="377">
        <f>M73*O$12</f>
        <v>112095.288</v>
      </c>
      <c r="O73" s="378">
        <f t="shared" si="12"/>
        <v>112095.288</v>
      </c>
      <c r="P73" s="332">
        <f>HLOOKUP(Labor!$B$11,InflationTable,4)*$I73</f>
        <v>426.47400000000005</v>
      </c>
      <c r="Q73" s="296">
        <f>P73*R$12</f>
        <v>114295.03200000001</v>
      </c>
      <c r="R73" s="297">
        <f t="shared" si="13"/>
        <v>114295.03200000001</v>
      </c>
      <c r="S73" s="211">
        <f t="shared" si="14"/>
        <v>112064.73599999999</v>
      </c>
      <c r="T73" s="218" t="s">
        <v>12</v>
      </c>
      <c r="U73" s="228" t="s">
        <v>12</v>
      </c>
    </row>
    <row r="74" spans="1:22">
      <c r="A74" s="615"/>
      <c r="B74" s="1116" t="s">
        <v>303</v>
      </c>
      <c r="C74" s="346">
        <v>0</v>
      </c>
      <c r="D74" s="346">
        <v>0</v>
      </c>
      <c r="E74" s="346">
        <v>50</v>
      </c>
      <c r="F74" s="346">
        <v>25</v>
      </c>
      <c r="G74" s="346">
        <v>0</v>
      </c>
      <c r="H74" s="346">
        <v>0</v>
      </c>
      <c r="I74" s="347">
        <f t="shared" si="10"/>
        <v>75</v>
      </c>
      <c r="J74" s="1040">
        <f>$I74*L$11</f>
        <v>28.646477132262053</v>
      </c>
      <c r="K74" s="327">
        <f>J74*L$8</f>
        <v>23175</v>
      </c>
      <c r="L74" s="328">
        <f t="shared" si="11"/>
        <v>23175</v>
      </c>
      <c r="M74" s="1041">
        <f>$I74*O$11</f>
        <v>28.646477132262053</v>
      </c>
      <c r="N74" s="348">
        <f>M74*O$8</f>
        <v>23175</v>
      </c>
      <c r="O74" s="349">
        <f t="shared" si="12"/>
        <v>23175</v>
      </c>
      <c r="P74" s="1040">
        <f>$I74*R$11</f>
        <v>28.646477132262053</v>
      </c>
      <c r="Q74" s="327">
        <f>P74*R$8</f>
        <v>23175</v>
      </c>
      <c r="R74" s="328">
        <f t="shared" si="13"/>
        <v>23175</v>
      </c>
      <c r="S74" s="129">
        <f t="shared" si="14"/>
        <v>23175</v>
      </c>
      <c r="T74" s="119" t="s">
        <v>12</v>
      </c>
      <c r="U74" s="232" t="s">
        <v>12</v>
      </c>
    </row>
    <row r="75" spans="1:22" s="1047" customFormat="1" ht="13.5" thickBot="1">
      <c r="A75" s="1118"/>
      <c r="B75" s="1117" t="s">
        <v>8</v>
      </c>
      <c r="C75" s="713">
        <f>ROUND(C74*Labor!$D$3,0)</f>
        <v>0</v>
      </c>
      <c r="D75" s="219">
        <f>ROUND(D74*Labor!$D$4,0)</f>
        <v>0</v>
      </c>
      <c r="E75" s="219">
        <f>ROUND(E74*Labor!$D$5,0)</f>
        <v>2206</v>
      </c>
      <c r="F75" s="219">
        <f>ROUND(F74*Labor!$D$6,0)</f>
        <v>1232</v>
      </c>
      <c r="G75" s="219">
        <f>ROUND(G74*Labor!$D$7,0)</f>
        <v>0</v>
      </c>
      <c r="H75" s="219">
        <f>ROUND(H74*Labor!$D$8,0)</f>
        <v>0</v>
      </c>
      <c r="I75" s="209">
        <f t="shared" si="10"/>
        <v>3438</v>
      </c>
      <c r="J75" s="332">
        <f>HLOOKUP(Labor!$B$11,InflationTable,2)*$I$75*L$11</f>
        <v>1573.1591050679854</v>
      </c>
      <c r="K75" s="296">
        <f>J75*$L$8</f>
        <v>1272685.7160000002</v>
      </c>
      <c r="L75" s="297">
        <f t="shared" si="11"/>
        <v>1272685.7160000002</v>
      </c>
      <c r="M75" s="376">
        <f>HLOOKUP(Labor!$B$11,InflationTable,3)*$I$75*O$11</f>
        <v>1605.9879678615575</v>
      </c>
      <c r="N75" s="377">
        <f>M75*$L$8</f>
        <v>1299244.2660000001</v>
      </c>
      <c r="O75" s="378">
        <f t="shared" si="12"/>
        <v>1299244.2660000001</v>
      </c>
      <c r="P75" s="332">
        <f>HLOOKUP(Labor!$B$11,InflationTable,4)*$I$75*R$11</f>
        <v>1637.5036761433871</v>
      </c>
      <c r="Q75" s="296">
        <f>P75*$L$8</f>
        <v>1324740.4740000002</v>
      </c>
      <c r="R75" s="297">
        <f t="shared" si="13"/>
        <v>1324740.4740000002</v>
      </c>
      <c r="S75" s="450">
        <f t="shared" si="14"/>
        <v>1298890.152</v>
      </c>
      <c r="T75" s="1048" t="s">
        <v>12</v>
      </c>
      <c r="U75" s="1083" t="s">
        <v>12</v>
      </c>
    </row>
    <row r="76" spans="1:22">
      <c r="A76" s="615"/>
      <c r="B76" s="1068" t="s">
        <v>298</v>
      </c>
      <c r="C76" s="1038">
        <v>0</v>
      </c>
      <c r="D76" s="1038">
        <v>5</v>
      </c>
      <c r="E76" s="1038">
        <v>5</v>
      </c>
      <c r="F76" s="1038">
        <v>4</v>
      </c>
      <c r="G76" s="1038">
        <v>0</v>
      </c>
      <c r="H76" s="1038">
        <v>0</v>
      </c>
      <c r="I76" s="1039">
        <f t="shared" si="10"/>
        <v>14</v>
      </c>
      <c r="J76" s="263">
        <f>$I76</f>
        <v>14</v>
      </c>
      <c r="K76" s="281">
        <f>$I76*L$12</f>
        <v>3752</v>
      </c>
      <c r="L76" s="289">
        <f t="shared" si="11"/>
        <v>3752</v>
      </c>
      <c r="M76" s="58">
        <f>$I76</f>
        <v>14</v>
      </c>
      <c r="N76" s="69">
        <f>$I76*O$12</f>
        <v>3752</v>
      </c>
      <c r="O76" s="68">
        <f t="shared" si="12"/>
        <v>3752</v>
      </c>
      <c r="P76" s="263">
        <f>$I76</f>
        <v>14</v>
      </c>
      <c r="Q76" s="281">
        <f>$I76*R$12</f>
        <v>3752</v>
      </c>
      <c r="R76" s="289">
        <f t="shared" si="13"/>
        <v>3752</v>
      </c>
      <c r="S76" s="121">
        <f t="shared" si="14"/>
        <v>3752</v>
      </c>
      <c r="T76" s="119" t="s">
        <v>12</v>
      </c>
      <c r="U76" s="232" t="s">
        <v>12</v>
      </c>
    </row>
    <row r="77" spans="1:22" s="1" customFormat="1" ht="13.5" thickBot="1">
      <c r="A77" s="616"/>
      <c r="B77" s="604" t="s">
        <v>8</v>
      </c>
      <c r="C77" s="713">
        <f>ROUND(C76*Labor!$D$3,0)</f>
        <v>0</v>
      </c>
      <c r="D77" s="219">
        <f>ROUND(D76*Labor!$D$4,0)</f>
        <v>204</v>
      </c>
      <c r="E77" s="219">
        <f>ROUND(E76*Labor!$D$5,0)</f>
        <v>221</v>
      </c>
      <c r="F77" s="219">
        <f>ROUND(F76*Labor!$D$6,0)</f>
        <v>197</v>
      </c>
      <c r="G77" s="219">
        <f>ROUND(G76*Labor!$D$7,0)</f>
        <v>0</v>
      </c>
      <c r="H77" s="219">
        <f>ROUND(H76*Labor!$D$8,0)</f>
        <v>0</v>
      </c>
      <c r="I77" s="209">
        <f t="shared" si="10"/>
        <v>622</v>
      </c>
      <c r="J77" s="332">
        <f>HLOOKUP(Labor!$B$11,InflationTable,2)*$I77</f>
        <v>745.15599999999995</v>
      </c>
      <c r="K77" s="296">
        <f>J77*L$12</f>
        <v>199701.80799999999</v>
      </c>
      <c r="L77" s="297">
        <f t="shared" si="11"/>
        <v>199701.80799999999</v>
      </c>
      <c r="M77" s="376">
        <f>HLOOKUP(Labor!$B$11,InflationTable,3)*$I77</f>
        <v>760.70600000000002</v>
      </c>
      <c r="N77" s="377">
        <f>M77*O$12</f>
        <v>203869.20800000001</v>
      </c>
      <c r="O77" s="378">
        <f t="shared" si="12"/>
        <v>203869.20800000001</v>
      </c>
      <c r="P77" s="332">
        <f>HLOOKUP(Labor!$B$11,InflationTable,4)*$I77</f>
        <v>775.63400000000001</v>
      </c>
      <c r="Q77" s="296">
        <f>P77*R$12</f>
        <v>207869.91200000001</v>
      </c>
      <c r="R77" s="297">
        <f t="shared" si="13"/>
        <v>207869.91200000001</v>
      </c>
      <c r="S77" s="211">
        <f t="shared" si="14"/>
        <v>203813.64266666668</v>
      </c>
      <c r="T77" s="218" t="s">
        <v>12</v>
      </c>
      <c r="U77" s="228" t="s">
        <v>12</v>
      </c>
    </row>
    <row r="78" spans="1:22">
      <c r="A78" s="615"/>
      <c r="B78" s="605" t="s">
        <v>66</v>
      </c>
      <c r="C78" s="36">
        <f t="shared" ref="C78:I78" si="15">C70+C74</f>
        <v>0</v>
      </c>
      <c r="D78" s="36">
        <f t="shared" si="15"/>
        <v>85</v>
      </c>
      <c r="E78" s="36">
        <f t="shared" si="15"/>
        <v>50</v>
      </c>
      <c r="F78" s="36">
        <f t="shared" si="15"/>
        <v>25</v>
      </c>
      <c r="G78" s="36">
        <f t="shared" si="15"/>
        <v>0</v>
      </c>
      <c r="H78" s="36">
        <f t="shared" si="15"/>
        <v>0</v>
      </c>
      <c r="I78" s="46">
        <f t="shared" si="15"/>
        <v>160</v>
      </c>
      <c r="J78" s="301" t="s">
        <v>12</v>
      </c>
      <c r="K78" s="309">
        <f>K70+K74</f>
        <v>49440</v>
      </c>
      <c r="L78" s="310">
        <f>L70+L74</f>
        <v>49440</v>
      </c>
      <c r="M78" s="85" t="s">
        <v>12</v>
      </c>
      <c r="N78" s="86">
        <f>N70+N74</f>
        <v>49440</v>
      </c>
      <c r="O78" s="97">
        <f>O70+O74</f>
        <v>49440</v>
      </c>
      <c r="P78" s="301" t="s">
        <v>12</v>
      </c>
      <c r="Q78" s="309">
        <f>Q70+Q74</f>
        <v>49440</v>
      </c>
      <c r="R78" s="310">
        <f>R70+R74</f>
        <v>49440</v>
      </c>
      <c r="S78" s="121">
        <f t="shared" si="14"/>
        <v>49440</v>
      </c>
      <c r="T78" s="136" t="s">
        <v>12</v>
      </c>
      <c r="U78" s="513" t="s">
        <v>12</v>
      </c>
    </row>
    <row r="79" spans="1:22" ht="13.5" thickBot="1">
      <c r="A79" s="615"/>
      <c r="B79" s="606" t="s">
        <v>67</v>
      </c>
      <c r="C79" s="240">
        <f t="shared" ref="C79:H79" si="16">C71+C75</f>
        <v>0</v>
      </c>
      <c r="D79" s="240">
        <f t="shared" si="16"/>
        <v>3473</v>
      </c>
      <c r="E79" s="240">
        <f t="shared" si="16"/>
        <v>2206</v>
      </c>
      <c r="F79" s="240">
        <f t="shared" si="16"/>
        <v>1232</v>
      </c>
      <c r="G79" s="240">
        <f t="shared" si="16"/>
        <v>0</v>
      </c>
      <c r="H79" s="240">
        <f t="shared" si="16"/>
        <v>0</v>
      </c>
      <c r="I79" s="222">
        <f>I75+I71+C67</f>
        <v>7861</v>
      </c>
      <c r="J79" s="311">
        <f t="shared" ref="J79:R79" si="17">J75+J71+J67</f>
        <v>4300.4335006180463</v>
      </c>
      <c r="K79" s="305">
        <f t="shared" si="17"/>
        <v>3479050.702</v>
      </c>
      <c r="L79" s="306">
        <f t="shared" si="17"/>
        <v>3479050.702</v>
      </c>
      <c r="M79" s="252">
        <f t="shared" si="17"/>
        <v>4390.1754351050686</v>
      </c>
      <c r="N79" s="253">
        <f t="shared" si="17"/>
        <v>3551651.9270000001</v>
      </c>
      <c r="O79" s="254">
        <f t="shared" si="17"/>
        <v>3551651.9270000001</v>
      </c>
      <c r="P79" s="311">
        <f t="shared" si="17"/>
        <v>4476.3276922126079</v>
      </c>
      <c r="Q79" s="305">
        <f t="shared" si="17"/>
        <v>3621349.1030000006</v>
      </c>
      <c r="R79" s="306">
        <f t="shared" si="17"/>
        <v>3621349.1030000006</v>
      </c>
      <c r="S79" s="257">
        <f>S75+S71</f>
        <v>2611003.4440000001</v>
      </c>
      <c r="T79" s="251">
        <f>SUM(T67:T68)</f>
        <v>1121539.9066666667</v>
      </c>
      <c r="U79" s="231" t="s">
        <v>12</v>
      </c>
    </row>
    <row r="80" spans="1:22" ht="13.5" thickTop="1">
      <c r="C80" s="1072"/>
      <c r="D80" s="1072"/>
      <c r="E80" s="1072"/>
      <c r="F80" s="1072"/>
      <c r="G80" s="1072"/>
      <c r="H80" s="1072"/>
      <c r="I80" s="1072"/>
      <c r="J80" s="1072"/>
      <c r="K80" s="1072"/>
      <c r="L80" s="1072"/>
      <c r="M80" s="1072"/>
      <c r="N80" s="1072"/>
      <c r="O80" s="1072"/>
      <c r="P80" s="1072"/>
      <c r="Q80" s="5"/>
      <c r="R80" s="5"/>
      <c r="S80" s="5"/>
      <c r="T80" s="5"/>
      <c r="U80" s="1072"/>
      <c r="V80" s="5"/>
    </row>
    <row r="81" spans="1:22" ht="13.5" thickBot="1">
      <c r="A81" s="5"/>
      <c r="B81" s="5"/>
      <c r="C81" s="410"/>
      <c r="D81" s="410"/>
      <c r="E81" s="410"/>
      <c r="F81" s="410"/>
      <c r="G81" s="410"/>
      <c r="H81" s="410"/>
      <c r="I81" s="410"/>
      <c r="J81" s="410"/>
      <c r="K81" s="410"/>
      <c r="L81" s="410"/>
      <c r="M81" s="410"/>
      <c r="N81" s="410"/>
      <c r="O81" s="410"/>
      <c r="P81" s="410"/>
      <c r="Q81" s="410"/>
      <c r="R81" s="410"/>
      <c r="S81" s="410"/>
      <c r="T81" s="410"/>
      <c r="U81" s="410"/>
      <c r="V81" s="5"/>
    </row>
    <row r="82" spans="1:22" ht="16.5" thickTop="1">
      <c r="A82" s="615"/>
      <c r="B82" s="710" t="s">
        <v>26</v>
      </c>
      <c r="C82" s="5"/>
      <c r="D82" s="5"/>
      <c r="E82" s="5"/>
      <c r="F82" s="112" t="s">
        <v>6</v>
      </c>
      <c r="G82" s="1412"/>
      <c r="H82" s="1413"/>
      <c r="I82" s="1414"/>
      <c r="J82" s="181" t="s">
        <v>26</v>
      </c>
      <c r="K82" s="426"/>
      <c r="L82" s="67"/>
      <c r="M82" s="245" t="s">
        <v>26</v>
      </c>
      <c r="N82" s="426"/>
      <c r="O82" s="426"/>
      <c r="P82" s="245" t="s">
        <v>26</v>
      </c>
      <c r="Q82" s="426"/>
      <c r="R82" s="67"/>
      <c r="S82" s="225"/>
      <c r="T82" s="37"/>
      <c r="U82" s="227"/>
    </row>
    <row r="83" spans="1:22">
      <c r="A83" s="615"/>
      <c r="B83" s="5"/>
      <c r="C83" s="5"/>
      <c r="D83" s="5"/>
      <c r="E83" s="5"/>
      <c r="F83" s="7"/>
      <c r="G83" s="5"/>
      <c r="H83" s="5"/>
      <c r="I83" s="45" t="s">
        <v>61</v>
      </c>
      <c r="J83" s="277" t="s">
        <v>61</v>
      </c>
      <c r="K83" s="1419" t="s">
        <v>57</v>
      </c>
      <c r="L83" s="1420"/>
      <c r="M83" s="57" t="s">
        <v>61</v>
      </c>
      <c r="N83" s="1429" t="s">
        <v>57</v>
      </c>
      <c r="O83" s="1430"/>
      <c r="P83" s="277" t="s">
        <v>61</v>
      </c>
      <c r="Q83" s="1419" t="s">
        <v>57</v>
      </c>
      <c r="R83" s="1420"/>
      <c r="S83" s="131"/>
      <c r="T83" s="37"/>
      <c r="U83" s="227"/>
    </row>
    <row r="84" spans="1:22">
      <c r="A84" s="615"/>
      <c r="B84" s="611" t="s">
        <v>27</v>
      </c>
      <c r="C84" s="23" t="s">
        <v>45</v>
      </c>
      <c r="D84" s="24" t="s">
        <v>46</v>
      </c>
      <c r="E84" s="23" t="s">
        <v>47</v>
      </c>
      <c r="F84" s="23" t="s">
        <v>48</v>
      </c>
      <c r="G84" s="23" t="s">
        <v>49</v>
      </c>
      <c r="H84" s="23" t="s">
        <v>50</v>
      </c>
      <c r="I84" s="45" t="s">
        <v>13</v>
      </c>
      <c r="J84" s="260" t="s">
        <v>56</v>
      </c>
      <c r="K84" s="261" t="s">
        <v>13</v>
      </c>
      <c r="L84" s="262" t="s">
        <v>68</v>
      </c>
      <c r="M84" s="77" t="s">
        <v>56</v>
      </c>
      <c r="N84" s="24" t="s">
        <v>13</v>
      </c>
      <c r="O84" s="38" t="s">
        <v>68</v>
      </c>
      <c r="P84" s="260" t="s">
        <v>56</v>
      </c>
      <c r="Q84" s="261" t="s">
        <v>13</v>
      </c>
      <c r="R84" s="262" t="s">
        <v>68</v>
      </c>
      <c r="S84" s="123"/>
      <c r="T84" s="37"/>
      <c r="U84" s="517"/>
    </row>
    <row r="85" spans="1:22">
      <c r="A85" s="615"/>
      <c r="B85" s="1069" t="s">
        <v>299</v>
      </c>
      <c r="C85" s="1038">
        <v>0</v>
      </c>
      <c r="D85" s="1038">
        <v>0</v>
      </c>
      <c r="E85" s="1038">
        <v>96</v>
      </c>
      <c r="F85" s="1038">
        <v>0</v>
      </c>
      <c r="G85" s="1038">
        <v>0</v>
      </c>
      <c r="H85" s="1038">
        <v>0</v>
      </c>
      <c r="I85" s="52">
        <f t="shared" ref="I85:I98" si="18">SUM(C85:H85)</f>
        <v>96</v>
      </c>
      <c r="J85" s="1037">
        <f>$I85*L$11</f>
        <v>36.66749072929543</v>
      </c>
      <c r="K85" s="281">
        <f>J85*L$9</f>
        <v>56651.273176761439</v>
      </c>
      <c r="L85" s="289">
        <f t="shared" ref="L85:L100" si="19">K85</f>
        <v>56651.273176761439</v>
      </c>
      <c r="M85" s="1042">
        <f>$I85*O$11</f>
        <v>36.66749072929543</v>
      </c>
      <c r="N85" s="69">
        <f>$I$85*$O$8</f>
        <v>77664</v>
      </c>
      <c r="O85" s="68">
        <f t="shared" ref="O85:O100" si="20">N85</f>
        <v>77664</v>
      </c>
      <c r="P85" s="1037">
        <f>$I85*R$11</f>
        <v>36.66749072929543</v>
      </c>
      <c r="Q85" s="281">
        <f>$I$85*$R$8</f>
        <v>77664</v>
      </c>
      <c r="R85" s="289">
        <f t="shared" ref="R85:R100" si="21">Q85</f>
        <v>77664</v>
      </c>
      <c r="S85" s="121">
        <f t="shared" ref="S85:S102" si="22">AVERAGE(L85,O85,R85)</f>
        <v>70659.757725587144</v>
      </c>
      <c r="T85" s="119" t="s">
        <v>12</v>
      </c>
      <c r="U85" s="232" t="s">
        <v>12</v>
      </c>
    </row>
    <row r="86" spans="1:22" s="1" customFormat="1" ht="13.5" thickBot="1">
      <c r="A86" s="616"/>
      <c r="B86" s="604" t="s">
        <v>8</v>
      </c>
      <c r="C86" s="713">
        <f>ROUND(C85*Labor!$D$3,0)</f>
        <v>0</v>
      </c>
      <c r="D86" s="219">
        <f>ROUND(D85*Labor!$D$4,0)</f>
        <v>0</v>
      </c>
      <c r="E86" s="219">
        <f>ROUND(E85*Labor!$D$5,0)</f>
        <v>4236</v>
      </c>
      <c r="F86" s="219">
        <f>ROUND(F85*Labor!$D$6,0)</f>
        <v>0</v>
      </c>
      <c r="G86" s="219">
        <f>ROUND(G85*Labor!$D$7,0)</f>
        <v>0</v>
      </c>
      <c r="H86" s="219">
        <f>ROUND(H85*Labor!$D$8,0)</f>
        <v>0</v>
      </c>
      <c r="I86" s="209">
        <f t="shared" si="18"/>
        <v>4236</v>
      </c>
      <c r="J86" s="332">
        <f>HLOOKUP(Labor!$B$11,InflationTable,2)*I86*L11</f>
        <v>1938.3077280593327</v>
      </c>
      <c r="K86" s="296">
        <f>J86*$L$9</f>
        <v>2994685.4398516691</v>
      </c>
      <c r="L86" s="297">
        <f t="shared" si="19"/>
        <v>2994685.4398516691</v>
      </c>
      <c r="M86" s="376">
        <f>HLOOKUP(Labor!$B$11,InflationTable,3)*$I$86</f>
        <v>5180.6280000000006</v>
      </c>
      <c r="N86" s="377">
        <f>M86*$L$8</f>
        <v>4191128.0520000006</v>
      </c>
      <c r="O86" s="378">
        <f t="shared" si="20"/>
        <v>4191128.0520000006</v>
      </c>
      <c r="P86" s="332">
        <f>HLOOKUP(Labor!$B$11,InflationTable,4)*$I$86</f>
        <v>5282.2920000000004</v>
      </c>
      <c r="Q86" s="296">
        <f>P86*$R$8</f>
        <v>4273374.2280000001</v>
      </c>
      <c r="R86" s="297">
        <f t="shared" si="21"/>
        <v>4273374.2280000001</v>
      </c>
      <c r="S86" s="211">
        <f t="shared" si="22"/>
        <v>3819729.2399505563</v>
      </c>
      <c r="T86" s="218" t="s">
        <v>12</v>
      </c>
      <c r="U86" s="228" t="s">
        <v>12</v>
      </c>
    </row>
    <row r="87" spans="1:22">
      <c r="A87" s="615"/>
      <c r="B87" s="1115" t="s">
        <v>298</v>
      </c>
      <c r="C87" s="1038">
        <v>0</v>
      </c>
      <c r="D87" s="1038">
        <v>0</v>
      </c>
      <c r="E87" s="1038">
        <v>6</v>
      </c>
      <c r="F87" s="1038">
        <v>6</v>
      </c>
      <c r="G87" s="1038">
        <v>0</v>
      </c>
      <c r="H87" s="1038">
        <v>0</v>
      </c>
      <c r="I87" s="1039">
        <f>SUM(C87:H87)</f>
        <v>12</v>
      </c>
      <c r="J87" s="263">
        <f>$I87</f>
        <v>12</v>
      </c>
      <c r="K87" s="281">
        <f>$I87*L$12</f>
        <v>3216</v>
      </c>
      <c r="L87" s="289">
        <f t="shared" si="19"/>
        <v>3216</v>
      </c>
      <c r="M87" s="58">
        <f>$I87</f>
        <v>12</v>
      </c>
      <c r="N87" s="69">
        <f>$I87*O$12</f>
        <v>3216</v>
      </c>
      <c r="O87" s="68">
        <f t="shared" si="20"/>
        <v>3216</v>
      </c>
      <c r="P87" s="263">
        <f>$I87</f>
        <v>12</v>
      </c>
      <c r="Q87" s="281">
        <f>$I87*R$12</f>
        <v>3216</v>
      </c>
      <c r="R87" s="289">
        <f t="shared" si="21"/>
        <v>3216</v>
      </c>
      <c r="S87" s="121">
        <f>AVERAGE(L87,O87,R87)</f>
        <v>3216</v>
      </c>
      <c r="T87" s="119" t="s">
        <v>12</v>
      </c>
      <c r="U87" s="232" t="s">
        <v>12</v>
      </c>
    </row>
    <row r="88" spans="1:22" s="1" customFormat="1" ht="13.5" thickBot="1">
      <c r="A88" s="616"/>
      <c r="B88" s="604" t="s">
        <v>8</v>
      </c>
      <c r="C88" s="713">
        <f>ROUND(C87*Labor!$D$3,0)</f>
        <v>0</v>
      </c>
      <c r="D88" s="219">
        <f>ROUND(D87*Labor!$D$4,0)</f>
        <v>0</v>
      </c>
      <c r="E88" s="219">
        <f>ROUND(E87*Labor!$D$5,0)</f>
        <v>265</v>
      </c>
      <c r="F88" s="219">
        <f>ROUND(F87*Labor!$D$6,0)</f>
        <v>296</v>
      </c>
      <c r="G88" s="219">
        <f>ROUND(G87*Labor!$D$7,0)</f>
        <v>0</v>
      </c>
      <c r="H88" s="219">
        <f>ROUND(H87*Labor!$D$8,0)</f>
        <v>0</v>
      </c>
      <c r="I88" s="209">
        <f>SUM(C88:H88)</f>
        <v>561</v>
      </c>
      <c r="J88" s="332">
        <f>HLOOKUP(Labor!$B$11,InflationTable,2)*$I88</f>
        <v>672.07799999999997</v>
      </c>
      <c r="K88" s="296">
        <f>J88*L$12</f>
        <v>180116.90399999998</v>
      </c>
      <c r="L88" s="297">
        <f t="shared" si="19"/>
        <v>180116.90399999998</v>
      </c>
      <c r="M88" s="376">
        <f>HLOOKUP(Labor!$B$11,InflationTable,3)*$I88</f>
        <v>686.10300000000007</v>
      </c>
      <c r="N88" s="377">
        <f>M88*O$12</f>
        <v>183875.60400000002</v>
      </c>
      <c r="O88" s="378">
        <f t="shared" si="20"/>
        <v>183875.60400000002</v>
      </c>
      <c r="P88" s="332">
        <f>HLOOKUP(Labor!$B$11,InflationTable,4)*$I88</f>
        <v>699.56700000000001</v>
      </c>
      <c r="Q88" s="296">
        <f>P88*R$12</f>
        <v>187483.95600000001</v>
      </c>
      <c r="R88" s="297">
        <f t="shared" si="21"/>
        <v>187483.95600000001</v>
      </c>
      <c r="S88" s="211">
        <f>AVERAGE(L88,O88,R88)</f>
        <v>183825.48800000001</v>
      </c>
      <c r="T88" s="218" t="s">
        <v>12</v>
      </c>
      <c r="U88" s="228" t="s">
        <v>12</v>
      </c>
    </row>
    <row r="89" spans="1:22">
      <c r="A89" s="615"/>
      <c r="B89" s="1111" t="s">
        <v>301</v>
      </c>
      <c r="C89" s="346">
        <v>0</v>
      </c>
      <c r="D89" s="346">
        <v>0</v>
      </c>
      <c r="E89" s="346">
        <v>0</v>
      </c>
      <c r="F89" s="346">
        <v>38</v>
      </c>
      <c r="G89" s="346">
        <v>0</v>
      </c>
      <c r="H89" s="346">
        <v>0</v>
      </c>
      <c r="I89" s="347">
        <f t="shared" si="18"/>
        <v>38</v>
      </c>
      <c r="J89" s="1040">
        <f>$I89*L$11</f>
        <v>14.514215080346107</v>
      </c>
      <c r="K89" s="327">
        <f>J89*L$8</f>
        <v>11742</v>
      </c>
      <c r="L89" s="328">
        <f t="shared" si="19"/>
        <v>11742</v>
      </c>
      <c r="M89" s="1041">
        <f>$I89*O$11</f>
        <v>14.514215080346107</v>
      </c>
      <c r="N89" s="348">
        <f>M89*O$8</f>
        <v>11742</v>
      </c>
      <c r="O89" s="349">
        <f t="shared" si="20"/>
        <v>11742</v>
      </c>
      <c r="P89" s="1040">
        <f>$I89*R$11</f>
        <v>14.514215080346107</v>
      </c>
      <c r="Q89" s="327">
        <f>P89*R$8</f>
        <v>11742</v>
      </c>
      <c r="R89" s="328">
        <f t="shared" si="21"/>
        <v>11742</v>
      </c>
      <c r="S89" s="129">
        <f t="shared" si="22"/>
        <v>11742</v>
      </c>
      <c r="T89" s="136" t="s">
        <v>12</v>
      </c>
      <c r="U89" s="230" t="s">
        <v>12</v>
      </c>
    </row>
    <row r="90" spans="1:22" s="1" customFormat="1" ht="13.5" thickBot="1">
      <c r="A90" s="616"/>
      <c r="B90" s="604" t="s">
        <v>8</v>
      </c>
      <c r="C90" s="713">
        <f>ROUND(C89*Labor!$D$3,0)</f>
        <v>0</v>
      </c>
      <c r="D90" s="219">
        <f>ROUND(D89*Labor!$D$4,0)</f>
        <v>0</v>
      </c>
      <c r="E90" s="219">
        <f>ROUND(E89*Labor!$D$5,0)</f>
        <v>0</v>
      </c>
      <c r="F90" s="219">
        <f>ROUND(F89*Labor!$D$6,0)</f>
        <v>1872</v>
      </c>
      <c r="G90" s="219">
        <f>ROUND(G89*Labor!$D$7,0)</f>
        <v>0</v>
      </c>
      <c r="H90" s="219">
        <f>ROUND(H89*Labor!$D$8,0)</f>
        <v>0</v>
      </c>
      <c r="I90" s="209">
        <f t="shared" si="18"/>
        <v>1872</v>
      </c>
      <c r="J90" s="339">
        <f>HLOOKUP(Labor!$B$11,InflationTable,2)*$I90*L$11</f>
        <v>856.58925092707045</v>
      </c>
      <c r="K90" s="296">
        <f>J90*L$8</f>
        <v>692980.70400000003</v>
      </c>
      <c r="L90" s="297">
        <f t="shared" si="19"/>
        <v>692980.70400000003</v>
      </c>
      <c r="M90" s="450">
        <f>HLOOKUP(Labor!$B$11,InflationTable,3)*$I90*O$11</f>
        <v>874.46465265760207</v>
      </c>
      <c r="N90" s="377">
        <f>M90*O$8</f>
        <v>707441.9040000001</v>
      </c>
      <c r="O90" s="378">
        <f t="shared" si="20"/>
        <v>707441.9040000001</v>
      </c>
      <c r="P90" s="339">
        <f>HLOOKUP(Labor!$B$11,InflationTable,4)*$I90*R$11</f>
        <v>891.62503831891229</v>
      </c>
      <c r="Q90" s="296">
        <f>P90*R$8</f>
        <v>721324.65600000008</v>
      </c>
      <c r="R90" s="297">
        <f t="shared" si="21"/>
        <v>721324.65600000008</v>
      </c>
      <c r="S90" s="211">
        <f t="shared" si="22"/>
        <v>707249.08799999999</v>
      </c>
      <c r="T90" s="218" t="s">
        <v>12</v>
      </c>
      <c r="U90" s="228" t="s">
        <v>12</v>
      </c>
    </row>
    <row r="91" spans="1:22">
      <c r="A91" s="615"/>
      <c r="B91" s="610" t="s">
        <v>300</v>
      </c>
      <c r="C91" s="346">
        <v>0</v>
      </c>
      <c r="D91" s="346">
        <v>0</v>
      </c>
      <c r="E91" s="346">
        <v>6</v>
      </c>
      <c r="F91" s="346">
        <v>12</v>
      </c>
      <c r="G91" s="346">
        <v>0</v>
      </c>
      <c r="H91" s="346">
        <v>0</v>
      </c>
      <c r="I91" s="347">
        <f>SUM(C91:H91)</f>
        <v>18</v>
      </c>
      <c r="J91" s="293">
        <f>$I91</f>
        <v>18</v>
      </c>
      <c r="K91" s="327">
        <f>J91*L$12</f>
        <v>4824</v>
      </c>
      <c r="L91" s="328">
        <f t="shared" si="19"/>
        <v>4824</v>
      </c>
      <c r="M91" s="61">
        <f>$I91</f>
        <v>18</v>
      </c>
      <c r="N91" s="348">
        <f>M91*O$12</f>
        <v>4824</v>
      </c>
      <c r="O91" s="349">
        <f t="shared" si="20"/>
        <v>4824</v>
      </c>
      <c r="P91" s="293">
        <f>$I91</f>
        <v>18</v>
      </c>
      <c r="Q91" s="327">
        <f>P91*R$12</f>
        <v>4824</v>
      </c>
      <c r="R91" s="328">
        <f t="shared" si="21"/>
        <v>4824</v>
      </c>
      <c r="S91" s="129">
        <f>AVERAGE(L91,O91,R91)</f>
        <v>4824</v>
      </c>
      <c r="T91" s="136" t="s">
        <v>12</v>
      </c>
      <c r="U91" s="230" t="s">
        <v>12</v>
      </c>
    </row>
    <row r="92" spans="1:22" s="1" customFormat="1" ht="13.5" thickBot="1">
      <c r="A92" s="616"/>
      <c r="B92" s="604" t="s">
        <v>8</v>
      </c>
      <c r="C92" s="713">
        <f>ROUND(C91*Labor!$D$3,0)</f>
        <v>0</v>
      </c>
      <c r="D92" s="219">
        <f>ROUND(D91*Labor!$D$4,0)</f>
        <v>0</v>
      </c>
      <c r="E92" s="219">
        <f>ROUND(E91*Labor!$D$5,0)</f>
        <v>265</v>
      </c>
      <c r="F92" s="219">
        <f>ROUND(F91*Labor!$D$6,0)</f>
        <v>591</v>
      </c>
      <c r="G92" s="219">
        <f>ROUND(G91*Labor!$D$7,0)</f>
        <v>0</v>
      </c>
      <c r="H92" s="219">
        <f>ROUND(H91*Labor!$D$8,0)</f>
        <v>0</v>
      </c>
      <c r="I92" s="209">
        <f>SUM(C92:H92)</f>
        <v>856</v>
      </c>
      <c r="J92" s="339">
        <f>HLOOKUP(Labor!$B$11,InflationTable,2)*$I92</f>
        <v>1025.4880000000001</v>
      </c>
      <c r="K92" s="296">
        <f>J92*L$12</f>
        <v>274830.78400000004</v>
      </c>
      <c r="L92" s="297">
        <f t="shared" si="19"/>
        <v>274830.78400000004</v>
      </c>
      <c r="M92" s="450">
        <f>HLOOKUP(Labor!$B$11,InflationTable,3)*$I92</f>
        <v>1046.8880000000001</v>
      </c>
      <c r="N92" s="377">
        <f>M92*O$12</f>
        <v>280565.98400000005</v>
      </c>
      <c r="O92" s="378">
        <f t="shared" si="20"/>
        <v>280565.98400000005</v>
      </c>
      <c r="P92" s="339">
        <f>HLOOKUP(Labor!$B$11,InflationTable,4)*$I92</f>
        <v>1067.432</v>
      </c>
      <c r="Q92" s="296">
        <f>P92*R$12</f>
        <v>286071.77600000001</v>
      </c>
      <c r="R92" s="297">
        <f t="shared" si="21"/>
        <v>286071.77600000001</v>
      </c>
      <c r="S92" s="211">
        <f>AVERAGE(L92,O92,R92)</f>
        <v>280489.51466666674</v>
      </c>
      <c r="T92" s="218" t="s">
        <v>12</v>
      </c>
      <c r="U92" s="228" t="s">
        <v>12</v>
      </c>
    </row>
    <row r="93" spans="1:22">
      <c r="A93" s="615"/>
      <c r="B93" s="1111" t="s">
        <v>302</v>
      </c>
      <c r="C93" s="346">
        <v>0</v>
      </c>
      <c r="D93" s="346">
        <v>0</v>
      </c>
      <c r="E93" s="346">
        <v>24</v>
      </c>
      <c r="F93" s="346">
        <v>72</v>
      </c>
      <c r="G93" s="346">
        <v>48</v>
      </c>
      <c r="H93" s="346">
        <v>0</v>
      </c>
      <c r="I93" s="347">
        <f t="shared" si="18"/>
        <v>144</v>
      </c>
      <c r="J93" s="1040">
        <f>$I93*L$11</f>
        <v>55.001236093943142</v>
      </c>
      <c r="K93" s="327">
        <f>J93*L$8</f>
        <v>44496</v>
      </c>
      <c r="L93" s="328">
        <f t="shared" si="19"/>
        <v>44496</v>
      </c>
      <c r="M93" s="1041">
        <f>$I93*O$11</f>
        <v>55.001236093943142</v>
      </c>
      <c r="N93" s="348">
        <f>M93*O$8</f>
        <v>44496</v>
      </c>
      <c r="O93" s="349">
        <f t="shared" si="20"/>
        <v>44496</v>
      </c>
      <c r="P93" s="1040">
        <f>$I93*R$11</f>
        <v>55.001236093943142</v>
      </c>
      <c r="Q93" s="327">
        <f>P93*R$8</f>
        <v>44496</v>
      </c>
      <c r="R93" s="328">
        <f t="shared" si="21"/>
        <v>44496</v>
      </c>
      <c r="S93" s="129">
        <f t="shared" si="22"/>
        <v>44496</v>
      </c>
      <c r="T93" s="136" t="s">
        <v>12</v>
      </c>
      <c r="U93" s="230" t="s">
        <v>12</v>
      </c>
    </row>
    <row r="94" spans="1:22" s="1" customFormat="1" ht="13.5" thickBot="1">
      <c r="A94" s="616"/>
      <c r="B94" s="604" t="s">
        <v>8</v>
      </c>
      <c r="C94" s="713">
        <f>ROUND(C93*Labor!$D$3,0)</f>
        <v>0</v>
      </c>
      <c r="D94" s="219">
        <f>ROUND(D93*Labor!$D$4,0)</f>
        <v>0</v>
      </c>
      <c r="E94" s="219">
        <f>ROUND(E93*Labor!$D$5,0)</f>
        <v>1059</v>
      </c>
      <c r="F94" s="219">
        <f>ROUND(F93*Labor!$D$6,0)</f>
        <v>3547</v>
      </c>
      <c r="G94" s="219">
        <f>ROUND(G93*Labor!$D$7,0)</f>
        <v>2662</v>
      </c>
      <c r="H94" s="219">
        <f>ROUND(H93*Labor!$D$8,0)</f>
        <v>0</v>
      </c>
      <c r="I94" s="209">
        <f t="shared" si="18"/>
        <v>7268</v>
      </c>
      <c r="J94" s="339">
        <f>HLOOKUP(Labor!$B$11,InflationTable,2)*$I94*L$11</f>
        <v>3325.6894635352292</v>
      </c>
      <c r="K94" s="296">
        <f>J94*$L$8</f>
        <v>2690482.7760000005</v>
      </c>
      <c r="L94" s="297">
        <f t="shared" si="19"/>
        <v>2690482.7760000005</v>
      </c>
      <c r="M94" s="450">
        <f>HLOOKUP(Labor!$B$11,InflationTable,3)*$I94*O$11</f>
        <v>3395.0903288009895</v>
      </c>
      <c r="N94" s="377">
        <f>M94*$L$8</f>
        <v>2746628.0760000004</v>
      </c>
      <c r="O94" s="378">
        <f t="shared" si="20"/>
        <v>2746628.0760000004</v>
      </c>
      <c r="P94" s="339">
        <f>HLOOKUP(Labor!$B$11,InflationTable,4)*$I94*R$11</f>
        <v>3461.7151594561187</v>
      </c>
      <c r="Q94" s="296">
        <f>P94*$L$8</f>
        <v>2800527.5640000002</v>
      </c>
      <c r="R94" s="297">
        <f t="shared" si="21"/>
        <v>2800527.5640000002</v>
      </c>
      <c r="S94" s="211">
        <f t="shared" si="22"/>
        <v>2745879.4720000005</v>
      </c>
      <c r="T94" s="218" t="s">
        <v>12</v>
      </c>
      <c r="U94" s="228" t="s">
        <v>12</v>
      </c>
    </row>
    <row r="95" spans="1:22">
      <c r="A95" s="615"/>
      <c r="B95" s="610" t="s">
        <v>300</v>
      </c>
      <c r="C95" s="346">
        <v>0</v>
      </c>
      <c r="D95" s="346">
        <v>0</v>
      </c>
      <c r="E95" s="346">
        <v>6</v>
      </c>
      <c r="F95" s="346">
        <v>14</v>
      </c>
      <c r="G95" s="346">
        <v>0</v>
      </c>
      <c r="H95" s="346">
        <v>0</v>
      </c>
      <c r="I95" s="347">
        <f t="shared" si="18"/>
        <v>20</v>
      </c>
      <c r="J95" s="293">
        <f>$I95</f>
        <v>20</v>
      </c>
      <c r="K95" s="327">
        <f>J95*L$12</f>
        <v>5360</v>
      </c>
      <c r="L95" s="328">
        <f t="shared" si="19"/>
        <v>5360</v>
      </c>
      <c r="M95" s="61">
        <f>$I95</f>
        <v>20</v>
      </c>
      <c r="N95" s="348">
        <f>M95*O$12</f>
        <v>5360</v>
      </c>
      <c r="O95" s="349">
        <f t="shared" si="20"/>
        <v>5360</v>
      </c>
      <c r="P95" s="293">
        <f>$I95</f>
        <v>20</v>
      </c>
      <c r="Q95" s="327">
        <f>P95*R$12</f>
        <v>5360</v>
      </c>
      <c r="R95" s="328">
        <f t="shared" si="21"/>
        <v>5360</v>
      </c>
      <c r="S95" s="129">
        <f t="shared" si="22"/>
        <v>5360</v>
      </c>
      <c r="T95" s="136" t="s">
        <v>12</v>
      </c>
      <c r="U95" s="230" t="s">
        <v>12</v>
      </c>
    </row>
    <row r="96" spans="1:22" s="1" customFormat="1" ht="13.5" thickBot="1">
      <c r="A96" s="616"/>
      <c r="B96" s="604" t="s">
        <v>8</v>
      </c>
      <c r="C96" s="713">
        <f>ROUND(C95*Labor!$D$3,0)</f>
        <v>0</v>
      </c>
      <c r="D96" s="219">
        <f>ROUND(D95*Labor!$D$4,0)</f>
        <v>0</v>
      </c>
      <c r="E96" s="219">
        <f>ROUND(E95*Labor!$D$5,0)</f>
        <v>265</v>
      </c>
      <c r="F96" s="219">
        <f>ROUND(F95*Labor!$D$6,0)</f>
        <v>690</v>
      </c>
      <c r="G96" s="219">
        <f>ROUND(G95*Labor!$D$7,0)</f>
        <v>0</v>
      </c>
      <c r="H96" s="219">
        <f>ROUND(H95*Labor!$D$8,0)</f>
        <v>0</v>
      </c>
      <c r="I96" s="209">
        <f t="shared" si="18"/>
        <v>955</v>
      </c>
      <c r="J96" s="339">
        <f>HLOOKUP(Labor!$B$11,InflationTable,2)*$I96</f>
        <v>1144.0899999999999</v>
      </c>
      <c r="K96" s="296">
        <f>J96*L$12</f>
        <v>306616.12</v>
      </c>
      <c r="L96" s="297">
        <f t="shared" si="19"/>
        <v>306616.12</v>
      </c>
      <c r="M96" s="450">
        <f>HLOOKUP(Labor!$B$11,InflationTable,3)*$I96</f>
        <v>1167.9650000000001</v>
      </c>
      <c r="N96" s="377">
        <f>M96*O$12</f>
        <v>313014.62000000005</v>
      </c>
      <c r="O96" s="378">
        <f t="shared" si="20"/>
        <v>313014.62000000005</v>
      </c>
      <c r="P96" s="339">
        <f>HLOOKUP(Labor!$B$11,InflationTable,4)*$I96</f>
        <v>1190.885</v>
      </c>
      <c r="Q96" s="296">
        <f>P96*R$12</f>
        <v>319157.18</v>
      </c>
      <c r="R96" s="297">
        <f t="shared" si="21"/>
        <v>319157.18</v>
      </c>
      <c r="S96" s="211">
        <f t="shared" si="22"/>
        <v>312929.30666666664</v>
      </c>
      <c r="T96" s="218" t="s">
        <v>12</v>
      </c>
      <c r="U96" s="228" t="s">
        <v>12</v>
      </c>
    </row>
    <row r="97" spans="1:22">
      <c r="A97" s="615"/>
      <c r="B97" s="1111" t="s">
        <v>116</v>
      </c>
      <c r="C97" s="346">
        <v>0</v>
      </c>
      <c r="D97" s="346">
        <v>0</v>
      </c>
      <c r="E97" s="346">
        <v>6</v>
      </c>
      <c r="F97" s="346">
        <v>7</v>
      </c>
      <c r="G97" s="346">
        <v>0</v>
      </c>
      <c r="H97" s="346">
        <v>0</v>
      </c>
      <c r="I97" s="347">
        <f t="shared" si="18"/>
        <v>13</v>
      </c>
      <c r="J97" s="293">
        <f>$I97</f>
        <v>13</v>
      </c>
      <c r="K97" s="327">
        <f>I97*$L$8</f>
        <v>10517</v>
      </c>
      <c r="L97" s="328">
        <f t="shared" si="19"/>
        <v>10517</v>
      </c>
      <c r="M97" s="61">
        <f>$I97</f>
        <v>13</v>
      </c>
      <c r="N97" s="348">
        <f>$I$97*$O$8</f>
        <v>10517</v>
      </c>
      <c r="O97" s="349">
        <f t="shared" si="20"/>
        <v>10517</v>
      </c>
      <c r="P97" s="293">
        <f>$I97</f>
        <v>13</v>
      </c>
      <c r="Q97" s="327">
        <f>$I$97*$R$8</f>
        <v>10517</v>
      </c>
      <c r="R97" s="328">
        <f t="shared" si="21"/>
        <v>10517</v>
      </c>
      <c r="S97" s="129">
        <f t="shared" si="22"/>
        <v>10517</v>
      </c>
      <c r="T97" s="136" t="s">
        <v>12</v>
      </c>
      <c r="U97" s="230" t="s">
        <v>12</v>
      </c>
    </row>
    <row r="98" spans="1:22" s="1" customFormat="1" ht="13.5" thickBot="1">
      <c r="A98" s="616"/>
      <c r="B98" s="604" t="s">
        <v>8</v>
      </c>
      <c r="C98" s="713">
        <f>ROUND(C97*Labor!$D$3,0)</f>
        <v>0</v>
      </c>
      <c r="D98" s="219">
        <f>ROUND(D97*Labor!$D$4,0)</f>
        <v>0</v>
      </c>
      <c r="E98" s="219">
        <f>ROUND(E97*Labor!$D$5,0)</f>
        <v>265</v>
      </c>
      <c r="F98" s="219">
        <f>ROUND(F97*Labor!$D$6,0)</f>
        <v>345</v>
      </c>
      <c r="G98" s="219">
        <f>ROUND(G97*Labor!$D$7,0)</f>
        <v>0</v>
      </c>
      <c r="H98" s="219">
        <f>ROUND(H97*Labor!$D$8,0)</f>
        <v>0</v>
      </c>
      <c r="I98" s="209">
        <f t="shared" si="18"/>
        <v>610</v>
      </c>
      <c r="J98" s="332">
        <f>HLOOKUP(Labor!$B$11,InflationTable,2)*$I98*L$11</f>
        <v>279.12363411619282</v>
      </c>
      <c r="K98" s="296">
        <f>J98*$L$8</f>
        <v>225811.02</v>
      </c>
      <c r="L98" s="297">
        <f t="shared" si="19"/>
        <v>225811.02</v>
      </c>
      <c r="M98" s="376">
        <f>HLOOKUP(Labor!$B$11,InflationTable,3)*$I98*O$11</f>
        <v>284.9484177997528</v>
      </c>
      <c r="N98" s="377">
        <f>M98*$O$8</f>
        <v>230523.27000000002</v>
      </c>
      <c r="O98" s="449">
        <f t="shared" si="20"/>
        <v>230523.27000000002</v>
      </c>
      <c r="P98" s="332">
        <f>HLOOKUP(Labor!$B$11,InflationTable,4)*$I98*R$11</f>
        <v>290.54021013597037</v>
      </c>
      <c r="Q98" s="296">
        <f>P98*$R$8</f>
        <v>235047.03000000003</v>
      </c>
      <c r="R98" s="390">
        <f t="shared" si="21"/>
        <v>235047.03000000003</v>
      </c>
      <c r="S98" s="211">
        <f t="shared" si="22"/>
        <v>230460.44000000003</v>
      </c>
      <c r="T98" s="393" t="s">
        <v>12</v>
      </c>
      <c r="U98" s="228" t="s">
        <v>12</v>
      </c>
    </row>
    <row r="99" spans="1:22">
      <c r="A99" s="615"/>
      <c r="B99" s="610" t="s">
        <v>300</v>
      </c>
      <c r="C99" s="346">
        <v>0</v>
      </c>
      <c r="D99" s="346">
        <v>0</v>
      </c>
      <c r="E99" s="346">
        <v>2</v>
      </c>
      <c r="F99" s="346">
        <v>2</v>
      </c>
      <c r="G99" s="346">
        <v>2</v>
      </c>
      <c r="H99" s="346">
        <v>0</v>
      </c>
      <c r="I99" s="347">
        <f>SUM(C99:H99)</f>
        <v>6</v>
      </c>
      <c r="J99" s="293">
        <f>$I99</f>
        <v>6</v>
      </c>
      <c r="K99" s="327">
        <f>J99*L$12</f>
        <v>1608</v>
      </c>
      <c r="L99" s="328">
        <f t="shared" si="19"/>
        <v>1608</v>
      </c>
      <c r="M99" s="61">
        <f>$I99</f>
        <v>6</v>
      </c>
      <c r="N99" s="348">
        <f>M99*O$12</f>
        <v>1608</v>
      </c>
      <c r="O99" s="1043">
        <f t="shared" si="20"/>
        <v>1608</v>
      </c>
      <c r="P99" s="293">
        <f>$I99</f>
        <v>6</v>
      </c>
      <c r="Q99" s="327">
        <f>P99*R$12</f>
        <v>1608</v>
      </c>
      <c r="R99" s="328">
        <f t="shared" si="21"/>
        <v>1608</v>
      </c>
      <c r="S99" s="129">
        <f>AVERAGE(L99,O99,R99)</f>
        <v>1608</v>
      </c>
      <c r="T99" s="136" t="s">
        <v>12</v>
      </c>
      <c r="U99" s="230" t="s">
        <v>12</v>
      </c>
    </row>
    <row r="100" spans="1:22" s="1" customFormat="1" ht="13.5" thickBot="1">
      <c r="A100" s="616"/>
      <c r="B100" s="604" t="s">
        <v>8</v>
      </c>
      <c r="C100" s="713">
        <f>ROUND(C99*Labor!$D$3,0)</f>
        <v>0</v>
      </c>
      <c r="D100" s="219">
        <f>ROUND(D99*Labor!$D$4,0)</f>
        <v>0</v>
      </c>
      <c r="E100" s="219">
        <f>ROUND(E99*Labor!$D$5,0)</f>
        <v>88</v>
      </c>
      <c r="F100" s="219">
        <f>ROUND(F99*Labor!$D$6,0)</f>
        <v>99</v>
      </c>
      <c r="G100" s="219">
        <f>ROUND(G99*Labor!$D$7,0)</f>
        <v>111</v>
      </c>
      <c r="H100" s="219">
        <f>ROUND(H99*Labor!$D$8,0)</f>
        <v>0</v>
      </c>
      <c r="I100" s="209">
        <f>SUM(C100:H100)</f>
        <v>298</v>
      </c>
      <c r="J100" s="339">
        <f>HLOOKUP(Labor!$B$11,InflationTable,2)*$I100</f>
        <v>357.00399999999996</v>
      </c>
      <c r="K100" s="296">
        <f>J100*L$12</f>
        <v>95677.071999999986</v>
      </c>
      <c r="L100" s="297">
        <f t="shared" si="19"/>
        <v>95677.071999999986</v>
      </c>
      <c r="M100" s="450">
        <f>HLOOKUP(Labor!$B$11,InflationTable,3)*$I100</f>
        <v>364.45400000000001</v>
      </c>
      <c r="N100" s="377">
        <f>M100*O$12</f>
        <v>97673.672000000006</v>
      </c>
      <c r="O100" s="378">
        <f t="shared" si="20"/>
        <v>97673.672000000006</v>
      </c>
      <c r="P100" s="339">
        <f>HLOOKUP(Labor!$B$11,InflationTable,4)*$I100</f>
        <v>371.60600000000005</v>
      </c>
      <c r="Q100" s="296">
        <f>P100*R$12</f>
        <v>99590.40800000001</v>
      </c>
      <c r="R100" s="297">
        <f t="shared" si="21"/>
        <v>99590.40800000001</v>
      </c>
      <c r="S100" s="211">
        <f>AVERAGE(L100,O100,R100)</f>
        <v>97647.050666666662</v>
      </c>
      <c r="T100" s="218" t="s">
        <v>12</v>
      </c>
      <c r="U100" s="228" t="s">
        <v>12</v>
      </c>
    </row>
    <row r="101" spans="1:22">
      <c r="A101" s="615"/>
      <c r="B101" s="605" t="s">
        <v>66</v>
      </c>
      <c r="C101" s="33">
        <f>C99+C97+C95+C93+C91+C89+C87+C85</f>
        <v>0</v>
      </c>
      <c r="D101" s="33">
        <f t="shared" ref="D101:I101" si="23">D99+D97+D95+D93+D91+D89+D87+D85</f>
        <v>0</v>
      </c>
      <c r="E101" s="33">
        <f t="shared" si="23"/>
        <v>146</v>
      </c>
      <c r="F101" s="33">
        <f t="shared" si="23"/>
        <v>151</v>
      </c>
      <c r="G101" s="33">
        <f t="shared" si="23"/>
        <v>50</v>
      </c>
      <c r="H101" s="33">
        <f t="shared" si="23"/>
        <v>0</v>
      </c>
      <c r="I101" s="33">
        <f t="shared" si="23"/>
        <v>347</v>
      </c>
      <c r="J101" s="285">
        <f t="shared" ref="J101:L102" si="24">J99+J97+J95+J93+J91+J89+J87+J85</f>
        <v>175.18294190358466</v>
      </c>
      <c r="K101" s="285">
        <f t="shared" si="24"/>
        <v>138414.27317676143</v>
      </c>
      <c r="L101" s="285">
        <f t="shared" si="24"/>
        <v>138414.27317676143</v>
      </c>
      <c r="M101" s="33">
        <f t="shared" ref="M101:R101" si="25">M99+M97+M95+M93+M91+M89+M87+M85</f>
        <v>175.18294190358466</v>
      </c>
      <c r="N101" s="33">
        <f t="shared" si="25"/>
        <v>159427</v>
      </c>
      <c r="O101" s="33">
        <f t="shared" si="25"/>
        <v>159427</v>
      </c>
      <c r="P101" s="285">
        <f t="shared" si="25"/>
        <v>175.18294190358466</v>
      </c>
      <c r="Q101" s="285">
        <f t="shared" si="25"/>
        <v>159427</v>
      </c>
      <c r="R101" s="285">
        <f t="shared" si="25"/>
        <v>159427</v>
      </c>
      <c r="S101" s="129">
        <f t="shared" si="22"/>
        <v>152422.75772558714</v>
      </c>
      <c r="T101" s="136" t="s">
        <v>12</v>
      </c>
      <c r="U101" s="230" t="s">
        <v>12</v>
      </c>
    </row>
    <row r="102" spans="1:22" ht="13.5" thickBot="1">
      <c r="A102" s="615"/>
      <c r="B102" s="606" t="s">
        <v>67</v>
      </c>
      <c r="C102" s="711">
        <f>C100+C98+C96+C94+C92+C90+C88+C86</f>
        <v>0</v>
      </c>
      <c r="D102" s="711">
        <f t="shared" ref="D102:I102" si="26">D100+D98+D96+D94+D92+D90+D88+D86</f>
        <v>0</v>
      </c>
      <c r="E102" s="711">
        <f t="shared" si="26"/>
        <v>6443</v>
      </c>
      <c r="F102" s="711">
        <f t="shared" si="26"/>
        <v>7440</v>
      </c>
      <c r="G102" s="711">
        <f t="shared" si="26"/>
        <v>2773</v>
      </c>
      <c r="H102" s="711">
        <f t="shared" si="26"/>
        <v>0</v>
      </c>
      <c r="I102" s="240">
        <f t="shared" si="26"/>
        <v>16656</v>
      </c>
      <c r="J102" s="275">
        <f t="shared" si="24"/>
        <v>9598.3700766378261</v>
      </c>
      <c r="K102" s="275">
        <f t="shared" si="24"/>
        <v>7461200.8198516704</v>
      </c>
      <c r="L102" s="275">
        <f t="shared" si="24"/>
        <v>7461200.8198516704</v>
      </c>
      <c r="M102" s="240">
        <f t="shared" ref="M102:R102" si="27">M100+M98+M96+M94+M92+M90+M88+M86</f>
        <v>13000.541399258345</v>
      </c>
      <c r="N102" s="240">
        <f t="shared" si="27"/>
        <v>8750851.1820000019</v>
      </c>
      <c r="O102" s="240">
        <f t="shared" si="27"/>
        <v>8750851.1820000019</v>
      </c>
      <c r="P102" s="275">
        <f t="shared" si="27"/>
        <v>13255.662407911001</v>
      </c>
      <c r="Q102" s="275">
        <f t="shared" si="27"/>
        <v>8922576.7980000004</v>
      </c>
      <c r="R102" s="276">
        <f t="shared" si="27"/>
        <v>8922576.7980000004</v>
      </c>
      <c r="S102" s="255">
        <f t="shared" si="22"/>
        <v>8378209.5999505566</v>
      </c>
      <c r="T102" s="249" t="s">
        <v>12</v>
      </c>
      <c r="U102" s="231" t="s">
        <v>12</v>
      </c>
    </row>
    <row r="103" spans="1:22" ht="13.5" thickTop="1">
      <c r="B103" s="624"/>
      <c r="C103" s="621"/>
      <c r="D103" s="621"/>
      <c r="E103" s="621"/>
      <c r="F103" s="621"/>
      <c r="G103" s="621"/>
      <c r="H103" s="621"/>
      <c r="I103" s="622"/>
      <c r="J103" s="622"/>
      <c r="K103" s="622"/>
      <c r="L103" s="622"/>
      <c r="M103" s="622"/>
      <c r="N103" s="622"/>
      <c r="O103" s="622"/>
      <c r="P103" s="622"/>
      <c r="Q103" s="622"/>
      <c r="R103" s="622"/>
      <c r="S103" s="625"/>
      <c r="T103" s="626"/>
      <c r="U103" s="1084"/>
      <c r="V103" s="5"/>
    </row>
    <row r="104" spans="1:22" ht="13.5" thickBot="1">
      <c r="B104" s="410"/>
      <c r="C104" s="410"/>
      <c r="D104" s="410"/>
      <c r="E104" s="410"/>
      <c r="F104" s="410"/>
      <c r="G104" s="410"/>
      <c r="H104" s="410"/>
      <c r="I104" s="410"/>
      <c r="J104" s="410"/>
      <c r="K104" s="410"/>
      <c r="L104" s="410"/>
      <c r="M104" s="410"/>
      <c r="N104" s="410"/>
      <c r="O104" s="410"/>
      <c r="P104" s="410"/>
      <c r="Q104" s="410"/>
      <c r="R104" s="410"/>
      <c r="S104" s="410"/>
      <c r="T104" s="410"/>
      <c r="U104" s="1078"/>
      <c r="V104" s="5"/>
    </row>
    <row r="105" spans="1:22" ht="27.75" thickTop="1" thickBot="1">
      <c r="A105" s="615"/>
      <c r="B105" s="710" t="s">
        <v>28</v>
      </c>
      <c r="C105" s="5"/>
      <c r="D105" s="5"/>
      <c r="E105" s="1045"/>
      <c r="F105" s="112" t="s">
        <v>6</v>
      </c>
      <c r="G105" s="1412"/>
      <c r="H105" s="1413"/>
      <c r="I105" s="1414"/>
      <c r="J105" s="181" t="s">
        <v>28</v>
      </c>
      <c r="K105" s="426"/>
      <c r="L105" s="67"/>
      <c r="M105" s="181" t="s">
        <v>28</v>
      </c>
      <c r="N105" s="426"/>
      <c r="O105" s="67"/>
      <c r="P105" s="181" t="s">
        <v>28</v>
      </c>
      <c r="Q105" s="426"/>
      <c r="R105" s="67"/>
      <c r="S105" s="546" t="s">
        <v>17</v>
      </c>
      <c r="T105" s="547" t="s">
        <v>103</v>
      </c>
      <c r="U105" s="1085" t="s">
        <v>79</v>
      </c>
    </row>
    <row r="106" spans="1:22">
      <c r="A106" s="615"/>
      <c r="B106" s="5"/>
      <c r="C106" s="72"/>
      <c r="D106" s="431" t="s">
        <v>54</v>
      </c>
      <c r="E106" s="70">
        <v>7</v>
      </c>
      <c r="I106" s="43"/>
      <c r="J106" s="277" t="s">
        <v>61</v>
      </c>
      <c r="K106" s="1419" t="s">
        <v>57</v>
      </c>
      <c r="L106" s="1420"/>
      <c r="M106" s="57" t="s">
        <v>61</v>
      </c>
      <c r="N106" s="1429" t="s">
        <v>57</v>
      </c>
      <c r="O106" s="1433"/>
      <c r="P106" s="318" t="s">
        <v>61</v>
      </c>
      <c r="Q106" s="1419" t="s">
        <v>57</v>
      </c>
      <c r="R106" s="1420"/>
      <c r="S106" s="170"/>
      <c r="T106" s="133"/>
      <c r="U106" s="615"/>
    </row>
    <row r="107" spans="1:22">
      <c r="A107" s="615"/>
      <c r="B107" s="797"/>
      <c r="C107" s="23" t="s">
        <v>60</v>
      </c>
      <c r="D107" s="23" t="s">
        <v>62</v>
      </c>
      <c r="E107" s="1044"/>
      <c r="F107" s="396"/>
      <c r="G107" s="396"/>
      <c r="H107" s="396"/>
      <c r="I107" s="145"/>
      <c r="J107" s="260" t="s">
        <v>56</v>
      </c>
      <c r="K107" s="261" t="s">
        <v>13</v>
      </c>
      <c r="L107" s="262" t="s">
        <v>68</v>
      </c>
      <c r="M107" s="77" t="s">
        <v>56</v>
      </c>
      <c r="N107" s="24" t="s">
        <v>13</v>
      </c>
      <c r="O107" s="38" t="s">
        <v>68</v>
      </c>
      <c r="P107" s="260" t="s">
        <v>56</v>
      </c>
      <c r="Q107" s="261" t="s">
        <v>13</v>
      </c>
      <c r="R107" s="262" t="s">
        <v>68</v>
      </c>
      <c r="S107" s="120"/>
      <c r="T107" s="133"/>
      <c r="U107" s="615"/>
    </row>
    <row r="108" spans="1:22" ht="13.5" thickBot="1">
      <c r="A108" s="615"/>
      <c r="B108" s="878" t="str">
        <f>VLOOKUP(C$2,Monitor_Costs,25,FALSE)</f>
        <v>Audit/Calibration Kits (Filter Based)</v>
      </c>
      <c r="C108" s="458">
        <f>VLOOKUP(C$2,Monitor_Costs,26,FALSE)</f>
        <v>125</v>
      </c>
      <c r="D108" s="381">
        <f>VLOOKUP(C$2,Monitor_Costs,27,FALSE)</f>
        <v>2013</v>
      </c>
      <c r="E108" s="74"/>
      <c r="F108" s="75"/>
      <c r="G108" s="76"/>
      <c r="H108" s="76"/>
      <c r="I108" s="864"/>
      <c r="J108" s="424">
        <f>HLOOKUP($D108,InflationTable,2)*$C108</f>
        <v>149.75</v>
      </c>
      <c r="K108" s="355">
        <f>J108*SUM(L$3:L$6)</f>
        <v>98535.5</v>
      </c>
      <c r="L108" s="308">
        <f>K108/$E$106*0.2</f>
        <v>2815.3</v>
      </c>
      <c r="M108" s="1055">
        <f>HLOOKUP($D108,InflationTable,3)*$C108</f>
        <v>152.875</v>
      </c>
      <c r="N108" s="357">
        <f>M108*SUM(O$3:O$6)</f>
        <v>100591.75</v>
      </c>
      <c r="O108" s="95">
        <f>N108/$E$106*0.2</f>
        <v>2874.05</v>
      </c>
      <c r="P108" s="424">
        <f>HLOOKUP($D108,InflationTable,4)*$C108</f>
        <v>155.875</v>
      </c>
      <c r="Q108" s="355">
        <f>P108*SUM(R$3:R$6)</f>
        <v>102565.75</v>
      </c>
      <c r="R108" s="308">
        <f>Q108/$E$106*0.2</f>
        <v>2930.4500000000003</v>
      </c>
      <c r="S108" s="359" t="s">
        <v>12</v>
      </c>
      <c r="T108" s="360">
        <f>AVERAGE(L108,O108,R108)</f>
        <v>2873.2666666666669</v>
      </c>
      <c r="U108" s="519" t="s">
        <v>12</v>
      </c>
    </row>
    <row r="109" spans="1:22" ht="13.5" thickBot="1">
      <c r="A109" s="615"/>
      <c r="B109" s="881" t="str">
        <f>VLOOKUP(C$2,Monitor_Costs,28,FALSE)</f>
        <v>Audit/Calibration Kits (Continuous)</v>
      </c>
      <c r="C109" s="721">
        <f>VLOOKUP(C$2,Monitor_Costs,29,FALSE)</f>
        <v>360</v>
      </c>
      <c r="D109" s="373">
        <f>VLOOKUP(C$2,Monitor_Costs,30,FALSE)</f>
        <v>2013</v>
      </c>
      <c r="E109" s="642"/>
      <c r="F109" s="12"/>
      <c r="G109" s="4"/>
      <c r="H109" s="4"/>
      <c r="I109" s="41"/>
      <c r="J109" s="424">
        <f>HLOOKUP($D109,InflationTable,2)*$C109</f>
        <v>431.28</v>
      </c>
      <c r="K109" s="355">
        <f>J109*L12</f>
        <v>115583.03999999999</v>
      </c>
      <c r="L109" s="308">
        <f>K109/$E$106*0.2</f>
        <v>3302.3725714285715</v>
      </c>
      <c r="M109" s="1055">
        <f>HLOOKUP($D109,InflationTable,3)*$C109</f>
        <v>440.28000000000003</v>
      </c>
      <c r="N109" s="357">
        <f>M109*O12</f>
        <v>117995.04000000001</v>
      </c>
      <c r="O109" s="95">
        <f>N109/$E$106*0.2</f>
        <v>3371.2868571428576</v>
      </c>
      <c r="P109" s="424">
        <f>HLOOKUP($D109,InflationTable,4)*$C109</f>
        <v>448.92</v>
      </c>
      <c r="Q109" s="355">
        <f>P109*R12</f>
        <v>120310.56</v>
      </c>
      <c r="R109" s="308">
        <f>Q109/$E$106*0.2</f>
        <v>3437.4445714285716</v>
      </c>
      <c r="S109" s="359" t="s">
        <v>12</v>
      </c>
      <c r="T109" s="360">
        <f>AVERAGE(L109,O109,R109)</f>
        <v>3370.3680000000004</v>
      </c>
      <c r="U109" s="519" t="s">
        <v>12</v>
      </c>
    </row>
    <row r="110" spans="1:22">
      <c r="A110" s="615"/>
      <c r="B110" s="112"/>
      <c r="C110" s="5"/>
      <c r="D110" s="5"/>
      <c r="E110" s="5"/>
      <c r="F110" s="7"/>
      <c r="G110" s="5"/>
      <c r="H110" s="5"/>
      <c r="I110" s="45" t="s">
        <v>61</v>
      </c>
      <c r="J110" s="277" t="s">
        <v>61</v>
      </c>
      <c r="K110" s="1419" t="s">
        <v>57</v>
      </c>
      <c r="L110" s="1420"/>
      <c r="M110" s="57" t="s">
        <v>61</v>
      </c>
      <c r="N110" s="1429" t="s">
        <v>57</v>
      </c>
      <c r="O110" s="1433"/>
      <c r="P110" s="318" t="s">
        <v>61</v>
      </c>
      <c r="Q110" s="1419" t="s">
        <v>57</v>
      </c>
      <c r="R110" s="1420"/>
      <c r="S110" s="120"/>
      <c r="T110" s="133"/>
      <c r="U110" s="615"/>
    </row>
    <row r="111" spans="1:22">
      <c r="A111" s="615"/>
      <c r="B111" s="600"/>
      <c r="C111" s="23" t="s">
        <v>45</v>
      </c>
      <c r="D111" s="24" t="s">
        <v>46</v>
      </c>
      <c r="E111" s="23" t="s">
        <v>47</v>
      </c>
      <c r="F111" s="23" t="s">
        <v>48</v>
      </c>
      <c r="G111" s="23" t="s">
        <v>49</v>
      </c>
      <c r="H111" s="23" t="s">
        <v>50</v>
      </c>
      <c r="I111" s="45" t="s">
        <v>13</v>
      </c>
      <c r="J111" s="260" t="s">
        <v>56</v>
      </c>
      <c r="K111" s="261" t="s">
        <v>13</v>
      </c>
      <c r="L111" s="262" t="s">
        <v>68</v>
      </c>
      <c r="M111" s="77" t="s">
        <v>56</v>
      </c>
      <c r="N111" s="24" t="s">
        <v>13</v>
      </c>
      <c r="O111" s="38" t="s">
        <v>68</v>
      </c>
      <c r="P111" s="260" t="s">
        <v>56</v>
      </c>
      <c r="Q111" s="261" t="s">
        <v>13</v>
      </c>
      <c r="R111" s="262" t="s">
        <v>68</v>
      </c>
      <c r="S111" s="120"/>
      <c r="T111" s="133"/>
      <c r="U111" s="615"/>
    </row>
    <row r="112" spans="1:22">
      <c r="A112" s="615"/>
      <c r="B112" s="1114" t="s">
        <v>234</v>
      </c>
      <c r="C112" s="21">
        <v>0</v>
      </c>
      <c r="D112" s="21">
        <v>0</v>
      </c>
      <c r="E112" s="21">
        <v>0</v>
      </c>
      <c r="F112" s="21">
        <v>35</v>
      </c>
      <c r="G112" s="21">
        <v>34</v>
      </c>
      <c r="H112" s="21">
        <v>0</v>
      </c>
      <c r="I112" s="52">
        <f>SUM(C112:H112)</f>
        <v>69</v>
      </c>
      <c r="J112" s="783">
        <f>$I112*L11</f>
        <v>26.354758961681089</v>
      </c>
      <c r="K112" s="281">
        <f>J112*L$8</f>
        <v>21321</v>
      </c>
      <c r="L112" s="289">
        <f>K112</f>
        <v>21321</v>
      </c>
      <c r="M112" s="1036">
        <f>$I112*O11</f>
        <v>26.354758961681089</v>
      </c>
      <c r="N112" s="69">
        <f>M112*O$8</f>
        <v>21321</v>
      </c>
      <c r="O112" s="68">
        <f>N112</f>
        <v>21321</v>
      </c>
      <c r="P112" s="783">
        <f>$I112*R11</f>
        <v>26.354758961681089</v>
      </c>
      <c r="Q112" s="281">
        <f>P112*R$8</f>
        <v>21321</v>
      </c>
      <c r="R112" s="289">
        <f>Q112</f>
        <v>21321</v>
      </c>
      <c r="S112" s="121">
        <f>AVERAGE(L112,O112,R112)</f>
        <v>21321</v>
      </c>
      <c r="T112" s="135" t="s">
        <v>12</v>
      </c>
      <c r="U112" s="1086" t="s">
        <v>12</v>
      </c>
    </row>
    <row r="113" spans="1:21" ht="13.5" thickBot="1">
      <c r="A113" s="615"/>
      <c r="B113" s="1109" t="s">
        <v>8</v>
      </c>
      <c r="C113" s="34">
        <f>ROUND(C112*Labor!$D$3,0)</f>
        <v>0</v>
      </c>
      <c r="D113" s="35">
        <f>ROUND(D112*Labor!$D$4,0)</f>
        <v>0</v>
      </c>
      <c r="E113" s="35">
        <f>ROUND(E112*Labor!$D$5,0)</f>
        <v>0</v>
      </c>
      <c r="F113" s="35">
        <f>ROUND(F112*Labor!$D$6,0)</f>
        <v>1724</v>
      </c>
      <c r="G113" s="35">
        <f>ROUND(G112*Labor!$D$7,0)</f>
        <v>1886</v>
      </c>
      <c r="H113" s="35">
        <f>ROUND(H112*Labor!$D$8,0)</f>
        <v>0</v>
      </c>
      <c r="I113" s="39">
        <f>SUM(C113:H113)</f>
        <v>3610</v>
      </c>
      <c r="J113" s="268">
        <f>HLOOKUP(Labor!$B$11,InflationTable,2)*$I113*L$11</f>
        <v>1651.8628182941904</v>
      </c>
      <c r="K113" s="269">
        <f>J113*$L$8</f>
        <v>1336357.02</v>
      </c>
      <c r="L113" s="308">
        <f>K113</f>
        <v>1336357.02</v>
      </c>
      <c r="M113" s="84">
        <f>HLOOKUP(Labor!$B$11,InflationTable,3)*$I113*O$11</f>
        <v>1686.3340791100127</v>
      </c>
      <c r="N113" s="63">
        <f>M113*$O$8</f>
        <v>1364244.2700000003</v>
      </c>
      <c r="O113" s="95">
        <f>N113</f>
        <v>1364244.2700000003</v>
      </c>
      <c r="P113" s="268">
        <f>HLOOKUP(Labor!$B$11,InflationTable,4)*$I113*R$11</f>
        <v>1719.4264894932016</v>
      </c>
      <c r="Q113" s="269">
        <f>P113*$R$8</f>
        <v>1391016.03</v>
      </c>
      <c r="R113" s="308">
        <f>Q113</f>
        <v>1391016.03</v>
      </c>
      <c r="S113" s="128">
        <f>AVERAGE(L113,O113,R113)</f>
        <v>1363872.4400000002</v>
      </c>
      <c r="T113" s="137" t="s">
        <v>12</v>
      </c>
      <c r="U113" s="1087" t="s">
        <v>12</v>
      </c>
    </row>
    <row r="114" spans="1:21">
      <c r="A114" s="615"/>
      <c r="B114" s="1060" t="s">
        <v>235</v>
      </c>
      <c r="C114" s="21">
        <v>0</v>
      </c>
      <c r="D114" s="21">
        <v>0</v>
      </c>
      <c r="E114" s="21">
        <v>12</v>
      </c>
      <c r="F114" s="21">
        <v>0</v>
      </c>
      <c r="G114" s="21">
        <v>0</v>
      </c>
      <c r="H114" s="21">
        <v>0</v>
      </c>
      <c r="I114" s="52">
        <f>SUM(C114:H114)</f>
        <v>12</v>
      </c>
      <c r="J114" s="263" t="s">
        <v>12</v>
      </c>
      <c r="K114" s="281">
        <f>$I114*L$12</f>
        <v>3216</v>
      </c>
      <c r="L114" s="289">
        <f>K114</f>
        <v>3216</v>
      </c>
      <c r="M114" s="58" t="s">
        <v>12</v>
      </c>
      <c r="N114" s="69">
        <f>$I114*O$12</f>
        <v>3216</v>
      </c>
      <c r="O114" s="68">
        <f>N114</f>
        <v>3216</v>
      </c>
      <c r="P114" s="263" t="s">
        <v>12</v>
      </c>
      <c r="Q114" s="281">
        <f>$I114*R$12</f>
        <v>3216</v>
      </c>
      <c r="R114" s="289">
        <f>Q114</f>
        <v>3216</v>
      </c>
      <c r="S114" s="121">
        <f>AVERAGE(L114,O114,R114)</f>
        <v>3216</v>
      </c>
      <c r="T114" s="135" t="s">
        <v>12</v>
      </c>
      <c r="U114" s="1086" t="s">
        <v>12</v>
      </c>
    </row>
    <row r="115" spans="1:21" ht="13.5" thickBot="1">
      <c r="A115" s="615"/>
      <c r="B115" s="1110" t="s">
        <v>8</v>
      </c>
      <c r="C115" s="34">
        <f>ROUND(C114*Labor!$D$3,0)</f>
        <v>0</v>
      </c>
      <c r="D115" s="35">
        <f>ROUND(D114*Labor!$D$4,0)</f>
        <v>0</v>
      </c>
      <c r="E115" s="35">
        <f>ROUND(E114*Labor!$D$5,0)</f>
        <v>529</v>
      </c>
      <c r="F115" s="35">
        <f>ROUND(F114*Labor!$D$6,0)</f>
        <v>0</v>
      </c>
      <c r="G115" s="35">
        <f>ROUND(G114*Labor!$D$7,0)</f>
        <v>0</v>
      </c>
      <c r="H115" s="35">
        <f>ROUND(H114*Labor!$D$8,0)</f>
        <v>0</v>
      </c>
      <c r="I115" s="39">
        <f>SUM(C115:H115)</f>
        <v>529</v>
      </c>
      <c r="J115" s="268">
        <f>HLOOKUP(Labor!$B$11,InflationTable,2)*$I115</f>
        <v>633.74199999999996</v>
      </c>
      <c r="K115" s="269">
        <f>J115*L$12</f>
        <v>169842.856</v>
      </c>
      <c r="L115" s="308">
        <f>K115</f>
        <v>169842.856</v>
      </c>
      <c r="M115" s="84">
        <f>HLOOKUP(Labor!$B$11,InflationTable,3)*$I115</f>
        <v>646.9670000000001</v>
      </c>
      <c r="N115" s="63">
        <f>M115*O$12</f>
        <v>173387.15600000002</v>
      </c>
      <c r="O115" s="95">
        <f>N115</f>
        <v>173387.15600000002</v>
      </c>
      <c r="P115" s="268">
        <f>HLOOKUP(Labor!$B$11,InflationTable,4)*$I115</f>
        <v>659.66300000000001</v>
      </c>
      <c r="Q115" s="269">
        <f>P115*R$12</f>
        <v>176789.68400000001</v>
      </c>
      <c r="R115" s="308">
        <f>Q115</f>
        <v>176789.68400000001</v>
      </c>
      <c r="S115" s="128">
        <f>AVERAGE(L115,O115,R115)</f>
        <v>173339.89866666668</v>
      </c>
      <c r="T115" s="137" t="s">
        <v>12</v>
      </c>
      <c r="U115" s="1087" t="s">
        <v>12</v>
      </c>
    </row>
    <row r="116" spans="1:21">
      <c r="A116" s="615"/>
      <c r="B116" s="610" t="s">
        <v>296</v>
      </c>
      <c r="C116" s="346">
        <v>0</v>
      </c>
      <c r="D116" s="346">
        <v>0</v>
      </c>
      <c r="E116" s="346">
        <v>0</v>
      </c>
      <c r="F116" s="346">
        <v>4</v>
      </c>
      <c r="G116" s="346">
        <v>0</v>
      </c>
      <c r="H116" s="346">
        <v>0</v>
      </c>
      <c r="I116" s="347">
        <f t="shared" ref="I116:I121" si="28">SUM(C116:H116)</f>
        <v>4</v>
      </c>
      <c r="J116" s="293" t="s">
        <v>12</v>
      </c>
      <c r="K116" s="327">
        <f>I116*SUM(L3:L6)</f>
        <v>2632</v>
      </c>
      <c r="L116" s="328">
        <f t="shared" ref="L116:L123" si="29">K116</f>
        <v>2632</v>
      </c>
      <c r="M116" s="61" t="s">
        <v>12</v>
      </c>
      <c r="N116" s="348">
        <f>$I116*$O$8</f>
        <v>3236</v>
      </c>
      <c r="O116" s="349">
        <f t="shared" ref="O116:O123" si="30">N116</f>
        <v>3236</v>
      </c>
      <c r="P116" s="293" t="s">
        <v>12</v>
      </c>
      <c r="Q116" s="327">
        <f>$I116*$O$8</f>
        <v>3236</v>
      </c>
      <c r="R116" s="328">
        <f t="shared" ref="R116:R123" si="31">Q116</f>
        <v>3236</v>
      </c>
      <c r="S116" s="129">
        <f t="shared" ref="S116:S121" si="32">AVERAGE(L116,O116,R116)</f>
        <v>3034.6666666666665</v>
      </c>
      <c r="T116" s="135" t="s">
        <v>12</v>
      </c>
      <c r="U116" s="1086" t="s">
        <v>12</v>
      </c>
    </row>
    <row r="117" spans="1:21" ht="13.5" thickBot="1">
      <c r="A117" s="615"/>
      <c r="B117" s="1109" t="s">
        <v>8</v>
      </c>
      <c r="C117" s="34">
        <f>ROUND(C116*Labor!$D$3,0)</f>
        <v>0</v>
      </c>
      <c r="D117" s="35">
        <f>ROUND(D116*Labor!$D$4,0)</f>
        <v>0</v>
      </c>
      <c r="E117" s="35">
        <f>ROUND(E116*Labor!$D$5,0)</f>
        <v>0</v>
      </c>
      <c r="F117" s="35">
        <f>ROUND(F116*Labor!$D$6,0)</f>
        <v>197</v>
      </c>
      <c r="G117" s="35">
        <f>ROUND(G116*Labor!$D$7,0)</f>
        <v>0</v>
      </c>
      <c r="H117" s="35">
        <f>ROUND(H116*Labor!$D$8,0)</f>
        <v>0</v>
      </c>
      <c r="I117" s="39">
        <f t="shared" si="28"/>
        <v>197</v>
      </c>
      <c r="J117" s="268">
        <f>HLOOKUP(Labor!$B$11,InflationTable,2)*I117</f>
        <v>236.006</v>
      </c>
      <c r="K117" s="269">
        <f>J117*SUM(L3:L6)</f>
        <v>155291.948</v>
      </c>
      <c r="L117" s="308">
        <f t="shared" si="29"/>
        <v>155291.948</v>
      </c>
      <c r="M117" s="362">
        <f>HLOOKUP(Labor!$B$11,InflationTable,3)*$I117</f>
        <v>240.93100000000001</v>
      </c>
      <c r="N117" s="63">
        <f>M117*SUM(O3:O6)</f>
        <v>158532.598</v>
      </c>
      <c r="O117" s="95">
        <f t="shared" si="30"/>
        <v>158532.598</v>
      </c>
      <c r="P117" s="268">
        <f>HLOOKUP(Labor!$B$11,InflationTable,4)*$I117</f>
        <v>245.65900000000002</v>
      </c>
      <c r="Q117" s="269">
        <f>P117*SUM(R3:R6)</f>
        <v>161643.622</v>
      </c>
      <c r="R117" s="308">
        <f t="shared" si="31"/>
        <v>161643.622</v>
      </c>
      <c r="S117" s="172">
        <f t="shared" si="32"/>
        <v>158489.38933333333</v>
      </c>
      <c r="T117" s="118" t="s">
        <v>12</v>
      </c>
      <c r="U117" s="1075" t="s">
        <v>12</v>
      </c>
    </row>
    <row r="118" spans="1:21">
      <c r="A118" s="615"/>
      <c r="B118" s="610" t="s">
        <v>297</v>
      </c>
      <c r="C118" s="346">
        <v>0</v>
      </c>
      <c r="D118" s="346">
        <v>0</v>
      </c>
      <c r="E118" s="346">
        <v>2</v>
      </c>
      <c r="F118" s="346">
        <v>2</v>
      </c>
      <c r="G118" s="346">
        <v>1</v>
      </c>
      <c r="H118" s="346">
        <v>0</v>
      </c>
      <c r="I118" s="347">
        <f>SUM(C118:H118)</f>
        <v>5</v>
      </c>
      <c r="J118" s="293" t="s">
        <v>12</v>
      </c>
      <c r="K118" s="327">
        <f>I118*L$12</f>
        <v>1340</v>
      </c>
      <c r="L118" s="328">
        <f t="shared" si="29"/>
        <v>1340</v>
      </c>
      <c r="M118" s="61" t="s">
        <v>12</v>
      </c>
      <c r="N118" s="348">
        <f>$I118*O$12</f>
        <v>1340</v>
      </c>
      <c r="O118" s="349">
        <f t="shared" si="30"/>
        <v>1340</v>
      </c>
      <c r="P118" s="293" t="s">
        <v>12</v>
      </c>
      <c r="Q118" s="327">
        <f>$I118*R$12</f>
        <v>1340</v>
      </c>
      <c r="R118" s="328">
        <f t="shared" si="31"/>
        <v>1340</v>
      </c>
      <c r="S118" s="129">
        <f>AVERAGE(L118,O118,R118)</f>
        <v>1340</v>
      </c>
      <c r="T118" s="135" t="s">
        <v>12</v>
      </c>
      <c r="U118" s="1086" t="s">
        <v>12</v>
      </c>
    </row>
    <row r="119" spans="1:21" ht="13.5" thickBot="1">
      <c r="A119" s="615"/>
      <c r="B119" s="1109" t="s">
        <v>8</v>
      </c>
      <c r="C119" s="34">
        <f>ROUND(C118*Labor!$D$3,0)</f>
        <v>0</v>
      </c>
      <c r="D119" s="35">
        <f>ROUND(D118*Labor!$D$4,0)</f>
        <v>0</v>
      </c>
      <c r="E119" s="35">
        <f>ROUND(E118*Labor!$D$5,0)</f>
        <v>88</v>
      </c>
      <c r="F119" s="35">
        <f>ROUND(F118*Labor!$D$6,0)</f>
        <v>99</v>
      </c>
      <c r="G119" s="35">
        <f>ROUND(G118*Labor!$D$7,0)</f>
        <v>55</v>
      </c>
      <c r="H119" s="35">
        <f>ROUND(H118*Labor!$D$8,0)</f>
        <v>0</v>
      </c>
      <c r="I119" s="39">
        <f>SUM(C119:H119)</f>
        <v>242</v>
      </c>
      <c r="J119" s="268">
        <f>HLOOKUP(Labor!$B$11,InflationTable,2)*I119</f>
        <v>289.916</v>
      </c>
      <c r="K119" s="269">
        <f>J119*L$12</f>
        <v>77697.487999999998</v>
      </c>
      <c r="L119" s="308">
        <f t="shared" si="29"/>
        <v>77697.487999999998</v>
      </c>
      <c r="M119" s="362">
        <f>HLOOKUP(Labor!$B$11,InflationTable,3)*$I119</f>
        <v>295.96600000000001</v>
      </c>
      <c r="N119" s="63">
        <f>M119*O$12</f>
        <v>79318.888000000006</v>
      </c>
      <c r="O119" s="95">
        <f t="shared" si="30"/>
        <v>79318.888000000006</v>
      </c>
      <c r="P119" s="268">
        <f>HLOOKUP(Labor!$B$11,InflationTable,4)*$I119</f>
        <v>301.774</v>
      </c>
      <c r="Q119" s="269">
        <f>P119*R$12</f>
        <v>80875.432000000001</v>
      </c>
      <c r="R119" s="308">
        <f t="shared" si="31"/>
        <v>80875.432000000001</v>
      </c>
      <c r="S119" s="172">
        <f>AVERAGE(L119,O119,R119)</f>
        <v>79297.26933333333</v>
      </c>
      <c r="T119" s="118" t="s">
        <v>12</v>
      </c>
      <c r="U119" s="1075" t="s">
        <v>12</v>
      </c>
    </row>
    <row r="120" spans="1:21">
      <c r="A120" s="615"/>
      <c r="B120" s="1111" t="s">
        <v>294</v>
      </c>
      <c r="C120" s="346">
        <v>0</v>
      </c>
      <c r="D120" s="346">
        <v>0</v>
      </c>
      <c r="E120" s="346">
        <v>0</v>
      </c>
      <c r="F120" s="346">
        <v>6</v>
      </c>
      <c r="G120" s="346">
        <v>6</v>
      </c>
      <c r="H120" s="346">
        <v>0</v>
      </c>
      <c r="I120" s="347">
        <f t="shared" si="28"/>
        <v>12</v>
      </c>
      <c r="J120" s="293" t="s">
        <v>12</v>
      </c>
      <c r="K120" s="327">
        <f>I120*$L$8</f>
        <v>9708</v>
      </c>
      <c r="L120" s="328">
        <f t="shared" si="29"/>
        <v>9708</v>
      </c>
      <c r="M120" s="61" t="s">
        <v>12</v>
      </c>
      <c r="N120" s="348">
        <f>$I120*$O$8</f>
        <v>9708</v>
      </c>
      <c r="O120" s="349">
        <f t="shared" si="30"/>
        <v>9708</v>
      </c>
      <c r="P120" s="293" t="s">
        <v>12</v>
      </c>
      <c r="Q120" s="327">
        <f>$I120*$O$8</f>
        <v>9708</v>
      </c>
      <c r="R120" s="328">
        <f t="shared" si="31"/>
        <v>9708</v>
      </c>
      <c r="S120" s="121">
        <f t="shared" si="32"/>
        <v>9708</v>
      </c>
      <c r="T120" s="135" t="s">
        <v>12</v>
      </c>
      <c r="U120" s="1086" t="s">
        <v>12</v>
      </c>
    </row>
    <row r="121" spans="1:21" ht="13.5" thickBot="1">
      <c r="A121" s="615"/>
      <c r="B121" s="1109" t="s">
        <v>8</v>
      </c>
      <c r="C121" s="34">
        <f>ROUND(C120*Labor!$D$3,0)</f>
        <v>0</v>
      </c>
      <c r="D121" s="35">
        <f>ROUND(D120*Labor!$D$4,0)</f>
        <v>0</v>
      </c>
      <c r="E121" s="35">
        <f>ROUND(E120*Labor!$D$5,0)</f>
        <v>0</v>
      </c>
      <c r="F121" s="35">
        <f>ROUND(F120*Labor!$D$6,0)</f>
        <v>296</v>
      </c>
      <c r="G121" s="35">
        <f>ROUND(G120*Labor!$D$7,0)</f>
        <v>333</v>
      </c>
      <c r="H121" s="35">
        <f>ROUND(H120*Labor!$D$8,0)</f>
        <v>0</v>
      </c>
      <c r="I121" s="39">
        <f t="shared" si="28"/>
        <v>629</v>
      </c>
      <c r="J121" s="268">
        <f>HLOOKUP(Labor!$B$11,InflationTable,2)*I121</f>
        <v>753.54199999999992</v>
      </c>
      <c r="K121" s="269">
        <f>J121*$L$8</f>
        <v>609615.47799999989</v>
      </c>
      <c r="L121" s="308">
        <f t="shared" si="29"/>
        <v>609615.47799999989</v>
      </c>
      <c r="M121" s="362">
        <f>HLOOKUP(Labor!$B$11,InflationTable,3)*$I121</f>
        <v>769.26700000000005</v>
      </c>
      <c r="N121" s="63">
        <f>M121*$O$8</f>
        <v>622337.00300000003</v>
      </c>
      <c r="O121" s="95">
        <f t="shared" si="30"/>
        <v>622337.00300000003</v>
      </c>
      <c r="P121" s="268">
        <f>HLOOKUP(Labor!$B$11,InflationTable,4)*$I121</f>
        <v>784.36300000000006</v>
      </c>
      <c r="Q121" s="269">
        <f>P121*$R$8</f>
        <v>634549.66700000002</v>
      </c>
      <c r="R121" s="308">
        <f t="shared" si="31"/>
        <v>634549.66700000002</v>
      </c>
      <c r="S121" s="128">
        <f t="shared" si="32"/>
        <v>622167.38266666664</v>
      </c>
      <c r="T121" s="137" t="s">
        <v>12</v>
      </c>
      <c r="U121" s="1087" t="s">
        <v>12</v>
      </c>
    </row>
    <row r="122" spans="1:21">
      <c r="A122" s="615"/>
      <c r="B122" s="610" t="s">
        <v>295</v>
      </c>
      <c r="C122" s="346">
        <v>0</v>
      </c>
      <c r="D122" s="346">
        <v>0</v>
      </c>
      <c r="E122" s="346">
        <v>2</v>
      </c>
      <c r="F122" s="346">
        <v>2</v>
      </c>
      <c r="G122" s="346">
        <v>1</v>
      </c>
      <c r="H122" s="346">
        <v>0</v>
      </c>
      <c r="I122" s="347">
        <f>SUM(C122:H122)</f>
        <v>5</v>
      </c>
      <c r="J122" s="293" t="s">
        <v>12</v>
      </c>
      <c r="K122" s="327">
        <f>I122*L$12</f>
        <v>1340</v>
      </c>
      <c r="L122" s="328">
        <f t="shared" si="29"/>
        <v>1340</v>
      </c>
      <c r="M122" s="61" t="s">
        <v>12</v>
      </c>
      <c r="N122" s="348">
        <f>$I122*$O$8</f>
        <v>4045</v>
      </c>
      <c r="O122" s="349">
        <f t="shared" si="30"/>
        <v>4045</v>
      </c>
      <c r="P122" s="293" t="s">
        <v>12</v>
      </c>
      <c r="Q122" s="327">
        <f>$I122*$O$8</f>
        <v>4045</v>
      </c>
      <c r="R122" s="328">
        <f t="shared" si="31"/>
        <v>4045</v>
      </c>
      <c r="S122" s="121">
        <f>AVERAGE(L122,O122,R122)</f>
        <v>3143.3333333333335</v>
      </c>
      <c r="T122" s="135" t="s">
        <v>12</v>
      </c>
      <c r="U122" s="1086" t="s">
        <v>12</v>
      </c>
    </row>
    <row r="123" spans="1:21" ht="13.5" thickBot="1">
      <c r="A123" s="615"/>
      <c r="B123" s="1110" t="s">
        <v>8</v>
      </c>
      <c r="C123" s="34">
        <f>ROUND(C122*Labor!$D$3,0)</f>
        <v>0</v>
      </c>
      <c r="D123" s="35">
        <f>ROUND(D122*Labor!$D$4,0)</f>
        <v>0</v>
      </c>
      <c r="E123" s="35">
        <f>ROUND(E122*Labor!$D$5,0)</f>
        <v>88</v>
      </c>
      <c r="F123" s="35">
        <f>ROUND(F122*Labor!$D$6,0)</f>
        <v>99</v>
      </c>
      <c r="G123" s="35">
        <f>ROUND(G122*Labor!$D$7,0)</f>
        <v>55</v>
      </c>
      <c r="H123" s="35">
        <f>ROUND(H122*Labor!$D$8,0)</f>
        <v>0</v>
      </c>
      <c r="I123" s="39">
        <f>SUM(C123:H123)</f>
        <v>242</v>
      </c>
      <c r="J123" s="268">
        <f>HLOOKUP(Labor!$B$11,InflationTable,2)*I123</f>
        <v>289.916</v>
      </c>
      <c r="K123" s="269">
        <f>J123*L$12</f>
        <v>77697.487999999998</v>
      </c>
      <c r="L123" s="308">
        <f t="shared" si="29"/>
        <v>77697.487999999998</v>
      </c>
      <c r="M123" s="362">
        <f>HLOOKUP(Labor!$B$11,InflationTable,3)*$I123</f>
        <v>295.96600000000001</v>
      </c>
      <c r="N123" s="63">
        <f>M123*O$12</f>
        <v>79318.888000000006</v>
      </c>
      <c r="O123" s="95">
        <f t="shared" si="30"/>
        <v>79318.888000000006</v>
      </c>
      <c r="P123" s="268">
        <f>HLOOKUP(Labor!$B$11,InflationTable,4)*$I123</f>
        <v>301.774</v>
      </c>
      <c r="Q123" s="269">
        <f>P123*R$12</f>
        <v>80875.432000000001</v>
      </c>
      <c r="R123" s="308">
        <f t="shared" si="31"/>
        <v>80875.432000000001</v>
      </c>
      <c r="S123" s="128">
        <f>AVERAGE(L123,O123,R123)</f>
        <v>79297.26933333333</v>
      </c>
      <c r="T123" s="137" t="s">
        <v>12</v>
      </c>
      <c r="U123" s="1087" t="s">
        <v>12</v>
      </c>
    </row>
    <row r="124" spans="1:21">
      <c r="A124" s="615"/>
      <c r="B124" s="1059" t="s">
        <v>29</v>
      </c>
      <c r="C124" s="107" t="s">
        <v>45</v>
      </c>
      <c r="D124" s="108" t="s">
        <v>46</v>
      </c>
      <c r="E124" s="107" t="s">
        <v>47</v>
      </c>
      <c r="F124" s="107" t="s">
        <v>48</v>
      </c>
      <c r="G124" s="107" t="s">
        <v>49</v>
      </c>
      <c r="H124" s="107" t="s">
        <v>50</v>
      </c>
      <c r="I124" s="109" t="s">
        <v>112</v>
      </c>
      <c r="J124" s="351"/>
      <c r="K124" s="352"/>
      <c r="L124" s="356"/>
      <c r="M124" s="110" t="s">
        <v>113</v>
      </c>
      <c r="N124" s="108" t="s">
        <v>13</v>
      </c>
      <c r="O124" s="111" t="s">
        <v>68</v>
      </c>
      <c r="P124" s="351" t="s">
        <v>113</v>
      </c>
      <c r="Q124" s="352" t="s">
        <v>13</v>
      </c>
      <c r="R124" s="356" t="s">
        <v>68</v>
      </c>
      <c r="S124" s="123"/>
      <c r="T124" s="133"/>
      <c r="U124" s="615"/>
    </row>
    <row r="125" spans="1:21">
      <c r="A125" s="615"/>
      <c r="B125" s="1112" t="s">
        <v>51</v>
      </c>
      <c r="C125" s="21">
        <v>0</v>
      </c>
      <c r="D125" s="21">
        <v>0</v>
      </c>
      <c r="E125" s="21">
        <v>0.2</v>
      </c>
      <c r="F125" s="21">
        <v>0.3</v>
      </c>
      <c r="G125" s="21">
        <v>0</v>
      </c>
      <c r="H125" s="21">
        <v>0</v>
      </c>
      <c r="I125" s="52">
        <f>SUM(C125:H125)</f>
        <v>0.5</v>
      </c>
      <c r="J125" s="263" t="s">
        <v>12</v>
      </c>
      <c r="K125" s="314">
        <f>I125*$J$7</f>
        <v>73</v>
      </c>
      <c r="L125" s="289">
        <f>K125</f>
        <v>73</v>
      </c>
      <c r="M125" s="58" t="s">
        <v>12</v>
      </c>
      <c r="N125" s="89">
        <f>$I125*M$10</f>
        <v>0</v>
      </c>
      <c r="O125" s="68">
        <f>N125</f>
        <v>0</v>
      </c>
      <c r="P125" s="263" t="s">
        <v>12</v>
      </c>
      <c r="Q125" s="314">
        <f>$I125*P$10</f>
        <v>0</v>
      </c>
      <c r="R125" s="289">
        <f>Q125</f>
        <v>0</v>
      </c>
      <c r="S125" s="121">
        <f>AVERAGE(L125,O125,R125)</f>
        <v>24.333333333333332</v>
      </c>
      <c r="T125" s="135" t="s">
        <v>12</v>
      </c>
      <c r="U125" s="1086" t="s">
        <v>12</v>
      </c>
    </row>
    <row r="126" spans="1:21" ht="13.5" thickBot="1">
      <c r="A126" s="615"/>
      <c r="B126" s="1113" t="s">
        <v>107</v>
      </c>
      <c r="C126" s="34">
        <f>ROUND(C125*Labor!$D$3,0)</f>
        <v>0</v>
      </c>
      <c r="D126" s="35">
        <f>ROUND(D125*Labor!$D$4,0)</f>
        <v>0</v>
      </c>
      <c r="E126" s="35">
        <f>ROUND(E125*Labor!$D$5,0)</f>
        <v>9</v>
      </c>
      <c r="F126" s="35">
        <f>ROUND(F125*Labor!$D$6,0)</f>
        <v>15</v>
      </c>
      <c r="G126" s="35">
        <f>ROUND(G125*Labor!$D$7,0)</f>
        <v>0</v>
      </c>
      <c r="H126" s="35">
        <f>ROUND(H125*Labor!$D$8,0)</f>
        <v>0</v>
      </c>
      <c r="I126" s="39">
        <f>SUM(C126:H126)</f>
        <v>24</v>
      </c>
      <c r="J126" s="268">
        <f>HLOOKUP(Labor!$B$11,InflationTable,2)*I126</f>
        <v>28.751999999999999</v>
      </c>
      <c r="K126" s="269">
        <f>J126*$J$7</f>
        <v>4197.7919999999995</v>
      </c>
      <c r="L126" s="308">
        <f>K126</f>
        <v>4197.7919999999995</v>
      </c>
      <c r="M126" s="362">
        <f>HLOOKUP(Labor!$B$11,InflationTable,3)*$I126</f>
        <v>29.352000000000004</v>
      </c>
      <c r="N126" s="63">
        <f>M126*$M$10</f>
        <v>0</v>
      </c>
      <c r="O126" s="95">
        <f>N126</f>
        <v>0</v>
      </c>
      <c r="P126" s="268">
        <f>HLOOKUP(Labor!$B$11,InflationTable,4)*$I126</f>
        <v>29.928000000000004</v>
      </c>
      <c r="Q126" s="269">
        <f>P126*$P$10</f>
        <v>0</v>
      </c>
      <c r="R126" s="308">
        <f>Q126</f>
        <v>0</v>
      </c>
      <c r="S126" s="171">
        <f>AVERAGE(L126,O126,R126)</f>
        <v>1399.2639999999999</v>
      </c>
      <c r="T126" s="137" t="s">
        <v>12</v>
      </c>
      <c r="U126" s="1087" t="s">
        <v>12</v>
      </c>
    </row>
    <row r="127" spans="1:21">
      <c r="A127" s="615"/>
      <c r="B127" s="1059" t="s">
        <v>106</v>
      </c>
      <c r="C127" s="32"/>
      <c r="D127" s="431" t="s">
        <v>54</v>
      </c>
      <c r="E127" s="28">
        <v>5</v>
      </c>
      <c r="F127" s="7"/>
      <c r="G127" s="5"/>
      <c r="H127" s="5"/>
      <c r="I127" s="109" t="s">
        <v>55</v>
      </c>
      <c r="J127" s="259"/>
      <c r="K127" s="542"/>
      <c r="L127" s="543"/>
      <c r="M127" s="364" t="s">
        <v>55</v>
      </c>
      <c r="N127" s="1431" t="s">
        <v>57</v>
      </c>
      <c r="O127" s="1432"/>
      <c r="P127" s="259" t="s">
        <v>55</v>
      </c>
      <c r="Q127" s="1428" t="s">
        <v>57</v>
      </c>
      <c r="R127" s="1436"/>
      <c r="S127" s="170"/>
      <c r="T127" s="133"/>
      <c r="U127" s="615"/>
    </row>
    <row r="128" spans="1:21">
      <c r="A128" s="615"/>
      <c r="B128" s="729" t="s">
        <v>51</v>
      </c>
      <c r="C128" s="21">
        <v>0</v>
      </c>
      <c r="D128" s="21">
        <v>0</v>
      </c>
      <c r="E128" s="21">
        <v>6</v>
      </c>
      <c r="F128" s="21">
        <v>5</v>
      </c>
      <c r="G128" s="21">
        <v>5</v>
      </c>
      <c r="H128" s="21">
        <v>0</v>
      </c>
      <c r="I128" s="52">
        <f>SUM(C128:H128)</f>
        <v>16</v>
      </c>
      <c r="J128" s="263" t="s">
        <v>12</v>
      </c>
      <c r="K128" s="283">
        <f>I128*$J$7</f>
        <v>2336</v>
      </c>
      <c r="L128" s="282">
        <f>K128/$E$127</f>
        <v>467.2</v>
      </c>
      <c r="M128" s="58" t="s">
        <v>12</v>
      </c>
      <c r="N128" s="60">
        <f>$I$128*$M$10</f>
        <v>0</v>
      </c>
      <c r="O128" s="59">
        <f>N128/$E$127</f>
        <v>0</v>
      </c>
      <c r="P128" s="263" t="s">
        <v>12</v>
      </c>
      <c r="Q128" s="283">
        <f>$I$128*$P$10</f>
        <v>0</v>
      </c>
      <c r="R128" s="282">
        <f>Q128/$E$127</f>
        <v>0</v>
      </c>
      <c r="S128" s="121">
        <f>AVERAGE(L128,O128,R128)</f>
        <v>155.73333333333332</v>
      </c>
      <c r="T128" s="135" t="s">
        <v>12</v>
      </c>
      <c r="U128" s="1086" t="s">
        <v>12</v>
      </c>
    </row>
    <row r="129" spans="1:21" ht="13.5" thickBot="1">
      <c r="A129" s="615"/>
      <c r="B129" s="1108" t="s">
        <v>105</v>
      </c>
      <c r="C129" s="34">
        <f>ROUND(C128*Labor!$D$3,0)</f>
        <v>0</v>
      </c>
      <c r="D129" s="35">
        <f>ROUND(D128*Labor!$D$4,0)</f>
        <v>0</v>
      </c>
      <c r="E129" s="35">
        <f>ROUND(E128*Labor!$D$5,0)</f>
        <v>265</v>
      </c>
      <c r="F129" s="35">
        <f>ROUND(F128*Labor!$D$6,0)</f>
        <v>246</v>
      </c>
      <c r="G129" s="35">
        <f>ROUND(G128*Labor!$D$7,0)</f>
        <v>277</v>
      </c>
      <c r="H129" s="35">
        <f>ROUND(H128*Labor!$D$8,0)</f>
        <v>0</v>
      </c>
      <c r="I129" s="39">
        <f>SUM(C129:H129)</f>
        <v>788</v>
      </c>
      <c r="J129" s="268">
        <f>HLOOKUP(Labor!$B$11,InflationTable,2)*I129</f>
        <v>944.024</v>
      </c>
      <c r="K129" s="269">
        <f>J129*$J$7</f>
        <v>137827.50399999999</v>
      </c>
      <c r="L129" s="270">
        <f>K129/$E$127</f>
        <v>27565.500799999998</v>
      </c>
      <c r="M129" s="91">
        <f>HLOOKUP(Labor!$B$11,InflationTable,3)*$I129</f>
        <v>963.72400000000005</v>
      </c>
      <c r="N129" s="63">
        <f>M129*$M$10</f>
        <v>0</v>
      </c>
      <c r="O129" s="64">
        <f>N129/$E$127</f>
        <v>0</v>
      </c>
      <c r="P129" s="292">
        <f>HLOOKUP(Labor!$B$11,InflationTable,4)*$I129</f>
        <v>982.63600000000008</v>
      </c>
      <c r="Q129" s="269">
        <f>P129*$P$10</f>
        <v>0</v>
      </c>
      <c r="R129" s="270">
        <f>Q129/$E$127</f>
        <v>0</v>
      </c>
      <c r="S129" s="128">
        <f>AVERAGE(L129,O129,R129)</f>
        <v>9188.500266666666</v>
      </c>
      <c r="T129" s="137" t="s">
        <v>12</v>
      </c>
      <c r="U129" s="1087" t="s">
        <v>12</v>
      </c>
    </row>
    <row r="130" spans="1:21">
      <c r="A130" s="615"/>
      <c r="B130" s="605" t="s">
        <v>66</v>
      </c>
      <c r="C130" s="42">
        <f>C112+C114+C116+C118+C120+C122+C125+C128</f>
        <v>0</v>
      </c>
      <c r="D130" s="42">
        <f t="shared" ref="D130:R130" si="33">D112+D114+D116+D118+D120+D122+D125+D128</f>
        <v>0</v>
      </c>
      <c r="E130" s="42">
        <f t="shared" si="33"/>
        <v>22.2</v>
      </c>
      <c r="F130" s="42">
        <f t="shared" si="33"/>
        <v>54.3</v>
      </c>
      <c r="G130" s="42">
        <f t="shared" si="33"/>
        <v>47</v>
      </c>
      <c r="H130" s="42">
        <f t="shared" si="33"/>
        <v>0</v>
      </c>
      <c r="I130" s="42">
        <f t="shared" si="33"/>
        <v>123.5</v>
      </c>
      <c r="J130" s="293" t="s">
        <v>12</v>
      </c>
      <c r="K130" s="285">
        <f t="shared" si="33"/>
        <v>41966</v>
      </c>
      <c r="L130" s="285">
        <f t="shared" si="33"/>
        <v>40097.199999999997</v>
      </c>
      <c r="M130" s="92" t="s">
        <v>12</v>
      </c>
      <c r="N130" s="33">
        <f t="shared" si="33"/>
        <v>42866</v>
      </c>
      <c r="O130" s="33">
        <f t="shared" si="33"/>
        <v>42866</v>
      </c>
      <c r="P130" s="61" t="s">
        <v>12</v>
      </c>
      <c r="Q130" s="33">
        <f t="shared" si="33"/>
        <v>42866</v>
      </c>
      <c r="R130" s="33">
        <f t="shared" si="33"/>
        <v>42866</v>
      </c>
      <c r="S130" s="150">
        <f>AVERAGE(L130,O130,R130)</f>
        <v>41943.066666666666</v>
      </c>
      <c r="T130" s="133"/>
      <c r="U130" s="615"/>
    </row>
    <row r="131" spans="1:21" ht="13.5" thickBot="1">
      <c r="A131" s="615"/>
      <c r="B131" s="606" t="s">
        <v>67</v>
      </c>
      <c r="C131" s="711">
        <f>C113+C115+C117+C119+C121+C123+C126+C129</f>
        <v>0</v>
      </c>
      <c r="D131" s="711">
        <f t="shared" ref="D131:R131" si="34">D113+D115+D117+D119+D121+D123+D126+D129</f>
        <v>0</v>
      </c>
      <c r="E131" s="711">
        <f t="shared" si="34"/>
        <v>979</v>
      </c>
      <c r="F131" s="711">
        <f t="shared" si="34"/>
        <v>2676</v>
      </c>
      <c r="G131" s="711">
        <f t="shared" si="34"/>
        <v>2606</v>
      </c>
      <c r="H131" s="711">
        <f t="shared" si="34"/>
        <v>0</v>
      </c>
      <c r="I131" s="711">
        <f t="shared" si="34"/>
        <v>6261</v>
      </c>
      <c r="J131" s="942">
        <f t="shared" si="34"/>
        <v>4827.7608182941904</v>
      </c>
      <c r="K131" s="942">
        <f t="shared" si="34"/>
        <v>2568527.574</v>
      </c>
      <c r="L131" s="942">
        <f t="shared" si="34"/>
        <v>2458265.5707999999</v>
      </c>
      <c r="M131" s="711">
        <f t="shared" si="34"/>
        <v>4928.5070791100125</v>
      </c>
      <c r="N131" s="711">
        <f t="shared" si="34"/>
        <v>2477138.8029999998</v>
      </c>
      <c r="O131" s="711">
        <f t="shared" si="34"/>
        <v>2477138.8029999998</v>
      </c>
      <c r="P131" s="711">
        <f t="shared" si="34"/>
        <v>5025.2234894932017</v>
      </c>
      <c r="Q131" s="711">
        <f t="shared" si="34"/>
        <v>2525749.8670000001</v>
      </c>
      <c r="R131" s="711">
        <f t="shared" si="34"/>
        <v>2525749.8670000001</v>
      </c>
      <c r="S131" s="257">
        <f>AVERAGE(L131,O131,R131)</f>
        <v>2487051.4136000001</v>
      </c>
      <c r="T131" s="764">
        <f>SUM(T108:T109)</f>
        <v>6243.6346666666668</v>
      </c>
      <c r="U131" s="1088" t="s">
        <v>12</v>
      </c>
    </row>
    <row r="132" spans="1:21" ht="14.25" thickTop="1" thickBot="1">
      <c r="A132" s="5"/>
      <c r="B132" s="618"/>
      <c r="C132" s="618"/>
      <c r="D132" s="618"/>
      <c r="E132" s="618"/>
      <c r="F132" s="618"/>
      <c r="G132" s="618"/>
      <c r="H132" s="618"/>
      <c r="I132" s="618"/>
      <c r="J132" s="618"/>
      <c r="K132" s="618"/>
      <c r="L132" s="618"/>
      <c r="M132" s="618"/>
      <c r="N132" s="618"/>
      <c r="O132" s="618"/>
      <c r="P132" s="618"/>
      <c r="Q132" s="618"/>
      <c r="R132" s="618"/>
      <c r="S132" s="618"/>
      <c r="T132" s="618"/>
      <c r="U132" s="1081"/>
    </row>
    <row r="133" spans="1:21" ht="16.5" thickTop="1">
      <c r="A133" s="615"/>
      <c r="B133" s="181" t="s">
        <v>30</v>
      </c>
      <c r="C133" s="5"/>
      <c r="D133" s="5"/>
      <c r="E133" s="5"/>
      <c r="F133" s="112" t="s">
        <v>6</v>
      </c>
      <c r="G133" s="1412"/>
      <c r="H133" s="1413"/>
      <c r="I133" s="1414"/>
      <c r="J133" s="181" t="s">
        <v>30</v>
      </c>
      <c r="K133" s="426"/>
      <c r="L133" s="67"/>
      <c r="M133" s="181" t="s">
        <v>30</v>
      </c>
      <c r="N133" s="426"/>
      <c r="O133" s="67"/>
      <c r="P133" s="181" t="s">
        <v>30</v>
      </c>
      <c r="Q133" s="319"/>
      <c r="R133" s="180"/>
      <c r="S133" s="225"/>
      <c r="T133" s="133"/>
      <c r="U133" s="615"/>
    </row>
    <row r="134" spans="1:21">
      <c r="A134" s="615"/>
      <c r="B134" s="72"/>
      <c r="C134" s="5"/>
      <c r="D134" s="5"/>
      <c r="E134" s="5"/>
      <c r="F134" s="7"/>
      <c r="G134" s="5"/>
      <c r="H134" s="5"/>
      <c r="I134" s="45" t="s">
        <v>61</v>
      </c>
      <c r="J134" s="277" t="s">
        <v>61</v>
      </c>
      <c r="K134" s="1419" t="s">
        <v>57</v>
      </c>
      <c r="L134" s="1420"/>
      <c r="M134" s="57" t="s">
        <v>61</v>
      </c>
      <c r="N134" s="1429" t="s">
        <v>57</v>
      </c>
      <c r="O134" s="1433"/>
      <c r="P134" s="318" t="s">
        <v>61</v>
      </c>
      <c r="Q134" s="1428" t="s">
        <v>57</v>
      </c>
      <c r="R134" s="1436"/>
      <c r="S134" s="131"/>
      <c r="T134" s="133"/>
      <c r="U134" s="615"/>
    </row>
    <row r="135" spans="1:21">
      <c r="A135" s="615"/>
      <c r="B135" s="611" t="s">
        <v>21</v>
      </c>
      <c r="C135" s="23" t="s">
        <v>45</v>
      </c>
      <c r="D135" s="24" t="s">
        <v>46</v>
      </c>
      <c r="E135" s="23" t="s">
        <v>47</v>
      </c>
      <c r="F135" s="23" t="s">
        <v>48</v>
      </c>
      <c r="G135" s="23" t="s">
        <v>49</v>
      </c>
      <c r="H135" s="23" t="s">
        <v>50</v>
      </c>
      <c r="I135" s="45" t="s">
        <v>13</v>
      </c>
      <c r="J135" s="260" t="s">
        <v>56</v>
      </c>
      <c r="K135" s="261" t="s">
        <v>13</v>
      </c>
      <c r="L135" s="262" t="s">
        <v>68</v>
      </c>
      <c r="M135" s="77" t="s">
        <v>56</v>
      </c>
      <c r="N135" s="24" t="s">
        <v>13</v>
      </c>
      <c r="O135" s="38" t="s">
        <v>68</v>
      </c>
      <c r="P135" s="260" t="s">
        <v>56</v>
      </c>
      <c r="Q135" s="261" t="s">
        <v>13</v>
      </c>
      <c r="R135" s="262" t="s">
        <v>68</v>
      </c>
      <c r="S135" s="123"/>
      <c r="T135" s="198"/>
      <c r="U135" s="1169"/>
    </row>
    <row r="136" spans="1:21">
      <c r="A136" s="615"/>
      <c r="B136" s="427" t="s">
        <v>223</v>
      </c>
      <c r="C136" s="21">
        <v>0</v>
      </c>
      <c r="D136" s="21">
        <v>0</v>
      </c>
      <c r="E136" s="21">
        <v>0</v>
      </c>
      <c r="F136" s="21">
        <v>2</v>
      </c>
      <c r="G136" s="21">
        <v>2</v>
      </c>
      <c r="H136" s="21">
        <v>0</v>
      </c>
      <c r="I136" s="52">
        <f>SUM(C136:H136)</f>
        <v>4</v>
      </c>
      <c r="J136" s="263" t="s">
        <v>12</v>
      </c>
      <c r="K136" s="281">
        <f>$I136*SUM($L$3:$L$6)</f>
        <v>2632</v>
      </c>
      <c r="L136" s="289">
        <f>K136</f>
        <v>2632</v>
      </c>
      <c r="M136" s="58" t="s">
        <v>12</v>
      </c>
      <c r="N136" s="69">
        <f>$I136*SUM($L$3:$L$6)</f>
        <v>2632</v>
      </c>
      <c r="O136" s="68">
        <f>N136</f>
        <v>2632</v>
      </c>
      <c r="P136" s="263" t="s">
        <v>12</v>
      </c>
      <c r="Q136" s="281">
        <f>$I136*SUM($L$3:$L$6)</f>
        <v>2632</v>
      </c>
      <c r="R136" s="289">
        <f>Q136</f>
        <v>2632</v>
      </c>
      <c r="S136" s="173">
        <f t="shared" ref="S136:S147" si="35">AVERAGE(L136,O136,R136)</f>
        <v>2632</v>
      </c>
      <c r="T136" s="135" t="s">
        <v>12</v>
      </c>
      <c r="U136" s="1086" t="s">
        <v>12</v>
      </c>
    </row>
    <row r="137" spans="1:21" ht="13.5" thickBot="1">
      <c r="A137" s="615"/>
      <c r="B137" s="1108" t="s">
        <v>8</v>
      </c>
      <c r="C137" s="34">
        <f>ROUND(C136*Labor!$D$3,0)</f>
        <v>0</v>
      </c>
      <c r="D137" s="35">
        <f>ROUND(D136*Labor!$D$4,0)</f>
        <v>0</v>
      </c>
      <c r="E137" s="35">
        <f>ROUND(E136*Labor!$D$5,0)</f>
        <v>0</v>
      </c>
      <c r="F137" s="35">
        <f>ROUND(F136*Labor!$D$6,0)</f>
        <v>99</v>
      </c>
      <c r="G137" s="35">
        <f>ROUND(G136*Labor!$D$7,0)</f>
        <v>111</v>
      </c>
      <c r="H137" s="35">
        <f>ROUND(H136*Labor!$D$8,0)</f>
        <v>0</v>
      </c>
      <c r="I137" s="39">
        <f>SUM(C137:H137)</f>
        <v>210</v>
      </c>
      <c r="J137" s="268">
        <f>HLOOKUP(Labor!$B$11,InflationTable,2)*$I137</f>
        <v>251.57999999999998</v>
      </c>
      <c r="K137" s="281">
        <f>J137*SUM($L$3:$L$6)</f>
        <v>165539.63999999998</v>
      </c>
      <c r="L137" s="308">
        <f>K137</f>
        <v>165539.63999999998</v>
      </c>
      <c r="M137" s="84">
        <f>HLOOKUP(Labor!$B$11,InflationTable,3)*$I137</f>
        <v>256.83000000000004</v>
      </c>
      <c r="N137" s="1159">
        <f>M137*SUM($L$3:$L$6)</f>
        <v>168994.14</v>
      </c>
      <c r="O137" s="95">
        <f>N137</f>
        <v>168994.14</v>
      </c>
      <c r="P137" s="268">
        <f>HLOOKUP(Labor!$B$11,InflationTable,4)*$I137</f>
        <v>261.87</v>
      </c>
      <c r="Q137" s="1158">
        <f>P137*SUM($L$3:$L$6)</f>
        <v>172310.46</v>
      </c>
      <c r="R137" s="308">
        <f>Q137</f>
        <v>172310.46</v>
      </c>
      <c r="S137" s="171">
        <f t="shared" si="35"/>
        <v>168948.08</v>
      </c>
      <c r="T137" s="137" t="s">
        <v>12</v>
      </c>
      <c r="U137" s="1087" t="s">
        <v>12</v>
      </c>
    </row>
    <row r="138" spans="1:21">
      <c r="A138" s="615"/>
      <c r="B138" s="729" t="s">
        <v>224</v>
      </c>
      <c r="C138" s="23" t="s">
        <v>45</v>
      </c>
      <c r="D138" s="24" t="s">
        <v>46</v>
      </c>
      <c r="E138" s="23" t="s">
        <v>47</v>
      </c>
      <c r="F138" s="23" t="s">
        <v>48</v>
      </c>
      <c r="G138" s="23" t="s">
        <v>49</v>
      </c>
      <c r="H138" s="23" t="s">
        <v>50</v>
      </c>
      <c r="I138" s="45" t="s">
        <v>13</v>
      </c>
      <c r="J138" s="260" t="s">
        <v>56</v>
      </c>
      <c r="K138" s="261" t="s">
        <v>13</v>
      </c>
      <c r="L138" s="262" t="s">
        <v>68</v>
      </c>
      <c r="M138" s="77" t="s">
        <v>56</v>
      </c>
      <c r="N138" s="1172" t="s">
        <v>13</v>
      </c>
      <c r="O138" s="38" t="s">
        <v>68</v>
      </c>
      <c r="P138" s="260" t="s">
        <v>56</v>
      </c>
      <c r="Q138" s="1173" t="s">
        <v>13</v>
      </c>
      <c r="R138" s="262" t="s">
        <v>68</v>
      </c>
      <c r="S138" s="123"/>
      <c r="T138" s="133"/>
      <c r="U138" s="615"/>
    </row>
    <row r="139" spans="1:21">
      <c r="A139" s="615"/>
      <c r="B139" s="614" t="s">
        <v>4</v>
      </c>
      <c r="C139" s="21">
        <v>0</v>
      </c>
      <c r="D139" s="21">
        <v>0</v>
      </c>
      <c r="E139" s="21">
        <v>0</v>
      </c>
      <c r="F139" s="21">
        <v>6</v>
      </c>
      <c r="G139" s="21">
        <v>12</v>
      </c>
      <c r="H139" s="21">
        <v>0</v>
      </c>
      <c r="I139" s="52">
        <f>SUM(C139:H139)</f>
        <v>18</v>
      </c>
      <c r="J139" s="263" t="s">
        <v>12</v>
      </c>
      <c r="K139" s="281">
        <f>$I139*L$12</f>
        <v>4824</v>
      </c>
      <c r="L139" s="289">
        <f>K139</f>
        <v>4824</v>
      </c>
      <c r="M139" s="58" t="s">
        <v>12</v>
      </c>
      <c r="N139" s="69">
        <f>$I139*O$12</f>
        <v>4824</v>
      </c>
      <c r="O139" s="68">
        <f>N139</f>
        <v>4824</v>
      </c>
      <c r="P139" s="263" t="s">
        <v>12</v>
      </c>
      <c r="Q139" s="281">
        <f>$I139*R$12</f>
        <v>4824</v>
      </c>
      <c r="R139" s="289">
        <f>Q139</f>
        <v>4824</v>
      </c>
      <c r="S139" s="173">
        <f>AVERAGE(L139,O139,R139)</f>
        <v>4824</v>
      </c>
      <c r="T139" s="135" t="s">
        <v>12</v>
      </c>
      <c r="U139" s="1086" t="s">
        <v>12</v>
      </c>
    </row>
    <row r="140" spans="1:21" ht="13.5" thickBot="1">
      <c r="A140" s="615"/>
      <c r="B140" s="1108" t="s">
        <v>8</v>
      </c>
      <c r="C140" s="34">
        <f>ROUND(C139*Labor!$D$3,0)</f>
        <v>0</v>
      </c>
      <c r="D140" s="35">
        <f>ROUND(D139*Labor!$D$4,0)</f>
        <v>0</v>
      </c>
      <c r="E140" s="35">
        <f>ROUND(E139*Labor!$D$5,0)</f>
        <v>0</v>
      </c>
      <c r="F140" s="35">
        <f>ROUND(F139*Labor!$D$6,0)</f>
        <v>296</v>
      </c>
      <c r="G140" s="35">
        <f>ROUND(G139*Labor!$D$7,0)</f>
        <v>666</v>
      </c>
      <c r="H140" s="35">
        <f>ROUND(H139*Labor!$D$8,0)</f>
        <v>0</v>
      </c>
      <c r="I140" s="39">
        <f>SUM(C140:H140)</f>
        <v>962</v>
      </c>
      <c r="J140" s="268">
        <f>HLOOKUP(Labor!$B$11,InflationTable,2)*$I140</f>
        <v>1152.4759999999999</v>
      </c>
      <c r="K140" s="269">
        <f>J140*L$12</f>
        <v>308863.56799999997</v>
      </c>
      <c r="L140" s="308">
        <f>K140</f>
        <v>308863.56799999997</v>
      </c>
      <c r="M140" s="84">
        <f>HLOOKUP(Labor!$B$11,InflationTable,3)*$I140</f>
        <v>1176.5260000000001</v>
      </c>
      <c r="N140" s="63">
        <f>M140*O$12</f>
        <v>315308.96799999999</v>
      </c>
      <c r="O140" s="95">
        <f>N140</f>
        <v>315308.96799999999</v>
      </c>
      <c r="P140" s="268">
        <f>HLOOKUP(Labor!$B$11,InflationTable,4)*$I140</f>
        <v>1199.614</v>
      </c>
      <c r="Q140" s="269">
        <f>P140*R$12</f>
        <v>321496.55200000003</v>
      </c>
      <c r="R140" s="308">
        <f>Q140</f>
        <v>321496.55200000003</v>
      </c>
      <c r="S140" s="171">
        <f>AVERAGE(L140,O140,R140)</f>
        <v>315223.02933333331</v>
      </c>
      <c r="T140" s="137" t="s">
        <v>12</v>
      </c>
      <c r="U140" s="1087" t="s">
        <v>12</v>
      </c>
    </row>
    <row r="141" spans="1:21">
      <c r="A141" s="615"/>
      <c r="B141" s="112" t="s">
        <v>220</v>
      </c>
      <c r="C141" s="1160"/>
      <c r="D141" s="1170"/>
      <c r="E141" s="1170"/>
      <c r="F141" s="1170"/>
      <c r="G141" s="1170"/>
      <c r="H141" s="1170"/>
      <c r="I141" s="1171"/>
      <c r="J141" s="1161"/>
      <c r="K141" s="1162"/>
      <c r="L141" s="1163"/>
      <c r="M141" s="1164"/>
      <c r="N141" s="1165"/>
      <c r="O141" s="1166"/>
      <c r="P141" s="1167"/>
      <c r="Q141" s="1162"/>
      <c r="R141" s="1163"/>
      <c r="S141" s="778"/>
      <c r="T141" s="656"/>
      <c r="U141" s="1168"/>
    </row>
    <row r="142" spans="1:21">
      <c r="A142" s="615"/>
      <c r="B142" s="431" t="s">
        <v>222</v>
      </c>
      <c r="C142" s="346">
        <v>0</v>
      </c>
      <c r="D142" s="346">
        <v>0</v>
      </c>
      <c r="E142" s="346">
        <v>0</v>
      </c>
      <c r="F142" s="346">
        <v>0</v>
      </c>
      <c r="G142" s="346">
        <v>3</v>
      </c>
      <c r="H142" s="346">
        <v>3</v>
      </c>
      <c r="I142" s="347">
        <f>SUM(C142:H142)</f>
        <v>6</v>
      </c>
      <c r="J142" s="293" t="s">
        <v>12</v>
      </c>
      <c r="K142" s="327">
        <f>$I142*SUM(L$3:L$6)</f>
        <v>3948</v>
      </c>
      <c r="L142" s="328">
        <f>K142</f>
        <v>3948</v>
      </c>
      <c r="M142" s="61" t="s">
        <v>12</v>
      </c>
      <c r="N142" s="348">
        <f>$I142*SUM(O$3:O$6)</f>
        <v>3948</v>
      </c>
      <c r="O142" s="349">
        <f>N142</f>
        <v>3948</v>
      </c>
      <c r="P142" s="293" t="s">
        <v>12</v>
      </c>
      <c r="Q142" s="327">
        <f>$I142*SUM(R$3:R$6)</f>
        <v>3948</v>
      </c>
      <c r="R142" s="328">
        <f>Q142</f>
        <v>3948</v>
      </c>
      <c r="S142" s="173">
        <f>AVERAGE(L142,O142,R142)</f>
        <v>3948</v>
      </c>
      <c r="T142" s="135" t="s">
        <v>12</v>
      </c>
      <c r="U142" s="1086" t="s">
        <v>12</v>
      </c>
    </row>
    <row r="143" spans="1:21" ht="13.5" thickBot="1">
      <c r="A143" s="615"/>
      <c r="B143" s="1109" t="s">
        <v>8</v>
      </c>
      <c r="C143" s="34">
        <f>ROUND(C142*Labor!$D$3,0)</f>
        <v>0</v>
      </c>
      <c r="D143" s="35">
        <f>ROUND(D142*Labor!$D$4,0)</f>
        <v>0</v>
      </c>
      <c r="E143" s="35">
        <f>ROUND(E142*Labor!$D$5,0)</f>
        <v>0</v>
      </c>
      <c r="F143" s="35">
        <f>ROUND(F142*Labor!$D$6,0)</f>
        <v>0</v>
      </c>
      <c r="G143" s="35">
        <f>ROUND(G142*Labor!$D$7,0)</f>
        <v>166</v>
      </c>
      <c r="H143" s="35">
        <f>ROUND(H142*Labor!$D$8,0)</f>
        <v>176</v>
      </c>
      <c r="I143" s="39">
        <f>SUM(C143:H143)</f>
        <v>342</v>
      </c>
      <c r="J143" s="268">
        <f>HLOOKUP(Labor!$B$11,InflationTable,2)*I143</f>
        <v>409.71600000000001</v>
      </c>
      <c r="K143" s="355">
        <f>J143*SUM(L$3:L$6)</f>
        <v>269593.12800000003</v>
      </c>
      <c r="L143" s="308">
        <f>K143</f>
        <v>269593.12800000003</v>
      </c>
      <c r="M143" s="84">
        <f>HLOOKUP(Labor!$B$11,InflationTable,3)*$I143</f>
        <v>418.26600000000002</v>
      </c>
      <c r="N143" s="357">
        <f>M143*SUM(O$3:O$6)</f>
        <v>275219.02799999999</v>
      </c>
      <c r="O143" s="95">
        <f>N143</f>
        <v>275219.02799999999</v>
      </c>
      <c r="P143" s="292">
        <f>HLOOKUP(Labor!$B$11,InflationTable,4)*$I143</f>
        <v>426.47400000000005</v>
      </c>
      <c r="Q143" s="355">
        <f>P143*SUM(R$3:R$6)</f>
        <v>280619.89200000005</v>
      </c>
      <c r="R143" s="308">
        <f>Q143</f>
        <v>280619.89200000005</v>
      </c>
      <c r="S143" s="128">
        <f>AVERAGE(L143,O143,R143)</f>
        <v>275144.016</v>
      </c>
      <c r="T143" s="137" t="s">
        <v>12</v>
      </c>
      <c r="U143" s="1087" t="s">
        <v>12</v>
      </c>
    </row>
    <row r="144" spans="1:21">
      <c r="A144" s="615"/>
      <c r="B144" s="431" t="s">
        <v>221</v>
      </c>
      <c r="C144" s="346">
        <v>0</v>
      </c>
      <c r="D144" s="346">
        <v>0</v>
      </c>
      <c r="E144" s="346">
        <v>0</v>
      </c>
      <c r="F144" s="346">
        <v>3</v>
      </c>
      <c r="G144" s="346">
        <v>3</v>
      </c>
      <c r="H144" s="346">
        <v>0</v>
      </c>
      <c r="I144" s="347">
        <f>SUM(C144:H144)</f>
        <v>6</v>
      </c>
      <c r="J144" s="293" t="s">
        <v>12</v>
      </c>
      <c r="K144" s="327">
        <f>$I144*L$12</f>
        <v>1608</v>
      </c>
      <c r="L144" s="328">
        <f>K144</f>
        <v>1608</v>
      </c>
      <c r="M144" s="61" t="s">
        <v>12</v>
      </c>
      <c r="N144" s="348">
        <f>$I144*O$12</f>
        <v>1608</v>
      </c>
      <c r="O144" s="349">
        <f>N144</f>
        <v>1608</v>
      </c>
      <c r="P144" s="293" t="s">
        <v>12</v>
      </c>
      <c r="Q144" s="327">
        <f>$I144*R$12</f>
        <v>1608</v>
      </c>
      <c r="R144" s="328">
        <f>Q144</f>
        <v>1608</v>
      </c>
      <c r="S144" s="173">
        <f t="shared" si="35"/>
        <v>1608</v>
      </c>
      <c r="T144" s="135" t="s">
        <v>12</v>
      </c>
      <c r="U144" s="1086" t="s">
        <v>12</v>
      </c>
    </row>
    <row r="145" spans="1:22" ht="13.5" thickBot="1">
      <c r="A145" s="615"/>
      <c r="B145" s="1109" t="s">
        <v>8</v>
      </c>
      <c r="C145" s="34">
        <f>ROUND(C144*Labor!$D$3,0)</f>
        <v>0</v>
      </c>
      <c r="D145" s="35">
        <f>ROUND(D144*Labor!$D$4,0)</f>
        <v>0</v>
      </c>
      <c r="E145" s="35">
        <f>ROUND(E144*Labor!$D$5,0)</f>
        <v>0</v>
      </c>
      <c r="F145" s="35">
        <f>ROUND(F144*Labor!$D$6,0)</f>
        <v>148</v>
      </c>
      <c r="G145" s="35">
        <f>ROUND(G144*Labor!$D$7,0)</f>
        <v>166</v>
      </c>
      <c r="H145" s="35">
        <f>ROUND(H144*Labor!$D$8,0)</f>
        <v>0</v>
      </c>
      <c r="I145" s="39">
        <f>SUM(C145:H145)</f>
        <v>314</v>
      </c>
      <c r="J145" s="268">
        <f>HLOOKUP(Labor!$B$11,InflationTable,2)*I145</f>
        <v>376.17199999999997</v>
      </c>
      <c r="K145" s="269">
        <f>J145*L$12</f>
        <v>100814.09599999999</v>
      </c>
      <c r="L145" s="300">
        <f>K145</f>
        <v>100814.09599999999</v>
      </c>
      <c r="M145" s="84">
        <f>HLOOKUP(Labor!$B$11,InflationTable,3)*$I145</f>
        <v>384.02200000000005</v>
      </c>
      <c r="N145" s="63">
        <f>M145*O$12</f>
        <v>102917.89600000001</v>
      </c>
      <c r="O145" s="64">
        <f>N145</f>
        <v>102917.89600000001</v>
      </c>
      <c r="P145" s="292">
        <f>HLOOKUP(Labor!$B$11,InflationTable,4)*$I145</f>
        <v>391.55800000000005</v>
      </c>
      <c r="Q145" s="269">
        <f>P145*R$12</f>
        <v>104937.54400000001</v>
      </c>
      <c r="R145" s="270">
        <f>Q145</f>
        <v>104937.54400000001</v>
      </c>
      <c r="S145" s="128">
        <f t="shared" si="35"/>
        <v>102889.84533333335</v>
      </c>
      <c r="T145" s="137" t="s">
        <v>12</v>
      </c>
      <c r="U145" s="1087" t="s">
        <v>12</v>
      </c>
    </row>
    <row r="146" spans="1:22">
      <c r="A146" s="615"/>
      <c r="B146" s="605" t="s">
        <v>66</v>
      </c>
      <c r="C146" s="36">
        <f>C136+C139+C142+C144</f>
        <v>0</v>
      </c>
      <c r="D146" s="36">
        <f t="shared" ref="D146:I146" si="36">D136+D139+D142+D144</f>
        <v>0</v>
      </c>
      <c r="E146" s="36">
        <f t="shared" si="36"/>
        <v>0</v>
      </c>
      <c r="F146" s="36">
        <f t="shared" si="36"/>
        <v>11</v>
      </c>
      <c r="G146" s="36">
        <f t="shared" si="36"/>
        <v>20</v>
      </c>
      <c r="H146" s="36">
        <f t="shared" si="36"/>
        <v>3</v>
      </c>
      <c r="I146" s="36">
        <f t="shared" si="36"/>
        <v>34</v>
      </c>
      <c r="J146" s="301" t="s">
        <v>12</v>
      </c>
      <c r="K146" s="33">
        <f>K136+K139+K142+K144</f>
        <v>13012</v>
      </c>
      <c r="L146" s="1160">
        <f>L136+L139+L142+L144</f>
        <v>13012</v>
      </c>
      <c r="M146" s="85" t="s">
        <v>12</v>
      </c>
      <c r="N146" s="36">
        <f>N136+N139+N142+N144</f>
        <v>13012</v>
      </c>
      <c r="O146" s="36">
        <f>O136+O139+O142+O144</f>
        <v>13012</v>
      </c>
      <c r="P146" s="301" t="s">
        <v>12</v>
      </c>
      <c r="Q146" s="320">
        <f>Q136+Q139+Q142+Q144</f>
        <v>13012</v>
      </c>
      <c r="R146" s="320">
        <f>R136+R139+R142+R144</f>
        <v>13012</v>
      </c>
      <c r="S146" s="121">
        <f t="shared" si="35"/>
        <v>13012</v>
      </c>
      <c r="T146" s="135" t="s">
        <v>12</v>
      </c>
      <c r="U146" s="1086" t="s">
        <v>12</v>
      </c>
    </row>
    <row r="147" spans="1:22" ht="13.5" thickBot="1">
      <c r="A147" s="615"/>
      <c r="B147" s="606" t="s">
        <v>67</v>
      </c>
      <c r="C147" s="240">
        <f>C137+C140+C143+C145</f>
        <v>0</v>
      </c>
      <c r="D147" s="240">
        <f t="shared" ref="D147:I147" si="37">D137+D140+D143+D145</f>
        <v>0</v>
      </c>
      <c r="E147" s="240">
        <f t="shared" si="37"/>
        <v>0</v>
      </c>
      <c r="F147" s="240">
        <f t="shared" si="37"/>
        <v>543</v>
      </c>
      <c r="G147" s="240">
        <f t="shared" si="37"/>
        <v>1109</v>
      </c>
      <c r="H147" s="240">
        <f t="shared" si="37"/>
        <v>176</v>
      </c>
      <c r="I147" s="240">
        <f t="shared" si="37"/>
        <v>1828</v>
      </c>
      <c r="J147" s="240" t="s">
        <v>12</v>
      </c>
      <c r="K147" s="240">
        <f>K137+K140+K143+K145</f>
        <v>844810.43200000003</v>
      </c>
      <c r="L147" s="240">
        <f>L137+L140+L143+L145</f>
        <v>844810.43200000003</v>
      </c>
      <c r="M147" s="240" t="s">
        <v>12</v>
      </c>
      <c r="N147" s="240">
        <f>N137+N140+N143+N145</f>
        <v>862440.03199999989</v>
      </c>
      <c r="O147" s="240">
        <f>O137+O140+O143+O145</f>
        <v>862440.03199999989</v>
      </c>
      <c r="P147" s="275" t="s">
        <v>12</v>
      </c>
      <c r="Q147" s="275">
        <f>Q137+Q140+Q143+Q145</f>
        <v>879364.44800000009</v>
      </c>
      <c r="R147" s="275">
        <f>R137+R140+R143+R145</f>
        <v>879364.44800000009</v>
      </c>
      <c r="S147" s="257">
        <f t="shared" si="35"/>
        <v>862204.97066666663</v>
      </c>
      <c r="T147" s="258" t="s">
        <v>12</v>
      </c>
      <c r="U147" s="1089" t="s">
        <v>12</v>
      </c>
    </row>
    <row r="148" spans="1:22" ht="13.5" thickTop="1">
      <c r="F148"/>
      <c r="Q148" s="1072"/>
      <c r="R148" s="1072"/>
      <c r="S148" s="1072"/>
      <c r="T148" s="1072"/>
      <c r="U148" s="1072"/>
      <c r="V148" s="5"/>
    </row>
    <row r="149" spans="1:22" ht="13.5" thickBot="1">
      <c r="A149" s="5"/>
      <c r="B149" s="410"/>
      <c r="C149" s="5"/>
      <c r="D149" s="410"/>
      <c r="E149" s="410"/>
      <c r="F149" s="410"/>
      <c r="G149" s="410"/>
      <c r="H149" s="410"/>
      <c r="I149" s="410"/>
      <c r="J149" s="410"/>
      <c r="K149" s="410"/>
      <c r="L149" s="410"/>
      <c r="M149" s="410"/>
      <c r="N149" s="410"/>
      <c r="O149" s="410"/>
      <c r="P149" s="410"/>
      <c r="Q149" s="410"/>
      <c r="R149" s="410"/>
      <c r="S149" s="410"/>
      <c r="T149" s="410"/>
      <c r="U149" s="410"/>
      <c r="V149" s="5"/>
    </row>
    <row r="150" spans="1:22" ht="19.5" thickTop="1" thickBot="1">
      <c r="A150" s="615"/>
      <c r="B150" s="598" t="s">
        <v>121</v>
      </c>
      <c r="C150" s="234" t="str">
        <f>C2</f>
        <v>PM10</v>
      </c>
      <c r="D150" s="5"/>
      <c r="E150" s="4"/>
      <c r="F150" s="12"/>
      <c r="G150" s="4"/>
      <c r="H150" s="4"/>
      <c r="I150" s="41"/>
      <c r="J150" s="233" t="str">
        <f>J2</f>
        <v>Year 1</v>
      </c>
      <c r="K150" s="233">
        <f>K2</f>
        <v>2013</v>
      </c>
      <c r="L150" s="83"/>
      <c r="M150" s="79" t="str">
        <f>M2</f>
        <v>Year 2</v>
      </c>
      <c r="N150" s="79">
        <f>N2</f>
        <v>2014</v>
      </c>
      <c r="O150" s="41"/>
      <c r="P150" s="233" t="str">
        <f>P2</f>
        <v>Year 3</v>
      </c>
      <c r="Q150" s="233">
        <f>Q2</f>
        <v>2015</v>
      </c>
      <c r="R150" s="83"/>
      <c r="S150" s="122"/>
      <c r="T150" s="133"/>
      <c r="U150" s="508"/>
    </row>
    <row r="151" spans="1:22" ht="13.5" thickBot="1">
      <c r="A151" s="615"/>
      <c r="B151" s="5"/>
      <c r="C151" s="194" t="s">
        <v>45</v>
      </c>
      <c r="D151" s="190" t="s">
        <v>46</v>
      </c>
      <c r="E151" s="187" t="s">
        <v>47</v>
      </c>
      <c r="F151" s="202" t="s">
        <v>48</v>
      </c>
      <c r="G151" s="201" t="s">
        <v>49</v>
      </c>
      <c r="H151" s="187" t="s">
        <v>50</v>
      </c>
      <c r="I151" s="188" t="s">
        <v>13</v>
      </c>
      <c r="J151" s="323" t="s">
        <v>56</v>
      </c>
      <c r="K151" s="324" t="s">
        <v>13</v>
      </c>
      <c r="L151" s="325" t="s">
        <v>68</v>
      </c>
      <c r="M151" s="189" t="s">
        <v>56</v>
      </c>
      <c r="N151" s="190" t="s">
        <v>13</v>
      </c>
      <c r="O151" s="191" t="s">
        <v>68</v>
      </c>
      <c r="P151" s="323" t="s">
        <v>56</v>
      </c>
      <c r="Q151" s="324" t="s">
        <v>13</v>
      </c>
      <c r="R151" s="325" t="s">
        <v>68</v>
      </c>
      <c r="S151" s="1174"/>
      <c r="T151" s="130"/>
      <c r="U151" s="226"/>
      <c r="V151" s="5"/>
    </row>
    <row r="152" spans="1:22">
      <c r="A152" s="615"/>
      <c r="B152" s="1101" t="s">
        <v>97</v>
      </c>
      <c r="C152" s="196">
        <f t="shared" ref="C152:S152" si="38">C24</f>
        <v>0</v>
      </c>
      <c r="D152" s="184">
        <f t="shared" si="38"/>
        <v>6</v>
      </c>
      <c r="E152" s="184">
        <f t="shared" si="38"/>
        <v>2</v>
      </c>
      <c r="F152" s="184">
        <f t="shared" si="38"/>
        <v>12</v>
      </c>
      <c r="G152" s="184">
        <f t="shared" si="38"/>
        <v>10</v>
      </c>
      <c r="H152" s="184">
        <f t="shared" si="38"/>
        <v>10</v>
      </c>
      <c r="I152" s="185">
        <f t="shared" si="38"/>
        <v>40</v>
      </c>
      <c r="J152" s="326" t="str">
        <f t="shared" si="38"/>
        <v>NA</v>
      </c>
      <c r="K152" s="327">
        <f t="shared" si="38"/>
        <v>5840</v>
      </c>
      <c r="L152" s="328">
        <f t="shared" si="38"/>
        <v>834.28571428571422</v>
      </c>
      <c r="M152" s="186" t="str">
        <f t="shared" si="38"/>
        <v>NA</v>
      </c>
      <c r="N152" s="184">
        <f t="shared" si="38"/>
        <v>5840</v>
      </c>
      <c r="O152" s="185">
        <f t="shared" si="38"/>
        <v>834.28571428571433</v>
      </c>
      <c r="P152" s="326" t="str">
        <f t="shared" si="38"/>
        <v>NA</v>
      </c>
      <c r="Q152" s="327">
        <f t="shared" si="38"/>
        <v>1460</v>
      </c>
      <c r="R152" s="328">
        <f t="shared" si="38"/>
        <v>208.57142857142858</v>
      </c>
      <c r="S152" s="185">
        <f t="shared" si="38"/>
        <v>625.71428571428567</v>
      </c>
      <c r="T152" s="37"/>
      <c r="U152" s="227"/>
    </row>
    <row r="153" spans="1:22" ht="13.5" thickBot="1">
      <c r="A153" s="615"/>
      <c r="B153" s="1102" t="s">
        <v>76</v>
      </c>
      <c r="C153" s="203">
        <f t="shared" ref="C153:S153" si="39">C25</f>
        <v>0</v>
      </c>
      <c r="D153" s="204">
        <f t="shared" si="39"/>
        <v>245</v>
      </c>
      <c r="E153" s="204">
        <f t="shared" si="39"/>
        <v>88</v>
      </c>
      <c r="F153" s="204">
        <f t="shared" si="39"/>
        <v>592</v>
      </c>
      <c r="G153" s="204">
        <f t="shared" si="39"/>
        <v>555</v>
      </c>
      <c r="H153" s="204">
        <f t="shared" si="39"/>
        <v>586</v>
      </c>
      <c r="I153" s="205">
        <f t="shared" si="39"/>
        <v>2066</v>
      </c>
      <c r="J153" s="329">
        <f t="shared" si="39"/>
        <v>2475.0679999999998</v>
      </c>
      <c r="K153" s="330">
        <f t="shared" si="39"/>
        <v>361359.92799999996</v>
      </c>
      <c r="L153" s="331">
        <f t="shared" si="39"/>
        <v>51622.846857142846</v>
      </c>
      <c r="M153" s="203">
        <f t="shared" si="39"/>
        <v>2526.7179999999998</v>
      </c>
      <c r="N153" s="204">
        <f t="shared" si="39"/>
        <v>368900.82799999998</v>
      </c>
      <c r="O153" s="205">
        <f t="shared" si="39"/>
        <v>52700.118285714285</v>
      </c>
      <c r="P153" s="329">
        <f t="shared" si="39"/>
        <v>2576.3020000000001</v>
      </c>
      <c r="Q153" s="330">
        <f t="shared" si="39"/>
        <v>376140.09200000006</v>
      </c>
      <c r="R153" s="331">
        <f t="shared" si="39"/>
        <v>53734.298857142858</v>
      </c>
      <c r="S153" s="205">
        <f t="shared" si="39"/>
        <v>52685.754666666668</v>
      </c>
      <c r="T153" s="206" t="str">
        <f>T25</f>
        <v>NA</v>
      </c>
      <c r="U153" s="228" t="s">
        <v>12</v>
      </c>
    </row>
    <row r="154" spans="1:22">
      <c r="A154" s="615"/>
      <c r="B154" s="466" t="s">
        <v>98</v>
      </c>
      <c r="C154" s="196">
        <f t="shared" ref="C154:S154" si="40">C43</f>
        <v>0</v>
      </c>
      <c r="D154" s="184">
        <f t="shared" si="40"/>
        <v>4</v>
      </c>
      <c r="E154" s="184">
        <f t="shared" si="40"/>
        <v>4</v>
      </c>
      <c r="F154" s="184">
        <f t="shared" si="40"/>
        <v>0</v>
      </c>
      <c r="G154" s="184">
        <f t="shared" si="40"/>
        <v>0</v>
      </c>
      <c r="H154" s="184">
        <f t="shared" si="40"/>
        <v>0</v>
      </c>
      <c r="I154" s="185">
        <f t="shared" si="40"/>
        <v>8</v>
      </c>
      <c r="J154" s="326" t="str">
        <f t="shared" si="40"/>
        <v>NA</v>
      </c>
      <c r="K154" s="327">
        <f t="shared" si="40"/>
        <v>7906.6</v>
      </c>
      <c r="L154" s="328">
        <f t="shared" si="40"/>
        <v>1512.3714285714286</v>
      </c>
      <c r="M154" s="186" t="str">
        <f t="shared" si="40"/>
        <v>NA</v>
      </c>
      <c r="N154" s="184">
        <f t="shared" si="40"/>
        <v>7906.6</v>
      </c>
      <c r="O154" s="185">
        <f t="shared" si="40"/>
        <v>1512.3714285714286</v>
      </c>
      <c r="P154" s="326" t="str">
        <f t="shared" si="40"/>
        <v>NA</v>
      </c>
      <c r="Q154" s="327">
        <f t="shared" si="40"/>
        <v>7906.6</v>
      </c>
      <c r="R154" s="328">
        <f t="shared" si="40"/>
        <v>1512.3714285714286</v>
      </c>
      <c r="S154" s="185">
        <f t="shared" si="40"/>
        <v>1512.3714285714286</v>
      </c>
      <c r="T154" s="37"/>
      <c r="U154" s="227"/>
    </row>
    <row r="155" spans="1:22" ht="13.5" thickBot="1">
      <c r="A155" s="615"/>
      <c r="B155" s="1102" t="s">
        <v>76</v>
      </c>
      <c r="C155" s="207">
        <f t="shared" ref="C155:S155" si="41">C44</f>
        <v>0</v>
      </c>
      <c r="D155" s="208">
        <f t="shared" si="41"/>
        <v>163</v>
      </c>
      <c r="E155" s="208">
        <f t="shared" si="41"/>
        <v>176</v>
      </c>
      <c r="F155" s="208">
        <f t="shared" si="41"/>
        <v>0</v>
      </c>
      <c r="G155" s="208">
        <f t="shared" si="41"/>
        <v>0</v>
      </c>
      <c r="H155" s="208">
        <f t="shared" si="41"/>
        <v>0</v>
      </c>
      <c r="I155" s="209">
        <f t="shared" si="41"/>
        <v>339</v>
      </c>
      <c r="J155" s="332">
        <f t="shared" si="41"/>
        <v>31066.536000000004</v>
      </c>
      <c r="K155" s="296">
        <f t="shared" si="41"/>
        <v>13812697.285199996</v>
      </c>
      <c r="L155" s="297">
        <f t="shared" si="41"/>
        <v>2086319.1221714283</v>
      </c>
      <c r="M155" s="207">
        <f t="shared" si="41"/>
        <v>31714.835999999999</v>
      </c>
      <c r="N155" s="208">
        <f t="shared" si="41"/>
        <v>14053592.220200002</v>
      </c>
      <c r="O155" s="209">
        <f t="shared" si="41"/>
        <v>2123092.3807428572</v>
      </c>
      <c r="P155" s="332">
        <f t="shared" si="41"/>
        <v>32337.204000000002</v>
      </c>
      <c r="Q155" s="296">
        <f t="shared" si="41"/>
        <v>14284851.357800001</v>
      </c>
      <c r="R155" s="297">
        <f t="shared" si="41"/>
        <v>2158394.7089714287</v>
      </c>
      <c r="S155" s="209">
        <f t="shared" si="41"/>
        <v>82005.545866666667</v>
      </c>
      <c r="T155" s="210" t="str">
        <f>T44</f>
        <v>NA</v>
      </c>
      <c r="U155" s="229">
        <f>U44</f>
        <v>2040596.524761905</v>
      </c>
    </row>
    <row r="156" spans="1:22">
      <c r="A156" s="615"/>
      <c r="B156" s="466" t="s">
        <v>96</v>
      </c>
      <c r="C156" s="197">
        <f t="shared" ref="C156:S156" si="42">C61</f>
        <v>0</v>
      </c>
      <c r="D156" s="25">
        <f t="shared" si="42"/>
        <v>84</v>
      </c>
      <c r="E156" s="25">
        <f t="shared" si="42"/>
        <v>169</v>
      </c>
      <c r="F156" s="25">
        <f t="shared" si="42"/>
        <v>127</v>
      </c>
      <c r="G156" s="25">
        <f t="shared" si="42"/>
        <v>0</v>
      </c>
      <c r="H156" s="25">
        <f t="shared" si="42"/>
        <v>0</v>
      </c>
      <c r="I156" s="198">
        <f t="shared" si="42"/>
        <v>380</v>
      </c>
      <c r="J156" s="326" t="str">
        <f t="shared" si="42"/>
        <v>NA</v>
      </c>
      <c r="K156" s="327">
        <f t="shared" si="42"/>
        <v>168661.63658838073</v>
      </c>
      <c r="L156" s="328">
        <f t="shared" si="42"/>
        <v>168661.63658838073</v>
      </c>
      <c r="M156" s="186" t="str">
        <f t="shared" si="42"/>
        <v>NA</v>
      </c>
      <c r="N156" s="184">
        <f t="shared" si="42"/>
        <v>185973.63658838073</v>
      </c>
      <c r="O156" s="185">
        <f t="shared" si="42"/>
        <v>185973.63658838073</v>
      </c>
      <c r="P156" s="326" t="str">
        <f t="shared" si="42"/>
        <v>NA</v>
      </c>
      <c r="Q156" s="327">
        <f t="shared" si="42"/>
        <v>185973.63658838073</v>
      </c>
      <c r="R156" s="328">
        <f t="shared" si="42"/>
        <v>185973.63658838073</v>
      </c>
      <c r="S156" s="185">
        <f t="shared" si="42"/>
        <v>20117.333333333332</v>
      </c>
      <c r="T156" s="135" t="str">
        <f>T30</f>
        <v>NA</v>
      </c>
      <c r="U156" s="230" t="s">
        <v>12</v>
      </c>
    </row>
    <row r="157" spans="1:22" ht="13.5" thickBot="1">
      <c r="A157" s="615"/>
      <c r="B157" s="1102" t="s">
        <v>76</v>
      </c>
      <c r="C157" s="211">
        <f t="shared" ref="C157:S157" si="43">C62</f>
        <v>0</v>
      </c>
      <c r="D157" s="208">
        <f t="shared" si="43"/>
        <v>3433</v>
      </c>
      <c r="E157" s="208">
        <f t="shared" si="43"/>
        <v>7457</v>
      </c>
      <c r="F157" s="208">
        <f t="shared" si="43"/>
        <v>6257</v>
      </c>
      <c r="G157" s="208">
        <f t="shared" si="43"/>
        <v>0</v>
      </c>
      <c r="H157" s="208">
        <f t="shared" si="43"/>
        <v>0</v>
      </c>
      <c r="I157" s="209">
        <f t="shared" si="43"/>
        <v>17147</v>
      </c>
      <c r="J157" s="332">
        <f t="shared" si="43"/>
        <v>20542.106</v>
      </c>
      <c r="K157" s="296">
        <f t="shared" si="43"/>
        <v>11514453.605999999</v>
      </c>
      <c r="L157" s="297">
        <f t="shared" si="43"/>
        <v>11514453.605999999</v>
      </c>
      <c r="M157" s="207">
        <f t="shared" si="43"/>
        <v>20970.781000000003</v>
      </c>
      <c r="N157" s="208">
        <f t="shared" si="43"/>
        <v>12696256.520000001</v>
      </c>
      <c r="O157" s="209">
        <f t="shared" si="43"/>
        <v>12696256.520000001</v>
      </c>
      <c r="P157" s="332">
        <f t="shared" si="43"/>
        <v>7097.9240000000009</v>
      </c>
      <c r="Q157" s="296">
        <f t="shared" si="43"/>
        <v>5612683.4030000009</v>
      </c>
      <c r="R157" s="297">
        <f t="shared" si="43"/>
        <v>5612683.4030000009</v>
      </c>
      <c r="S157" s="209">
        <f t="shared" si="43"/>
        <v>9941131.1763333324</v>
      </c>
      <c r="T157" s="209">
        <f>T62</f>
        <v>909308.60450267838</v>
      </c>
      <c r="U157" s="228" t="s">
        <v>12</v>
      </c>
    </row>
    <row r="158" spans="1:22">
      <c r="A158" s="615"/>
      <c r="B158" s="466" t="s">
        <v>99</v>
      </c>
      <c r="C158" s="197">
        <f t="shared" ref="C158:S158" si="44">C78</f>
        <v>0</v>
      </c>
      <c r="D158" s="25">
        <f t="shared" si="44"/>
        <v>85</v>
      </c>
      <c r="E158" s="25">
        <f t="shared" si="44"/>
        <v>50</v>
      </c>
      <c r="F158" s="25">
        <f t="shared" si="44"/>
        <v>25</v>
      </c>
      <c r="G158" s="25">
        <f t="shared" si="44"/>
        <v>0</v>
      </c>
      <c r="H158" s="25">
        <f t="shared" si="44"/>
        <v>0</v>
      </c>
      <c r="I158" s="198">
        <f t="shared" si="44"/>
        <v>160</v>
      </c>
      <c r="J158" s="326" t="str">
        <f t="shared" si="44"/>
        <v>NA</v>
      </c>
      <c r="K158" s="327">
        <f t="shared" si="44"/>
        <v>49440</v>
      </c>
      <c r="L158" s="328">
        <f t="shared" si="44"/>
        <v>49440</v>
      </c>
      <c r="M158" s="186" t="str">
        <f t="shared" si="44"/>
        <v>NA</v>
      </c>
      <c r="N158" s="184">
        <f t="shared" si="44"/>
        <v>49440</v>
      </c>
      <c r="O158" s="185">
        <f t="shared" si="44"/>
        <v>49440</v>
      </c>
      <c r="P158" s="326" t="str">
        <f t="shared" si="44"/>
        <v>NA</v>
      </c>
      <c r="Q158" s="327">
        <f t="shared" si="44"/>
        <v>49440</v>
      </c>
      <c r="R158" s="328">
        <f t="shared" si="44"/>
        <v>49440</v>
      </c>
      <c r="S158" s="185">
        <f t="shared" si="44"/>
        <v>49440</v>
      </c>
      <c r="T158" s="37"/>
      <c r="U158" s="227"/>
    </row>
    <row r="159" spans="1:22" ht="13.5" thickBot="1">
      <c r="A159" s="615"/>
      <c r="B159" s="1102" t="s">
        <v>76</v>
      </c>
      <c r="C159" s="207">
        <f t="shared" ref="C159:S159" si="45">C79</f>
        <v>0</v>
      </c>
      <c r="D159" s="208">
        <f t="shared" si="45"/>
        <v>3473</v>
      </c>
      <c r="E159" s="208">
        <f t="shared" si="45"/>
        <v>2206</v>
      </c>
      <c r="F159" s="208">
        <f t="shared" si="45"/>
        <v>1232</v>
      </c>
      <c r="G159" s="208">
        <f t="shared" si="45"/>
        <v>0</v>
      </c>
      <c r="H159" s="208">
        <f t="shared" si="45"/>
        <v>0</v>
      </c>
      <c r="I159" s="209">
        <f t="shared" si="45"/>
        <v>7861</v>
      </c>
      <c r="J159" s="332">
        <f t="shared" si="45"/>
        <v>4300.4335006180463</v>
      </c>
      <c r="K159" s="296">
        <f t="shared" si="45"/>
        <v>3479050.702</v>
      </c>
      <c r="L159" s="297">
        <f t="shared" si="45"/>
        <v>3479050.702</v>
      </c>
      <c r="M159" s="211">
        <f t="shared" si="45"/>
        <v>4390.1754351050686</v>
      </c>
      <c r="N159" s="208">
        <f t="shared" si="45"/>
        <v>3551651.9270000001</v>
      </c>
      <c r="O159" s="209">
        <f t="shared" si="45"/>
        <v>3551651.9270000001</v>
      </c>
      <c r="P159" s="332">
        <f t="shared" si="45"/>
        <v>4476.3276922126079</v>
      </c>
      <c r="Q159" s="296">
        <f t="shared" si="45"/>
        <v>3621349.1030000006</v>
      </c>
      <c r="R159" s="297">
        <f t="shared" si="45"/>
        <v>3621349.1030000006</v>
      </c>
      <c r="S159" s="209">
        <f t="shared" si="45"/>
        <v>2611003.4440000001</v>
      </c>
      <c r="T159" s="209">
        <f>T79</f>
        <v>1121539.9066666667</v>
      </c>
      <c r="U159" s="758" t="s">
        <v>12</v>
      </c>
    </row>
    <row r="160" spans="1:22">
      <c r="A160" s="615"/>
      <c r="B160" s="466" t="s">
        <v>100</v>
      </c>
      <c r="C160" s="197">
        <f t="shared" ref="C160:U160" si="46">C101</f>
        <v>0</v>
      </c>
      <c r="D160" s="25">
        <f t="shared" si="46"/>
        <v>0</v>
      </c>
      <c r="E160" s="25">
        <f t="shared" si="46"/>
        <v>146</v>
      </c>
      <c r="F160" s="25">
        <f t="shared" si="46"/>
        <v>151</v>
      </c>
      <c r="G160" s="25">
        <f t="shared" si="46"/>
        <v>50</v>
      </c>
      <c r="H160" s="25">
        <f t="shared" si="46"/>
        <v>0</v>
      </c>
      <c r="I160" s="198">
        <f t="shared" si="46"/>
        <v>347</v>
      </c>
      <c r="J160" s="326">
        <f t="shared" si="46"/>
        <v>175.18294190358466</v>
      </c>
      <c r="K160" s="327">
        <f t="shared" si="46"/>
        <v>138414.27317676143</v>
      </c>
      <c r="L160" s="328">
        <f t="shared" si="46"/>
        <v>138414.27317676143</v>
      </c>
      <c r="M160" s="186">
        <f t="shared" si="46"/>
        <v>175.18294190358466</v>
      </c>
      <c r="N160" s="184">
        <f t="shared" si="46"/>
        <v>159427</v>
      </c>
      <c r="O160" s="185">
        <f t="shared" si="46"/>
        <v>159427</v>
      </c>
      <c r="P160" s="326">
        <f t="shared" si="46"/>
        <v>175.18294190358466</v>
      </c>
      <c r="Q160" s="327">
        <f t="shared" si="46"/>
        <v>159427</v>
      </c>
      <c r="R160" s="328">
        <f t="shared" si="46"/>
        <v>159427</v>
      </c>
      <c r="S160" s="185">
        <f t="shared" si="46"/>
        <v>152422.75772558714</v>
      </c>
      <c r="T160" s="212" t="str">
        <f t="shared" si="46"/>
        <v>NA</v>
      </c>
      <c r="U160" s="1090" t="str">
        <f t="shared" si="46"/>
        <v>NA</v>
      </c>
    </row>
    <row r="161" spans="1:21" ht="13.5" thickBot="1">
      <c r="A161" s="615"/>
      <c r="B161" s="1102" t="s">
        <v>76</v>
      </c>
      <c r="C161" s="207">
        <f t="shared" ref="C161:T161" si="47">C102</f>
        <v>0</v>
      </c>
      <c r="D161" s="208">
        <f t="shared" si="47"/>
        <v>0</v>
      </c>
      <c r="E161" s="208">
        <f t="shared" si="47"/>
        <v>6443</v>
      </c>
      <c r="F161" s="208">
        <f t="shared" si="47"/>
        <v>7440</v>
      </c>
      <c r="G161" s="208">
        <f t="shared" si="47"/>
        <v>2773</v>
      </c>
      <c r="H161" s="208">
        <f t="shared" si="47"/>
        <v>0</v>
      </c>
      <c r="I161" s="209">
        <f t="shared" si="47"/>
        <v>16656</v>
      </c>
      <c r="J161" s="332">
        <f t="shared" si="47"/>
        <v>9598.3700766378261</v>
      </c>
      <c r="K161" s="296">
        <f t="shared" si="47"/>
        <v>7461200.8198516704</v>
      </c>
      <c r="L161" s="297">
        <f t="shared" si="47"/>
        <v>7461200.8198516704</v>
      </c>
      <c r="M161" s="207">
        <f t="shared" si="47"/>
        <v>13000.541399258345</v>
      </c>
      <c r="N161" s="208">
        <f t="shared" si="47"/>
        <v>8750851.1820000019</v>
      </c>
      <c r="O161" s="209">
        <f t="shared" si="47"/>
        <v>8750851.1820000019</v>
      </c>
      <c r="P161" s="339">
        <f t="shared" si="47"/>
        <v>13255.662407911001</v>
      </c>
      <c r="Q161" s="296">
        <f t="shared" si="47"/>
        <v>8922576.7980000004</v>
      </c>
      <c r="R161" s="297">
        <f t="shared" si="47"/>
        <v>8922576.7980000004</v>
      </c>
      <c r="S161" s="209">
        <f t="shared" si="47"/>
        <v>8378209.5999505566</v>
      </c>
      <c r="T161" s="210" t="str">
        <f t="shared" si="47"/>
        <v>NA</v>
      </c>
      <c r="U161" s="228" t="s">
        <v>12</v>
      </c>
    </row>
    <row r="162" spans="1:21">
      <c r="A162" s="615"/>
      <c r="B162" s="466" t="s">
        <v>101</v>
      </c>
      <c r="C162" s="213">
        <f t="shared" ref="C162:S162" si="48">C130</f>
        <v>0</v>
      </c>
      <c r="D162" s="214">
        <f t="shared" si="48"/>
        <v>0</v>
      </c>
      <c r="E162" s="214">
        <f t="shared" si="48"/>
        <v>22.2</v>
      </c>
      <c r="F162" s="214">
        <f t="shared" si="48"/>
        <v>54.3</v>
      </c>
      <c r="G162" s="214">
        <f t="shared" si="48"/>
        <v>47</v>
      </c>
      <c r="H162" s="214">
        <f t="shared" si="48"/>
        <v>0</v>
      </c>
      <c r="I162" s="215">
        <f t="shared" si="48"/>
        <v>123.5</v>
      </c>
      <c r="J162" s="336" t="str">
        <f t="shared" si="48"/>
        <v>NA</v>
      </c>
      <c r="K162" s="337">
        <f t="shared" si="48"/>
        <v>41966</v>
      </c>
      <c r="L162" s="294">
        <f t="shared" si="48"/>
        <v>40097.199999999997</v>
      </c>
      <c r="M162" s="216" t="str">
        <f t="shared" si="48"/>
        <v>NA</v>
      </c>
      <c r="N162" s="217">
        <f t="shared" si="48"/>
        <v>42866</v>
      </c>
      <c r="O162" s="215">
        <f t="shared" si="48"/>
        <v>42866</v>
      </c>
      <c r="P162" s="336" t="str">
        <f t="shared" si="48"/>
        <v>NA</v>
      </c>
      <c r="Q162" s="337">
        <f t="shared" si="48"/>
        <v>42866</v>
      </c>
      <c r="R162" s="294">
        <f t="shared" si="48"/>
        <v>42866</v>
      </c>
      <c r="S162" s="215">
        <f t="shared" si="48"/>
        <v>41943.066666666666</v>
      </c>
      <c r="T162" s="136" t="s">
        <v>12</v>
      </c>
      <c r="U162" s="230" t="s">
        <v>12</v>
      </c>
    </row>
    <row r="163" spans="1:21" ht="13.5" thickBot="1">
      <c r="A163" s="615"/>
      <c r="B163" s="1102" t="s">
        <v>76</v>
      </c>
      <c r="C163" s="207">
        <f t="shared" ref="C163:S163" si="49">C131</f>
        <v>0</v>
      </c>
      <c r="D163" s="208">
        <f t="shared" si="49"/>
        <v>0</v>
      </c>
      <c r="E163" s="208">
        <f t="shared" si="49"/>
        <v>979</v>
      </c>
      <c r="F163" s="208">
        <f t="shared" si="49"/>
        <v>2676</v>
      </c>
      <c r="G163" s="208">
        <f t="shared" si="49"/>
        <v>2606</v>
      </c>
      <c r="H163" s="208">
        <f t="shared" si="49"/>
        <v>0</v>
      </c>
      <c r="I163" s="209">
        <f t="shared" si="49"/>
        <v>6261</v>
      </c>
      <c r="J163" s="332">
        <f t="shared" si="49"/>
        <v>4827.7608182941904</v>
      </c>
      <c r="K163" s="338">
        <f t="shared" si="49"/>
        <v>2568527.574</v>
      </c>
      <c r="L163" s="297">
        <f t="shared" si="49"/>
        <v>2458265.5707999999</v>
      </c>
      <c r="M163" s="211">
        <f t="shared" si="49"/>
        <v>4928.5070791100125</v>
      </c>
      <c r="N163" s="219">
        <f t="shared" si="49"/>
        <v>2477138.8029999998</v>
      </c>
      <c r="O163" s="209">
        <f t="shared" si="49"/>
        <v>2477138.8029999998</v>
      </c>
      <c r="P163" s="332">
        <f t="shared" si="49"/>
        <v>5025.2234894932017</v>
      </c>
      <c r="Q163" s="338">
        <f t="shared" si="49"/>
        <v>2525749.8670000001</v>
      </c>
      <c r="R163" s="297">
        <f t="shared" si="49"/>
        <v>2525749.8670000001</v>
      </c>
      <c r="S163" s="209">
        <f t="shared" si="49"/>
        <v>2487051.4136000001</v>
      </c>
      <c r="T163" s="209">
        <f>T131</f>
        <v>6243.6346666666668</v>
      </c>
      <c r="U163" s="228" t="s">
        <v>12</v>
      </c>
    </row>
    <row r="164" spans="1:21">
      <c r="A164" s="615"/>
      <c r="B164" s="466" t="s">
        <v>102</v>
      </c>
      <c r="C164" s="197">
        <f t="shared" ref="C164:S164" si="50">C146</f>
        <v>0</v>
      </c>
      <c r="D164" s="25">
        <f t="shared" si="50"/>
        <v>0</v>
      </c>
      <c r="E164" s="25">
        <f t="shared" si="50"/>
        <v>0</v>
      </c>
      <c r="F164" s="25">
        <f t="shared" si="50"/>
        <v>11</v>
      </c>
      <c r="G164" s="25">
        <f t="shared" si="50"/>
        <v>20</v>
      </c>
      <c r="H164" s="25">
        <f t="shared" si="50"/>
        <v>3</v>
      </c>
      <c r="I164" s="198">
        <f t="shared" si="50"/>
        <v>34</v>
      </c>
      <c r="J164" s="333" t="str">
        <f t="shared" si="50"/>
        <v>NA</v>
      </c>
      <c r="K164" s="334">
        <f t="shared" si="50"/>
        <v>13012</v>
      </c>
      <c r="L164" s="335">
        <f t="shared" si="50"/>
        <v>13012</v>
      </c>
      <c r="M164" s="199" t="str">
        <f t="shared" si="50"/>
        <v>NA</v>
      </c>
      <c r="N164" s="25">
        <f t="shared" si="50"/>
        <v>13012</v>
      </c>
      <c r="O164" s="198">
        <f t="shared" si="50"/>
        <v>13012</v>
      </c>
      <c r="P164" s="333" t="str">
        <f t="shared" si="50"/>
        <v>NA</v>
      </c>
      <c r="Q164" s="334">
        <f t="shared" si="50"/>
        <v>13012</v>
      </c>
      <c r="R164" s="335">
        <f t="shared" si="50"/>
        <v>13012</v>
      </c>
      <c r="S164" s="198">
        <f t="shared" si="50"/>
        <v>13012</v>
      </c>
      <c r="T164" s="136" t="s">
        <v>12</v>
      </c>
      <c r="U164" s="230" t="s">
        <v>12</v>
      </c>
    </row>
    <row r="165" spans="1:21" ht="13.5" thickBot="1">
      <c r="A165" s="615"/>
      <c r="B165" s="1103" t="s">
        <v>76</v>
      </c>
      <c r="C165" s="220">
        <f t="shared" ref="C165:S165" si="51">C147</f>
        <v>0</v>
      </c>
      <c r="D165" s="221">
        <f t="shared" si="51"/>
        <v>0</v>
      </c>
      <c r="E165" s="221">
        <f t="shared" si="51"/>
        <v>0</v>
      </c>
      <c r="F165" s="221">
        <f t="shared" si="51"/>
        <v>543</v>
      </c>
      <c r="G165" s="221">
        <f t="shared" si="51"/>
        <v>1109</v>
      </c>
      <c r="H165" s="221">
        <f t="shared" si="51"/>
        <v>176</v>
      </c>
      <c r="I165" s="222">
        <f t="shared" si="51"/>
        <v>1828</v>
      </c>
      <c r="J165" s="304" t="str">
        <f t="shared" si="51"/>
        <v>NA</v>
      </c>
      <c r="K165" s="305">
        <f t="shared" si="51"/>
        <v>844810.43200000003</v>
      </c>
      <c r="L165" s="306">
        <f t="shared" si="51"/>
        <v>844810.43200000003</v>
      </c>
      <c r="M165" s="220" t="str">
        <f t="shared" si="51"/>
        <v>NA</v>
      </c>
      <c r="N165" s="221">
        <f t="shared" si="51"/>
        <v>862440.03199999989</v>
      </c>
      <c r="O165" s="222">
        <f t="shared" si="51"/>
        <v>862440.03199999989</v>
      </c>
      <c r="P165" s="311" t="str">
        <f t="shared" si="51"/>
        <v>NA</v>
      </c>
      <c r="Q165" s="305">
        <f t="shared" si="51"/>
        <v>879364.44800000009</v>
      </c>
      <c r="R165" s="306">
        <f t="shared" si="51"/>
        <v>879364.44800000009</v>
      </c>
      <c r="S165" s="222">
        <f t="shared" si="51"/>
        <v>862204.97066666663</v>
      </c>
      <c r="T165" s="223" t="str">
        <f>T147</f>
        <v>NA</v>
      </c>
      <c r="U165" s="231" t="s">
        <v>12</v>
      </c>
    </row>
    <row r="166" spans="1:21" ht="18.75" thickTop="1">
      <c r="A166" s="615"/>
      <c r="B166" s="1104" t="s">
        <v>13</v>
      </c>
      <c r="C166" s="183" t="s">
        <v>45</v>
      </c>
      <c r="D166" s="108" t="s">
        <v>46</v>
      </c>
      <c r="E166" s="107" t="s">
        <v>47</v>
      </c>
      <c r="F166" s="107" t="s">
        <v>48</v>
      </c>
      <c r="G166" s="107" t="s">
        <v>49</v>
      </c>
      <c r="H166" s="107" t="s">
        <v>50</v>
      </c>
      <c r="I166" s="109" t="s">
        <v>13</v>
      </c>
      <c r="J166" s="110" t="s">
        <v>56</v>
      </c>
      <c r="K166" s="108" t="s">
        <v>13</v>
      </c>
      <c r="L166" s="111" t="s">
        <v>68</v>
      </c>
      <c r="M166" s="110" t="s">
        <v>56</v>
      </c>
      <c r="N166" s="108" t="s">
        <v>13</v>
      </c>
      <c r="O166" s="111" t="s">
        <v>68</v>
      </c>
      <c r="P166" s="110" t="s">
        <v>56</v>
      </c>
      <c r="Q166" s="108" t="s">
        <v>13</v>
      </c>
      <c r="R166" s="111" t="s">
        <v>68</v>
      </c>
      <c r="S166" s="111"/>
      <c r="T166" s="37"/>
      <c r="U166" s="227"/>
    </row>
    <row r="167" spans="1:21">
      <c r="A167" s="615"/>
      <c r="B167" s="1105" t="s">
        <v>75</v>
      </c>
      <c r="C167" s="195">
        <f t="shared" ref="C167:I168" si="52">C152+C154+C156+C158+C160+C162+C164</f>
        <v>0</v>
      </c>
      <c r="D167" s="101">
        <f t="shared" si="52"/>
        <v>179</v>
      </c>
      <c r="E167" s="101">
        <f t="shared" si="52"/>
        <v>393.2</v>
      </c>
      <c r="F167" s="101">
        <f t="shared" si="52"/>
        <v>380.3</v>
      </c>
      <c r="G167" s="101">
        <f t="shared" si="52"/>
        <v>127</v>
      </c>
      <c r="H167" s="101">
        <f t="shared" si="52"/>
        <v>13</v>
      </c>
      <c r="I167" s="102">
        <f t="shared" si="52"/>
        <v>1092.5</v>
      </c>
      <c r="J167" s="340" t="s">
        <v>12</v>
      </c>
      <c r="K167" s="281">
        <f>K152+K154+K156+K158+K160+K164</f>
        <v>383274.50976514217</v>
      </c>
      <c r="L167" s="289">
        <f>L152+L154+L156+L158+L160+L162+L164</f>
        <v>411971.76690799935</v>
      </c>
      <c r="M167" s="103" t="s">
        <v>12</v>
      </c>
      <c r="N167" s="101">
        <f>N152+N154+N156+N158+N160+N164</f>
        <v>421599.23658838077</v>
      </c>
      <c r="O167" s="102">
        <f>O152+O154+O156+O158+O160+O162+O164</f>
        <v>453065.29373123788</v>
      </c>
      <c r="P167" s="340" t="s">
        <v>12</v>
      </c>
      <c r="Q167" s="281">
        <f>Q152+Q154+Q156+Q158+Q160+Q164</f>
        <v>417219.23658838077</v>
      </c>
      <c r="R167" s="289">
        <f>R152+R154+R156+R158+R160+R162+R164</f>
        <v>452439.57944552356</v>
      </c>
      <c r="S167" s="68">
        <f>S152+S154+S156+S158+S160+S162+S164</f>
        <v>279073.24343987287</v>
      </c>
      <c r="T167" s="102"/>
      <c r="U167" s="232" t="s">
        <v>12</v>
      </c>
    </row>
    <row r="168" spans="1:21" s="235" customFormat="1" ht="16.5" thickBot="1">
      <c r="A168" s="1107"/>
      <c r="B168" s="1106" t="s">
        <v>76</v>
      </c>
      <c r="C168" s="1097">
        <f t="shared" si="52"/>
        <v>0</v>
      </c>
      <c r="D168" s="1098">
        <f t="shared" si="52"/>
        <v>7314</v>
      </c>
      <c r="E168" s="1098">
        <f t="shared" si="52"/>
        <v>17349</v>
      </c>
      <c r="F168" s="1098">
        <f t="shared" si="52"/>
        <v>18740</v>
      </c>
      <c r="G168" s="1098">
        <f t="shared" si="52"/>
        <v>7043</v>
      </c>
      <c r="H168" s="1098">
        <f t="shared" si="52"/>
        <v>762</v>
      </c>
      <c r="I168" s="1095">
        <f t="shared" si="52"/>
        <v>52158</v>
      </c>
      <c r="J168" s="1091" t="s">
        <v>12</v>
      </c>
      <c r="K168" s="1092">
        <f>K153+K155+K157+K159+K161+K165</f>
        <v>37473572.773051664</v>
      </c>
      <c r="L168" s="1093">
        <f>L153+L155+L157+L159+L161+L163+L165</f>
        <v>27895723.099680241</v>
      </c>
      <c r="M168" s="1099" t="s">
        <v>12</v>
      </c>
      <c r="N168" s="1100">
        <f>N153+N155+N157+N159+N161+N165</f>
        <v>40283692.709200002</v>
      </c>
      <c r="O168" s="1095">
        <f>O153+O155+O157+O159+O161+O163+O165</f>
        <v>30514130.963028572</v>
      </c>
      <c r="P168" s="1091" t="s">
        <v>12</v>
      </c>
      <c r="Q168" s="1092">
        <f>Q153+Q155+Q157+Q159+Q161+Q165</f>
        <v>33696965.201800004</v>
      </c>
      <c r="R168" s="1093">
        <f>R153+R155+R157+R159+R161+R163+R165</f>
        <v>23773852.62682857</v>
      </c>
      <c r="S168" s="1094">
        <f>S153+S155+S157+S159+S161+S163+S165</f>
        <v>24414291.905083891</v>
      </c>
      <c r="T168" s="1095">
        <f>SUM(T153,T155,T157,T159,T161,T163,T165)</f>
        <v>2037092.1458360117</v>
      </c>
      <c r="U168" s="1096">
        <f>SUM(U153,U155,U157,U159,U161,U163,U165)</f>
        <v>2040596.524761905</v>
      </c>
    </row>
    <row r="169" spans="1:21" ht="13.5" thickTop="1">
      <c r="A169" s="5"/>
      <c r="B169" s="1072"/>
    </row>
  </sheetData>
  <mergeCells count="38">
    <mergeCell ref="Q134:R134"/>
    <mergeCell ref="Q47:R47"/>
    <mergeCell ref="Q65:R65"/>
    <mergeCell ref="Q83:R83"/>
    <mergeCell ref="Q127:R127"/>
    <mergeCell ref="Q106:R106"/>
    <mergeCell ref="Q110:R110"/>
    <mergeCell ref="G105:I105"/>
    <mergeCell ref="N127:O127"/>
    <mergeCell ref="K134:L134"/>
    <mergeCell ref="N47:O47"/>
    <mergeCell ref="N65:O65"/>
    <mergeCell ref="N106:O106"/>
    <mergeCell ref="N134:O134"/>
    <mergeCell ref="N83:O83"/>
    <mergeCell ref="K47:L47"/>
    <mergeCell ref="K110:L110"/>
    <mergeCell ref="G133:I133"/>
    <mergeCell ref="K106:L106"/>
    <mergeCell ref="K83:L83"/>
    <mergeCell ref="N110:O110"/>
    <mergeCell ref="G82:I82"/>
    <mergeCell ref="G47:I47"/>
    <mergeCell ref="K65:L65"/>
    <mergeCell ref="G27:I27"/>
    <mergeCell ref="G46:I46"/>
    <mergeCell ref="G65:I65"/>
    <mergeCell ref="G64:I64"/>
    <mergeCell ref="S2:T2"/>
    <mergeCell ref="Q28:R28"/>
    <mergeCell ref="G16:I16"/>
    <mergeCell ref="K28:L28"/>
    <mergeCell ref="F2:G2"/>
    <mergeCell ref="C5:I5"/>
    <mergeCell ref="Q17:R17"/>
    <mergeCell ref="K17:L17"/>
    <mergeCell ref="N17:O17"/>
    <mergeCell ref="N28:O28"/>
  </mergeCells>
  <phoneticPr fontId="2" type="noConversion"/>
  <dataValidations disablePrompts="1" count="1">
    <dataValidation allowBlank="1" showInputMessage="1" showErrorMessage="1" sqref="D108:D109 D32:D34 D30 D49:D51"/>
  </dataValidations>
  <pageMargins left="0.25" right="0.28000000000000003" top="0.64" bottom="0.47" header="0.5" footer="0.44"/>
  <pageSetup scale="48" fitToHeight="25" orientation="landscape" r:id="rId1"/>
  <headerFooter alignWithMargins="0"/>
  <rowBreaks count="2" manualBreakCount="2">
    <brk id="80" max="16383" man="1"/>
    <brk id="1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262"/>
  <sheetViews>
    <sheetView topLeftCell="A90" zoomScaleNormal="100" workbookViewId="0">
      <selection activeCell="S120" sqref="S120"/>
    </sheetView>
  </sheetViews>
  <sheetFormatPr defaultRowHeight="12.75"/>
  <cols>
    <col min="1" max="1" width="1.140625" customWidth="1"/>
    <col min="2" max="2" width="32.28515625" customWidth="1"/>
    <col min="3" max="3" width="12.85546875" customWidth="1"/>
    <col min="4" max="4" width="10.5703125" bestFit="1" customWidth="1"/>
    <col min="5" max="5" width="11.28515625" customWidth="1"/>
    <col min="6" max="6" width="9.7109375" style="10" customWidth="1"/>
    <col min="7" max="7" width="11.140625" bestFit="1" customWidth="1"/>
    <col min="8" max="8" width="10.140625" bestFit="1" customWidth="1"/>
    <col min="9" max="9" width="13.28515625" customWidth="1"/>
    <col min="10" max="10" width="15" customWidth="1"/>
    <col min="11" max="11" width="14.42578125" customWidth="1"/>
    <col min="12" max="12" width="16.85546875" bestFit="1" customWidth="1"/>
    <col min="13" max="13" width="15.5703125" customWidth="1"/>
    <col min="14" max="14" width="14.5703125" customWidth="1"/>
    <col min="15" max="15" width="14.42578125" customWidth="1"/>
    <col min="16" max="16" width="15" customWidth="1"/>
    <col min="17" max="17" width="13.85546875" customWidth="1"/>
    <col min="18" max="18" width="14" customWidth="1"/>
    <col min="19" max="19" width="14.5703125" customWidth="1"/>
    <col min="20" max="20" width="14" customWidth="1"/>
    <col min="21" max="21" width="14.140625" bestFit="1" customWidth="1"/>
  </cols>
  <sheetData>
    <row r="1" spans="1:21" ht="4.5" customHeight="1" thickBot="1">
      <c r="B1" s="410"/>
      <c r="C1" s="410"/>
      <c r="D1" s="410"/>
      <c r="E1" s="410"/>
      <c r="F1" s="411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</row>
    <row r="2" spans="1:21" ht="19.5" thickTop="1" thickBot="1">
      <c r="A2" s="615"/>
      <c r="B2" s="596" t="s">
        <v>0</v>
      </c>
      <c r="C2" s="593" t="s">
        <v>307</v>
      </c>
      <c r="D2" s="5"/>
      <c r="E2" s="396" t="s">
        <v>31</v>
      </c>
      <c r="F2" s="1446">
        <v>41248</v>
      </c>
      <c r="G2" s="1447"/>
      <c r="H2" s="5"/>
      <c r="I2" s="5"/>
      <c r="K2" s="1449" t="s">
        <v>308</v>
      </c>
      <c r="L2" s="1449"/>
      <c r="N2" s="1448" t="s">
        <v>309</v>
      </c>
      <c r="O2" s="1448"/>
      <c r="P2" s="773" t="s">
        <v>70</v>
      </c>
      <c r="U2" s="1259"/>
    </row>
    <row r="3" spans="1:21">
      <c r="A3" s="615"/>
      <c r="B3" s="597" t="s">
        <v>2</v>
      </c>
      <c r="C3" s="1439"/>
      <c r="D3" s="1440"/>
      <c r="E3" s="1440"/>
      <c r="F3" s="1440"/>
      <c r="G3" s="1440"/>
      <c r="H3" s="1440"/>
      <c r="I3" s="1450"/>
      <c r="J3" s="1"/>
      <c r="K3" s="1315" t="s">
        <v>213</v>
      </c>
      <c r="L3" s="1326">
        <v>148</v>
      </c>
      <c r="M3" s="1"/>
      <c r="N3" s="1315" t="s">
        <v>312</v>
      </c>
      <c r="O3" s="1322">
        <v>733</v>
      </c>
      <c r="P3" s="1319">
        <f>O3*$O$8</f>
        <v>109.95</v>
      </c>
      <c r="R3" s="429" t="s">
        <v>178</v>
      </c>
      <c r="S3" s="1313">
        <v>975</v>
      </c>
      <c r="T3" s="484"/>
      <c r="U3" s="615"/>
    </row>
    <row r="4" spans="1:21">
      <c r="A4" s="615"/>
      <c r="F4"/>
      <c r="H4" s="429" t="s">
        <v>71</v>
      </c>
      <c r="I4" s="1332">
        <v>133</v>
      </c>
      <c r="K4" s="1328" t="s">
        <v>215</v>
      </c>
      <c r="L4" s="1314">
        <v>585</v>
      </c>
      <c r="M4" s="1"/>
      <c r="N4" s="1316" t="s">
        <v>313</v>
      </c>
      <c r="O4" s="1323">
        <v>144</v>
      </c>
      <c r="P4" s="1320">
        <f>O4*$O$8</f>
        <v>21.599999999999998</v>
      </c>
      <c r="U4" s="615"/>
    </row>
    <row r="5" spans="1:21">
      <c r="A5" s="615"/>
      <c r="F5"/>
      <c r="K5" s="1329" t="s">
        <v>216</v>
      </c>
      <c r="L5" s="1314">
        <v>270</v>
      </c>
      <c r="N5" s="1315" t="s">
        <v>314</v>
      </c>
      <c r="O5" s="1323">
        <v>190</v>
      </c>
      <c r="P5" s="1178"/>
      <c r="U5" s="615"/>
    </row>
    <row r="6" spans="1:21" ht="13.5" thickBot="1">
      <c r="A6" s="615"/>
      <c r="F6"/>
      <c r="K6" s="1315" t="s">
        <v>310</v>
      </c>
      <c r="L6" s="1314">
        <v>52</v>
      </c>
      <c r="N6" s="1315" t="s">
        <v>315</v>
      </c>
      <c r="O6" s="1323">
        <v>606</v>
      </c>
      <c r="P6" s="1321">
        <f>O6*$O$8</f>
        <v>90.899999999999991</v>
      </c>
      <c r="U6" s="615"/>
    </row>
    <row r="7" spans="1:21">
      <c r="A7" s="615"/>
      <c r="B7" s="288"/>
      <c r="F7"/>
      <c r="K7" s="1330" t="s">
        <v>311</v>
      </c>
      <c r="L7" s="1327">
        <f>SUM(L3:L6)</f>
        <v>1055</v>
      </c>
      <c r="N7" s="1317" t="s">
        <v>316</v>
      </c>
      <c r="O7" s="1324">
        <v>198</v>
      </c>
      <c r="U7" s="615"/>
    </row>
    <row r="8" spans="1:21" ht="18.75" thickBot="1">
      <c r="A8" s="615"/>
      <c r="B8" s="1385" t="s">
        <v>73</v>
      </c>
      <c r="C8" s="410"/>
      <c r="D8" s="410"/>
      <c r="E8" s="410"/>
      <c r="F8" s="411"/>
      <c r="G8" s="410"/>
      <c r="H8" s="410"/>
      <c r="I8" s="410"/>
      <c r="J8" s="410"/>
      <c r="K8" s="1331" t="s">
        <v>144</v>
      </c>
      <c r="L8" s="1258">
        <f>(L3+L4/3+L5/6+L6/2)/L7</f>
        <v>0.39241706161137441</v>
      </c>
      <c r="M8" s="410"/>
      <c r="N8" s="1318" t="s">
        <v>217</v>
      </c>
      <c r="O8" s="1325">
        <v>0.15</v>
      </c>
      <c r="P8" s="410"/>
      <c r="Q8" s="410"/>
      <c r="R8" s="410"/>
      <c r="S8" s="410"/>
      <c r="T8" s="410"/>
      <c r="U8" s="1078"/>
    </row>
    <row r="9" spans="1:21" ht="30" customHeight="1" thickTop="1">
      <c r="A9" s="615"/>
      <c r="B9" s="596"/>
      <c r="C9" s="5"/>
      <c r="D9" s="5"/>
      <c r="E9" s="5"/>
      <c r="F9" s="7"/>
      <c r="G9" s="5"/>
      <c r="H9" s="5"/>
      <c r="I9" s="1271"/>
      <c r="K9" s="426"/>
      <c r="L9" s="553"/>
      <c r="N9" s="549"/>
      <c r="O9" s="1271"/>
      <c r="P9" s="1274"/>
      <c r="Q9" s="1275"/>
      <c r="R9" s="553"/>
      <c r="S9" s="1276" t="s">
        <v>77</v>
      </c>
      <c r="T9" s="1335"/>
      <c r="U9" s="1277"/>
    </row>
    <row r="10" spans="1:21" ht="30" customHeight="1" thickBot="1">
      <c r="A10" s="615"/>
      <c r="B10" s="596"/>
      <c r="C10" s="5"/>
      <c r="D10" s="4"/>
      <c r="E10" s="4"/>
      <c r="F10" s="12"/>
      <c r="G10" s="4"/>
      <c r="H10" s="5"/>
      <c r="I10" s="5"/>
      <c r="J10" s="1210" t="s">
        <v>5</v>
      </c>
      <c r="K10" s="1292">
        <v>2013</v>
      </c>
      <c r="L10" s="83"/>
      <c r="M10" s="592" t="s">
        <v>10</v>
      </c>
      <c r="N10" s="1272">
        <f>K10+1</f>
        <v>2014</v>
      </c>
      <c r="O10" s="41"/>
      <c r="P10" s="1210" t="s">
        <v>11</v>
      </c>
      <c r="Q10" s="1273">
        <f>N10+1</f>
        <v>2015</v>
      </c>
      <c r="R10" s="83"/>
      <c r="S10" s="1333" t="s">
        <v>17</v>
      </c>
      <c r="T10" s="1336" t="s">
        <v>103</v>
      </c>
      <c r="U10" s="1334" t="s">
        <v>79</v>
      </c>
    </row>
    <row r="11" spans="1:21" ht="15.75">
      <c r="A11" s="615"/>
      <c r="B11" s="55" t="s">
        <v>3</v>
      </c>
      <c r="C11" s="239"/>
      <c r="D11" s="431" t="s">
        <v>54</v>
      </c>
      <c r="E11" s="28">
        <v>7</v>
      </c>
      <c r="F11" s="112" t="s">
        <v>6</v>
      </c>
      <c r="G11" s="1412"/>
      <c r="H11" s="1422"/>
      <c r="I11" s="1423"/>
      <c r="J11" s="88" t="s">
        <v>3</v>
      </c>
      <c r="K11" s="179"/>
      <c r="L11" s="180"/>
      <c r="M11" s="55" t="s">
        <v>3</v>
      </c>
      <c r="N11" s="426"/>
      <c r="O11" s="67"/>
      <c r="P11" s="55" t="s">
        <v>3</v>
      </c>
      <c r="Q11" s="426"/>
      <c r="R11" s="67"/>
      <c r="S11" s="124"/>
      <c r="T11" s="117"/>
      <c r="U11" s="515"/>
    </row>
    <row r="12" spans="1:21">
      <c r="A12" s="615"/>
      <c r="B12" s="1060" t="s">
        <v>44</v>
      </c>
      <c r="C12" s="6"/>
      <c r="D12" s="6"/>
      <c r="E12" s="6"/>
      <c r="F12" s="11"/>
      <c r="G12" s="6"/>
      <c r="H12" s="6"/>
      <c r="I12" s="47" t="s">
        <v>55</v>
      </c>
      <c r="J12" s="364" t="s">
        <v>55</v>
      </c>
      <c r="K12" s="1431" t="s">
        <v>57</v>
      </c>
      <c r="L12" s="1430"/>
      <c r="M12" s="57" t="s">
        <v>55</v>
      </c>
      <c r="N12" s="1429" t="s">
        <v>57</v>
      </c>
      <c r="O12" s="1430"/>
      <c r="P12" s="57" t="s">
        <v>55</v>
      </c>
      <c r="Q12" s="1429" t="s">
        <v>57</v>
      </c>
      <c r="R12" s="1430"/>
      <c r="S12" s="125"/>
      <c r="T12" s="145"/>
      <c r="U12" s="1074"/>
    </row>
    <row r="13" spans="1:21">
      <c r="A13" s="615"/>
      <c r="B13" s="601" t="s">
        <v>53</v>
      </c>
      <c r="C13" s="23" t="s">
        <v>45</v>
      </c>
      <c r="D13" s="24" t="s">
        <v>46</v>
      </c>
      <c r="E13" s="23" t="s">
        <v>47</v>
      </c>
      <c r="F13" s="23" t="s">
        <v>48</v>
      </c>
      <c r="G13" s="23" t="s">
        <v>49</v>
      </c>
      <c r="H13" s="23" t="s">
        <v>50</v>
      </c>
      <c r="I13" s="47" t="s">
        <v>13</v>
      </c>
      <c r="J13" s="77" t="s">
        <v>56</v>
      </c>
      <c r="K13" s="24" t="s">
        <v>13</v>
      </c>
      <c r="L13" s="38" t="s">
        <v>68</v>
      </c>
      <c r="M13" s="77" t="s">
        <v>56</v>
      </c>
      <c r="N13" s="24" t="s">
        <v>13</v>
      </c>
      <c r="O13" s="38" t="s">
        <v>68</v>
      </c>
      <c r="P13" s="24" t="s">
        <v>56</v>
      </c>
      <c r="Q13" s="24" t="s">
        <v>13</v>
      </c>
      <c r="R13" s="38" t="s">
        <v>68</v>
      </c>
      <c r="S13" s="123"/>
      <c r="T13" s="146"/>
      <c r="U13" s="517"/>
    </row>
    <row r="14" spans="1:21">
      <c r="A14" s="615"/>
      <c r="B14" s="602" t="s">
        <v>51</v>
      </c>
      <c r="C14" s="21">
        <v>0</v>
      </c>
      <c r="D14" s="21">
        <v>0</v>
      </c>
      <c r="E14" s="21">
        <v>0</v>
      </c>
      <c r="F14" s="21">
        <v>5</v>
      </c>
      <c r="G14" s="21">
        <v>5</v>
      </c>
      <c r="H14" s="21">
        <v>5</v>
      </c>
      <c r="I14" s="48">
        <f>SUM(C14:H14)</f>
        <v>15</v>
      </c>
      <c r="J14" s="263" t="s">
        <v>12</v>
      </c>
      <c r="K14" s="1051">
        <f>$I14*I$4</f>
        <v>1995</v>
      </c>
      <c r="L14" s="265">
        <f>K14/$E$11</f>
        <v>285</v>
      </c>
      <c r="M14" s="58" t="s">
        <v>12</v>
      </c>
      <c r="N14" s="1052">
        <f>$I14*I$4</f>
        <v>1995</v>
      </c>
      <c r="O14" s="68">
        <f>N14/$E$11</f>
        <v>285</v>
      </c>
      <c r="P14" s="263" t="s">
        <v>12</v>
      </c>
      <c r="Q14" s="1051">
        <f>$I14*I$4</f>
        <v>1995</v>
      </c>
      <c r="R14" s="289">
        <f>Q14/$E$11</f>
        <v>285</v>
      </c>
      <c r="S14" s="121">
        <f>AVERAGE(L14,O14,R14)</f>
        <v>285</v>
      </c>
      <c r="T14" s="119" t="s">
        <v>12</v>
      </c>
      <c r="U14" s="1075" t="s">
        <v>12</v>
      </c>
    </row>
    <row r="15" spans="1:21" s="1" customFormat="1">
      <c r="A15" s="616"/>
      <c r="B15" s="603" t="s">
        <v>52</v>
      </c>
      <c r="C15" s="381">
        <f>ROUND(C14*Labor!$D$3,0)</f>
        <v>0</v>
      </c>
      <c r="D15" s="23">
        <f>ROUND(D14*Labor!$D$4,0)</f>
        <v>0</v>
      </c>
      <c r="E15" s="23">
        <f>ROUND(E14*Labor!$D$5,0)</f>
        <v>0</v>
      </c>
      <c r="F15" s="23">
        <f>ROUND(F14*Labor!$D$6,0)</f>
        <v>246</v>
      </c>
      <c r="G15" s="23">
        <f>ROUND(G14*Labor!$D$7,0)</f>
        <v>277</v>
      </c>
      <c r="H15" s="23">
        <f>ROUND(H14*Labor!$D$8,0)</f>
        <v>293</v>
      </c>
      <c r="I15" s="382">
        <f>SUM(C15:H15)</f>
        <v>816</v>
      </c>
      <c r="J15" s="383">
        <f>HLOOKUP(Labor!$B$11,InflationTable,2)*$I15</f>
        <v>977.56799999999998</v>
      </c>
      <c r="K15" s="384">
        <f>J15*$I$4</f>
        <v>130016.54399999999</v>
      </c>
      <c r="L15" s="385">
        <f>K15/$E$11</f>
        <v>18573.791999999998</v>
      </c>
      <c r="M15" s="386">
        <f>HLOOKUP(Labor!$B$11,InflationTable,3)*$I15</f>
        <v>997.96800000000007</v>
      </c>
      <c r="N15" s="387">
        <f>M15*$I$4</f>
        <v>132729.74400000001</v>
      </c>
      <c r="O15" s="388">
        <f>N15/$E$11</f>
        <v>18961.392</v>
      </c>
      <c r="P15" s="383">
        <f>HLOOKUP(Labor!$B$11,InflationTable,4)*$I15</f>
        <v>1017.5520000000001</v>
      </c>
      <c r="Q15" s="384">
        <f>P15*$I$4</f>
        <v>135334.41600000003</v>
      </c>
      <c r="R15" s="385">
        <f>Q15/$E$11</f>
        <v>19333.488000000005</v>
      </c>
      <c r="S15" s="379">
        <f>AVERAGE(L15,O15,R15)</f>
        <v>18956.223999999998</v>
      </c>
      <c r="T15" s="380" t="s">
        <v>12</v>
      </c>
      <c r="U15" s="1076" t="s">
        <v>12</v>
      </c>
    </row>
    <row r="16" spans="1:21">
      <c r="A16" s="615"/>
      <c r="B16" s="112" t="s">
        <v>7</v>
      </c>
      <c r="C16" s="5"/>
      <c r="D16" s="5"/>
      <c r="E16" s="5"/>
      <c r="F16" s="7"/>
      <c r="G16" s="5"/>
      <c r="H16" s="8"/>
      <c r="I16" s="37"/>
      <c r="J16" s="266"/>
      <c r="K16" s="266"/>
      <c r="L16" s="267"/>
      <c r="M16" s="426"/>
      <c r="N16" s="426"/>
      <c r="O16" s="65"/>
      <c r="P16" s="404"/>
      <c r="Q16" s="404"/>
      <c r="R16" s="290"/>
      <c r="S16" s="122"/>
      <c r="T16" s="37"/>
      <c r="U16" s="615"/>
    </row>
    <row r="17" spans="1:22">
      <c r="A17" s="615"/>
      <c r="B17" s="602" t="s">
        <v>51</v>
      </c>
      <c r="C17" s="21">
        <v>0</v>
      </c>
      <c r="D17" s="21">
        <v>0</v>
      </c>
      <c r="E17" s="21">
        <v>2</v>
      </c>
      <c r="F17" s="21">
        <v>2</v>
      </c>
      <c r="G17" s="21">
        <v>2</v>
      </c>
      <c r="H17" s="21">
        <v>0</v>
      </c>
      <c r="I17" s="48">
        <f>SUM(C17:H17)</f>
        <v>6</v>
      </c>
      <c r="J17" s="263" t="s">
        <v>12</v>
      </c>
      <c r="K17" s="1051">
        <f>$I17*I$4</f>
        <v>798</v>
      </c>
      <c r="L17" s="265">
        <f>K17/$E$11</f>
        <v>114</v>
      </c>
      <c r="M17" s="58" t="s">
        <v>12</v>
      </c>
      <c r="N17" s="1051">
        <f>$I17*I$4</f>
        <v>798</v>
      </c>
      <c r="O17" s="59">
        <f>N17/$E$11</f>
        <v>114</v>
      </c>
      <c r="P17" s="263" t="s">
        <v>12</v>
      </c>
      <c r="Q17" s="1051">
        <f>$I17*I$4</f>
        <v>798</v>
      </c>
      <c r="R17" s="282">
        <f>Q17/$E$11</f>
        <v>114</v>
      </c>
      <c r="S17" s="121">
        <f>AVERAGE(L17,O17,R17)</f>
        <v>114</v>
      </c>
      <c r="T17" s="119" t="s">
        <v>12</v>
      </c>
      <c r="U17" s="1075" t="s">
        <v>12</v>
      </c>
    </row>
    <row r="18" spans="1:22" s="1" customFormat="1" ht="13.5" thickBot="1">
      <c r="A18" s="616"/>
      <c r="B18" s="604" t="s">
        <v>52</v>
      </c>
      <c r="C18" s="373">
        <f>ROUND(C17*Labor!$D$3,0)</f>
        <v>0</v>
      </c>
      <c r="D18" s="374">
        <f>ROUND(D17*Labor!$D$4,0)</f>
        <v>0</v>
      </c>
      <c r="E18" s="374">
        <f>ROUND(E17*Labor!$D$5,0)</f>
        <v>88</v>
      </c>
      <c r="F18" s="374">
        <f>ROUND(F17*Labor!$D$6,0)</f>
        <v>99</v>
      </c>
      <c r="G18" s="374">
        <f>ROUND(G17*Labor!$D$7,0)</f>
        <v>111</v>
      </c>
      <c r="H18" s="374">
        <f>ROUND(H17*Labor!$D$8,0)</f>
        <v>0</v>
      </c>
      <c r="I18" s="375">
        <f>SUM(C18:H18)</f>
        <v>298</v>
      </c>
      <c r="J18" s="332">
        <f>HLOOKUP(Labor!$B$11,InflationTable,2)*I18</f>
        <v>357.00399999999996</v>
      </c>
      <c r="K18" s="296">
        <f>J18*$I$4</f>
        <v>47481.531999999992</v>
      </c>
      <c r="L18" s="297">
        <f>K18/$E$11</f>
        <v>6783.0759999999991</v>
      </c>
      <c r="M18" s="376">
        <f>HLOOKUP(Labor!$B$11,InflationTable,3)*I18</f>
        <v>364.45400000000001</v>
      </c>
      <c r="N18" s="377">
        <f>M18*$I$4</f>
        <v>48472.381999999998</v>
      </c>
      <c r="O18" s="378">
        <f>N18/$E$11</f>
        <v>6924.6259999999993</v>
      </c>
      <c r="P18" s="339">
        <f>HLOOKUP(Labor!$B$11,InflationTable,4)*I18</f>
        <v>371.60600000000005</v>
      </c>
      <c r="Q18" s="296">
        <f>P18*$I$4</f>
        <v>49423.598000000005</v>
      </c>
      <c r="R18" s="297">
        <f>Q18/$E$11</f>
        <v>7060.514000000001</v>
      </c>
      <c r="S18" s="379">
        <f>AVERAGE(L18,O18,R18)</f>
        <v>6922.7386666666671</v>
      </c>
      <c r="T18" s="380" t="s">
        <v>12</v>
      </c>
      <c r="U18" s="1076" t="s">
        <v>12</v>
      </c>
    </row>
    <row r="19" spans="1:22">
      <c r="A19" s="615"/>
      <c r="B19" s="605" t="s">
        <v>66</v>
      </c>
      <c r="C19" s="33">
        <f t="shared" ref="C19:I20" si="0">C14+C17</f>
        <v>0</v>
      </c>
      <c r="D19" s="33">
        <f t="shared" si="0"/>
        <v>0</v>
      </c>
      <c r="E19" s="33">
        <f t="shared" si="0"/>
        <v>2</v>
      </c>
      <c r="F19" s="33">
        <f t="shared" si="0"/>
        <v>7</v>
      </c>
      <c r="G19" s="33">
        <f t="shared" si="0"/>
        <v>7</v>
      </c>
      <c r="H19" s="33">
        <f t="shared" si="0"/>
        <v>5</v>
      </c>
      <c r="I19" s="49">
        <f t="shared" si="0"/>
        <v>21</v>
      </c>
      <c r="J19" s="271" t="s">
        <v>12</v>
      </c>
      <c r="K19" s="272">
        <f>K14+K17</f>
        <v>2793</v>
      </c>
      <c r="L19" s="273">
        <f>L14+L17</f>
        <v>399</v>
      </c>
      <c r="M19" s="61" t="s">
        <v>12</v>
      </c>
      <c r="N19" s="1053">
        <f>N14+N17</f>
        <v>2793</v>
      </c>
      <c r="O19" s="62">
        <f>N19/$E$11</f>
        <v>399</v>
      </c>
      <c r="P19" s="293" t="s">
        <v>12</v>
      </c>
      <c r="Q19" s="272">
        <f>Q14+Q17</f>
        <v>2793</v>
      </c>
      <c r="R19" s="294">
        <f>Q19/$E$11</f>
        <v>399</v>
      </c>
      <c r="S19" s="121">
        <f>AVERAGE(L19,O19,R19)</f>
        <v>399</v>
      </c>
      <c r="T19" s="119" t="s">
        <v>12</v>
      </c>
      <c r="U19" s="1075" t="s">
        <v>12</v>
      </c>
    </row>
    <row r="20" spans="1:22" ht="13.5" thickBot="1">
      <c r="A20" s="615"/>
      <c r="B20" s="606" t="s">
        <v>67</v>
      </c>
      <c r="C20" s="240">
        <f t="shared" si="0"/>
        <v>0</v>
      </c>
      <c r="D20" s="240">
        <f t="shared" si="0"/>
        <v>0</v>
      </c>
      <c r="E20" s="240">
        <f t="shared" si="0"/>
        <v>88</v>
      </c>
      <c r="F20" s="240">
        <f t="shared" si="0"/>
        <v>345</v>
      </c>
      <c r="G20" s="240">
        <f t="shared" si="0"/>
        <v>388</v>
      </c>
      <c r="H20" s="240">
        <f t="shared" si="0"/>
        <v>293</v>
      </c>
      <c r="I20" s="241">
        <f t="shared" si="0"/>
        <v>1114</v>
      </c>
      <c r="J20" s="274">
        <f>J15+J18</f>
        <v>1334.5719999999999</v>
      </c>
      <c r="K20" s="275">
        <f>K15+K18</f>
        <v>177498.076</v>
      </c>
      <c r="L20" s="276">
        <f>L15+L18</f>
        <v>25356.867999999995</v>
      </c>
      <c r="M20" s="242">
        <f>M15+M18</f>
        <v>1362.422</v>
      </c>
      <c r="N20" s="240">
        <f>N15+N18</f>
        <v>181202.12599999999</v>
      </c>
      <c r="O20" s="243">
        <f>O15+O18</f>
        <v>25886.018</v>
      </c>
      <c r="P20" s="1337">
        <f>P15+P18</f>
        <v>1389.1580000000001</v>
      </c>
      <c r="Q20" s="275">
        <f>Q15+Q18</f>
        <v>184758.01400000002</v>
      </c>
      <c r="R20" s="276">
        <f>R15+R18</f>
        <v>26394.002000000008</v>
      </c>
      <c r="S20" s="211">
        <f>AVERAGE(L20,O20,R20)</f>
        <v>25878.96266666667</v>
      </c>
      <c r="T20" s="218" t="s">
        <v>12</v>
      </c>
      <c r="U20" s="1077" t="s">
        <v>12</v>
      </c>
    </row>
    <row r="21" spans="1:22" ht="14.25" thickTop="1" thickBot="1">
      <c r="A21" s="5"/>
      <c r="B21" s="618"/>
      <c r="C21" s="618"/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410"/>
      <c r="O21" s="410"/>
      <c r="P21" s="618"/>
      <c r="Q21" s="410"/>
      <c r="R21" s="410"/>
      <c r="S21" s="410"/>
      <c r="T21" s="410"/>
      <c r="U21" s="410"/>
      <c r="V21" s="5"/>
    </row>
    <row r="22" spans="1:22" ht="16.5" thickTop="1">
      <c r="A22" s="615"/>
      <c r="B22" s="181" t="s">
        <v>16</v>
      </c>
      <c r="C22" s="72"/>
      <c r="D22" s="431" t="s">
        <v>54</v>
      </c>
      <c r="E22" s="70">
        <v>7</v>
      </c>
      <c r="F22" s="112" t="s">
        <v>6</v>
      </c>
      <c r="G22" s="1412"/>
      <c r="H22" s="1413"/>
      <c r="I22" s="1414"/>
      <c r="J22" s="181" t="s">
        <v>16</v>
      </c>
      <c r="K22" s="426"/>
      <c r="L22" s="180"/>
      <c r="M22" s="181" t="s">
        <v>16</v>
      </c>
      <c r="N22" s="426"/>
      <c r="O22" s="67"/>
      <c r="P22" s="181" t="s">
        <v>16</v>
      </c>
      <c r="Q22" s="426"/>
      <c r="R22" s="180"/>
      <c r="S22" s="225"/>
      <c r="T22" s="37"/>
      <c r="U22" s="227"/>
    </row>
    <row r="23" spans="1:22">
      <c r="A23" s="615"/>
      <c r="B23" s="5"/>
      <c r="C23" s="107" t="s">
        <v>60</v>
      </c>
      <c r="D23" s="23" t="s">
        <v>62</v>
      </c>
      <c r="E23" s="5"/>
      <c r="F23" s="5"/>
      <c r="G23" s="5"/>
      <c r="H23" s="6"/>
      <c r="I23" s="43"/>
      <c r="J23" s="57" t="s">
        <v>61</v>
      </c>
      <c r="K23" s="1429" t="s">
        <v>57</v>
      </c>
      <c r="L23" s="1430"/>
      <c r="M23" s="93" t="s">
        <v>61</v>
      </c>
      <c r="N23" s="1429" t="s">
        <v>57</v>
      </c>
      <c r="O23" s="1430"/>
      <c r="P23" s="38" t="s">
        <v>61</v>
      </c>
      <c r="Q23" s="1429" t="s">
        <v>57</v>
      </c>
      <c r="R23" s="1430"/>
      <c r="S23" s="131"/>
      <c r="T23" s="37"/>
      <c r="U23" s="227"/>
    </row>
    <row r="24" spans="1:22">
      <c r="A24" s="615"/>
      <c r="B24" s="607" t="s">
        <v>58</v>
      </c>
      <c r="C24" s="23"/>
      <c r="D24" s="23"/>
      <c r="E24" s="9"/>
      <c r="F24" s="72"/>
      <c r="G24" s="72"/>
      <c r="H24" s="72"/>
      <c r="I24" s="73"/>
      <c r="J24" s="77" t="s">
        <v>56</v>
      </c>
      <c r="K24" s="24" t="s">
        <v>13</v>
      </c>
      <c r="L24" s="38" t="s">
        <v>68</v>
      </c>
      <c r="M24" s="77" t="s">
        <v>56</v>
      </c>
      <c r="N24" s="24" t="s">
        <v>13</v>
      </c>
      <c r="O24" s="38" t="s">
        <v>68</v>
      </c>
      <c r="P24" s="77" t="s">
        <v>56</v>
      </c>
      <c r="Q24" s="24" t="s">
        <v>13</v>
      </c>
      <c r="R24" s="38" t="s">
        <v>68</v>
      </c>
      <c r="S24" s="123"/>
      <c r="T24" s="37"/>
      <c r="U24" s="227"/>
    </row>
    <row r="25" spans="1:22" s="1" customFormat="1">
      <c r="A25" s="616"/>
      <c r="B25" s="828" t="s">
        <v>319</v>
      </c>
      <c r="C25" s="458">
        <f>VLOOKUP(C$2,Monitor_Costs,2,FALSE)</f>
        <v>7000</v>
      </c>
      <c r="D25" s="381">
        <f>VLOOKUP(C$2,Monitor_Costs,3,FALSE)</f>
        <v>2013</v>
      </c>
      <c r="E25" s="459"/>
      <c r="F25" s="93"/>
      <c r="G25" s="460"/>
      <c r="H25" s="460"/>
      <c r="I25" s="466"/>
      <c r="J25" s="384">
        <f t="shared" ref="J25:J35" si="1">HLOOKUP(D25,InflationTable,2)*$C25</f>
        <v>8386</v>
      </c>
      <c r="K25" s="384">
        <f>J25*O4</f>
        <v>1207584</v>
      </c>
      <c r="L25" s="385">
        <f t="shared" ref="L25:L35" si="2">K25/$E$22</f>
        <v>172512</v>
      </c>
      <c r="M25" s="1061">
        <f>HLOOKUP($D$25,InflationTable,3)*$C25</f>
        <v>8561</v>
      </c>
      <c r="N25" s="468">
        <f>M25*$O$4</f>
        <v>1232784</v>
      </c>
      <c r="O25" s="672">
        <f t="shared" ref="O25:O35" si="3">N25/$E$22</f>
        <v>176112</v>
      </c>
      <c r="P25" s="383">
        <f>HLOOKUP($D$25,InflationTable,4)*$C25</f>
        <v>8729</v>
      </c>
      <c r="Q25" s="384">
        <f>P25*$O$4</f>
        <v>1256976</v>
      </c>
      <c r="R25" s="385">
        <f t="shared" ref="R25:R35" si="4">Q25/$E$22</f>
        <v>179568</v>
      </c>
      <c r="S25" s="462" t="s">
        <v>12</v>
      </c>
      <c r="T25" s="380" t="s">
        <v>12</v>
      </c>
      <c r="U25" s="509">
        <f t="shared" ref="U25:U35" si="5">AVERAGE(L25,O25,R25)</f>
        <v>176064</v>
      </c>
    </row>
    <row r="26" spans="1:22" s="1" customFormat="1">
      <c r="A26" s="616"/>
      <c r="B26" s="530" t="s">
        <v>318</v>
      </c>
      <c r="C26" s="1293">
        <f>C25</f>
        <v>7000</v>
      </c>
      <c r="D26" s="381">
        <f>VLOOKUP(C$2,Monitor_Costs,3,FALSE)</f>
        <v>2013</v>
      </c>
      <c r="E26" s="460"/>
      <c r="F26" s="93"/>
      <c r="G26" s="460"/>
      <c r="H26" s="460"/>
      <c r="I26" s="47"/>
      <c r="J26" s="384">
        <f t="shared" si="1"/>
        <v>8386</v>
      </c>
      <c r="K26" s="384">
        <f>J26*$P$4</f>
        <v>181137.59999999998</v>
      </c>
      <c r="L26" s="385">
        <f t="shared" si="2"/>
        <v>25876.799999999996</v>
      </c>
      <c r="M26" s="1298">
        <f>M25</f>
        <v>8561</v>
      </c>
      <c r="N26" s="387">
        <f>M26*$P$4</f>
        <v>184917.59999999998</v>
      </c>
      <c r="O26" s="1138">
        <f t="shared" si="3"/>
        <v>26416.799999999996</v>
      </c>
      <c r="P26" s="1302">
        <f>P25</f>
        <v>8729</v>
      </c>
      <c r="Q26" s="737">
        <f>P26*$P$4</f>
        <v>188546.4</v>
      </c>
      <c r="R26" s="390">
        <f t="shared" si="4"/>
        <v>26935.200000000001</v>
      </c>
      <c r="S26" s="1303" t="s">
        <v>12</v>
      </c>
      <c r="T26" s="1304" t="s">
        <v>12</v>
      </c>
      <c r="U26" s="1305">
        <f t="shared" si="5"/>
        <v>26409.599999999995</v>
      </c>
    </row>
    <row r="27" spans="1:22" s="1" customFormat="1">
      <c r="A27" s="616"/>
      <c r="B27" s="1294" t="s">
        <v>320</v>
      </c>
      <c r="C27" s="625">
        <f>C26</f>
        <v>7000</v>
      </c>
      <c r="D27" s="1230">
        <f>D26</f>
        <v>2013</v>
      </c>
      <c r="E27" s="112"/>
      <c r="F27" s="396"/>
      <c r="G27" s="112"/>
      <c r="H27" s="112"/>
      <c r="I27" s="145"/>
      <c r="J27" s="384">
        <f t="shared" si="1"/>
        <v>8386</v>
      </c>
      <c r="K27" s="384">
        <f>J27*$O$5</f>
        <v>1593340</v>
      </c>
      <c r="L27" s="385">
        <f t="shared" si="2"/>
        <v>227620</v>
      </c>
      <c r="M27" s="1298">
        <f>M26</f>
        <v>8561</v>
      </c>
      <c r="N27" s="387">
        <f>M27*$O$5</f>
        <v>1626590</v>
      </c>
      <c r="O27" s="407">
        <f t="shared" si="3"/>
        <v>232370</v>
      </c>
      <c r="P27" s="1299">
        <f>P26</f>
        <v>8729</v>
      </c>
      <c r="Q27" s="384">
        <f>P27*$O$5</f>
        <v>1658510</v>
      </c>
      <c r="R27" s="385">
        <f t="shared" si="4"/>
        <v>236930</v>
      </c>
      <c r="S27" s="462" t="s">
        <v>12</v>
      </c>
      <c r="T27" s="380" t="s">
        <v>12</v>
      </c>
      <c r="U27" s="509">
        <f t="shared" si="5"/>
        <v>232306.66666666666</v>
      </c>
    </row>
    <row r="28" spans="1:22" s="1" customFormat="1">
      <c r="A28" s="616"/>
      <c r="B28" s="828" t="s">
        <v>321</v>
      </c>
      <c r="C28" s="1062">
        <f>VLOOKUP(C$2,Monitor_Costs,11,FALSE)</f>
        <v>11000</v>
      </c>
      <c r="D28" s="400">
        <f>D27</f>
        <v>2013</v>
      </c>
      <c r="E28" s="460"/>
      <c r="F28" s="93"/>
      <c r="G28" s="460"/>
      <c r="H28" s="460"/>
      <c r="I28" s="47"/>
      <c r="J28" s="383">
        <f t="shared" si="1"/>
        <v>13178</v>
      </c>
      <c r="K28" s="384">
        <f>J28*$L$6</f>
        <v>685256</v>
      </c>
      <c r="L28" s="385">
        <f t="shared" si="2"/>
        <v>97893.71428571429</v>
      </c>
      <c r="M28" s="1298">
        <f>M27</f>
        <v>8561</v>
      </c>
      <c r="N28" s="387">
        <f>M27*$L$6</f>
        <v>445172</v>
      </c>
      <c r="O28" s="407">
        <f t="shared" si="3"/>
        <v>63596</v>
      </c>
      <c r="P28" s="1308">
        <f>P27</f>
        <v>8729</v>
      </c>
      <c r="Q28" s="661">
        <f>P27*$L$6</f>
        <v>453908</v>
      </c>
      <c r="R28" s="662">
        <f t="shared" si="4"/>
        <v>64844</v>
      </c>
      <c r="S28" s="1182" t="s">
        <v>12</v>
      </c>
      <c r="T28" s="666" t="s">
        <v>12</v>
      </c>
      <c r="U28" s="1206">
        <f t="shared" si="5"/>
        <v>75444.571428571435</v>
      </c>
    </row>
    <row r="29" spans="1:22" s="1" customFormat="1">
      <c r="A29" s="616"/>
      <c r="B29" s="1295" t="str">
        <f>VLOOKUP(C$2,Monitor_Costs,10,FALSE)</f>
        <v>Sequential Sampler</v>
      </c>
      <c r="C29" s="1296">
        <f>VLOOKUP(C$2,Monitor_Costs,11,FALSE)</f>
        <v>11000</v>
      </c>
      <c r="D29" s="1133">
        <f>VLOOKUP(C$2,Monitor_Costs,12,FALSE)</f>
        <v>2013</v>
      </c>
      <c r="E29" s="1135"/>
      <c r="F29" s="159"/>
      <c r="G29" s="1135"/>
      <c r="H29" s="1135"/>
      <c r="I29" s="466"/>
      <c r="J29" s="384">
        <f t="shared" si="1"/>
        <v>13178</v>
      </c>
      <c r="K29" s="661">
        <f>J29*$O$3</f>
        <v>9659474</v>
      </c>
      <c r="L29" s="662">
        <f t="shared" si="2"/>
        <v>1379924.857142857</v>
      </c>
      <c r="M29" s="1301">
        <f>HLOOKUP($D$25,InflationTable,3)*$C29</f>
        <v>13453.000000000002</v>
      </c>
      <c r="N29" s="664">
        <f>M29*$O$3</f>
        <v>9861049.0000000019</v>
      </c>
      <c r="O29" s="1137">
        <f t="shared" si="3"/>
        <v>1408721.2857142859</v>
      </c>
      <c r="P29" s="1139">
        <f>HLOOKUP($D$25,InflationTable,4)*$C29</f>
        <v>13717.000000000002</v>
      </c>
      <c r="Q29" s="384">
        <f>P29*$O$3</f>
        <v>10054561.000000002</v>
      </c>
      <c r="R29" s="385">
        <f t="shared" si="4"/>
        <v>1436365.8571428575</v>
      </c>
      <c r="S29" s="462" t="s">
        <v>12</v>
      </c>
      <c r="T29" s="380" t="s">
        <v>12</v>
      </c>
      <c r="U29" s="509">
        <f t="shared" si="5"/>
        <v>1408337.3333333333</v>
      </c>
    </row>
    <row r="30" spans="1:22" s="1" customFormat="1">
      <c r="A30" s="616"/>
      <c r="B30" s="1297" t="str">
        <f>"Spare "&amp;B29&amp;"s"</f>
        <v>Spare Sequential Samplers</v>
      </c>
      <c r="C30" s="467">
        <f>C29</f>
        <v>11000</v>
      </c>
      <c r="D30" s="381">
        <f>VLOOKUP(C$2,Monitor_Costs,12,FALSE)</f>
        <v>2013</v>
      </c>
      <c r="E30" s="459"/>
      <c r="F30" s="93"/>
      <c r="G30" s="460"/>
      <c r="H30" s="460"/>
      <c r="I30" s="47"/>
      <c r="J30" s="384">
        <f t="shared" si="1"/>
        <v>13178</v>
      </c>
      <c r="K30" s="384">
        <f>J30*$P$3</f>
        <v>1448921.1</v>
      </c>
      <c r="L30" s="385">
        <f t="shared" si="2"/>
        <v>206988.7285714286</v>
      </c>
      <c r="M30" s="1298">
        <f>M29</f>
        <v>13453.000000000002</v>
      </c>
      <c r="N30" s="387">
        <f>M30*$P$3</f>
        <v>1479157.3500000003</v>
      </c>
      <c r="O30" s="407">
        <f t="shared" si="3"/>
        <v>211308.19285714292</v>
      </c>
      <c r="P30" s="1299">
        <f>P29</f>
        <v>13717.000000000002</v>
      </c>
      <c r="Q30" s="384">
        <f>P30*$P$3</f>
        <v>1508184.1500000001</v>
      </c>
      <c r="R30" s="385">
        <f t="shared" si="4"/>
        <v>215454.87857142859</v>
      </c>
      <c r="S30" s="462" t="s">
        <v>12</v>
      </c>
      <c r="T30" s="380" t="s">
        <v>12</v>
      </c>
      <c r="U30" s="509">
        <f t="shared" si="5"/>
        <v>211250.6</v>
      </c>
    </row>
    <row r="31" spans="1:22" s="1" customFormat="1">
      <c r="A31" s="616"/>
      <c r="B31" s="1295" t="str">
        <f>VLOOKUP(C$2,Monitor_Costs,13,FALSE)</f>
        <v>Continuous Sampler</v>
      </c>
      <c r="C31" s="1296">
        <f>VLOOKUP(C$2,Monitor_Costs,14,FALSE)</f>
        <v>18300</v>
      </c>
      <c r="D31" s="381">
        <f>VLOOKUP(C$2,Monitor_Costs,15,FALSE)</f>
        <v>2013</v>
      </c>
      <c r="E31" s="1134"/>
      <c r="F31" s="159"/>
      <c r="G31" s="1135"/>
      <c r="H31" s="1135"/>
      <c r="I31" s="466"/>
      <c r="J31" s="384">
        <f t="shared" si="1"/>
        <v>21923.399999999998</v>
      </c>
      <c r="K31" s="750">
        <f>J31*$O$6</f>
        <v>13285580.399999999</v>
      </c>
      <c r="L31" s="751">
        <f t="shared" si="2"/>
        <v>1897940.057142857</v>
      </c>
      <c r="M31" s="1300">
        <f>HLOOKUP($D$25,InflationTable,3)*$C31</f>
        <v>22380.9</v>
      </c>
      <c r="N31" s="753">
        <f>M31*$O$6</f>
        <v>13562825.4</v>
      </c>
      <c r="O31" s="1138">
        <f t="shared" si="3"/>
        <v>1937546.4857142859</v>
      </c>
      <c r="P31" s="1139">
        <f>HLOOKUP($D$25,InflationTable,4)*$C31</f>
        <v>22820.100000000002</v>
      </c>
      <c r="Q31" s="750">
        <f>P31*$O$6</f>
        <v>13828980.600000001</v>
      </c>
      <c r="R31" s="751">
        <f t="shared" si="4"/>
        <v>1975568.6571428573</v>
      </c>
      <c r="S31" s="757" t="s">
        <v>12</v>
      </c>
      <c r="T31" s="1140" t="s">
        <v>12</v>
      </c>
      <c r="U31" s="1141">
        <f t="shared" si="5"/>
        <v>1937018.4000000001</v>
      </c>
    </row>
    <row r="32" spans="1:22" s="1" customFormat="1">
      <c r="A32" s="616"/>
      <c r="B32" s="1297" t="str">
        <f>"Spare "&amp;B31&amp;"s"</f>
        <v>Spare Continuous Samplers</v>
      </c>
      <c r="C32" s="1062">
        <f>VLOOKUP(C$2,Monitor_Costs,14,FALSE)</f>
        <v>18300</v>
      </c>
      <c r="D32" s="381">
        <f>VLOOKUP(C$2,Monitor_Costs,15,FALSE)</f>
        <v>2013</v>
      </c>
      <c r="E32" s="459"/>
      <c r="F32" s="93"/>
      <c r="G32" s="460"/>
      <c r="H32" s="460"/>
      <c r="I32" s="1180"/>
      <c r="J32" s="384">
        <f t="shared" si="1"/>
        <v>21923.399999999998</v>
      </c>
      <c r="K32" s="384">
        <f>J32*$P$6</f>
        <v>1992837.0599999996</v>
      </c>
      <c r="L32" s="385">
        <f t="shared" si="2"/>
        <v>284691.00857142854</v>
      </c>
      <c r="M32" s="1061">
        <f>HLOOKUP($D$25,InflationTable,3)*$C32</f>
        <v>22380.9</v>
      </c>
      <c r="N32" s="387">
        <f>M32*$P$6</f>
        <v>2034423.81</v>
      </c>
      <c r="O32" s="672">
        <f t="shared" si="3"/>
        <v>290631.97285714286</v>
      </c>
      <c r="P32" s="383">
        <f>HLOOKUP($D$25,InflationTable,4)*$C32</f>
        <v>22820.100000000002</v>
      </c>
      <c r="Q32" s="384">
        <f>P32*$P$6</f>
        <v>2074347.09</v>
      </c>
      <c r="R32" s="385">
        <f t="shared" si="4"/>
        <v>296335.29857142858</v>
      </c>
      <c r="S32" s="462" t="s">
        <v>12</v>
      </c>
      <c r="T32" s="380" t="s">
        <v>12</v>
      </c>
      <c r="U32" s="509">
        <f t="shared" si="5"/>
        <v>290552.76</v>
      </c>
    </row>
    <row r="33" spans="1:21" s="1" customFormat="1">
      <c r="A33" s="616"/>
      <c r="B33" s="1295" t="str">
        <f>VLOOKUP(C$2,Monitor_Costs,16,FALSE)</f>
        <v>Speciation Sampler</v>
      </c>
      <c r="C33" s="1296">
        <f>VLOOKUP(C$2,Monitor_Costs,17,FALSE)</f>
        <v>12000</v>
      </c>
      <c r="D33" s="381">
        <f>VLOOKUP(C$2,Monitor_Costs,18,FALSE)</f>
        <v>2013</v>
      </c>
      <c r="E33" s="459"/>
      <c r="F33" s="93"/>
      <c r="G33" s="460"/>
      <c r="H33" s="460"/>
      <c r="I33" s="1180"/>
      <c r="J33" s="384">
        <f t="shared" si="1"/>
        <v>14376</v>
      </c>
      <c r="K33" s="384">
        <f>J33*$O$7</f>
        <v>2846448</v>
      </c>
      <c r="L33" s="385">
        <f t="shared" si="2"/>
        <v>406635.42857142858</v>
      </c>
      <c r="M33" s="1061">
        <f>HLOOKUP($D$25,InflationTable,3)*$C33</f>
        <v>14676.000000000002</v>
      </c>
      <c r="N33" s="387">
        <f>M33*$O$7</f>
        <v>2905848.0000000005</v>
      </c>
      <c r="O33" s="672">
        <f t="shared" si="3"/>
        <v>415121.1428571429</v>
      </c>
      <c r="P33" s="383">
        <f>HLOOKUP($D$25,InflationTable,4)*$C33</f>
        <v>14964.000000000002</v>
      </c>
      <c r="Q33" s="384">
        <f>P33*$O$7</f>
        <v>2962872.0000000005</v>
      </c>
      <c r="R33" s="385">
        <f t="shared" si="4"/>
        <v>423267.42857142864</v>
      </c>
      <c r="S33" s="462" t="s">
        <v>12</v>
      </c>
      <c r="T33" s="380" t="s">
        <v>12</v>
      </c>
      <c r="U33" s="509">
        <f t="shared" si="5"/>
        <v>415008</v>
      </c>
    </row>
    <row r="34" spans="1:21" s="1" customFormat="1">
      <c r="A34" s="616"/>
      <c r="B34" s="1312" t="str">
        <f>VLOOKUP(C$2,Monitor_Costs,19,FALSE)</f>
        <v>Data acquisition (laptop/PDA)</v>
      </c>
      <c r="C34" s="1062">
        <f>VLOOKUP(C$2,Monitor_Costs,20,FALSE)</f>
        <v>400</v>
      </c>
      <c r="D34" s="381">
        <f>VLOOKUP(C$2,Monitor_Costs,21,FALSE)</f>
        <v>2013</v>
      </c>
      <c r="F34" s="93"/>
      <c r="G34" s="460"/>
      <c r="H34" s="460"/>
      <c r="I34" s="1180"/>
      <c r="J34" s="384">
        <f t="shared" si="1"/>
        <v>479.2</v>
      </c>
      <c r="K34" s="384">
        <f>J34*($O$3+$O$4+$L$6+$O$5)</f>
        <v>536224.79999999993</v>
      </c>
      <c r="L34" s="385">
        <f t="shared" si="2"/>
        <v>76603.542857142849</v>
      </c>
      <c r="M34" s="1061">
        <f>HLOOKUP($D$25,InflationTable,3)*$C34</f>
        <v>489.20000000000005</v>
      </c>
      <c r="N34" s="387">
        <f>M34*($O$3+$O$4+$L$6+$O$5)</f>
        <v>547414.80000000005</v>
      </c>
      <c r="O34" s="672">
        <f t="shared" si="3"/>
        <v>78202.114285714299</v>
      </c>
      <c r="P34" s="383">
        <f>HLOOKUP($D$25,InflationTable,4)*$C34</f>
        <v>498.80000000000007</v>
      </c>
      <c r="Q34" s="384">
        <f>P34*($O$3+$O$4+$L$6+$O$5)</f>
        <v>558157.20000000007</v>
      </c>
      <c r="R34" s="385">
        <f t="shared" si="4"/>
        <v>79736.742857142861</v>
      </c>
      <c r="S34" s="462" t="s">
        <v>12</v>
      </c>
      <c r="T34" s="380" t="s">
        <v>12</v>
      </c>
      <c r="U34" s="509">
        <f t="shared" si="5"/>
        <v>78180.800000000003</v>
      </c>
    </row>
    <row r="35" spans="1:21" s="1" customFormat="1" ht="13.5" thickBot="1">
      <c r="A35" s="616"/>
      <c r="B35" s="1309" t="str">
        <f>VLOOKUP(C$2,Monitor_Costs,22,FALSE)</f>
        <v>Sampling Platform</v>
      </c>
      <c r="C35" s="1310">
        <f>VLOOKUP(C$2,Monitor_Costs,23,FALSE)</f>
        <v>2000</v>
      </c>
      <c r="D35" s="373">
        <f>VLOOKUP(C$2,Monitor_Costs,24,FALSE)</f>
        <v>2013</v>
      </c>
      <c r="E35" s="1311"/>
      <c r="F35" s="470"/>
      <c r="G35" s="469"/>
      <c r="H35" s="469"/>
      <c r="I35" s="1306"/>
      <c r="J35" s="296">
        <f t="shared" si="1"/>
        <v>2396</v>
      </c>
      <c r="K35" s="296">
        <f>J35*S3</f>
        <v>2336100</v>
      </c>
      <c r="L35" s="297">
        <f t="shared" si="2"/>
        <v>333728.57142857142</v>
      </c>
      <c r="M35" s="1307">
        <f>HLOOKUP($D$25,InflationTable,3)*$C35</f>
        <v>2446</v>
      </c>
      <c r="N35" s="377">
        <f>M35*$S$3</f>
        <v>2384850</v>
      </c>
      <c r="O35" s="209">
        <f t="shared" si="3"/>
        <v>340692.85714285716</v>
      </c>
      <c r="P35" s="332">
        <f>HLOOKUP($D$25,InflationTable,4)*$C35</f>
        <v>2494</v>
      </c>
      <c r="Q35" s="296">
        <f>P35*$S$3</f>
        <v>2431650</v>
      </c>
      <c r="R35" s="297">
        <f t="shared" si="4"/>
        <v>347378.57142857142</v>
      </c>
      <c r="S35" s="472" t="s">
        <v>12</v>
      </c>
      <c r="T35" s="218" t="s">
        <v>12</v>
      </c>
      <c r="U35" s="229">
        <f t="shared" si="5"/>
        <v>340600</v>
      </c>
    </row>
    <row r="36" spans="1:21">
      <c r="A36" s="615"/>
      <c r="B36" s="610" t="s">
        <v>17</v>
      </c>
      <c r="C36" s="107" t="s">
        <v>45</v>
      </c>
      <c r="D36" s="108" t="s">
        <v>46</v>
      </c>
      <c r="E36" s="107" t="s">
        <v>47</v>
      </c>
      <c r="F36" s="107" t="s">
        <v>48</v>
      </c>
      <c r="G36" s="107" t="s">
        <v>49</v>
      </c>
      <c r="H36" s="107" t="s">
        <v>50</v>
      </c>
      <c r="I36" s="350" t="s">
        <v>74</v>
      </c>
      <c r="J36" s="351"/>
      <c r="K36" s="352"/>
      <c r="L36" s="356"/>
      <c r="M36" s="110"/>
      <c r="N36" s="108"/>
      <c r="O36" s="111"/>
      <c r="P36" s="352"/>
      <c r="Q36" s="352"/>
      <c r="R36" s="356"/>
      <c r="S36" s="125"/>
      <c r="T36" s="37"/>
      <c r="U36" s="227"/>
    </row>
    <row r="37" spans="1:21">
      <c r="A37" s="615"/>
      <c r="B37" s="1058" t="s">
        <v>119</v>
      </c>
      <c r="C37" s="31">
        <v>0</v>
      </c>
      <c r="D37" s="21">
        <v>0</v>
      </c>
      <c r="E37" s="21">
        <v>8</v>
      </c>
      <c r="F37" s="21">
        <v>8</v>
      </c>
      <c r="G37" s="21">
        <v>0</v>
      </c>
      <c r="H37" s="21">
        <v>0</v>
      </c>
      <c r="I37" s="48">
        <f>SUM(C37:H37)</f>
        <v>16</v>
      </c>
      <c r="J37" s="263" t="s">
        <v>12</v>
      </c>
      <c r="K37" s="281">
        <f>$I37*($O$3+$O$4+$O$5+$O$6+$O$7+$L$6+$P$3+$P$4+$P$6)</f>
        <v>34327.200000000004</v>
      </c>
      <c r="L37" s="282">
        <f>K37/$E$22</f>
        <v>4903.885714285715</v>
      </c>
      <c r="M37" s="58" t="s">
        <v>12</v>
      </c>
      <c r="N37" s="69">
        <f>$I37*($O$3+$O$4+$O$5+$O$6+$O$7+$L$6+$P$3+$P$4+$P$6)</f>
        <v>34327.200000000004</v>
      </c>
      <c r="O37" s="59">
        <f>N37/$E$22</f>
        <v>4903.885714285715</v>
      </c>
      <c r="P37" s="263" t="s">
        <v>12</v>
      </c>
      <c r="Q37" s="281">
        <f>$I37*($O$3+$O$4+$O$5+$O$6+$O$7+$L$6+$P$3+$P$4+$P$6)</f>
        <v>34327.200000000004</v>
      </c>
      <c r="R37" s="282">
        <f>Q37/$E$22</f>
        <v>4903.885714285715</v>
      </c>
      <c r="S37" s="173">
        <f>AVERAGE(L37,O37,R37)</f>
        <v>4903.885714285715</v>
      </c>
      <c r="T37" s="119" t="s">
        <v>12</v>
      </c>
      <c r="U37" s="232" t="s">
        <v>12</v>
      </c>
    </row>
    <row r="38" spans="1:21" s="1" customFormat="1" ht="13.5" thickBot="1">
      <c r="A38" s="616"/>
      <c r="B38" s="1064" t="s">
        <v>8</v>
      </c>
      <c r="C38" s="389">
        <f>ROUND(C37*Labor!$D$3,0)</f>
        <v>0</v>
      </c>
      <c r="D38" s="374">
        <f>ROUND(D37*Labor!$D$4,0)</f>
        <v>0</v>
      </c>
      <c r="E38" s="374">
        <f>ROUND(E37*Labor!$D$5,0)</f>
        <v>353</v>
      </c>
      <c r="F38" s="374">
        <f>ROUND(F37*Labor!$D$6,0)</f>
        <v>394</v>
      </c>
      <c r="G38" s="374">
        <f>ROUND(G37*Labor!$D$7,0)</f>
        <v>0</v>
      </c>
      <c r="H38" s="374">
        <f>ROUND(H37*Labor!$D$8,0)</f>
        <v>0</v>
      </c>
      <c r="I38" s="375">
        <f>SUM(C38:H38)</f>
        <v>747</v>
      </c>
      <c r="J38" s="332">
        <f>HLOOKUP(Labor!$B$11,InflationTable,2)*I38</f>
        <v>894.90599999999995</v>
      </c>
      <c r="K38" s="296">
        <f>J38*($O$3+$O$4+$O$5+$O$6+$O$7+$L$6+$P$3+$P$4+$P$6)</f>
        <v>1919976.0777</v>
      </c>
      <c r="L38" s="297">
        <f>K38/$E$22</f>
        <v>274282.29681428574</v>
      </c>
      <c r="M38" s="376">
        <f>HLOOKUP(Labor!$B$11,InflationTable,3)*$I38</f>
        <v>913.58100000000002</v>
      </c>
      <c r="N38" s="377">
        <f>M38*($O$3+$O$4+$O$5+$O$6+$O$7+$L$6+$P$3+$P$4+$P$6)</f>
        <v>1960042.3564500003</v>
      </c>
      <c r="O38" s="378">
        <f>N38/$E$22</f>
        <v>280006.0509214286</v>
      </c>
      <c r="P38" s="332">
        <f>HLOOKUP(Labor!$B$11,InflationTable,4)*$I38</f>
        <v>931.50900000000013</v>
      </c>
      <c r="Q38" s="296">
        <f>P38*($O$3+$O$4+$O$5+$O$6+$O$7+$L$6+$P$3+$P$4+$P$6)</f>
        <v>1998505.9840500006</v>
      </c>
      <c r="R38" s="297">
        <f>Q38/$E$22</f>
        <v>285500.85486428579</v>
      </c>
      <c r="S38" s="450">
        <f>AVERAGE(L38,O38,R38)</f>
        <v>279929.73420000006</v>
      </c>
      <c r="T38" s="218" t="s">
        <v>12</v>
      </c>
      <c r="U38" s="228" t="s">
        <v>12</v>
      </c>
    </row>
    <row r="39" spans="1:21" s="1" customFormat="1">
      <c r="A39" s="616"/>
      <c r="B39" s="610" t="s">
        <v>177</v>
      </c>
      <c r="C39" s="667"/>
      <c r="D39" s="658"/>
      <c r="E39" s="658"/>
      <c r="F39" s="658"/>
      <c r="G39" s="658"/>
      <c r="H39" s="658"/>
      <c r="I39" s="659"/>
      <c r="J39" s="1338"/>
      <c r="K39" s="1339"/>
      <c r="L39" s="1340"/>
      <c r="M39" s="1341"/>
      <c r="N39" s="1342"/>
      <c r="O39" s="1343"/>
      <c r="P39" s="1344"/>
      <c r="Q39" s="661"/>
      <c r="R39" s="662"/>
      <c r="S39" s="1345"/>
      <c r="T39" s="1346"/>
      <c r="U39" s="1347"/>
    </row>
    <row r="40" spans="1:21">
      <c r="A40" s="615"/>
      <c r="B40" s="610" t="s">
        <v>324</v>
      </c>
      <c r="C40" s="346">
        <v>0</v>
      </c>
      <c r="D40" s="365">
        <v>4</v>
      </c>
      <c r="E40" s="365">
        <v>2</v>
      </c>
      <c r="F40" s="365">
        <v>2</v>
      </c>
      <c r="G40" s="365">
        <v>0</v>
      </c>
      <c r="H40" s="365">
        <v>0</v>
      </c>
      <c r="I40" s="366">
        <f t="shared" ref="I40:I49" si="6">SUM(C40:H40)</f>
        <v>8</v>
      </c>
      <c r="J40" s="293" t="s">
        <v>12</v>
      </c>
      <c r="K40" s="1350">
        <f>$I$40*($O$4+$O$5)</f>
        <v>2672</v>
      </c>
      <c r="L40" s="282">
        <f t="shared" ref="L40:L49" si="7">K40/$E$22</f>
        <v>381.71428571428572</v>
      </c>
      <c r="M40" s="61" t="s">
        <v>12</v>
      </c>
      <c r="N40" s="1351">
        <f>$I$40*($O$4+$O$5)</f>
        <v>2672</v>
      </c>
      <c r="O40" s="59">
        <f t="shared" ref="O40:O49" si="8">N40/$E$22</f>
        <v>381.71428571428572</v>
      </c>
      <c r="P40" s="293" t="s">
        <v>12</v>
      </c>
      <c r="Q40" s="1348">
        <f>$I$40*($O$4+$O$5)</f>
        <v>2672</v>
      </c>
      <c r="R40" s="282">
        <f t="shared" ref="R40:R49" si="9">Q40/$E$22</f>
        <v>381.71428571428572</v>
      </c>
      <c r="S40" s="129">
        <f t="shared" ref="S40:S50" si="10">AVERAGE(L40,O40,R40)</f>
        <v>381.71428571428572</v>
      </c>
      <c r="T40" s="136" t="s">
        <v>12</v>
      </c>
      <c r="U40" s="230" t="s">
        <v>12</v>
      </c>
    </row>
    <row r="41" spans="1:21" s="1" customFormat="1" ht="13.5" thickBot="1">
      <c r="A41" s="616"/>
      <c r="B41" s="1065" t="s">
        <v>8</v>
      </c>
      <c r="C41" s="373">
        <f>ROUND(C40*Labor!$D$3,0)</f>
        <v>0</v>
      </c>
      <c r="D41" s="374">
        <f>ROUND(D40*Labor!$D$4,0)</f>
        <v>163</v>
      </c>
      <c r="E41" s="374">
        <f>ROUND(E40*Labor!$D$5,0)</f>
        <v>88</v>
      </c>
      <c r="F41" s="374">
        <f>ROUND(F40*Labor!$D$6,0)</f>
        <v>99</v>
      </c>
      <c r="G41" s="374">
        <f>ROUND(G40*Labor!$D$7,0)</f>
        <v>0</v>
      </c>
      <c r="H41" s="374">
        <f>ROUND(H40*Labor!$D$8,0)</f>
        <v>0</v>
      </c>
      <c r="I41" s="375">
        <f t="shared" si="6"/>
        <v>350</v>
      </c>
      <c r="J41" s="332">
        <f>HLOOKUP(Labor!$B$11,InflationTable,2)*I41</f>
        <v>419.3</v>
      </c>
      <c r="K41" s="1349">
        <f>J41*($O$4+$O$5)</f>
        <v>140046.20000000001</v>
      </c>
      <c r="L41" s="745">
        <f t="shared" si="7"/>
        <v>20006.600000000002</v>
      </c>
      <c r="M41" s="376">
        <f>HLOOKUP(Labor!$B$11,InflationTable,3)*$I41</f>
        <v>428.05</v>
      </c>
      <c r="N41" s="747">
        <f>M41*($O$4+$O$5)</f>
        <v>142968.70000000001</v>
      </c>
      <c r="O41" s="748">
        <f t="shared" si="8"/>
        <v>20424.100000000002</v>
      </c>
      <c r="P41" s="339">
        <f>HLOOKUP(Labor!$B$11,InflationTable,4)*$I41</f>
        <v>436.45000000000005</v>
      </c>
      <c r="Q41" s="296">
        <f>P41*($O$4+$O$5)</f>
        <v>145774.30000000002</v>
      </c>
      <c r="R41" s="297">
        <f t="shared" si="9"/>
        <v>20824.900000000001</v>
      </c>
      <c r="S41" s="211">
        <f t="shared" si="10"/>
        <v>20418.533333333336</v>
      </c>
      <c r="T41" s="393" t="s">
        <v>12</v>
      </c>
      <c r="U41" s="228" t="s">
        <v>12</v>
      </c>
    </row>
    <row r="42" spans="1:21">
      <c r="A42" s="615"/>
      <c r="B42" s="610" t="s">
        <v>325</v>
      </c>
      <c r="C42" s="346">
        <v>0</v>
      </c>
      <c r="D42" s="365">
        <v>4</v>
      </c>
      <c r="E42" s="365">
        <v>2</v>
      </c>
      <c r="F42" s="365">
        <v>2</v>
      </c>
      <c r="G42" s="365">
        <v>0</v>
      </c>
      <c r="H42" s="365">
        <v>0</v>
      </c>
      <c r="I42" s="366">
        <f t="shared" si="6"/>
        <v>8</v>
      </c>
      <c r="J42" s="293" t="s">
        <v>12</v>
      </c>
      <c r="K42" s="327">
        <f>$I42*$O$3</f>
        <v>5864</v>
      </c>
      <c r="L42" s="294">
        <f t="shared" si="7"/>
        <v>837.71428571428567</v>
      </c>
      <c r="M42" s="61" t="s">
        <v>12</v>
      </c>
      <c r="N42" s="348">
        <f>$I42*$O$3</f>
        <v>5864</v>
      </c>
      <c r="O42" s="62">
        <f t="shared" si="8"/>
        <v>837.71428571428567</v>
      </c>
      <c r="P42" s="293" t="s">
        <v>12</v>
      </c>
      <c r="Q42" s="327">
        <f>$I42*$O$3</f>
        <v>5864</v>
      </c>
      <c r="R42" s="367">
        <f t="shared" si="9"/>
        <v>837.71428571428567</v>
      </c>
      <c r="S42" s="129">
        <f t="shared" si="10"/>
        <v>837.71428571428567</v>
      </c>
      <c r="T42" s="136" t="s">
        <v>12</v>
      </c>
      <c r="U42" s="230" t="s">
        <v>12</v>
      </c>
    </row>
    <row r="43" spans="1:21" s="1" customFormat="1" ht="13.5" thickBot="1">
      <c r="A43" s="616"/>
      <c r="B43" s="1065" t="s">
        <v>8</v>
      </c>
      <c r="C43" s="373">
        <f>ROUND(C42*Labor!$D$3,0)</f>
        <v>0</v>
      </c>
      <c r="D43" s="374">
        <f>ROUND(D42*Labor!$D$4,0)</f>
        <v>163</v>
      </c>
      <c r="E43" s="374">
        <f>ROUND(E42*Labor!$D$5,0)</f>
        <v>88</v>
      </c>
      <c r="F43" s="374">
        <f>ROUND(F42*Labor!$D$6,0)</f>
        <v>99</v>
      </c>
      <c r="G43" s="374">
        <f>ROUND(G42*Labor!$D$7,0)</f>
        <v>0</v>
      </c>
      <c r="H43" s="374">
        <f>ROUND(H42*Labor!$D$8,0)</f>
        <v>0</v>
      </c>
      <c r="I43" s="375">
        <f t="shared" si="6"/>
        <v>350</v>
      </c>
      <c r="J43" s="332">
        <f>HLOOKUP(Labor!$B$11,InflationTable,2)*I43</f>
        <v>419.3</v>
      </c>
      <c r="K43" s="296">
        <f>J43*$O$3</f>
        <v>307346.90000000002</v>
      </c>
      <c r="L43" s="297">
        <f t="shared" si="7"/>
        <v>43906.700000000004</v>
      </c>
      <c r="M43" s="376">
        <f>HLOOKUP(Labor!$B$11,InflationTable,3)*$I43</f>
        <v>428.05</v>
      </c>
      <c r="N43" s="377">
        <f>M43*$O$3</f>
        <v>313760.65000000002</v>
      </c>
      <c r="O43" s="378">
        <f t="shared" si="8"/>
        <v>44822.950000000004</v>
      </c>
      <c r="P43" s="339">
        <f>HLOOKUP(Labor!$B$11,InflationTable,4)*$I43</f>
        <v>436.45000000000005</v>
      </c>
      <c r="Q43" s="296">
        <f>P43*$O$3</f>
        <v>319917.85000000003</v>
      </c>
      <c r="R43" s="297">
        <f t="shared" si="9"/>
        <v>45702.55</v>
      </c>
      <c r="S43" s="211">
        <f t="shared" si="10"/>
        <v>44810.733333333337</v>
      </c>
      <c r="T43" s="393" t="s">
        <v>12</v>
      </c>
      <c r="U43" s="228" t="s">
        <v>12</v>
      </c>
    </row>
    <row r="44" spans="1:21">
      <c r="A44" s="615"/>
      <c r="B44" s="610" t="s">
        <v>326</v>
      </c>
      <c r="C44" s="346">
        <v>0</v>
      </c>
      <c r="D44" s="365">
        <v>4</v>
      </c>
      <c r="E44" s="365">
        <v>2</v>
      </c>
      <c r="F44" s="365">
        <v>2</v>
      </c>
      <c r="G44" s="365">
        <v>0</v>
      </c>
      <c r="H44" s="365">
        <v>0</v>
      </c>
      <c r="I44" s="366">
        <f t="shared" si="6"/>
        <v>8</v>
      </c>
      <c r="J44" s="293" t="s">
        <v>12</v>
      </c>
      <c r="K44" s="334">
        <f>$I44*$L$6</f>
        <v>416</v>
      </c>
      <c r="L44" s="294">
        <f t="shared" si="7"/>
        <v>59.428571428571431</v>
      </c>
      <c r="M44" s="61" t="s">
        <v>12</v>
      </c>
      <c r="N44" s="668">
        <f>$I44*$L$6</f>
        <v>416</v>
      </c>
      <c r="O44" s="62">
        <f t="shared" si="8"/>
        <v>59.428571428571431</v>
      </c>
      <c r="P44" s="293" t="s">
        <v>12</v>
      </c>
      <c r="Q44" s="334">
        <f>$I44*$L$6</f>
        <v>416</v>
      </c>
      <c r="R44" s="367">
        <f t="shared" si="9"/>
        <v>59.428571428571431</v>
      </c>
      <c r="S44" s="129">
        <f t="shared" si="10"/>
        <v>59.428571428571423</v>
      </c>
      <c r="T44" s="136" t="s">
        <v>12</v>
      </c>
      <c r="U44" s="230" t="s">
        <v>12</v>
      </c>
    </row>
    <row r="45" spans="1:21" s="1" customFormat="1" ht="13.5" thickBot="1">
      <c r="A45" s="616"/>
      <c r="B45" s="1065" t="s">
        <v>8</v>
      </c>
      <c r="C45" s="373">
        <f>ROUND(C44*Labor!$D$3,0)</f>
        <v>0</v>
      </c>
      <c r="D45" s="374">
        <f>ROUND(D44*Labor!$D$4,0)</f>
        <v>163</v>
      </c>
      <c r="E45" s="374">
        <f>ROUND(E44*Labor!$D$5,0)</f>
        <v>88</v>
      </c>
      <c r="F45" s="374">
        <f>ROUND(F44*Labor!$D$6,0)</f>
        <v>99</v>
      </c>
      <c r="G45" s="374">
        <f>ROUND(G44*Labor!$D$7,0)</f>
        <v>0</v>
      </c>
      <c r="H45" s="374">
        <f>ROUND(H44*Labor!$D$8,0)</f>
        <v>0</v>
      </c>
      <c r="I45" s="375">
        <f t="shared" si="6"/>
        <v>350</v>
      </c>
      <c r="J45" s="332">
        <f>HLOOKUP(Labor!$B$11,InflationTable,2)*I45</f>
        <v>419.3</v>
      </c>
      <c r="K45" s="296">
        <f>J45*$L$6</f>
        <v>21803.600000000002</v>
      </c>
      <c r="L45" s="297">
        <f t="shared" si="7"/>
        <v>3114.8</v>
      </c>
      <c r="M45" s="376">
        <f>HLOOKUP(Labor!$B$11,InflationTable,3)*$I45</f>
        <v>428.05</v>
      </c>
      <c r="N45" s="377">
        <f>M45*$L$6</f>
        <v>22258.600000000002</v>
      </c>
      <c r="O45" s="378">
        <f t="shared" si="8"/>
        <v>3179.8</v>
      </c>
      <c r="P45" s="339">
        <f>HLOOKUP(Labor!$B$11,InflationTable,4)*$I45</f>
        <v>436.45000000000005</v>
      </c>
      <c r="Q45" s="296">
        <f>P45*$L$6</f>
        <v>22695.4</v>
      </c>
      <c r="R45" s="297">
        <f t="shared" si="9"/>
        <v>3242.2000000000003</v>
      </c>
      <c r="S45" s="211">
        <f t="shared" si="10"/>
        <v>3178.9333333333338</v>
      </c>
      <c r="T45" s="393" t="s">
        <v>12</v>
      </c>
      <c r="U45" s="228" t="s">
        <v>12</v>
      </c>
    </row>
    <row r="46" spans="1:21">
      <c r="A46" s="615"/>
      <c r="B46" s="610" t="s">
        <v>327</v>
      </c>
      <c r="C46" s="346">
        <v>0</v>
      </c>
      <c r="D46" s="365">
        <v>2</v>
      </c>
      <c r="E46" s="365">
        <v>3</v>
      </c>
      <c r="F46" s="365">
        <v>3</v>
      </c>
      <c r="G46" s="365">
        <v>0</v>
      </c>
      <c r="H46" s="365">
        <v>0</v>
      </c>
      <c r="I46" s="366">
        <f t="shared" si="6"/>
        <v>8</v>
      </c>
      <c r="J46" s="293" t="s">
        <v>12</v>
      </c>
      <c r="K46" s="327">
        <f>$I46*$O$6</f>
        <v>4848</v>
      </c>
      <c r="L46" s="294">
        <f t="shared" si="7"/>
        <v>692.57142857142856</v>
      </c>
      <c r="M46" s="61" t="s">
        <v>12</v>
      </c>
      <c r="N46" s="348">
        <f>$I46*$O$6</f>
        <v>4848</v>
      </c>
      <c r="O46" s="62">
        <f t="shared" si="8"/>
        <v>692.57142857142856</v>
      </c>
      <c r="P46" s="293" t="s">
        <v>12</v>
      </c>
      <c r="Q46" s="327">
        <f>$I46*$O$6</f>
        <v>4848</v>
      </c>
      <c r="R46" s="367">
        <f t="shared" si="9"/>
        <v>692.57142857142856</v>
      </c>
      <c r="S46" s="129">
        <f t="shared" si="10"/>
        <v>692.57142857142856</v>
      </c>
      <c r="T46" s="136" t="s">
        <v>12</v>
      </c>
      <c r="U46" s="230" t="s">
        <v>12</v>
      </c>
    </row>
    <row r="47" spans="1:21" s="1" customFormat="1" ht="13.5" thickBot="1">
      <c r="A47" s="616"/>
      <c r="B47" s="1065" t="s">
        <v>8</v>
      </c>
      <c r="C47" s="373">
        <f>ROUND(C46*Labor!$D$3,0)</f>
        <v>0</v>
      </c>
      <c r="D47" s="374">
        <f>ROUND(D46*Labor!$D$4,0)</f>
        <v>82</v>
      </c>
      <c r="E47" s="374">
        <f>ROUND(E46*Labor!$D$5,0)</f>
        <v>132</v>
      </c>
      <c r="F47" s="374">
        <f>ROUND(F46*Labor!$D$6,0)</f>
        <v>148</v>
      </c>
      <c r="G47" s="374">
        <f>ROUND(G46*Labor!$D$7,0)</f>
        <v>0</v>
      </c>
      <c r="H47" s="374">
        <f>ROUND(H46*Labor!$D$8,0)</f>
        <v>0</v>
      </c>
      <c r="I47" s="375">
        <f t="shared" si="6"/>
        <v>362</v>
      </c>
      <c r="J47" s="332">
        <f>HLOOKUP(Labor!$B$11,InflationTable,2)*I47</f>
        <v>433.67599999999999</v>
      </c>
      <c r="K47" s="296">
        <f>J47*$O$6</f>
        <v>262807.65600000002</v>
      </c>
      <c r="L47" s="297">
        <f t="shared" si="7"/>
        <v>37543.95085714286</v>
      </c>
      <c r="M47" s="376">
        <f>HLOOKUP(Labor!$B$11,InflationTable,3)*$I47</f>
        <v>442.72600000000006</v>
      </c>
      <c r="N47" s="377">
        <f>M47*$O$6</f>
        <v>268291.95600000001</v>
      </c>
      <c r="O47" s="378">
        <f t="shared" si="8"/>
        <v>38327.422285714289</v>
      </c>
      <c r="P47" s="339">
        <f>HLOOKUP(Labor!$B$11,InflationTable,4)*$I47</f>
        <v>451.41400000000004</v>
      </c>
      <c r="Q47" s="296">
        <f>P47*$O$6</f>
        <v>273556.88400000002</v>
      </c>
      <c r="R47" s="297">
        <f t="shared" si="9"/>
        <v>39079.554857142859</v>
      </c>
      <c r="S47" s="211">
        <f t="shared" si="10"/>
        <v>38316.976000000002</v>
      </c>
      <c r="T47" s="393" t="s">
        <v>12</v>
      </c>
      <c r="U47" s="228" t="s">
        <v>12</v>
      </c>
    </row>
    <row r="48" spans="1:21">
      <c r="A48" s="615"/>
      <c r="B48" s="610" t="s">
        <v>328</v>
      </c>
      <c r="C48" s="346">
        <v>0</v>
      </c>
      <c r="D48" s="365">
        <v>2</v>
      </c>
      <c r="E48" s="365">
        <v>8</v>
      </c>
      <c r="F48" s="365">
        <v>2</v>
      </c>
      <c r="G48" s="365">
        <v>0</v>
      </c>
      <c r="H48" s="365">
        <v>0</v>
      </c>
      <c r="I48" s="366">
        <f t="shared" si="6"/>
        <v>12</v>
      </c>
      <c r="J48" s="293" t="s">
        <v>12</v>
      </c>
      <c r="K48" s="327">
        <f>$I48*$O$7</f>
        <v>2376</v>
      </c>
      <c r="L48" s="294">
        <f t="shared" si="7"/>
        <v>339.42857142857144</v>
      </c>
      <c r="M48" s="61" t="s">
        <v>12</v>
      </c>
      <c r="N48" s="348">
        <f>$I48*$O$7</f>
        <v>2376</v>
      </c>
      <c r="O48" s="62">
        <f t="shared" si="8"/>
        <v>339.42857142857144</v>
      </c>
      <c r="P48" s="293" t="s">
        <v>12</v>
      </c>
      <c r="Q48" s="327">
        <f>$I48*$O$7</f>
        <v>2376</v>
      </c>
      <c r="R48" s="367">
        <f t="shared" si="9"/>
        <v>339.42857142857144</v>
      </c>
      <c r="S48" s="129">
        <f t="shared" si="10"/>
        <v>339.42857142857144</v>
      </c>
      <c r="T48" s="136" t="s">
        <v>12</v>
      </c>
      <c r="U48" s="230" t="s">
        <v>12</v>
      </c>
    </row>
    <row r="49" spans="1:22" s="1" customFormat="1" ht="13.5" thickBot="1">
      <c r="A49" s="616"/>
      <c r="B49" s="612" t="s">
        <v>8</v>
      </c>
      <c r="C49" s="373">
        <f>ROUND(C48*Labor!$D$3,0)</f>
        <v>0</v>
      </c>
      <c r="D49" s="374">
        <f>ROUND(D48*Labor!$D$4,0)</f>
        <v>82</v>
      </c>
      <c r="E49" s="374">
        <f>ROUND(E48*Labor!$D$5,0)</f>
        <v>353</v>
      </c>
      <c r="F49" s="374">
        <f>ROUND(F48*Labor!$D$6,0)</f>
        <v>99</v>
      </c>
      <c r="G49" s="374">
        <f>ROUND(G48*Labor!$D$7,0)</f>
        <v>0</v>
      </c>
      <c r="H49" s="374">
        <f>ROUND(H48*Labor!$D$8,0)</f>
        <v>0</v>
      </c>
      <c r="I49" s="375">
        <f t="shared" si="6"/>
        <v>534</v>
      </c>
      <c r="J49" s="332">
        <f>HLOOKUP(Labor!$B$11,InflationTable,2)*I49</f>
        <v>639.73199999999997</v>
      </c>
      <c r="K49" s="296">
        <f>J49*$O$7</f>
        <v>126666.93599999999</v>
      </c>
      <c r="L49" s="297">
        <f t="shared" si="7"/>
        <v>18095.276571428571</v>
      </c>
      <c r="M49" s="376">
        <f>HLOOKUP(Labor!$B$11,InflationTable,3)*$I49</f>
        <v>653.08199999999999</v>
      </c>
      <c r="N49" s="377">
        <f>M49*$O$7</f>
        <v>129310.236</v>
      </c>
      <c r="O49" s="378">
        <f t="shared" si="8"/>
        <v>18472.890857142858</v>
      </c>
      <c r="P49" s="339">
        <f>HLOOKUP(Labor!$B$11,InflationTable,4)*$I49</f>
        <v>665.89800000000002</v>
      </c>
      <c r="Q49" s="296">
        <f>P49*$O$7</f>
        <v>131847.804</v>
      </c>
      <c r="R49" s="297">
        <f t="shared" si="9"/>
        <v>18835.40057142857</v>
      </c>
      <c r="S49" s="211">
        <f t="shared" si="10"/>
        <v>18467.856</v>
      </c>
      <c r="T49" s="393" t="s">
        <v>12</v>
      </c>
      <c r="U49" s="228" t="s">
        <v>12</v>
      </c>
    </row>
    <row r="50" spans="1:22">
      <c r="A50" s="615"/>
      <c r="B50" s="605" t="s">
        <v>66</v>
      </c>
      <c r="C50" s="33">
        <f>C40+C42+C44+C46+C48</f>
        <v>0</v>
      </c>
      <c r="D50" s="33">
        <f t="shared" ref="D50:I50" si="11">D40+D42+D44+D46+D48</f>
        <v>16</v>
      </c>
      <c r="E50" s="33">
        <f t="shared" si="11"/>
        <v>17</v>
      </c>
      <c r="F50" s="33">
        <f t="shared" si="11"/>
        <v>11</v>
      </c>
      <c r="G50" s="33">
        <f t="shared" si="11"/>
        <v>0</v>
      </c>
      <c r="H50" s="33">
        <f t="shared" si="11"/>
        <v>0</v>
      </c>
      <c r="I50" s="99">
        <f t="shared" si="11"/>
        <v>44</v>
      </c>
      <c r="J50" s="284" t="s">
        <v>12</v>
      </c>
      <c r="K50" s="285">
        <f>K37+K40</f>
        <v>36999.200000000004</v>
      </c>
      <c r="L50" s="312">
        <f>L37+L40+L48</f>
        <v>5625.0285714285719</v>
      </c>
      <c r="M50" s="44" t="s">
        <v>12</v>
      </c>
      <c r="N50" s="33">
        <f>N37+N40</f>
        <v>36999.200000000004</v>
      </c>
      <c r="O50" s="99">
        <f>O37+O40+O48</f>
        <v>5625.0285714285719</v>
      </c>
      <c r="P50" s="284" t="s">
        <v>12</v>
      </c>
      <c r="Q50" s="285">
        <f>Q37+Q40</f>
        <v>36999.200000000004</v>
      </c>
      <c r="R50" s="286">
        <f>R37+R40+R48</f>
        <v>5625.0285714285719</v>
      </c>
      <c r="S50" s="670">
        <f t="shared" si="10"/>
        <v>5625.0285714285719</v>
      </c>
      <c r="T50" s="136" t="s">
        <v>12</v>
      </c>
      <c r="U50" s="230" t="s">
        <v>12</v>
      </c>
    </row>
    <row r="51" spans="1:22" ht="13.5" thickBot="1">
      <c r="A51" s="615"/>
      <c r="B51" s="606" t="s">
        <v>67</v>
      </c>
      <c r="C51" s="240">
        <f>C41+C43+C45+C47+C49</f>
        <v>0</v>
      </c>
      <c r="D51" s="240">
        <f t="shared" ref="D51:I51" si="12">D41+D43+D45+D47+D49</f>
        <v>653</v>
      </c>
      <c r="E51" s="240">
        <f t="shared" si="12"/>
        <v>749</v>
      </c>
      <c r="F51" s="240">
        <f t="shared" si="12"/>
        <v>544</v>
      </c>
      <c r="G51" s="240">
        <f t="shared" si="12"/>
        <v>0</v>
      </c>
      <c r="H51" s="240">
        <f t="shared" si="12"/>
        <v>0</v>
      </c>
      <c r="I51" s="243">
        <f t="shared" si="12"/>
        <v>1946</v>
      </c>
      <c r="J51" s="274">
        <f>J38+J41+J43+J45+J47+J49+SUM(J25:J35)</f>
        <v>129016.21399999998</v>
      </c>
      <c r="K51" s="274">
        <f t="shared" ref="K51:R51" si="13">K38+K41+K43+K45+K47+K49+SUM(K25:K35)</f>
        <v>38551550.329699993</v>
      </c>
      <c r="L51" s="276">
        <f t="shared" si="13"/>
        <v>5507364.3328142855</v>
      </c>
      <c r="M51" s="242">
        <f t="shared" si="13"/>
        <v>126816.53899999999</v>
      </c>
      <c r="N51" s="242">
        <f t="shared" si="13"/>
        <v>39101664.458450004</v>
      </c>
      <c r="O51" s="247">
        <f t="shared" si="13"/>
        <v>5585952.0654928572</v>
      </c>
      <c r="P51" s="313">
        <f t="shared" si="13"/>
        <v>129305.17100000002</v>
      </c>
      <c r="Q51" s="274">
        <f t="shared" si="13"/>
        <v>39868990.662050016</v>
      </c>
      <c r="R51" s="274">
        <f t="shared" si="13"/>
        <v>5695570.0945785725</v>
      </c>
      <c r="S51" s="257">
        <f>S38+S41+S43+S45+S47+S49</f>
        <v>405122.76620000007</v>
      </c>
      <c r="T51" s="249" t="s">
        <v>12</v>
      </c>
      <c r="U51" s="510">
        <f>SUM(U25:U35)</f>
        <v>5191172.731428571</v>
      </c>
    </row>
    <row r="52" spans="1:22" ht="14.25" thickTop="1" thickBot="1">
      <c r="A52" s="5"/>
      <c r="B52" s="618"/>
      <c r="C52" s="618"/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5"/>
    </row>
    <row r="53" spans="1:22" ht="16.5" thickTop="1">
      <c r="A53" s="615"/>
      <c r="B53" s="710" t="s">
        <v>155</v>
      </c>
      <c r="C53" s="5"/>
      <c r="D53" s="5"/>
      <c r="E53" s="5"/>
      <c r="F53" s="112" t="s">
        <v>6</v>
      </c>
      <c r="G53" s="1412"/>
      <c r="H53" s="1413"/>
      <c r="I53" s="1414"/>
      <c r="J53" s="244" t="s">
        <v>22</v>
      </c>
      <c r="K53" s="426"/>
      <c r="L53" s="180"/>
      <c r="M53" s="244" t="s">
        <v>22</v>
      </c>
      <c r="N53" s="426"/>
      <c r="O53" s="67"/>
      <c r="P53" s="244" t="s">
        <v>22</v>
      </c>
      <c r="Q53" s="426"/>
      <c r="R53" s="67"/>
      <c r="S53" s="225"/>
      <c r="T53" s="37"/>
      <c r="U53" s="508"/>
    </row>
    <row r="54" spans="1:22">
      <c r="A54" s="615"/>
      <c r="B54" s="5"/>
      <c r="C54" s="5"/>
      <c r="D54" s="5"/>
      <c r="E54" s="5"/>
      <c r="F54" s="112"/>
      <c r="G54" s="1415"/>
      <c r="H54" s="1415"/>
      <c r="I54" s="1416"/>
      <c r="J54" s="57" t="s">
        <v>61</v>
      </c>
      <c r="K54" s="1444" t="s">
        <v>57</v>
      </c>
      <c r="L54" s="1445"/>
      <c r="M54" s="57" t="s">
        <v>61</v>
      </c>
      <c r="N54" s="1429" t="s">
        <v>57</v>
      </c>
      <c r="O54" s="1430"/>
      <c r="P54" s="57" t="s">
        <v>61</v>
      </c>
      <c r="Q54" s="1429" t="s">
        <v>57</v>
      </c>
      <c r="R54" s="1430"/>
      <c r="S54" s="131"/>
      <c r="T54" s="37"/>
      <c r="U54" s="227"/>
    </row>
    <row r="55" spans="1:22">
      <c r="A55" s="615"/>
      <c r="B55" s="1058" t="s">
        <v>18</v>
      </c>
      <c r="C55" s="23" t="s">
        <v>60</v>
      </c>
      <c r="D55" s="23" t="s">
        <v>62</v>
      </c>
      <c r="E55" s="9"/>
      <c r="F55" s="72"/>
      <c r="G55" s="72"/>
      <c r="H55" s="72"/>
      <c r="I55" s="37"/>
      <c r="J55" s="24" t="s">
        <v>56</v>
      </c>
      <c r="K55" s="24" t="s">
        <v>13</v>
      </c>
      <c r="L55" s="38" t="s">
        <v>68</v>
      </c>
      <c r="M55" s="77" t="s">
        <v>56</v>
      </c>
      <c r="N55" s="24" t="s">
        <v>13</v>
      </c>
      <c r="O55" s="38" t="s">
        <v>68</v>
      </c>
      <c r="P55" s="77" t="s">
        <v>56</v>
      </c>
      <c r="Q55" s="24" t="s">
        <v>13</v>
      </c>
      <c r="R55" s="38" t="s">
        <v>68</v>
      </c>
      <c r="S55" s="123"/>
      <c r="T55" s="37"/>
      <c r="U55" s="227"/>
    </row>
    <row r="56" spans="1:22">
      <c r="A56" s="615"/>
      <c r="B56" s="1352" t="s">
        <v>154</v>
      </c>
      <c r="C56" s="458">
        <f>VLOOKUP($C$2,Monitor_Costs,8,FALSE)</f>
        <v>400</v>
      </c>
      <c r="D56" s="381">
        <f>VLOOKUP(C$2,Monitor_Costs,18,FALSE)</f>
        <v>2013</v>
      </c>
      <c r="E56" s="76"/>
      <c r="F56" s="75"/>
      <c r="G56" s="76"/>
      <c r="H56" s="76"/>
      <c r="I56" s="47"/>
      <c r="J56" s="384">
        <f>HLOOKUP($D56,InflationTable,2)*$C56*$L$8*2.25</f>
        <v>423.10407582938387</v>
      </c>
      <c r="K56" s="384">
        <f>J56*$L$7</f>
        <v>446374.8</v>
      </c>
      <c r="L56" s="385">
        <f>K56</f>
        <v>446374.8</v>
      </c>
      <c r="M56" s="387">
        <f>HLOOKUP($D56,InflationTable,3)*$C56*$L$8*2.25</f>
        <v>431.9334597156398</v>
      </c>
      <c r="N56" s="387">
        <f>M56*$L$7</f>
        <v>455689.8</v>
      </c>
      <c r="O56" s="388">
        <f>N56</f>
        <v>455689.8</v>
      </c>
      <c r="P56" s="749">
        <f>HLOOKUP($D56,InflationTable,4)*$C56*$L$8*2.25</f>
        <v>440.40966824644556</v>
      </c>
      <c r="Q56" s="384">
        <f>P56*$L$7</f>
        <v>464632.20000000007</v>
      </c>
      <c r="R56" s="385">
        <f>Q56</f>
        <v>464632.20000000007</v>
      </c>
      <c r="S56" s="462" t="s">
        <v>12</v>
      </c>
      <c r="T56" s="382">
        <f>AVERAGE(L56,O56,R56)</f>
        <v>455565.60000000003</v>
      </c>
      <c r="U56" s="511" t="s">
        <v>12</v>
      </c>
    </row>
    <row r="57" spans="1:22">
      <c r="A57" s="833"/>
      <c r="B57" s="1153" t="str">
        <f>VLOOKUP($C$2,Monitor_Costs,25,FALSE)</f>
        <v>Speciation sampling national contract</v>
      </c>
      <c r="C57" s="458">
        <f>VLOOKUP($C$2,Monitor_Costs,26,FALSE)</f>
        <v>7057204</v>
      </c>
      <c r="D57" s="381">
        <f>VLOOKUP(C$2,Monitor_Costs,27,FALSE)</f>
        <v>2013</v>
      </c>
      <c r="E57" s="76"/>
      <c r="F57" s="75"/>
      <c r="G57" s="76"/>
      <c r="H57" s="76"/>
      <c r="I57" s="47"/>
      <c r="J57" s="384">
        <f>HLOOKUP($D57,InflationTable,2)*$C57</f>
        <v>8454530.3919999991</v>
      </c>
      <c r="K57" s="384">
        <f>J57</f>
        <v>8454530.3919999991</v>
      </c>
      <c r="L57" s="385">
        <f>K57</f>
        <v>8454530.3919999991</v>
      </c>
      <c r="M57" s="387">
        <f>HLOOKUP($D57,InflationTable,3)*$C57</f>
        <v>8630960.4920000006</v>
      </c>
      <c r="N57" s="387">
        <f>M57</f>
        <v>8630960.4920000006</v>
      </c>
      <c r="O57" s="388">
        <f>N57</f>
        <v>8630960.4920000006</v>
      </c>
      <c r="P57" s="384">
        <f>HLOOKUP($D57,InflationTable,4)*$C57</f>
        <v>8800333.3880000003</v>
      </c>
      <c r="Q57" s="384">
        <f>P57</f>
        <v>8800333.3880000003</v>
      </c>
      <c r="R57" s="385">
        <f>Q57</f>
        <v>8800333.3880000003</v>
      </c>
      <c r="S57" s="462" t="s">
        <v>12</v>
      </c>
      <c r="T57" s="1362" t="s">
        <v>12</v>
      </c>
      <c r="U57" s="1363">
        <f>AVERAGE(L57,O57,R57)</f>
        <v>8628608.0906666666</v>
      </c>
    </row>
    <row r="58" spans="1:22" s="1" customFormat="1">
      <c r="A58" s="616"/>
      <c r="B58" s="1295" t="str">
        <f>VLOOKUP(C$2,Monitor_Costs,28,FALSE)</f>
        <v>Microbalance</v>
      </c>
      <c r="C58" s="1296">
        <f>VLOOKUP(C$2,Monitor_Costs,29,FALSE)</f>
        <v>3000</v>
      </c>
      <c r="D58" s="1133">
        <f>VLOOKUP(C$2,Monitor_Costs,30,FALSE)</f>
        <v>2013</v>
      </c>
      <c r="E58" s="459"/>
      <c r="F58" s="159"/>
      <c r="G58" s="1135"/>
      <c r="H58" s="1135"/>
      <c r="I58" s="461"/>
      <c r="J58" s="750">
        <f>HLOOKUP(D58,InflationTable,2)*$C58</f>
        <v>3594</v>
      </c>
      <c r="K58" s="750">
        <f>J58</f>
        <v>3594</v>
      </c>
      <c r="L58" s="751">
        <f>K58/$E$22</f>
        <v>513.42857142857144</v>
      </c>
      <c r="M58" s="1353">
        <f>HLOOKUP($D$25,InflationTable,3)*$C58</f>
        <v>3669.0000000000005</v>
      </c>
      <c r="N58" s="753">
        <f>M58</f>
        <v>3669.0000000000005</v>
      </c>
      <c r="O58" s="665">
        <f>N58/$E$22</f>
        <v>524.14285714285722</v>
      </c>
      <c r="P58" s="1139">
        <f>HLOOKUP($D$25,InflationTable,4)*$C58</f>
        <v>3741.0000000000005</v>
      </c>
      <c r="Q58" s="750">
        <f>P58</f>
        <v>3741.0000000000005</v>
      </c>
      <c r="R58" s="751">
        <f>Q58/$E$22</f>
        <v>534.42857142857144</v>
      </c>
      <c r="S58" s="757" t="s">
        <v>12</v>
      </c>
      <c r="T58" s="1140" t="s">
        <v>12</v>
      </c>
      <c r="U58" s="1141">
        <f>AVERAGE(L58,O58,R58)</f>
        <v>524</v>
      </c>
    </row>
    <row r="59" spans="1:22" s="1" customFormat="1" ht="13.5" thickBot="1">
      <c r="A59" s="616"/>
      <c r="B59" s="1354" t="str">
        <f>VLOOKUP(C$2,Monitor_Costs,31,FALSE)</f>
        <v>Clean Room for Weighing</v>
      </c>
      <c r="C59" s="1310">
        <f>VLOOKUP(C$2,Monitor_Costs,32,FALSE)</f>
        <v>75000</v>
      </c>
      <c r="D59" s="373">
        <f>VLOOKUP(C$2,Monitor_Costs,33,FALSE)</f>
        <v>2013</v>
      </c>
      <c r="E59" s="469"/>
      <c r="F59" s="470"/>
      <c r="G59" s="469"/>
      <c r="H59" s="469"/>
      <c r="I59" s="1306"/>
      <c r="J59" s="296">
        <f>HLOOKUP(D59,InflationTable,2)*$C59</f>
        <v>89850</v>
      </c>
      <c r="K59" s="296">
        <f>J59</f>
        <v>89850</v>
      </c>
      <c r="L59" s="297">
        <f>K59/$E$22</f>
        <v>12835.714285714286</v>
      </c>
      <c r="M59" s="1355">
        <f>HLOOKUP($D$25,InflationTable,3)*$C59</f>
        <v>91725</v>
      </c>
      <c r="N59" s="377">
        <f>M59</f>
        <v>91725</v>
      </c>
      <c r="O59" s="378">
        <f>N59/$E$22</f>
        <v>13103.571428571429</v>
      </c>
      <c r="P59" s="383">
        <f>HLOOKUP($D$25,InflationTable,4)*$C59</f>
        <v>93525.000000000015</v>
      </c>
      <c r="Q59" s="384">
        <f>P59</f>
        <v>93525.000000000015</v>
      </c>
      <c r="R59" s="385">
        <f>Q59/$E$22</f>
        <v>13360.714285714288</v>
      </c>
      <c r="S59" s="462" t="s">
        <v>12</v>
      </c>
      <c r="T59" s="380" t="s">
        <v>12</v>
      </c>
      <c r="U59" s="509">
        <f>AVERAGE(L59,O59,R59)</f>
        <v>13100.000000000002</v>
      </c>
    </row>
    <row r="60" spans="1:22">
      <c r="A60" s="615"/>
      <c r="B60" s="1059" t="s">
        <v>23</v>
      </c>
      <c r="C60" s="107" t="s">
        <v>45</v>
      </c>
      <c r="D60" s="108" t="s">
        <v>46</v>
      </c>
      <c r="E60" s="107" t="s">
        <v>47</v>
      </c>
      <c r="F60" s="107" t="s">
        <v>48</v>
      </c>
      <c r="G60" s="107" t="s">
        <v>49</v>
      </c>
      <c r="H60" s="107" t="s">
        <v>50</v>
      </c>
      <c r="I60" s="350" t="s">
        <v>74</v>
      </c>
      <c r="J60" s="352"/>
      <c r="K60" s="352"/>
      <c r="L60" s="356"/>
      <c r="M60" s="110"/>
      <c r="N60" s="108"/>
      <c r="O60" s="111"/>
      <c r="P60" s="352"/>
      <c r="Q60" s="352"/>
      <c r="R60" s="356"/>
      <c r="S60" s="123"/>
      <c r="T60" s="37"/>
      <c r="U60" s="227"/>
    </row>
    <row r="61" spans="1:22">
      <c r="A61" s="615"/>
      <c r="B61" s="1115" t="s">
        <v>330</v>
      </c>
      <c r="C61" s="21">
        <v>0</v>
      </c>
      <c r="D61" s="21">
        <v>80</v>
      </c>
      <c r="E61" s="21">
        <v>80</v>
      </c>
      <c r="F61" s="21">
        <v>20</v>
      </c>
      <c r="G61" s="21">
        <v>0</v>
      </c>
      <c r="H61" s="21">
        <v>0</v>
      </c>
      <c r="I61" s="48">
        <f t="shared" ref="I61:I70" si="14">SUM(C61:H61)</f>
        <v>180</v>
      </c>
      <c r="J61" s="299" t="s">
        <v>12</v>
      </c>
      <c r="K61" s="1066">
        <f>$I61*($L$3+$L$4/2+$L$5/2)</f>
        <v>103590</v>
      </c>
      <c r="L61" s="289">
        <f t="shared" ref="L61:L70" si="15">K61</f>
        <v>103590</v>
      </c>
      <c r="M61" s="58" t="s">
        <v>12</v>
      </c>
      <c r="N61" s="1067">
        <f>$I61*($L$3+$L$4/2+$L$5/2)</f>
        <v>103590</v>
      </c>
      <c r="O61" s="68">
        <f t="shared" ref="O61:O70" si="16">N61</f>
        <v>103590</v>
      </c>
      <c r="P61" s="299" t="s">
        <v>12</v>
      </c>
      <c r="Q61" s="1066">
        <f>$I61*($L$3+$L$4/2+$L$5/2)</f>
        <v>103590</v>
      </c>
      <c r="R61" s="289">
        <f t="shared" ref="R61:R70" si="17">Q61</f>
        <v>103590</v>
      </c>
      <c r="S61" s="121">
        <f t="shared" ref="S61:S70" si="18">AVERAGE(L61,O61,R61)</f>
        <v>103590</v>
      </c>
      <c r="T61" s="119" t="s">
        <v>12</v>
      </c>
      <c r="U61" s="232" t="s">
        <v>12</v>
      </c>
    </row>
    <row r="62" spans="1:22" s="1" customFormat="1" ht="13.5" thickBot="1">
      <c r="A62" s="616"/>
      <c r="B62" s="1064" t="s">
        <v>8</v>
      </c>
      <c r="C62" s="373">
        <f>ROUND(C61*Labor!$D$3,0)</f>
        <v>0</v>
      </c>
      <c r="D62" s="374">
        <f>ROUND(D61*Labor!$D$4,0)</f>
        <v>3269</v>
      </c>
      <c r="E62" s="374">
        <f>ROUND(E61*Labor!$D$5,0)</f>
        <v>3530</v>
      </c>
      <c r="F62" s="374">
        <f>ROUND(F61*Labor!$D$6,0)</f>
        <v>985</v>
      </c>
      <c r="G62" s="374">
        <f>ROUND(G61*Labor!$D$7,0)</f>
        <v>0</v>
      </c>
      <c r="H62" s="374">
        <f>ROUND(H61*Labor!$D$8,0)</f>
        <v>0</v>
      </c>
      <c r="I62" s="375">
        <f t="shared" si="14"/>
        <v>7784</v>
      </c>
      <c r="J62" s="296">
        <f>HLOOKUP(Labor!$B$11,InflationTable,2)*$I62</f>
        <v>9325.232</v>
      </c>
      <c r="K62" s="1063">
        <f>J62*($L$3+$L$4/2+$L$5/2)</f>
        <v>5366671.0159999998</v>
      </c>
      <c r="L62" s="297">
        <f t="shared" si="15"/>
        <v>5366671.0159999998</v>
      </c>
      <c r="M62" s="377">
        <f>HLOOKUP(Labor!$B$11,InflationTable,3)*$I62</f>
        <v>9519.8320000000003</v>
      </c>
      <c r="N62" s="1356">
        <f>M62*($L$3+$L$4/2+$L$5/2)</f>
        <v>5478663.3160000006</v>
      </c>
      <c r="O62" s="378">
        <f t="shared" si="16"/>
        <v>5478663.3160000006</v>
      </c>
      <c r="P62" s="296">
        <f>HLOOKUP(Labor!$B$11,InflationTable,4)*$I62</f>
        <v>9706.648000000001</v>
      </c>
      <c r="Q62" s="1063">
        <f>P62*($L$3+$L$4/2+$L$5/2)</f>
        <v>5586175.9240000006</v>
      </c>
      <c r="R62" s="297">
        <f t="shared" si="17"/>
        <v>5586175.9240000006</v>
      </c>
      <c r="S62" s="211">
        <f t="shared" si="18"/>
        <v>5477170.0853333334</v>
      </c>
      <c r="T62" s="393" t="s">
        <v>12</v>
      </c>
      <c r="U62" s="228" t="s">
        <v>12</v>
      </c>
    </row>
    <row r="63" spans="1:22">
      <c r="A63" s="615"/>
      <c r="B63" s="1069" t="s">
        <v>332</v>
      </c>
      <c r="C63" s="21">
        <v>0</v>
      </c>
      <c r="D63" s="21">
        <v>20</v>
      </c>
      <c r="E63" s="21">
        <v>20</v>
      </c>
      <c r="F63" s="21">
        <v>5</v>
      </c>
      <c r="G63" s="21">
        <v>0</v>
      </c>
      <c r="H63" s="21">
        <v>0</v>
      </c>
      <c r="I63" s="48">
        <f t="shared" si="14"/>
        <v>45</v>
      </c>
      <c r="J63" s="299" t="s">
        <v>12</v>
      </c>
      <c r="K63" s="327">
        <f>$I63*$L$6</f>
        <v>2340</v>
      </c>
      <c r="L63" s="328">
        <f t="shared" si="15"/>
        <v>2340</v>
      </c>
      <c r="M63" s="61" t="s">
        <v>12</v>
      </c>
      <c r="N63" s="348">
        <f>$I63*$L$6</f>
        <v>2340</v>
      </c>
      <c r="O63" s="349">
        <f t="shared" si="16"/>
        <v>2340</v>
      </c>
      <c r="P63" s="299" t="s">
        <v>12</v>
      </c>
      <c r="Q63" s="327">
        <f>$I63*$L$6</f>
        <v>2340</v>
      </c>
      <c r="R63" s="328">
        <f t="shared" si="17"/>
        <v>2340</v>
      </c>
      <c r="S63" s="150">
        <f t="shared" si="18"/>
        <v>2340</v>
      </c>
      <c r="T63" s="119" t="s">
        <v>12</v>
      </c>
      <c r="U63" s="232" t="s">
        <v>12</v>
      </c>
    </row>
    <row r="64" spans="1:22" s="1" customFormat="1" ht="13.5" thickBot="1">
      <c r="A64" s="616"/>
      <c r="B64" s="1064" t="s">
        <v>8</v>
      </c>
      <c r="C64" s="373">
        <f>ROUND(C63*Labor!$D$3,0)</f>
        <v>0</v>
      </c>
      <c r="D64" s="374">
        <f>ROUND(D63*Labor!$D$4,0)</f>
        <v>817</v>
      </c>
      <c r="E64" s="374">
        <f>ROUND(E63*Labor!$D$5,0)</f>
        <v>882</v>
      </c>
      <c r="F64" s="374">
        <f>ROUND(F63*Labor!$D$6,0)</f>
        <v>246</v>
      </c>
      <c r="G64" s="374">
        <f>ROUND(G63*Labor!$D$7,0)</f>
        <v>0</v>
      </c>
      <c r="H64" s="374">
        <f>ROUND(H63*Labor!$D$8,0)</f>
        <v>0</v>
      </c>
      <c r="I64" s="375">
        <f t="shared" si="14"/>
        <v>1945</v>
      </c>
      <c r="J64" s="296">
        <f>HLOOKUP(Labor!$B$11,InflationTable,2)*$I$64</f>
        <v>2330.11</v>
      </c>
      <c r="K64" s="296">
        <f>J64*$L$6</f>
        <v>121165.72</v>
      </c>
      <c r="L64" s="297">
        <f t="shared" si="15"/>
        <v>121165.72</v>
      </c>
      <c r="M64" s="377">
        <f>HLOOKUP(Labor!$B$11,InflationTable,3)*$I$64</f>
        <v>2378.7350000000001</v>
      </c>
      <c r="N64" s="377">
        <f>M64*$L$6</f>
        <v>123694.22</v>
      </c>
      <c r="O64" s="378">
        <f t="shared" si="16"/>
        <v>123694.22</v>
      </c>
      <c r="P64" s="296">
        <f>HLOOKUP(Labor!$B$11,InflationTable,4)*$I$64</f>
        <v>2425.4150000000004</v>
      </c>
      <c r="Q64" s="296">
        <f>P64*$L$6</f>
        <v>126121.58000000002</v>
      </c>
      <c r="R64" s="297">
        <f t="shared" si="17"/>
        <v>126121.58000000002</v>
      </c>
      <c r="S64" s="211">
        <f t="shared" si="18"/>
        <v>123660.50666666667</v>
      </c>
      <c r="T64" s="218" t="s">
        <v>12</v>
      </c>
      <c r="U64" s="228" t="s">
        <v>12</v>
      </c>
    </row>
    <row r="65" spans="1:22">
      <c r="A65" s="615"/>
      <c r="B65" s="1069" t="s">
        <v>226</v>
      </c>
      <c r="C65" s="21">
        <v>0</v>
      </c>
      <c r="D65" s="21">
        <v>0</v>
      </c>
      <c r="E65" s="21">
        <v>6</v>
      </c>
      <c r="F65" s="21">
        <v>26</v>
      </c>
      <c r="G65" s="21">
        <v>0</v>
      </c>
      <c r="H65" s="21">
        <v>0</v>
      </c>
      <c r="I65" s="48">
        <f t="shared" si="14"/>
        <v>32</v>
      </c>
      <c r="J65" s="299" t="s">
        <v>12</v>
      </c>
      <c r="K65" s="327">
        <f>$I65*$O$6</f>
        <v>19392</v>
      </c>
      <c r="L65" s="328">
        <f t="shared" si="15"/>
        <v>19392</v>
      </c>
      <c r="M65" s="61" t="s">
        <v>12</v>
      </c>
      <c r="N65" s="348">
        <f>$I65*$O$6</f>
        <v>19392</v>
      </c>
      <c r="O65" s="68">
        <f t="shared" si="16"/>
        <v>19392</v>
      </c>
      <c r="P65" s="299" t="s">
        <v>12</v>
      </c>
      <c r="Q65" s="327">
        <f>$I65*$O$6</f>
        <v>19392</v>
      </c>
      <c r="R65" s="328">
        <f t="shared" si="17"/>
        <v>19392</v>
      </c>
      <c r="S65" s="121">
        <f t="shared" si="18"/>
        <v>19392</v>
      </c>
      <c r="T65" s="119" t="s">
        <v>12</v>
      </c>
      <c r="U65" s="1080" t="s">
        <v>12</v>
      </c>
      <c r="V65" s="5"/>
    </row>
    <row r="66" spans="1:22" s="1" customFormat="1" ht="13.5" thickBot="1">
      <c r="A66" s="616"/>
      <c r="B66" s="1070" t="s">
        <v>8</v>
      </c>
      <c r="C66" s="373">
        <f>ROUND(C65*Labor!$D$3,0)</f>
        <v>0</v>
      </c>
      <c r="D66" s="374">
        <f>ROUND(D65*Labor!$D$4,0)</f>
        <v>0</v>
      </c>
      <c r="E66" s="374">
        <f>ROUND(E65*Labor!$D$5,0)</f>
        <v>265</v>
      </c>
      <c r="F66" s="374">
        <f>ROUND(F65*Labor!$D$6,0)</f>
        <v>1281</v>
      </c>
      <c r="G66" s="374">
        <f>ROUND(G65*Labor!$D$7,0)</f>
        <v>0</v>
      </c>
      <c r="H66" s="374">
        <f>ROUND(H65*Labor!$D$8,0)</f>
        <v>0</v>
      </c>
      <c r="I66" s="375">
        <f t="shared" si="14"/>
        <v>1546</v>
      </c>
      <c r="J66" s="296">
        <f>HLOOKUP(Labor!$B$11,InflationTable,2)*I66</f>
        <v>1852.1079999999999</v>
      </c>
      <c r="K66" s="296">
        <f>J66*$O$6</f>
        <v>1122377.4479999999</v>
      </c>
      <c r="L66" s="297">
        <f t="shared" si="15"/>
        <v>1122377.4479999999</v>
      </c>
      <c r="M66" s="376">
        <f>HLOOKUP(Labor!$B$11,InflationTable,3)*I66</f>
        <v>1890.758</v>
      </c>
      <c r="N66" s="377">
        <f>M66*$O$6</f>
        <v>1145799.348</v>
      </c>
      <c r="O66" s="378">
        <f t="shared" si="16"/>
        <v>1145799.348</v>
      </c>
      <c r="P66" s="296">
        <f>HLOOKUP(Labor!$B$11,InflationTable,4)*$I$66</f>
        <v>1927.8620000000001</v>
      </c>
      <c r="Q66" s="296">
        <f>P66*$O$6</f>
        <v>1168284.372</v>
      </c>
      <c r="R66" s="297">
        <f t="shared" si="17"/>
        <v>1168284.372</v>
      </c>
      <c r="S66" s="211">
        <f t="shared" si="18"/>
        <v>1145487.0560000001</v>
      </c>
      <c r="T66" s="218" t="s">
        <v>12</v>
      </c>
      <c r="U66" s="228" t="s">
        <v>12</v>
      </c>
      <c r="V66" s="112"/>
    </row>
    <row r="67" spans="1:22">
      <c r="A67" s="615"/>
      <c r="B67" s="1115" t="s">
        <v>331</v>
      </c>
      <c r="C67" s="21">
        <v>0</v>
      </c>
      <c r="D67" s="21">
        <v>0</v>
      </c>
      <c r="E67" s="21">
        <v>90</v>
      </c>
      <c r="F67" s="21">
        <v>90</v>
      </c>
      <c r="G67" s="21">
        <v>0</v>
      </c>
      <c r="H67" s="21">
        <v>0</v>
      </c>
      <c r="I67" s="48">
        <f>SUM(C67:H67)</f>
        <v>180</v>
      </c>
      <c r="J67" s="299" t="s">
        <v>12</v>
      </c>
      <c r="K67" s="327">
        <f>$I$67*$O$7</f>
        <v>35640</v>
      </c>
      <c r="L67" s="328">
        <f t="shared" si="15"/>
        <v>35640</v>
      </c>
      <c r="M67" s="61" t="s">
        <v>12</v>
      </c>
      <c r="N67" s="348">
        <f>$I$67*$O$7</f>
        <v>35640</v>
      </c>
      <c r="O67" s="68">
        <f t="shared" si="16"/>
        <v>35640</v>
      </c>
      <c r="P67" s="299" t="s">
        <v>12</v>
      </c>
      <c r="Q67" s="327">
        <f>$I$67*$O$7</f>
        <v>35640</v>
      </c>
      <c r="R67" s="328">
        <f t="shared" si="17"/>
        <v>35640</v>
      </c>
      <c r="S67" s="121">
        <f>AVERAGE(L67,O67,R67)</f>
        <v>35640</v>
      </c>
      <c r="T67" s="119" t="s">
        <v>12</v>
      </c>
      <c r="U67" s="232" t="s">
        <v>12</v>
      </c>
    </row>
    <row r="68" spans="1:22" s="1" customFormat="1" ht="13.5" thickBot="1">
      <c r="A68" s="616"/>
      <c r="B68" s="1064" t="s">
        <v>8</v>
      </c>
      <c r="C68" s="373">
        <f>ROUND(C67*Labor!$D$3,0)</f>
        <v>0</v>
      </c>
      <c r="D68" s="374">
        <f>ROUND(D67*Labor!$D$4,0)</f>
        <v>0</v>
      </c>
      <c r="E68" s="374">
        <f>ROUND(E67*Labor!$D$5,0)</f>
        <v>3971</v>
      </c>
      <c r="F68" s="374">
        <f>ROUND(F67*Labor!$D$6,0)</f>
        <v>4434</v>
      </c>
      <c r="G68" s="374">
        <f>ROUND(G67*Labor!$D$7,0)</f>
        <v>0</v>
      </c>
      <c r="H68" s="374">
        <f>ROUND(H67*Labor!$D$8,0)</f>
        <v>0</v>
      </c>
      <c r="I68" s="375">
        <f>SUM(C68:H68)</f>
        <v>8405</v>
      </c>
      <c r="J68" s="296">
        <f>HLOOKUP(Labor!$B$11,InflationTable,2)*$I68</f>
        <v>10069.19</v>
      </c>
      <c r="K68" s="296">
        <f>J68*$O$7</f>
        <v>1993699.62</v>
      </c>
      <c r="L68" s="297">
        <f t="shared" si="15"/>
        <v>1993699.62</v>
      </c>
      <c r="M68" s="376">
        <f>HLOOKUP(Labor!$B$11,InflationTable,3)*I68</f>
        <v>10279.315000000001</v>
      </c>
      <c r="N68" s="377">
        <f>M68*$O$7</f>
        <v>2035304.37</v>
      </c>
      <c r="O68" s="378">
        <f t="shared" si="16"/>
        <v>2035304.37</v>
      </c>
      <c r="P68" s="296">
        <f>HLOOKUP(Labor!$B$11,InflationTable,4)*$I$68</f>
        <v>10481.035000000002</v>
      </c>
      <c r="Q68" s="296">
        <f>P68*$O$7</f>
        <v>2075244.9300000004</v>
      </c>
      <c r="R68" s="390">
        <f t="shared" si="17"/>
        <v>2075244.9300000004</v>
      </c>
      <c r="S68" s="211">
        <f>AVERAGE(L68,O68,R68)</f>
        <v>2034749.6400000004</v>
      </c>
      <c r="T68" s="218" t="s">
        <v>12</v>
      </c>
      <c r="U68" s="228" t="s">
        <v>12</v>
      </c>
    </row>
    <row r="69" spans="1:22">
      <c r="A69" s="615"/>
      <c r="B69" s="1071" t="s">
        <v>335</v>
      </c>
      <c r="C69" s="21">
        <v>0</v>
      </c>
      <c r="D69" s="21">
        <v>108</v>
      </c>
      <c r="E69" s="21">
        <v>0</v>
      </c>
      <c r="F69" s="21">
        <v>132</v>
      </c>
      <c r="G69" s="21">
        <v>0</v>
      </c>
      <c r="H69" s="21">
        <v>0</v>
      </c>
      <c r="I69" s="48">
        <f t="shared" si="14"/>
        <v>240</v>
      </c>
      <c r="J69" s="781">
        <f>$I69*$L$8</f>
        <v>94.180094786729853</v>
      </c>
      <c r="K69" s="1357">
        <f>J69*($L$3+$L$4/3+$L$6/6+$O$4/6+$O$5/6*3.5)</f>
        <v>45818.616113744072</v>
      </c>
      <c r="L69" s="328">
        <f t="shared" si="15"/>
        <v>45818.616113744072</v>
      </c>
      <c r="M69" s="1358">
        <f>$I69*$L$8</f>
        <v>94.180094786729853</v>
      </c>
      <c r="N69" s="1359">
        <f>M69*($L$3+$L$4/3+$L$6/6+$O$4/6+$O$5/6*3.5)</f>
        <v>45818.616113744072</v>
      </c>
      <c r="O69" s="349">
        <f t="shared" si="16"/>
        <v>45818.616113744072</v>
      </c>
      <c r="P69" s="781">
        <f>$I69*$L$8</f>
        <v>94.180094786729853</v>
      </c>
      <c r="Q69" s="1066">
        <f>P69*($L$3+$L$4/3+$L$6/6+$O$4/6+$O$5/6*3.5)</f>
        <v>45818.616113744072</v>
      </c>
      <c r="R69" s="1364">
        <f t="shared" si="17"/>
        <v>45818.616113744072</v>
      </c>
      <c r="S69" s="121">
        <f t="shared" si="18"/>
        <v>45818.616113744072</v>
      </c>
      <c r="T69" s="119" t="s">
        <v>12</v>
      </c>
      <c r="U69" s="232" t="s">
        <v>12</v>
      </c>
    </row>
    <row r="70" spans="1:22" s="1" customFormat="1" ht="13.5" thickBot="1">
      <c r="A70" s="616"/>
      <c r="B70" s="1070" t="s">
        <v>8</v>
      </c>
      <c r="C70" s="373">
        <f>ROUND(C69*Labor!$D$3,0)</f>
        <v>0</v>
      </c>
      <c r="D70" s="374">
        <f>ROUND(D69*Labor!$D$4,0)</f>
        <v>4413</v>
      </c>
      <c r="E70" s="374">
        <f>ROUND(E69*Labor!$D$5,0)</f>
        <v>0</v>
      </c>
      <c r="F70" s="374">
        <f>ROUND(F69*Labor!$D$6,0)</f>
        <v>6503</v>
      </c>
      <c r="G70" s="374">
        <f>ROUND(G69*Labor!$D$7,0)</f>
        <v>0</v>
      </c>
      <c r="H70" s="374">
        <f>ROUND(H69*Labor!$D$8,0)</f>
        <v>0</v>
      </c>
      <c r="I70" s="375">
        <f t="shared" si="14"/>
        <v>10916</v>
      </c>
      <c r="J70" s="296">
        <f>HLOOKUP(Labor!$B$11,InflationTable,2)*I70</f>
        <v>13077.368</v>
      </c>
      <c r="K70" s="1063">
        <f>J70*($L$3+$L$4/3+$L$6/6+$O$4/6+$O$5/6*3.5)</f>
        <v>6362139.5320000006</v>
      </c>
      <c r="L70" s="297">
        <f t="shared" si="15"/>
        <v>6362139.5320000006</v>
      </c>
      <c r="M70" s="376">
        <f>HLOOKUP(Labor!$B$11,InflationTable,3)*I70</f>
        <v>13350.268000000002</v>
      </c>
      <c r="N70" s="1356">
        <f>M70*($L$3+$L$4/3+$L$6/6+$O$4/6+$O$5/6*3.5)</f>
        <v>6494905.3820000011</v>
      </c>
      <c r="O70" s="378">
        <f t="shared" si="16"/>
        <v>6494905.3820000011</v>
      </c>
      <c r="P70" s="296">
        <f>HLOOKUP(Labor!$B$11,InflationTable,4)*$I$70</f>
        <v>13612.252</v>
      </c>
      <c r="Q70" s="1063">
        <f>P70*($L$3+$L$4/3+$L$6/6+$O$4/6+$O$5/6*3.5)</f>
        <v>6622360.5980000002</v>
      </c>
      <c r="R70" s="297">
        <f t="shared" si="17"/>
        <v>6622360.5980000002</v>
      </c>
      <c r="S70" s="1054">
        <f t="shared" si="18"/>
        <v>6493135.1706666676</v>
      </c>
      <c r="T70" s="998" t="s">
        <v>12</v>
      </c>
      <c r="U70" s="228" t="s">
        <v>12</v>
      </c>
    </row>
    <row r="71" spans="1:22">
      <c r="A71" s="615"/>
      <c r="B71" s="605" t="s">
        <v>66</v>
      </c>
      <c r="C71" s="36">
        <f>C61+C63+C65+C67+C69</f>
        <v>0</v>
      </c>
      <c r="D71" s="36">
        <f t="shared" ref="D71:I71" si="19">D61+D63+D65+D67+D69</f>
        <v>208</v>
      </c>
      <c r="E71" s="36">
        <f t="shared" si="19"/>
        <v>196</v>
      </c>
      <c r="F71" s="36">
        <f t="shared" si="19"/>
        <v>273</v>
      </c>
      <c r="G71" s="36">
        <f t="shared" si="19"/>
        <v>0</v>
      </c>
      <c r="H71" s="36">
        <f t="shared" si="19"/>
        <v>0</v>
      </c>
      <c r="I71" s="36">
        <f t="shared" si="19"/>
        <v>677</v>
      </c>
      <c r="J71" s="320" t="s">
        <v>12</v>
      </c>
      <c r="K71" s="285">
        <f>K61+K63+K65+K67+K69</f>
        <v>206780.61611374406</v>
      </c>
      <c r="L71" s="286">
        <f>L61+L63+L65+L67+L69</f>
        <v>206780.61611374406</v>
      </c>
      <c r="M71" s="1360" t="s">
        <v>12</v>
      </c>
      <c r="N71" s="33">
        <f>N61+N63+N65+N67+N69</f>
        <v>206780.61611374406</v>
      </c>
      <c r="O71" s="99">
        <f>O61+O63+O65+O67+O69</f>
        <v>206780.61611374406</v>
      </c>
      <c r="P71" s="1361" t="s">
        <v>12</v>
      </c>
      <c r="Q71" s="285">
        <f>Q61+Q63+Q65+Q67+Q69</f>
        <v>206780.61611374406</v>
      </c>
      <c r="R71" s="285">
        <f>R61+R63+R65+R67+R69</f>
        <v>206780.61611374406</v>
      </c>
      <c r="S71" s="1365">
        <f>S65</f>
        <v>19392</v>
      </c>
      <c r="T71" s="136" t="s">
        <v>12</v>
      </c>
      <c r="U71" s="230" t="s">
        <v>12</v>
      </c>
    </row>
    <row r="72" spans="1:22" ht="13.5" thickBot="1">
      <c r="A72" s="615"/>
      <c r="B72" s="606" t="s">
        <v>67</v>
      </c>
      <c r="C72" s="240">
        <f>C62+C64+C66+C70</f>
        <v>0</v>
      </c>
      <c r="D72" s="240">
        <f t="shared" ref="D72:I72" si="20">D62+D64+D66+D70</f>
        <v>8499</v>
      </c>
      <c r="E72" s="240">
        <f t="shared" si="20"/>
        <v>4677</v>
      </c>
      <c r="F72" s="240">
        <f t="shared" si="20"/>
        <v>9015</v>
      </c>
      <c r="G72" s="240">
        <f t="shared" si="20"/>
        <v>0</v>
      </c>
      <c r="H72" s="240">
        <f t="shared" si="20"/>
        <v>0</v>
      </c>
      <c r="I72" s="240">
        <f t="shared" si="20"/>
        <v>22191</v>
      </c>
      <c r="J72" s="275">
        <f t="shared" ref="J72:R72" si="21">J56+J57+J62+J64+J66+J68+J70</f>
        <v>8491607.5040758271</v>
      </c>
      <c r="K72" s="275">
        <f t="shared" si="21"/>
        <v>23866958.528000005</v>
      </c>
      <c r="L72" s="276">
        <f t="shared" si="21"/>
        <v>23866958.528000005</v>
      </c>
      <c r="M72" s="242">
        <f t="shared" si="21"/>
        <v>8668811.3334597144</v>
      </c>
      <c r="N72" s="240">
        <f t="shared" si="21"/>
        <v>24365016.928000003</v>
      </c>
      <c r="O72" s="243">
        <f t="shared" si="21"/>
        <v>24365016.928000003</v>
      </c>
      <c r="P72" s="274">
        <f t="shared" si="21"/>
        <v>8838927.0096682459</v>
      </c>
      <c r="Q72" s="275">
        <f t="shared" si="21"/>
        <v>24843152.992000002</v>
      </c>
      <c r="R72" s="275">
        <f t="shared" si="21"/>
        <v>24843152.992000002</v>
      </c>
      <c r="S72" s="255">
        <f>S62+S64+S66+S68+S70</f>
        <v>15274202.458666667</v>
      </c>
      <c r="T72" s="251">
        <f>SUM(T56:T71)</f>
        <v>455565.60000000003</v>
      </c>
      <c r="U72" s="1261">
        <f>SUM(U56:U71)</f>
        <v>8642232.0906666666</v>
      </c>
    </row>
    <row r="73" spans="1:22" ht="13.5" thickTop="1">
      <c r="A73" s="5"/>
      <c r="B73" s="624"/>
      <c r="C73" s="621"/>
      <c r="D73" s="621"/>
      <c r="E73" s="621"/>
      <c r="F73" s="621"/>
      <c r="G73" s="621"/>
      <c r="H73" s="621"/>
      <c r="I73" s="621"/>
      <c r="J73" s="621"/>
      <c r="K73" s="621"/>
      <c r="L73" s="621"/>
      <c r="M73" s="621"/>
      <c r="N73" s="621"/>
      <c r="O73" s="621"/>
      <c r="P73" s="621"/>
      <c r="Q73" s="621"/>
      <c r="R73" s="621"/>
      <c r="S73" s="1386"/>
      <c r="T73" s="1386"/>
      <c r="U73" s="1386"/>
    </row>
    <row r="74" spans="1:22" ht="13.5" thickBot="1">
      <c r="A74" s="5"/>
      <c r="B74" s="410"/>
      <c r="C74" s="410"/>
      <c r="D74" s="410"/>
      <c r="E74" s="410"/>
      <c r="F74" s="410"/>
      <c r="G74" s="410"/>
      <c r="H74" s="410"/>
      <c r="I74" s="410"/>
      <c r="J74" s="410"/>
      <c r="K74" s="410"/>
      <c r="L74" s="410"/>
      <c r="M74" s="410"/>
      <c r="N74" s="410"/>
      <c r="O74" s="410"/>
      <c r="P74" s="410"/>
      <c r="Q74" s="410"/>
      <c r="R74" s="410"/>
      <c r="S74" s="410"/>
      <c r="T74" s="410"/>
      <c r="U74" s="410"/>
      <c r="V74" s="5"/>
    </row>
    <row r="75" spans="1:22" ht="16.5" thickTop="1">
      <c r="A75" s="615"/>
      <c r="B75" s="181" t="s">
        <v>24</v>
      </c>
      <c r="C75" s="5"/>
      <c r="D75" s="5"/>
      <c r="E75" s="5"/>
      <c r="F75" s="112" t="s">
        <v>6</v>
      </c>
      <c r="G75" s="1412"/>
      <c r="H75" s="1413"/>
      <c r="I75" s="1414"/>
      <c r="J75" s="181" t="s">
        <v>24</v>
      </c>
      <c r="K75" s="426"/>
      <c r="L75" s="180"/>
      <c r="M75" s="181" t="s">
        <v>24</v>
      </c>
      <c r="N75" s="319"/>
      <c r="O75" s="67"/>
      <c r="P75" s="181" t="s">
        <v>24</v>
      </c>
      <c r="Q75" s="426"/>
      <c r="R75" s="67"/>
      <c r="S75" s="225"/>
      <c r="T75" s="37"/>
      <c r="U75" s="508"/>
    </row>
    <row r="76" spans="1:22">
      <c r="A76" s="615"/>
      <c r="B76" s="5"/>
      <c r="C76" s="5"/>
      <c r="D76" s="5"/>
      <c r="E76" s="5"/>
      <c r="F76" s="112"/>
      <c r="G76" s="1415"/>
      <c r="H76" s="1415"/>
      <c r="I76" s="1416"/>
      <c r="J76" s="57" t="s">
        <v>61</v>
      </c>
      <c r="K76" s="1429" t="s">
        <v>57</v>
      </c>
      <c r="L76" s="1430"/>
      <c r="M76" s="57" t="s">
        <v>61</v>
      </c>
      <c r="N76" s="1429" t="s">
        <v>57</v>
      </c>
      <c r="O76" s="1430"/>
      <c r="P76" s="57" t="s">
        <v>61</v>
      </c>
      <c r="Q76" s="1429" t="s">
        <v>57</v>
      </c>
      <c r="R76" s="1430"/>
      <c r="S76" s="131"/>
      <c r="T76" s="37"/>
      <c r="U76" s="227"/>
    </row>
    <row r="77" spans="1:22">
      <c r="A77" s="615"/>
      <c r="B77" s="1058" t="s">
        <v>19</v>
      </c>
      <c r="C77" s="23" t="s">
        <v>60</v>
      </c>
      <c r="D77" s="23" t="s">
        <v>62</v>
      </c>
      <c r="E77" s="9"/>
      <c r="F77" s="72"/>
      <c r="G77" s="72"/>
      <c r="H77" s="72"/>
      <c r="I77" s="73"/>
      <c r="J77" s="77" t="s">
        <v>56</v>
      </c>
      <c r="K77" s="24" t="s">
        <v>13</v>
      </c>
      <c r="L77" s="38" t="s">
        <v>68</v>
      </c>
      <c r="M77" s="77" t="s">
        <v>56</v>
      </c>
      <c r="N77" s="24" t="s">
        <v>13</v>
      </c>
      <c r="O77" s="38" t="s">
        <v>68</v>
      </c>
      <c r="P77" s="77" t="s">
        <v>56</v>
      </c>
      <c r="Q77" s="24" t="s">
        <v>13</v>
      </c>
      <c r="R77" s="38" t="s">
        <v>68</v>
      </c>
      <c r="S77" s="123"/>
      <c r="T77" s="73"/>
      <c r="U77" s="227"/>
    </row>
    <row r="78" spans="1:22" ht="13.5" thickBot="1">
      <c r="A78" s="615"/>
      <c r="B78" s="1242" t="s">
        <v>361</v>
      </c>
      <c r="C78" s="1371">
        <v>300</v>
      </c>
      <c r="D78" s="1372">
        <v>2013</v>
      </c>
      <c r="E78" s="459"/>
      <c r="F78" s="93"/>
      <c r="G78" s="460"/>
      <c r="H78" s="460"/>
      <c r="I78" s="461"/>
      <c r="J78" s="384">
        <f>HLOOKUP($D78,InflationTable,2)*$C78</f>
        <v>359.4</v>
      </c>
      <c r="K78" s="384">
        <f>J78*$O$3</f>
        <v>263440.2</v>
      </c>
      <c r="L78" s="385">
        <f>K78</f>
        <v>263440.2</v>
      </c>
      <c r="M78" s="387">
        <f>HLOOKUP($D78,InflationTable,3)*$C78</f>
        <v>366.90000000000003</v>
      </c>
      <c r="N78" s="387">
        <f>M78*$O$3</f>
        <v>268937.7</v>
      </c>
      <c r="O78" s="388">
        <f>N78</f>
        <v>268937.7</v>
      </c>
      <c r="P78" s="384">
        <f>HLOOKUP($D78,InflationTable,4)*$C78</f>
        <v>374.1</v>
      </c>
      <c r="Q78" s="384">
        <f>P78*$O$3</f>
        <v>274215.3</v>
      </c>
      <c r="R78" s="385">
        <f>Q78</f>
        <v>274215.3</v>
      </c>
      <c r="S78" s="462" t="s">
        <v>12</v>
      </c>
      <c r="T78" s="382">
        <f>AVERAGE(L78,O78,R78)</f>
        <v>268864.39999999997</v>
      </c>
      <c r="U78" s="511" t="s">
        <v>12</v>
      </c>
    </row>
    <row r="79" spans="1:22" ht="13.5" thickBot="1">
      <c r="A79" s="615"/>
      <c r="B79" s="1291" t="s">
        <v>362</v>
      </c>
      <c r="C79" s="1371">
        <v>250</v>
      </c>
      <c r="D79" s="1372">
        <v>2013</v>
      </c>
      <c r="E79" s="459"/>
      <c r="F79" s="93"/>
      <c r="G79" s="460"/>
      <c r="H79" s="460"/>
      <c r="I79" s="461"/>
      <c r="J79" s="384">
        <f>HLOOKUP($D79,InflationTable,2)*$C79</f>
        <v>299.5</v>
      </c>
      <c r="K79" s="384">
        <f>J79*($O$4+$O$5)</f>
        <v>100033</v>
      </c>
      <c r="L79" s="385">
        <f>K79</f>
        <v>100033</v>
      </c>
      <c r="M79" s="387">
        <f>HLOOKUP($D79,InflationTable,3)*$C79</f>
        <v>305.75</v>
      </c>
      <c r="N79" s="387">
        <f>M79*($O$4+$O$5)</f>
        <v>102120.5</v>
      </c>
      <c r="O79" s="388">
        <f>N79</f>
        <v>102120.5</v>
      </c>
      <c r="P79" s="749">
        <f>HLOOKUP($D79,InflationTable,4)*$C79</f>
        <v>311.75</v>
      </c>
      <c r="Q79" s="384">
        <f>P79*($O$4+$O$5)</f>
        <v>104124.5</v>
      </c>
      <c r="R79" s="385">
        <f>Q79</f>
        <v>104124.5</v>
      </c>
      <c r="S79" s="462" t="s">
        <v>12</v>
      </c>
      <c r="T79" s="382">
        <f>AVERAGE(L79,O79,R79)</f>
        <v>102092.66666666667</v>
      </c>
      <c r="U79" s="511" t="s">
        <v>12</v>
      </c>
    </row>
    <row r="80" spans="1:22" ht="13.5" thickBot="1">
      <c r="A80" s="615"/>
      <c r="B80" s="1291" t="s">
        <v>363</v>
      </c>
      <c r="C80" s="1371">
        <v>275</v>
      </c>
      <c r="D80" s="1372">
        <v>2013</v>
      </c>
      <c r="E80" s="459"/>
      <c r="F80" s="93"/>
      <c r="G80" s="460"/>
      <c r="H80" s="460"/>
      <c r="I80" s="461"/>
      <c r="J80" s="384">
        <f>HLOOKUP($D80,InflationTable,2)*$C80</f>
        <v>329.45</v>
      </c>
      <c r="K80" s="384">
        <f>J80*($L$6)</f>
        <v>17131.399999999998</v>
      </c>
      <c r="L80" s="385">
        <f>K80</f>
        <v>17131.399999999998</v>
      </c>
      <c r="M80" s="387">
        <f>HLOOKUP($D80,InflationTable,3)*$C80</f>
        <v>336.32500000000005</v>
      </c>
      <c r="N80" s="387">
        <f>M80*($L$6)</f>
        <v>17488.900000000001</v>
      </c>
      <c r="O80" s="1373">
        <f>N80</f>
        <v>17488.900000000001</v>
      </c>
      <c r="P80" s="384">
        <f>HLOOKUP($D80,InflationTable,4)*$C80</f>
        <v>342.92500000000001</v>
      </c>
      <c r="Q80" s="384">
        <f>P80*($L$6)</f>
        <v>17832.100000000002</v>
      </c>
      <c r="R80" s="385">
        <f>Q80</f>
        <v>17832.100000000002</v>
      </c>
      <c r="S80" s="462" t="s">
        <v>12</v>
      </c>
      <c r="T80" s="382">
        <f>AVERAGE(L80,O80,R80)</f>
        <v>17484.133333333335</v>
      </c>
      <c r="U80" s="462" t="s">
        <v>12</v>
      </c>
    </row>
    <row r="81" spans="1:21" ht="13.5" thickBot="1">
      <c r="A81" s="615"/>
      <c r="B81" s="1291" t="s">
        <v>364</v>
      </c>
      <c r="C81" s="1371">
        <v>155</v>
      </c>
      <c r="D81" s="1372">
        <v>2013</v>
      </c>
      <c r="E81" s="492"/>
      <c r="F81" s="93"/>
      <c r="G81" s="460"/>
      <c r="H81" s="460"/>
      <c r="I81" s="461"/>
      <c r="J81" s="749">
        <f>HLOOKUP($D81,InflationTable,2)*$C81</f>
        <v>185.69</v>
      </c>
      <c r="K81" s="384">
        <f>J81*$O$6</f>
        <v>112528.14</v>
      </c>
      <c r="L81" s="385">
        <f>K81</f>
        <v>112528.14</v>
      </c>
      <c r="M81" s="387">
        <f>HLOOKUP($D81,InflationTable,3)*$C81</f>
        <v>189.56500000000003</v>
      </c>
      <c r="N81" s="387">
        <f>M81*$O$6</f>
        <v>114876.39000000001</v>
      </c>
      <c r="O81" s="1373">
        <f>N81</f>
        <v>114876.39000000001</v>
      </c>
      <c r="P81" s="384">
        <f>HLOOKUP($D81,InflationTable,4)*$C81</f>
        <v>193.28500000000003</v>
      </c>
      <c r="Q81" s="384">
        <f>P81*$O$6</f>
        <v>117130.71000000002</v>
      </c>
      <c r="R81" s="385">
        <f>Q81</f>
        <v>117130.71000000002</v>
      </c>
      <c r="S81" s="462" t="s">
        <v>12</v>
      </c>
      <c r="T81" s="382">
        <f>AVERAGE(L81,O81,R81)</f>
        <v>114845.08000000002</v>
      </c>
      <c r="U81" s="462" t="s">
        <v>12</v>
      </c>
    </row>
    <row r="82" spans="1:21" ht="13.5" thickBot="1">
      <c r="A82" s="615"/>
      <c r="B82" s="1374" t="s">
        <v>365</v>
      </c>
      <c r="C82" s="1375">
        <v>500</v>
      </c>
      <c r="D82" s="1376">
        <v>2013</v>
      </c>
      <c r="E82" s="1311"/>
      <c r="F82" s="675"/>
      <c r="G82" s="674"/>
      <c r="H82" s="674"/>
      <c r="I82" s="1185"/>
      <c r="J82" s="744">
        <f>HLOOKUP($D82,InflationTable,2)*$C82</f>
        <v>599</v>
      </c>
      <c r="K82" s="744">
        <f>J82*$O$7</f>
        <v>118602</v>
      </c>
      <c r="L82" s="745">
        <f>K82</f>
        <v>118602</v>
      </c>
      <c r="M82" s="747">
        <f>HLOOKUP($D82,InflationTable,3)*$C82</f>
        <v>611.5</v>
      </c>
      <c r="N82" s="747">
        <f>M82*$O$7</f>
        <v>121077</v>
      </c>
      <c r="O82" s="748">
        <f>N82</f>
        <v>121077</v>
      </c>
      <c r="P82" s="744">
        <f>HLOOKUP($D82,InflationTable,4)*$C82</f>
        <v>623.5</v>
      </c>
      <c r="Q82" s="744">
        <f>P82*$O$7</f>
        <v>123453</v>
      </c>
      <c r="R82" s="745">
        <f>Q82</f>
        <v>123453</v>
      </c>
      <c r="S82" s="755" t="s">
        <v>12</v>
      </c>
      <c r="T82" s="756">
        <f>AVERAGE(L82,O82,R82)</f>
        <v>121044</v>
      </c>
      <c r="U82" s="758" t="s">
        <v>12</v>
      </c>
    </row>
    <row r="83" spans="1:21">
      <c r="A83" s="615"/>
      <c r="B83" s="1059" t="s">
        <v>25</v>
      </c>
      <c r="C83" s="107" t="s">
        <v>45</v>
      </c>
      <c r="D83" s="108" t="s">
        <v>46</v>
      </c>
      <c r="E83" s="107" t="s">
        <v>47</v>
      </c>
      <c r="F83" s="107" t="s">
        <v>48</v>
      </c>
      <c r="G83" s="107" t="s">
        <v>49</v>
      </c>
      <c r="H83" s="107" t="s">
        <v>50</v>
      </c>
      <c r="I83" s="350" t="s">
        <v>74</v>
      </c>
      <c r="J83" s="351"/>
      <c r="K83" s="352"/>
      <c r="L83" s="356"/>
      <c r="M83" s="110"/>
      <c r="N83" s="108"/>
      <c r="O83" s="111"/>
      <c r="P83" s="351"/>
      <c r="Q83" s="352"/>
      <c r="R83" s="356"/>
      <c r="S83" s="134"/>
      <c r="T83" s="136"/>
      <c r="U83" s="227"/>
    </row>
    <row r="84" spans="1:21">
      <c r="A84" s="615"/>
      <c r="B84" s="1068" t="s">
        <v>366</v>
      </c>
      <c r="C84" s="21">
        <v>0</v>
      </c>
      <c r="D84" s="21">
        <v>2</v>
      </c>
      <c r="E84" s="21">
        <v>6</v>
      </c>
      <c r="F84" s="21">
        <v>6</v>
      </c>
      <c r="G84" s="21">
        <v>0</v>
      </c>
      <c r="H84" s="21">
        <v>0</v>
      </c>
      <c r="I84" s="52">
        <f t="shared" ref="I84:I89" si="22">SUM(C84:H84)</f>
        <v>14</v>
      </c>
      <c r="J84" s="1037">
        <f>$I84</f>
        <v>14</v>
      </c>
      <c r="K84" s="281">
        <f>J84*$O$3</f>
        <v>10262</v>
      </c>
      <c r="L84" s="289">
        <f t="shared" ref="L84:L104" si="23">K84</f>
        <v>10262</v>
      </c>
      <c r="M84" s="1042">
        <f>$I84</f>
        <v>14</v>
      </c>
      <c r="N84" s="69">
        <f>M84*$O$3</f>
        <v>10262</v>
      </c>
      <c r="O84" s="68">
        <f t="shared" ref="O84:O104" si="24">N84</f>
        <v>10262</v>
      </c>
      <c r="P84" s="1037">
        <f>$I84</f>
        <v>14</v>
      </c>
      <c r="Q84" s="281">
        <f>P84*$O$3</f>
        <v>10262</v>
      </c>
      <c r="R84" s="289">
        <f t="shared" ref="R84:R104" si="25">Q84</f>
        <v>10262</v>
      </c>
      <c r="S84" s="121">
        <f t="shared" ref="S84:S93" si="26">AVERAGE(L84,O84,R84)</f>
        <v>10262</v>
      </c>
      <c r="T84" s="119" t="s">
        <v>12</v>
      </c>
      <c r="U84" s="232" t="s">
        <v>12</v>
      </c>
    </row>
    <row r="85" spans="1:21" s="1" customFormat="1" ht="13.5" thickBot="1">
      <c r="A85" s="616"/>
      <c r="B85" s="1288" t="s">
        <v>8</v>
      </c>
      <c r="C85" s="713">
        <f>ROUND(C84*Labor!$D$3,0)</f>
        <v>0</v>
      </c>
      <c r="D85" s="219">
        <f>ROUND(D84*Labor!$D$4,0)</f>
        <v>82</v>
      </c>
      <c r="E85" s="219">
        <f>ROUND(E84*Labor!$D$5,0)</f>
        <v>265</v>
      </c>
      <c r="F85" s="219">
        <f>ROUND(F84*Labor!$D$6,0)</f>
        <v>296</v>
      </c>
      <c r="G85" s="219">
        <f>ROUND(G84*Labor!$D$7,0)</f>
        <v>0</v>
      </c>
      <c r="H85" s="219">
        <f>ROUND(H84*Labor!$D$8,0)</f>
        <v>0</v>
      </c>
      <c r="I85" s="209">
        <f t="shared" si="22"/>
        <v>643</v>
      </c>
      <c r="J85" s="339">
        <f>HLOOKUP(Labor!$B$11,InflationTable,2)*$I85</f>
        <v>770.31399999999996</v>
      </c>
      <c r="K85" s="296">
        <f>J85*$O$3</f>
        <v>564640.16200000001</v>
      </c>
      <c r="L85" s="297">
        <f t="shared" si="23"/>
        <v>564640.16200000001</v>
      </c>
      <c r="M85" s="450">
        <f>HLOOKUP(Labor!$B$11,InflationTable,3)*$I85</f>
        <v>786.38900000000001</v>
      </c>
      <c r="N85" s="377">
        <f>M85*$O$3</f>
        <v>576423.13699999999</v>
      </c>
      <c r="O85" s="378">
        <f t="shared" si="24"/>
        <v>576423.13699999999</v>
      </c>
      <c r="P85" s="339">
        <f>HLOOKUP(Labor!$B$11,InflationTable,4)*$I85</f>
        <v>801.82100000000003</v>
      </c>
      <c r="Q85" s="296">
        <f>P85*$O$3</f>
        <v>587734.79300000006</v>
      </c>
      <c r="R85" s="297">
        <f t="shared" si="25"/>
        <v>587734.79300000006</v>
      </c>
      <c r="S85" s="211">
        <f t="shared" si="26"/>
        <v>576266.03066666669</v>
      </c>
      <c r="T85" s="1048" t="s">
        <v>12</v>
      </c>
      <c r="U85" s="1083" t="s">
        <v>12</v>
      </c>
    </row>
    <row r="86" spans="1:21">
      <c r="A86" s="615"/>
      <c r="B86" s="1069" t="s">
        <v>367</v>
      </c>
      <c r="C86" s="21">
        <v>0</v>
      </c>
      <c r="D86" s="21">
        <v>2</v>
      </c>
      <c r="E86" s="21">
        <v>2</v>
      </c>
      <c r="F86" s="21">
        <v>4</v>
      </c>
      <c r="G86" s="21">
        <v>0</v>
      </c>
      <c r="H86" s="21">
        <v>0</v>
      </c>
      <c r="I86" s="52">
        <f>SUM(C86:H86)</f>
        <v>8</v>
      </c>
      <c r="J86" s="1037">
        <f>$I86</f>
        <v>8</v>
      </c>
      <c r="K86" s="281">
        <f>J86*($O$4+$O$5)</f>
        <v>2672</v>
      </c>
      <c r="L86" s="289">
        <f t="shared" si="23"/>
        <v>2672</v>
      </c>
      <c r="M86" s="1042">
        <f>$I86</f>
        <v>8</v>
      </c>
      <c r="N86" s="69">
        <f>M86*($O$4+$O$5)</f>
        <v>2672</v>
      </c>
      <c r="O86" s="68">
        <f t="shared" si="24"/>
        <v>2672</v>
      </c>
      <c r="P86" s="1037">
        <f>$I86</f>
        <v>8</v>
      </c>
      <c r="Q86" s="281">
        <f>P86*($O$4+$O$5)</f>
        <v>2672</v>
      </c>
      <c r="R86" s="289">
        <f t="shared" si="25"/>
        <v>2672</v>
      </c>
      <c r="S86" s="121">
        <f t="shared" si="26"/>
        <v>2672</v>
      </c>
      <c r="T86" s="119" t="s">
        <v>12</v>
      </c>
      <c r="U86" s="232" t="s">
        <v>12</v>
      </c>
    </row>
    <row r="87" spans="1:21" s="1" customFormat="1" ht="13.5" thickBot="1">
      <c r="A87" s="616"/>
      <c r="B87" s="1070" t="s">
        <v>8</v>
      </c>
      <c r="C87" s="713">
        <f>ROUND(C86*Labor!$D$3,0)</f>
        <v>0</v>
      </c>
      <c r="D87" s="219">
        <f>ROUND(D86*Labor!$D$4,0)</f>
        <v>82</v>
      </c>
      <c r="E87" s="219">
        <f>ROUND(E86*Labor!$D$5,0)</f>
        <v>88</v>
      </c>
      <c r="F87" s="219">
        <f>ROUND(F86*Labor!$D$6,0)</f>
        <v>197</v>
      </c>
      <c r="G87" s="219">
        <f>ROUND(G86*Labor!$D$7,0)</f>
        <v>0</v>
      </c>
      <c r="H87" s="219">
        <f>ROUND(H86*Labor!$D$8,0)</f>
        <v>0</v>
      </c>
      <c r="I87" s="209">
        <f>SUM(C87:H87)</f>
        <v>367</v>
      </c>
      <c r="J87" s="339">
        <f>HLOOKUP(Labor!$B$11,InflationTable,2)*$I87</f>
        <v>439.666</v>
      </c>
      <c r="K87" s="296">
        <f>J87*($O$4+$O$5)</f>
        <v>146848.44399999999</v>
      </c>
      <c r="L87" s="297">
        <f t="shared" si="23"/>
        <v>146848.44399999999</v>
      </c>
      <c r="M87" s="450">
        <f>HLOOKUP(Labor!$B$11,InflationTable,3)*$I87</f>
        <v>448.84100000000001</v>
      </c>
      <c r="N87" s="377">
        <f>M87*($O$4+$O$5)</f>
        <v>149912.894</v>
      </c>
      <c r="O87" s="378">
        <f t="shared" si="24"/>
        <v>149912.894</v>
      </c>
      <c r="P87" s="339">
        <f>HLOOKUP(Labor!$B$11,InflationTable,4)*$I87</f>
        <v>457.64900000000006</v>
      </c>
      <c r="Q87" s="296">
        <f>P87*($O$4+$O$5)</f>
        <v>152854.76600000003</v>
      </c>
      <c r="R87" s="297">
        <f t="shared" si="25"/>
        <v>152854.76600000003</v>
      </c>
      <c r="S87" s="211">
        <f t="shared" si="26"/>
        <v>149872.03466666667</v>
      </c>
      <c r="T87" s="1048" t="s">
        <v>12</v>
      </c>
      <c r="U87" s="1083" t="s">
        <v>12</v>
      </c>
    </row>
    <row r="88" spans="1:21">
      <c r="A88" s="615"/>
      <c r="B88" s="1068" t="s">
        <v>368</v>
      </c>
      <c r="C88" s="1038">
        <v>0</v>
      </c>
      <c r="D88" s="1038">
        <v>2</v>
      </c>
      <c r="E88" s="1038">
        <v>6</v>
      </c>
      <c r="F88" s="1038">
        <v>6</v>
      </c>
      <c r="G88" s="1046">
        <v>0</v>
      </c>
      <c r="H88" s="1038">
        <v>0</v>
      </c>
      <c r="I88" s="1039">
        <f t="shared" si="22"/>
        <v>14</v>
      </c>
      <c r="J88" s="263">
        <f>$I88</f>
        <v>14</v>
      </c>
      <c r="K88" s="281">
        <f>J88*$L$6</f>
        <v>728</v>
      </c>
      <c r="L88" s="289">
        <f t="shared" si="23"/>
        <v>728</v>
      </c>
      <c r="M88" s="58">
        <f>$I88</f>
        <v>14</v>
      </c>
      <c r="N88" s="69">
        <f>M88*$L$6</f>
        <v>728</v>
      </c>
      <c r="O88" s="68">
        <f t="shared" si="24"/>
        <v>728</v>
      </c>
      <c r="P88" s="263">
        <f>$I88</f>
        <v>14</v>
      </c>
      <c r="Q88" s="281">
        <f>P88*$L$6</f>
        <v>728</v>
      </c>
      <c r="R88" s="289">
        <f t="shared" si="25"/>
        <v>728</v>
      </c>
      <c r="S88" s="121">
        <f t="shared" si="26"/>
        <v>728</v>
      </c>
      <c r="T88" s="119" t="s">
        <v>12</v>
      </c>
      <c r="U88" s="232" t="s">
        <v>12</v>
      </c>
    </row>
    <row r="89" spans="1:21" s="1" customFormat="1" ht="13.5" thickBot="1">
      <c r="A89" s="616"/>
      <c r="B89" s="1288" t="s">
        <v>8</v>
      </c>
      <c r="C89" s="713">
        <f>ROUND(C88*Labor!$D$3,0)</f>
        <v>0</v>
      </c>
      <c r="D89" s="219">
        <f>ROUND(D88*Labor!$D$4,0)</f>
        <v>82</v>
      </c>
      <c r="E89" s="219">
        <f>ROUND(E88*Labor!$D$5,0)</f>
        <v>265</v>
      </c>
      <c r="F89" s="219">
        <f>ROUND(F88*Labor!$D$6,0)</f>
        <v>296</v>
      </c>
      <c r="G89" s="219">
        <f>ROUND(G88*Labor!$D$7,0)</f>
        <v>0</v>
      </c>
      <c r="H89" s="219">
        <f>ROUND(H88*Labor!$D$8,0)</f>
        <v>0</v>
      </c>
      <c r="I89" s="209">
        <f t="shared" si="22"/>
        <v>643</v>
      </c>
      <c r="J89" s="332">
        <f>HLOOKUP(Labor!$B$11,InflationTable,2)*$I89</f>
        <v>770.31399999999996</v>
      </c>
      <c r="K89" s="296">
        <f>J89*$L$6</f>
        <v>40056.328000000001</v>
      </c>
      <c r="L89" s="297">
        <f t="shared" si="23"/>
        <v>40056.328000000001</v>
      </c>
      <c r="M89" s="376">
        <f>HLOOKUP(Labor!$B$11,InflationTable,3)*$I89</f>
        <v>786.38900000000001</v>
      </c>
      <c r="N89" s="377">
        <f>M89*$L$6</f>
        <v>40892.228000000003</v>
      </c>
      <c r="O89" s="378">
        <f t="shared" si="24"/>
        <v>40892.228000000003</v>
      </c>
      <c r="P89" s="332">
        <f>HLOOKUP(Labor!$B$11,InflationTable,4)*$I89</f>
        <v>801.82100000000003</v>
      </c>
      <c r="Q89" s="296">
        <f>P89*$L$6</f>
        <v>41694.692000000003</v>
      </c>
      <c r="R89" s="297">
        <f t="shared" si="25"/>
        <v>41694.692000000003</v>
      </c>
      <c r="S89" s="211">
        <f t="shared" si="26"/>
        <v>40881.082666666676</v>
      </c>
      <c r="T89" s="218" t="s">
        <v>12</v>
      </c>
      <c r="U89" s="228" t="s">
        <v>12</v>
      </c>
    </row>
    <row r="90" spans="1:21">
      <c r="A90" s="615"/>
      <c r="B90" s="1069" t="s">
        <v>298</v>
      </c>
      <c r="C90" s="1038">
        <v>0</v>
      </c>
      <c r="D90" s="1038">
        <v>2</v>
      </c>
      <c r="E90" s="1038">
        <v>6</v>
      </c>
      <c r="F90" s="1038">
        <v>6</v>
      </c>
      <c r="G90" s="1046">
        <v>0</v>
      </c>
      <c r="H90" s="1038">
        <v>0</v>
      </c>
      <c r="I90" s="1039">
        <f>SUM(C90:H90)</f>
        <v>14</v>
      </c>
      <c r="J90" s="263">
        <f>$I90</f>
        <v>14</v>
      </c>
      <c r="K90" s="281">
        <f>J90*$O$6</f>
        <v>8484</v>
      </c>
      <c r="L90" s="289">
        <f t="shared" si="23"/>
        <v>8484</v>
      </c>
      <c r="M90" s="58">
        <f>$I90</f>
        <v>14</v>
      </c>
      <c r="N90" s="69">
        <f>M90*$O$6</f>
        <v>8484</v>
      </c>
      <c r="O90" s="68">
        <f t="shared" si="24"/>
        <v>8484</v>
      </c>
      <c r="P90" s="263">
        <f>$I90</f>
        <v>14</v>
      </c>
      <c r="Q90" s="281">
        <f>P90*$O$6</f>
        <v>8484</v>
      </c>
      <c r="R90" s="289">
        <f t="shared" si="25"/>
        <v>8484</v>
      </c>
      <c r="S90" s="121">
        <f t="shared" si="26"/>
        <v>8484</v>
      </c>
      <c r="T90" s="119" t="s">
        <v>12</v>
      </c>
      <c r="U90" s="232" t="s">
        <v>12</v>
      </c>
    </row>
    <row r="91" spans="1:21" s="1" customFormat="1" ht="13.5" thickBot="1">
      <c r="A91" s="616"/>
      <c r="B91" s="1070" t="s">
        <v>8</v>
      </c>
      <c r="C91" s="713">
        <f>ROUND(C90*Labor!$D$3,0)</f>
        <v>0</v>
      </c>
      <c r="D91" s="219">
        <f>ROUND(D90*Labor!$D$4,0)</f>
        <v>82</v>
      </c>
      <c r="E91" s="219">
        <f>ROUND(E90*Labor!$D$5,0)</f>
        <v>265</v>
      </c>
      <c r="F91" s="219">
        <f>ROUND(F90*Labor!$D$6,0)</f>
        <v>296</v>
      </c>
      <c r="G91" s="219">
        <f>ROUND(G90*Labor!$D$7,0)</f>
        <v>0</v>
      </c>
      <c r="H91" s="219">
        <f>ROUND(H90*Labor!$D$8,0)</f>
        <v>0</v>
      </c>
      <c r="I91" s="209">
        <f>SUM(C91:H91)</f>
        <v>643</v>
      </c>
      <c r="J91" s="332">
        <f>HLOOKUP(Labor!$B$11,InflationTable,2)*$I91</f>
        <v>770.31399999999996</v>
      </c>
      <c r="K91" s="296">
        <f>J91*$O$6</f>
        <v>466810.28399999999</v>
      </c>
      <c r="L91" s="297">
        <f t="shared" si="23"/>
        <v>466810.28399999999</v>
      </c>
      <c r="M91" s="376">
        <f>HLOOKUP(Labor!$B$11,InflationTable,3)*$I91</f>
        <v>786.38900000000001</v>
      </c>
      <c r="N91" s="377">
        <f>M91*$O$6</f>
        <v>476551.734</v>
      </c>
      <c r="O91" s="378">
        <f t="shared" si="24"/>
        <v>476551.734</v>
      </c>
      <c r="P91" s="332">
        <f>HLOOKUP(Labor!$B$11,InflationTable,4)*$I91</f>
        <v>801.82100000000003</v>
      </c>
      <c r="Q91" s="296">
        <f>P91*$O$6</f>
        <v>485903.52600000001</v>
      </c>
      <c r="R91" s="297">
        <f t="shared" si="25"/>
        <v>485903.52600000001</v>
      </c>
      <c r="S91" s="211">
        <f t="shared" si="26"/>
        <v>476421.848</v>
      </c>
      <c r="T91" s="218" t="s">
        <v>12</v>
      </c>
      <c r="U91" s="228" t="s">
        <v>12</v>
      </c>
    </row>
    <row r="92" spans="1:21">
      <c r="A92" s="615"/>
      <c r="B92" s="1289" t="s">
        <v>336</v>
      </c>
      <c r="C92" s="1038">
        <v>0</v>
      </c>
      <c r="D92" s="1038">
        <v>0</v>
      </c>
      <c r="E92" s="1038">
        <v>4</v>
      </c>
      <c r="F92" s="1038">
        <v>6</v>
      </c>
      <c r="G92" s="1046">
        <v>4</v>
      </c>
      <c r="H92" s="1038">
        <v>0</v>
      </c>
      <c r="I92" s="1039">
        <f>SUM(C92:H92)</f>
        <v>14</v>
      </c>
      <c r="J92" s="263">
        <f>$I92</f>
        <v>14</v>
      </c>
      <c r="K92" s="281">
        <f>$I92*$O$7</f>
        <v>2772</v>
      </c>
      <c r="L92" s="289">
        <f t="shared" si="23"/>
        <v>2772</v>
      </c>
      <c r="M92" s="58">
        <f>$I92</f>
        <v>14</v>
      </c>
      <c r="N92" s="69">
        <f>$I92*$O$7</f>
        <v>2772</v>
      </c>
      <c r="O92" s="68">
        <f t="shared" si="24"/>
        <v>2772</v>
      </c>
      <c r="P92" s="263">
        <f>$I92</f>
        <v>14</v>
      </c>
      <c r="Q92" s="281">
        <f>$I92*$O$7</f>
        <v>2772</v>
      </c>
      <c r="R92" s="289">
        <f t="shared" si="25"/>
        <v>2772</v>
      </c>
      <c r="S92" s="121">
        <f t="shared" si="26"/>
        <v>2772</v>
      </c>
      <c r="T92" s="119" t="s">
        <v>12</v>
      </c>
      <c r="U92" s="232" t="s">
        <v>12</v>
      </c>
    </row>
    <row r="93" spans="1:21" s="1" customFormat="1" ht="13.5" thickBot="1">
      <c r="A93" s="616"/>
      <c r="B93" s="1290" t="s">
        <v>8</v>
      </c>
      <c r="C93" s="713">
        <f>ROUND(C92*Labor!$D$3,0)</f>
        <v>0</v>
      </c>
      <c r="D93" s="219">
        <f>ROUND(D92*Labor!$D$4,0)</f>
        <v>0</v>
      </c>
      <c r="E93" s="219">
        <f>ROUND(E92*Labor!$D$5,0)</f>
        <v>176</v>
      </c>
      <c r="F93" s="219">
        <f>ROUND(F92*Labor!$D$6,0)</f>
        <v>296</v>
      </c>
      <c r="G93" s="219">
        <f>ROUND(G92*Labor!$D$7,0)</f>
        <v>222</v>
      </c>
      <c r="H93" s="219">
        <f>ROUND(H92*Labor!$D$8,0)</f>
        <v>0</v>
      </c>
      <c r="I93" s="209">
        <f>SUM(C93:H93)</f>
        <v>694</v>
      </c>
      <c r="J93" s="332">
        <f>HLOOKUP(Labor!$B$11,InflationTable,2)*$I93</f>
        <v>831.41199999999992</v>
      </c>
      <c r="K93" s="296">
        <f>J93*$O$7</f>
        <v>164619.57599999997</v>
      </c>
      <c r="L93" s="297">
        <f t="shared" si="23"/>
        <v>164619.57599999997</v>
      </c>
      <c r="M93" s="376">
        <f>HLOOKUP(Labor!$B$11,InflationTable,3)*$I93</f>
        <v>848.76200000000006</v>
      </c>
      <c r="N93" s="377">
        <f>M93*$O$7</f>
        <v>168054.87600000002</v>
      </c>
      <c r="O93" s="378">
        <f t="shared" si="24"/>
        <v>168054.87600000002</v>
      </c>
      <c r="P93" s="332">
        <f>HLOOKUP(Labor!$B$11,InflationTable,4)*$I93</f>
        <v>865.41800000000012</v>
      </c>
      <c r="Q93" s="296">
        <f>P93*$O$7</f>
        <v>171352.76400000002</v>
      </c>
      <c r="R93" s="297">
        <f t="shared" si="25"/>
        <v>171352.76400000002</v>
      </c>
      <c r="S93" s="211">
        <f t="shared" si="26"/>
        <v>168009.07200000001</v>
      </c>
      <c r="T93" s="218" t="s">
        <v>12</v>
      </c>
      <c r="U93" s="228" t="s">
        <v>12</v>
      </c>
    </row>
    <row r="94" spans="1:21">
      <c r="A94" s="615"/>
      <c r="B94" s="1059" t="s">
        <v>376</v>
      </c>
      <c r="C94" s="107" t="s">
        <v>45</v>
      </c>
      <c r="D94" s="108" t="s">
        <v>46</v>
      </c>
      <c r="E94" s="107" t="s">
        <v>47</v>
      </c>
      <c r="F94" s="107" t="s">
        <v>48</v>
      </c>
      <c r="G94" s="107" t="s">
        <v>49</v>
      </c>
      <c r="H94" s="107" t="s">
        <v>50</v>
      </c>
      <c r="I94" s="350" t="s">
        <v>74</v>
      </c>
      <c r="J94" s="351"/>
      <c r="K94" s="352"/>
      <c r="L94" s="356"/>
      <c r="M94" s="110"/>
      <c r="N94" s="108"/>
      <c r="O94" s="111"/>
      <c r="P94" s="351"/>
      <c r="Q94" s="352"/>
      <c r="R94" s="356"/>
      <c r="S94" s="134"/>
      <c r="T94" s="136"/>
      <c r="U94" s="227"/>
    </row>
    <row r="95" spans="1:21">
      <c r="A95" s="615"/>
      <c r="B95" s="1069" t="s">
        <v>366</v>
      </c>
      <c r="C95" s="21">
        <v>0</v>
      </c>
      <c r="D95" s="21">
        <v>2</v>
      </c>
      <c r="E95" s="21">
        <v>6</v>
      </c>
      <c r="F95" s="21">
        <v>8</v>
      </c>
      <c r="G95" s="21">
        <v>0</v>
      </c>
      <c r="H95" s="21">
        <v>0</v>
      </c>
      <c r="I95" s="52">
        <f>SUM(C95:H95)</f>
        <v>16</v>
      </c>
      <c r="J95" s="1037">
        <f>$I95</f>
        <v>16</v>
      </c>
      <c r="K95" s="281">
        <f>J95*$O$3</f>
        <v>11728</v>
      </c>
      <c r="L95" s="289">
        <f t="shared" si="23"/>
        <v>11728</v>
      </c>
      <c r="M95" s="1042">
        <f>$I95</f>
        <v>16</v>
      </c>
      <c r="N95" s="69">
        <f>M95*$O$3</f>
        <v>11728</v>
      </c>
      <c r="O95" s="68">
        <f t="shared" si="24"/>
        <v>11728</v>
      </c>
      <c r="P95" s="1037">
        <f>$I95</f>
        <v>16</v>
      </c>
      <c r="Q95" s="281">
        <f>P95*$O$3</f>
        <v>11728</v>
      </c>
      <c r="R95" s="289">
        <f t="shared" si="25"/>
        <v>11728</v>
      </c>
      <c r="S95" s="121">
        <f>AVERAGE(L95,O95,R95)</f>
        <v>11728</v>
      </c>
      <c r="T95" s="119" t="s">
        <v>12</v>
      </c>
      <c r="U95" s="232" t="s">
        <v>12</v>
      </c>
    </row>
    <row r="96" spans="1:21" s="1" customFormat="1" ht="13.5" thickBot="1">
      <c r="A96" s="616"/>
      <c r="B96" s="1070" t="s">
        <v>8</v>
      </c>
      <c r="C96" s="713">
        <f>ROUND(C95*Labor!$D$3,0)</f>
        <v>0</v>
      </c>
      <c r="D96" s="219">
        <f>ROUND(D95*Labor!$D$4,0)</f>
        <v>82</v>
      </c>
      <c r="E96" s="219">
        <f>ROUND(E95*Labor!$D$5,0)</f>
        <v>265</v>
      </c>
      <c r="F96" s="219">
        <f>ROUND(F95*Labor!$D$6,0)</f>
        <v>394</v>
      </c>
      <c r="G96" s="219">
        <f>ROUND(G95*Labor!$D$7,0)</f>
        <v>0</v>
      </c>
      <c r="H96" s="219">
        <f>ROUND(H95*Labor!$D$8,0)</f>
        <v>0</v>
      </c>
      <c r="I96" s="209">
        <f>SUM(C96:H96)</f>
        <v>741</v>
      </c>
      <c r="J96" s="339">
        <f>HLOOKUP(Labor!$B$11,InflationTable,2)*$I96</f>
        <v>887.71799999999996</v>
      </c>
      <c r="K96" s="296">
        <f>J96*$O$3</f>
        <v>650697.29399999999</v>
      </c>
      <c r="L96" s="297">
        <f t="shared" si="23"/>
        <v>650697.29399999999</v>
      </c>
      <c r="M96" s="450">
        <f>HLOOKUP(Labor!$B$11,InflationTable,3)*$I96</f>
        <v>906.24300000000005</v>
      </c>
      <c r="N96" s="377">
        <f>M96*$O$3</f>
        <v>664276.11900000006</v>
      </c>
      <c r="O96" s="378">
        <f t="shared" si="24"/>
        <v>664276.11900000006</v>
      </c>
      <c r="P96" s="339">
        <f>HLOOKUP(Labor!$B$11,InflationTable,4)*$I96</f>
        <v>924.02700000000004</v>
      </c>
      <c r="Q96" s="296">
        <f>P96*$O$3</f>
        <v>677311.79100000008</v>
      </c>
      <c r="R96" s="297">
        <f t="shared" si="25"/>
        <v>677311.79100000008</v>
      </c>
      <c r="S96" s="211">
        <f>AVERAGE(L96,O96,R96)</f>
        <v>664095.06800000009</v>
      </c>
      <c r="T96" s="1048" t="s">
        <v>12</v>
      </c>
      <c r="U96" s="1083" t="s">
        <v>12</v>
      </c>
    </row>
    <row r="97" spans="1:22">
      <c r="A97" s="615"/>
      <c r="B97" s="1069" t="s">
        <v>367</v>
      </c>
      <c r="C97" s="21">
        <v>0</v>
      </c>
      <c r="D97" s="21">
        <v>2</v>
      </c>
      <c r="E97" s="21">
        <v>4</v>
      </c>
      <c r="F97" s="21">
        <v>6</v>
      </c>
      <c r="G97" s="21">
        <v>0</v>
      </c>
      <c r="H97" s="21">
        <v>0</v>
      </c>
      <c r="I97" s="52">
        <f>SUM(C97:H97)</f>
        <v>12</v>
      </c>
      <c r="J97" s="1037">
        <f>$I97</f>
        <v>12</v>
      </c>
      <c r="K97" s="281">
        <f>J97*($O$4+$O$5)</f>
        <v>4008</v>
      </c>
      <c r="L97" s="289">
        <f t="shared" si="23"/>
        <v>4008</v>
      </c>
      <c r="M97" s="1042">
        <f>$I97</f>
        <v>12</v>
      </c>
      <c r="N97" s="69">
        <f>M97*($O$4+$O$5)</f>
        <v>4008</v>
      </c>
      <c r="O97" s="68">
        <f t="shared" si="24"/>
        <v>4008</v>
      </c>
      <c r="P97" s="1037">
        <f>$I97</f>
        <v>12</v>
      </c>
      <c r="Q97" s="281">
        <f>P97*($O$4+$O$5)</f>
        <v>4008</v>
      </c>
      <c r="R97" s="289">
        <f t="shared" si="25"/>
        <v>4008</v>
      </c>
      <c r="S97" s="121">
        <f>AVERAGE(L97,O97,R97)</f>
        <v>4008</v>
      </c>
      <c r="T97" s="119" t="s">
        <v>12</v>
      </c>
      <c r="U97" s="232" t="s">
        <v>12</v>
      </c>
    </row>
    <row r="98" spans="1:22" s="1" customFormat="1" ht="13.5" thickBot="1">
      <c r="A98" s="616"/>
      <c r="B98" s="1070" t="s">
        <v>8</v>
      </c>
      <c r="C98" s="713">
        <f>ROUND(C97*Labor!$D$3,0)</f>
        <v>0</v>
      </c>
      <c r="D98" s="219">
        <f>ROUND(D97*Labor!$D$4,0)</f>
        <v>82</v>
      </c>
      <c r="E98" s="219">
        <f>ROUND(E97*Labor!$D$5,0)</f>
        <v>176</v>
      </c>
      <c r="F98" s="219">
        <f>ROUND(F97*Labor!$D$6,0)</f>
        <v>296</v>
      </c>
      <c r="G98" s="219">
        <f>ROUND(G97*Labor!$D$7,0)</f>
        <v>0</v>
      </c>
      <c r="H98" s="219">
        <f>ROUND(H97*Labor!$D$8,0)</f>
        <v>0</v>
      </c>
      <c r="I98" s="209">
        <f>SUM(C98:H98)</f>
        <v>554</v>
      </c>
      <c r="J98" s="339">
        <f>HLOOKUP(Labor!$B$11,InflationTable,2)*$I98</f>
        <v>663.69200000000001</v>
      </c>
      <c r="K98" s="296">
        <f>J98*($O$4+$O$5)</f>
        <v>221673.128</v>
      </c>
      <c r="L98" s="297">
        <f t="shared" si="23"/>
        <v>221673.128</v>
      </c>
      <c r="M98" s="450">
        <f>HLOOKUP(Labor!$B$11,InflationTable,3)*$I98</f>
        <v>677.54200000000003</v>
      </c>
      <c r="N98" s="377">
        <f>M98*($O$4+$O$5)</f>
        <v>226299.02800000002</v>
      </c>
      <c r="O98" s="378">
        <f t="shared" si="24"/>
        <v>226299.02800000002</v>
      </c>
      <c r="P98" s="339">
        <f>HLOOKUP(Labor!$B$11,InflationTable,4)*$I98</f>
        <v>690.83800000000008</v>
      </c>
      <c r="Q98" s="296">
        <f>P98*($O$4+$O$5)</f>
        <v>230739.89200000002</v>
      </c>
      <c r="R98" s="297">
        <f t="shared" si="25"/>
        <v>230739.89200000002</v>
      </c>
      <c r="S98" s="211">
        <f>AVERAGE(L98,O98,R98)</f>
        <v>226237.34933333335</v>
      </c>
      <c r="T98" s="1048" t="s">
        <v>12</v>
      </c>
      <c r="U98" s="1083" t="s">
        <v>12</v>
      </c>
    </row>
    <row r="99" spans="1:22">
      <c r="A99" s="615"/>
      <c r="B99" s="1069" t="s">
        <v>368</v>
      </c>
      <c r="C99" s="1038">
        <v>0</v>
      </c>
      <c r="D99" s="1038">
        <v>2</v>
      </c>
      <c r="E99" s="1038">
        <v>6</v>
      </c>
      <c r="F99" s="1038">
        <v>8</v>
      </c>
      <c r="G99" s="1046">
        <v>0</v>
      </c>
      <c r="H99" s="1038">
        <v>0</v>
      </c>
      <c r="I99" s="1039">
        <f t="shared" ref="I99:I104" si="27">SUM(C99:H99)</f>
        <v>16</v>
      </c>
      <c r="J99" s="263">
        <f>$I99</f>
        <v>16</v>
      </c>
      <c r="K99" s="281">
        <f>J99*$L$6</f>
        <v>832</v>
      </c>
      <c r="L99" s="289">
        <f t="shared" si="23"/>
        <v>832</v>
      </c>
      <c r="M99" s="58">
        <f>$I99</f>
        <v>16</v>
      </c>
      <c r="N99" s="69">
        <f>M99*$L$6</f>
        <v>832</v>
      </c>
      <c r="O99" s="68">
        <f t="shared" si="24"/>
        <v>832</v>
      </c>
      <c r="P99" s="263">
        <f>$I99</f>
        <v>16</v>
      </c>
      <c r="Q99" s="281">
        <f>P99*$L$6</f>
        <v>832</v>
      </c>
      <c r="R99" s="289">
        <f t="shared" si="25"/>
        <v>832</v>
      </c>
      <c r="S99" s="121">
        <f t="shared" ref="S99:S104" si="28">AVERAGE(L99,O99,R99)</f>
        <v>832</v>
      </c>
      <c r="T99" s="119" t="s">
        <v>12</v>
      </c>
      <c r="U99" s="1080" t="s">
        <v>12</v>
      </c>
    </row>
    <row r="100" spans="1:22" s="1" customFormat="1" ht="13.5" thickBot="1">
      <c r="A100" s="616"/>
      <c r="B100" s="1290" t="s">
        <v>8</v>
      </c>
      <c r="C100" s="713">
        <f>ROUND(C99*Labor!$D$3,0)</f>
        <v>0</v>
      </c>
      <c r="D100" s="219">
        <f>ROUND(D99*Labor!$D$4,0)</f>
        <v>82</v>
      </c>
      <c r="E100" s="219">
        <f>ROUND(E99*Labor!$D$5,0)</f>
        <v>265</v>
      </c>
      <c r="F100" s="219">
        <f>ROUND(F99*Labor!$D$6,0)</f>
        <v>394</v>
      </c>
      <c r="G100" s="219">
        <f>ROUND(G99*Labor!$D$7,0)</f>
        <v>0</v>
      </c>
      <c r="H100" s="219">
        <f>ROUND(H99*Labor!$D$8,0)</f>
        <v>0</v>
      </c>
      <c r="I100" s="209">
        <f t="shared" si="27"/>
        <v>741</v>
      </c>
      <c r="J100" s="332">
        <f>HLOOKUP(Labor!$B$11,InflationTable,2)*$I100</f>
        <v>887.71799999999996</v>
      </c>
      <c r="K100" s="296">
        <f>J100*$L$6</f>
        <v>46161.335999999996</v>
      </c>
      <c r="L100" s="297">
        <f t="shared" si="23"/>
        <v>46161.335999999996</v>
      </c>
      <c r="M100" s="376">
        <f>HLOOKUP(Labor!$B$11,InflationTable,3)*$I100</f>
        <v>906.24300000000005</v>
      </c>
      <c r="N100" s="377">
        <f>M100*$L$6</f>
        <v>47124.636000000006</v>
      </c>
      <c r="O100" s="378">
        <f t="shared" si="24"/>
        <v>47124.636000000006</v>
      </c>
      <c r="P100" s="332">
        <f>HLOOKUP(Labor!$B$11,InflationTable,4)*$I100</f>
        <v>924.02700000000004</v>
      </c>
      <c r="Q100" s="296">
        <f>P100*$L$6</f>
        <v>48049.404000000002</v>
      </c>
      <c r="R100" s="297">
        <f t="shared" si="25"/>
        <v>48049.404000000002</v>
      </c>
      <c r="S100" s="211">
        <f t="shared" si="28"/>
        <v>47111.792000000009</v>
      </c>
      <c r="T100" s="218" t="s">
        <v>12</v>
      </c>
      <c r="U100" s="228" t="s">
        <v>12</v>
      </c>
    </row>
    <row r="101" spans="1:22">
      <c r="A101" s="615"/>
      <c r="B101" s="1069" t="s">
        <v>298</v>
      </c>
      <c r="C101" s="1038">
        <v>0</v>
      </c>
      <c r="D101" s="1038">
        <v>5</v>
      </c>
      <c r="E101" s="1038">
        <v>5</v>
      </c>
      <c r="F101" s="1038">
        <v>4</v>
      </c>
      <c r="G101" s="1046">
        <v>0</v>
      </c>
      <c r="H101" s="1038">
        <v>0</v>
      </c>
      <c r="I101" s="1039">
        <f t="shared" si="27"/>
        <v>14</v>
      </c>
      <c r="J101" s="263">
        <f>$I101</f>
        <v>14</v>
      </c>
      <c r="K101" s="281">
        <f>J101*$O$6</f>
        <v>8484</v>
      </c>
      <c r="L101" s="289">
        <f t="shared" si="23"/>
        <v>8484</v>
      </c>
      <c r="M101" s="58">
        <f>$I101</f>
        <v>14</v>
      </c>
      <c r="N101" s="69">
        <f>M101*$O$6</f>
        <v>8484</v>
      </c>
      <c r="O101" s="68">
        <f t="shared" si="24"/>
        <v>8484</v>
      </c>
      <c r="P101" s="263">
        <f>$I101</f>
        <v>14</v>
      </c>
      <c r="Q101" s="281">
        <f>P101*$O$6</f>
        <v>8484</v>
      </c>
      <c r="R101" s="289">
        <f t="shared" si="25"/>
        <v>8484</v>
      </c>
      <c r="S101" s="121">
        <f t="shared" si="28"/>
        <v>8484</v>
      </c>
      <c r="T101" s="119" t="s">
        <v>12</v>
      </c>
      <c r="U101" s="232" t="s">
        <v>12</v>
      </c>
    </row>
    <row r="102" spans="1:22" s="1" customFormat="1" ht="13.5" thickBot="1">
      <c r="A102" s="616"/>
      <c r="B102" s="1070" t="s">
        <v>8</v>
      </c>
      <c r="C102" s="713">
        <f>ROUND(C101*Labor!$D$3,0)</f>
        <v>0</v>
      </c>
      <c r="D102" s="219">
        <f>ROUND(D101*Labor!$D$4,0)</f>
        <v>204</v>
      </c>
      <c r="E102" s="219">
        <f>ROUND(E101*Labor!$D$5,0)</f>
        <v>221</v>
      </c>
      <c r="F102" s="219">
        <f>ROUND(F101*Labor!$D$6,0)</f>
        <v>197</v>
      </c>
      <c r="G102" s="219">
        <f>ROUND(G101*Labor!$D$7,0)</f>
        <v>0</v>
      </c>
      <c r="H102" s="219">
        <f>ROUND(H101*Labor!$D$8,0)</f>
        <v>0</v>
      </c>
      <c r="I102" s="209">
        <f t="shared" si="27"/>
        <v>622</v>
      </c>
      <c r="J102" s="332">
        <f>HLOOKUP(Labor!$B$11,InflationTable,2)*$I102</f>
        <v>745.15599999999995</v>
      </c>
      <c r="K102" s="296">
        <f>J102*$O$6</f>
        <v>451564.53599999996</v>
      </c>
      <c r="L102" s="297">
        <f t="shared" si="23"/>
        <v>451564.53599999996</v>
      </c>
      <c r="M102" s="376">
        <f>HLOOKUP(Labor!$B$11,InflationTable,3)*$I102</f>
        <v>760.70600000000002</v>
      </c>
      <c r="N102" s="377">
        <f>M102*$O$6</f>
        <v>460987.83600000001</v>
      </c>
      <c r="O102" s="378">
        <f t="shared" si="24"/>
        <v>460987.83600000001</v>
      </c>
      <c r="P102" s="332">
        <f>HLOOKUP(Labor!$B$11,InflationTable,4)*$I102</f>
        <v>775.63400000000001</v>
      </c>
      <c r="Q102" s="296">
        <f>P102*$O$6</f>
        <v>470034.20400000003</v>
      </c>
      <c r="R102" s="297">
        <f t="shared" si="25"/>
        <v>470034.20400000003</v>
      </c>
      <c r="S102" s="211">
        <f t="shared" si="28"/>
        <v>460862.19199999998</v>
      </c>
      <c r="T102" s="218" t="s">
        <v>12</v>
      </c>
      <c r="U102" s="228" t="s">
        <v>12</v>
      </c>
    </row>
    <row r="103" spans="1:22">
      <c r="A103" s="615"/>
      <c r="B103" s="1068" t="s">
        <v>336</v>
      </c>
      <c r="C103" s="1038">
        <v>0</v>
      </c>
      <c r="D103" s="1038">
        <v>0</v>
      </c>
      <c r="E103" s="1038">
        <v>4</v>
      </c>
      <c r="F103" s="1038">
        <v>12</v>
      </c>
      <c r="G103" s="1046">
        <v>0</v>
      </c>
      <c r="H103" s="1038">
        <v>0</v>
      </c>
      <c r="I103" s="1039">
        <f t="shared" si="27"/>
        <v>16</v>
      </c>
      <c r="J103" s="263">
        <f>$I103</f>
        <v>16</v>
      </c>
      <c r="K103" s="281">
        <f>$I103*$O$7</f>
        <v>3168</v>
      </c>
      <c r="L103" s="289">
        <f t="shared" si="23"/>
        <v>3168</v>
      </c>
      <c r="M103" s="58">
        <f>$I103</f>
        <v>16</v>
      </c>
      <c r="N103" s="69">
        <f>$I103*$O$7</f>
        <v>3168</v>
      </c>
      <c r="O103" s="68">
        <f t="shared" si="24"/>
        <v>3168</v>
      </c>
      <c r="P103" s="263">
        <f>$I103</f>
        <v>16</v>
      </c>
      <c r="Q103" s="281">
        <f>$I103*$O$7</f>
        <v>3168</v>
      </c>
      <c r="R103" s="289">
        <f t="shared" si="25"/>
        <v>3168</v>
      </c>
      <c r="S103" s="121">
        <f t="shared" si="28"/>
        <v>3168</v>
      </c>
      <c r="T103" s="119" t="s">
        <v>12</v>
      </c>
      <c r="U103" s="232" t="s">
        <v>12</v>
      </c>
    </row>
    <row r="104" spans="1:22" s="1" customFormat="1" ht="13.5" thickBot="1">
      <c r="A104" s="616"/>
      <c r="B104" s="1070" t="s">
        <v>8</v>
      </c>
      <c r="C104" s="713">
        <f>ROUND(C103*Labor!$D$3,0)</f>
        <v>0</v>
      </c>
      <c r="D104" s="219">
        <f>ROUND(D103*Labor!$D$4,0)</f>
        <v>0</v>
      </c>
      <c r="E104" s="219">
        <f>ROUND(E103*Labor!$D$5,0)</f>
        <v>176</v>
      </c>
      <c r="F104" s="219">
        <f>ROUND(F103*Labor!$D$6,0)</f>
        <v>591</v>
      </c>
      <c r="G104" s="219">
        <f>ROUND(G103*Labor!$D$7,0)</f>
        <v>0</v>
      </c>
      <c r="H104" s="219">
        <f>ROUND(H103*Labor!$D$8,0)</f>
        <v>0</v>
      </c>
      <c r="I104" s="209">
        <f t="shared" si="27"/>
        <v>767</v>
      </c>
      <c r="J104" s="332">
        <f>HLOOKUP(Labor!$B$11,InflationTable,2)*$I104</f>
        <v>918.86599999999999</v>
      </c>
      <c r="K104" s="296">
        <f>J104*$O$7</f>
        <v>181935.46799999999</v>
      </c>
      <c r="L104" s="297">
        <f t="shared" si="23"/>
        <v>181935.46799999999</v>
      </c>
      <c r="M104" s="376">
        <f>HLOOKUP(Labor!$B$11,InflationTable,3)*$I104</f>
        <v>938.04100000000005</v>
      </c>
      <c r="N104" s="377">
        <f>M104*$O$7</f>
        <v>185732.11800000002</v>
      </c>
      <c r="O104" s="378">
        <f t="shared" si="24"/>
        <v>185732.11800000002</v>
      </c>
      <c r="P104" s="332">
        <f>HLOOKUP(Labor!$B$11,InflationTable,4)*$I104</f>
        <v>956.44900000000007</v>
      </c>
      <c r="Q104" s="296">
        <f>P104*$O$7</f>
        <v>189376.902</v>
      </c>
      <c r="R104" s="297">
        <f t="shared" si="25"/>
        <v>189376.902</v>
      </c>
      <c r="S104" s="211">
        <f t="shared" si="28"/>
        <v>185681.49600000001</v>
      </c>
      <c r="T104" s="218" t="s">
        <v>12</v>
      </c>
      <c r="U104" s="228" t="s">
        <v>12</v>
      </c>
    </row>
    <row r="105" spans="1:22">
      <c r="A105" s="615"/>
      <c r="B105" s="605" t="s">
        <v>66</v>
      </c>
      <c r="C105" s="33">
        <f>C84+C86+C88+C90+C92+C95+C97+C99+C101+C103</f>
        <v>0</v>
      </c>
      <c r="D105" s="33">
        <f t="shared" ref="D105:I105" si="29">D84+D86+D88+D90+D92+D95+D97+D99+D101+D103</f>
        <v>19</v>
      </c>
      <c r="E105" s="33">
        <f t="shared" si="29"/>
        <v>49</v>
      </c>
      <c r="F105" s="33">
        <f t="shared" si="29"/>
        <v>66</v>
      </c>
      <c r="G105" s="33">
        <f t="shared" si="29"/>
        <v>4</v>
      </c>
      <c r="H105" s="33">
        <f t="shared" si="29"/>
        <v>0</v>
      </c>
      <c r="I105" s="99">
        <f t="shared" si="29"/>
        <v>138</v>
      </c>
      <c r="J105" s="284">
        <f t="shared" ref="J105:R105" si="30">J84+J86+J88+J90+J92+J95+J97+J99+J101+J103</f>
        <v>138</v>
      </c>
      <c r="K105" s="285">
        <f t="shared" si="30"/>
        <v>53138</v>
      </c>
      <c r="L105" s="312">
        <f t="shared" si="30"/>
        <v>53138</v>
      </c>
      <c r="M105" s="44">
        <f t="shared" si="30"/>
        <v>138</v>
      </c>
      <c r="N105" s="33">
        <f t="shared" si="30"/>
        <v>53138</v>
      </c>
      <c r="O105" s="99">
        <f t="shared" si="30"/>
        <v>53138</v>
      </c>
      <c r="P105" s="284">
        <f t="shared" si="30"/>
        <v>138</v>
      </c>
      <c r="Q105" s="285">
        <f t="shared" si="30"/>
        <v>53138</v>
      </c>
      <c r="R105" s="285">
        <f t="shared" si="30"/>
        <v>53138</v>
      </c>
      <c r="S105" s="121">
        <f>AVERAGE(L105,O105,R105)</f>
        <v>53138</v>
      </c>
      <c r="T105" s="136" t="s">
        <v>12</v>
      </c>
      <c r="U105" s="513" t="s">
        <v>12</v>
      </c>
    </row>
    <row r="106" spans="1:22" ht="13.5" thickBot="1">
      <c r="A106" s="615"/>
      <c r="B106" s="606" t="s">
        <v>67</v>
      </c>
      <c r="C106" s="711">
        <f>C85+C87+C89+C91+C93+C96+C98+C100+C102+C104</f>
        <v>0</v>
      </c>
      <c r="D106" s="711">
        <f t="shared" ref="D106:M106" si="31">D85+D87+D89+D91+D93+D96+D98+D100+D102+D104</f>
        <v>778</v>
      </c>
      <c r="E106" s="711">
        <f t="shared" si="31"/>
        <v>2162</v>
      </c>
      <c r="F106" s="711">
        <f t="shared" si="31"/>
        <v>3253</v>
      </c>
      <c r="G106" s="711">
        <f t="shared" si="31"/>
        <v>222</v>
      </c>
      <c r="H106" s="711">
        <f t="shared" si="31"/>
        <v>0</v>
      </c>
      <c r="I106" s="1370">
        <f t="shared" si="31"/>
        <v>6415</v>
      </c>
      <c r="J106" s="1369">
        <f t="shared" si="31"/>
        <v>7685.1699999999992</v>
      </c>
      <c r="K106" s="942">
        <f>K85+K87+K89+K91+K93+K96+K98+K100+K102+K104+SUM(K78:K82)</f>
        <v>3546741.2959999992</v>
      </c>
      <c r="L106" s="1368">
        <f>L85+L87+L89+L91+L93+L96+L98+L100+L102+L104+SUM(L78:L82)</f>
        <v>3546741.2959999992</v>
      </c>
      <c r="M106" s="1367">
        <f t="shared" si="31"/>
        <v>7845.5450000000019</v>
      </c>
      <c r="N106" s="711">
        <f>N85+N87+N89+N91+N93+N96+N98+N100+N102+N104+SUM(N78:N82)</f>
        <v>3620755.0959999999</v>
      </c>
      <c r="O106" s="1370">
        <f>O85+O87+O89+O91+O93+O96+O98+O100+O102+O104+SUM(O78:O82)</f>
        <v>3620755.0959999999</v>
      </c>
      <c r="P106" s="1369">
        <f>P85+P87+P89+P91+P93+P96+P98+P100+P102+P104</f>
        <v>7999.505000000001</v>
      </c>
      <c r="Q106" s="942">
        <f>Q85+Q87+Q89+Q91+Q93+Q96+Q98+Q100+Q102+Q104+SUM(Q78:Q82)</f>
        <v>3691808.344</v>
      </c>
      <c r="R106" s="1366">
        <f>R85+R87+R89+R91+R93+R96+R98+R100+R102+R104+SUM(R78:R82)</f>
        <v>3691808.344</v>
      </c>
      <c r="S106" s="408">
        <f>S85+S87+S89+S91+S93+S96+S98+S100+S102+S104+SUM(S78:S82)</f>
        <v>2995437.9653333328</v>
      </c>
      <c r="T106" s="251">
        <f>SUM(T78:T82)</f>
        <v>624330.28</v>
      </c>
      <c r="U106" s="231" t="s">
        <v>12</v>
      </c>
    </row>
    <row r="107" spans="1:22" ht="14.25" thickTop="1" thickBot="1">
      <c r="B107" s="618"/>
      <c r="C107" s="618"/>
      <c r="D107" s="618"/>
      <c r="E107" s="618"/>
      <c r="F107" s="618"/>
      <c r="G107" s="618"/>
      <c r="H107" s="618"/>
      <c r="I107" s="618"/>
      <c r="J107" s="618"/>
      <c r="K107" s="618"/>
      <c r="L107" s="618"/>
      <c r="M107" s="618"/>
      <c r="N107" s="618"/>
      <c r="O107" s="618"/>
      <c r="P107" s="618"/>
      <c r="Q107" s="618"/>
      <c r="R107" s="618"/>
      <c r="S107" s="618"/>
      <c r="T107" s="618"/>
      <c r="U107" s="618"/>
      <c r="V107" s="5"/>
    </row>
    <row r="108" spans="1:22" ht="16.5" thickTop="1">
      <c r="A108" s="615"/>
      <c r="B108" s="710" t="s">
        <v>26</v>
      </c>
      <c r="C108" s="5"/>
      <c r="D108" s="5"/>
      <c r="E108" s="5"/>
      <c r="F108" s="112" t="s">
        <v>6</v>
      </c>
      <c r="G108" s="1412"/>
      <c r="H108" s="1413"/>
      <c r="I108" s="1414"/>
      <c r="J108" s="181" t="s">
        <v>26</v>
      </c>
      <c r="K108" s="426"/>
      <c r="L108" s="67"/>
      <c r="M108" s="245" t="s">
        <v>26</v>
      </c>
      <c r="N108" s="426"/>
      <c r="O108" s="426"/>
      <c r="P108" s="245" t="s">
        <v>26</v>
      </c>
      <c r="Q108" s="426"/>
      <c r="R108" s="67"/>
      <c r="S108" s="225"/>
      <c r="T108" s="37"/>
      <c r="U108" s="508"/>
    </row>
    <row r="109" spans="1:22">
      <c r="A109" s="615"/>
      <c r="B109" s="5"/>
      <c r="C109" s="5"/>
      <c r="D109" s="5"/>
      <c r="E109" s="5"/>
      <c r="F109" s="7"/>
      <c r="G109" s="5"/>
      <c r="H109" s="5"/>
      <c r="I109" s="45" t="s">
        <v>61</v>
      </c>
      <c r="J109" s="57" t="s">
        <v>61</v>
      </c>
      <c r="K109" s="1429" t="s">
        <v>57</v>
      </c>
      <c r="L109" s="1430"/>
      <c r="M109" s="57" t="s">
        <v>61</v>
      </c>
      <c r="N109" s="1429" t="s">
        <v>57</v>
      </c>
      <c r="O109" s="1430"/>
      <c r="P109" s="57" t="s">
        <v>61</v>
      </c>
      <c r="Q109" s="1429" t="s">
        <v>57</v>
      </c>
      <c r="R109" s="1430"/>
      <c r="S109" s="131"/>
      <c r="T109" s="37"/>
      <c r="U109" s="227"/>
    </row>
    <row r="110" spans="1:22">
      <c r="A110" s="615"/>
      <c r="B110" s="611" t="s">
        <v>27</v>
      </c>
      <c r="C110" s="23" t="s">
        <v>45</v>
      </c>
      <c r="D110" s="24" t="s">
        <v>46</v>
      </c>
      <c r="E110" s="23" t="s">
        <v>47</v>
      </c>
      <c r="F110" s="23" t="s">
        <v>48</v>
      </c>
      <c r="G110" s="23" t="s">
        <v>49</v>
      </c>
      <c r="H110" s="23" t="s">
        <v>50</v>
      </c>
      <c r="I110" s="45" t="s">
        <v>13</v>
      </c>
      <c r="J110" s="77" t="s">
        <v>56</v>
      </c>
      <c r="K110" s="24" t="s">
        <v>13</v>
      </c>
      <c r="L110" s="38" t="s">
        <v>68</v>
      </c>
      <c r="M110" s="77" t="s">
        <v>56</v>
      </c>
      <c r="N110" s="24" t="s">
        <v>13</v>
      </c>
      <c r="O110" s="38" t="s">
        <v>68</v>
      </c>
      <c r="P110" s="77" t="s">
        <v>56</v>
      </c>
      <c r="Q110" s="24" t="s">
        <v>13</v>
      </c>
      <c r="R110" s="38" t="s">
        <v>68</v>
      </c>
      <c r="S110" s="123"/>
      <c r="T110" s="37"/>
      <c r="U110" s="227"/>
    </row>
    <row r="111" spans="1:22">
      <c r="A111" s="615"/>
      <c r="B111" s="1283" t="s">
        <v>351</v>
      </c>
      <c r="C111" s="21">
        <v>0</v>
      </c>
      <c r="D111" s="21">
        <f>4*4.5</f>
        <v>18</v>
      </c>
      <c r="E111" s="21">
        <f>12*4.5</f>
        <v>54</v>
      </c>
      <c r="F111" s="21">
        <f>4*4.5</f>
        <v>18</v>
      </c>
      <c r="G111" s="21">
        <v>0</v>
      </c>
      <c r="H111" s="21">
        <v>0</v>
      </c>
      <c r="I111" s="52">
        <f t="shared" ref="I111:I118" si="32">SUM(C111:H111)</f>
        <v>90</v>
      </c>
      <c r="J111" s="1037">
        <f>$I111</f>
        <v>90</v>
      </c>
      <c r="K111" s="281">
        <f>J111*$O$3</f>
        <v>65970</v>
      </c>
      <c r="L111" s="289">
        <f t="shared" ref="L111:L145" si="33">K111</f>
        <v>65970</v>
      </c>
      <c r="M111" s="1042">
        <f>$I111</f>
        <v>90</v>
      </c>
      <c r="N111" s="69">
        <f>M111*$O$3</f>
        <v>65970</v>
      </c>
      <c r="O111" s="68">
        <f t="shared" ref="O111:O145" si="34">N111</f>
        <v>65970</v>
      </c>
      <c r="P111" s="1037">
        <f>$I111</f>
        <v>90</v>
      </c>
      <c r="Q111" s="281">
        <f>P111*$O$3</f>
        <v>65970</v>
      </c>
      <c r="R111" s="289">
        <f t="shared" ref="R111:R145" si="35">Q111</f>
        <v>65970</v>
      </c>
      <c r="S111" s="121">
        <f t="shared" ref="S111:S118" si="36">AVERAGE(L111,O111,R111)</f>
        <v>65970</v>
      </c>
      <c r="T111" s="135" t="s">
        <v>12</v>
      </c>
      <c r="U111" s="230" t="s">
        <v>12</v>
      </c>
    </row>
    <row r="112" spans="1:22" s="1" customFormat="1" ht="13.5" thickBot="1">
      <c r="A112" s="616"/>
      <c r="B112" s="1065" t="s">
        <v>8</v>
      </c>
      <c r="C112" s="373">
        <f>ROUND(C111*Labor!$D$3,0)</f>
        <v>0</v>
      </c>
      <c r="D112" s="374">
        <f>ROUND(D111*Labor!$D$4,0)</f>
        <v>735</v>
      </c>
      <c r="E112" s="374">
        <f>ROUND(E111*Labor!$D$5,0)</f>
        <v>2382</v>
      </c>
      <c r="F112" s="374">
        <f>ROUND(F111*Labor!$D$6,0)</f>
        <v>887</v>
      </c>
      <c r="G112" s="374">
        <f>ROUND(G111*Labor!$D$7,0)</f>
        <v>0</v>
      </c>
      <c r="H112" s="374">
        <f>ROUND(H111*Labor!$D$8,0)</f>
        <v>0</v>
      </c>
      <c r="I112" s="209">
        <f t="shared" si="32"/>
        <v>4004</v>
      </c>
      <c r="J112" s="332">
        <f>HLOOKUP(Labor!$B$11,InflationTable,2)*$I112</f>
        <v>4796.7919999999995</v>
      </c>
      <c r="K112" s="296">
        <f>J112*$O$3</f>
        <v>3516048.5359999994</v>
      </c>
      <c r="L112" s="297">
        <f t="shared" si="33"/>
        <v>3516048.5359999994</v>
      </c>
      <c r="M112" s="376">
        <f>HLOOKUP(Labor!$B$11,InflationTable,3)*$I112</f>
        <v>4896.8920000000007</v>
      </c>
      <c r="N112" s="377">
        <f>M112*$O$3</f>
        <v>3589421.8360000006</v>
      </c>
      <c r="O112" s="378">
        <f t="shared" si="34"/>
        <v>3589421.8360000006</v>
      </c>
      <c r="P112" s="332">
        <f>HLOOKUP(Labor!$B$11,InflationTable,4)*$I112</f>
        <v>4992.9880000000003</v>
      </c>
      <c r="Q112" s="296">
        <f>P112*$O$3</f>
        <v>3659860.2040000004</v>
      </c>
      <c r="R112" s="297">
        <f t="shared" si="35"/>
        <v>3659860.2040000004</v>
      </c>
      <c r="S112" s="211">
        <f t="shared" si="36"/>
        <v>3588443.5253333333</v>
      </c>
      <c r="T112" s="393" t="s">
        <v>12</v>
      </c>
      <c r="U112" s="228" t="s">
        <v>12</v>
      </c>
    </row>
    <row r="113" spans="1:21">
      <c r="A113" s="615"/>
      <c r="B113" s="1281" t="s">
        <v>352</v>
      </c>
      <c r="C113" s="21">
        <v>0</v>
      </c>
      <c r="D113" s="21">
        <v>0</v>
      </c>
      <c r="E113" s="21">
        <v>6</v>
      </c>
      <c r="F113" s="21">
        <v>12</v>
      </c>
      <c r="G113" s="21">
        <v>0</v>
      </c>
      <c r="H113" s="21">
        <v>0</v>
      </c>
      <c r="I113" s="52">
        <f t="shared" si="32"/>
        <v>18</v>
      </c>
      <c r="J113" s="1037">
        <f>$I113</f>
        <v>18</v>
      </c>
      <c r="K113" s="281">
        <f>J113*($O$4+$O$5)</f>
        <v>6012</v>
      </c>
      <c r="L113" s="289">
        <f t="shared" si="33"/>
        <v>6012</v>
      </c>
      <c r="M113" s="1042">
        <f>$I113</f>
        <v>18</v>
      </c>
      <c r="N113" s="69">
        <f>M113*($O$4+$O$5)</f>
        <v>6012</v>
      </c>
      <c r="O113" s="68">
        <f t="shared" si="34"/>
        <v>6012</v>
      </c>
      <c r="P113" s="1037">
        <f>$I113</f>
        <v>18</v>
      </c>
      <c r="Q113" s="281">
        <f>P113*($O$4+$O$5)</f>
        <v>6012</v>
      </c>
      <c r="R113" s="289">
        <f t="shared" si="35"/>
        <v>6012</v>
      </c>
      <c r="S113" s="121">
        <f t="shared" si="36"/>
        <v>6012</v>
      </c>
      <c r="T113" s="135" t="s">
        <v>12</v>
      </c>
      <c r="U113" s="230" t="s">
        <v>12</v>
      </c>
    </row>
    <row r="114" spans="1:21" s="1" customFormat="1" ht="13.5" thickBot="1">
      <c r="A114" s="616"/>
      <c r="B114" s="1282" t="s">
        <v>8</v>
      </c>
      <c r="C114" s="373">
        <f>ROUND(C113*Labor!$D$3,0)</f>
        <v>0</v>
      </c>
      <c r="D114" s="374">
        <f>ROUND(D113*Labor!$D$4,0)</f>
        <v>0</v>
      </c>
      <c r="E114" s="374">
        <f>ROUND(E113*Labor!$D$5,0)</f>
        <v>265</v>
      </c>
      <c r="F114" s="374">
        <f>ROUND(F113*Labor!$D$6,0)</f>
        <v>591</v>
      </c>
      <c r="G114" s="374">
        <f>ROUND(G113*Labor!$D$7,0)</f>
        <v>0</v>
      </c>
      <c r="H114" s="374">
        <f>ROUND(H113*Labor!$D$8,0)</f>
        <v>0</v>
      </c>
      <c r="I114" s="209">
        <f t="shared" si="32"/>
        <v>856</v>
      </c>
      <c r="J114" s="332">
        <f>HLOOKUP(Labor!$B$11,InflationTable,2)*$I114</f>
        <v>1025.4880000000001</v>
      </c>
      <c r="K114" s="296">
        <f>J114*($O$4+$O$5)</f>
        <v>342512.99200000003</v>
      </c>
      <c r="L114" s="297">
        <f t="shared" si="33"/>
        <v>342512.99200000003</v>
      </c>
      <c r="M114" s="376">
        <f>HLOOKUP(Labor!$B$11,InflationTable,3)*$I114</f>
        <v>1046.8880000000001</v>
      </c>
      <c r="N114" s="377">
        <f>M114*($O$4+$O$5)</f>
        <v>349660.59200000006</v>
      </c>
      <c r="O114" s="378">
        <f t="shared" si="34"/>
        <v>349660.59200000006</v>
      </c>
      <c r="P114" s="332">
        <f>HLOOKUP(Labor!$B$11,InflationTable,4)*$I114</f>
        <v>1067.432</v>
      </c>
      <c r="Q114" s="296">
        <f>P114*($O$4+$O$5)</f>
        <v>356522.288</v>
      </c>
      <c r="R114" s="297">
        <f t="shared" si="35"/>
        <v>356522.288</v>
      </c>
      <c r="S114" s="211">
        <f t="shared" si="36"/>
        <v>349565.29066666664</v>
      </c>
      <c r="T114" s="393" t="s">
        <v>12</v>
      </c>
      <c r="U114" s="228" t="s">
        <v>12</v>
      </c>
    </row>
    <row r="115" spans="1:21">
      <c r="A115" s="615"/>
      <c r="B115" s="1283" t="s">
        <v>354</v>
      </c>
      <c r="C115" s="21">
        <v>0</v>
      </c>
      <c r="D115" s="21">
        <v>18</v>
      </c>
      <c r="E115" s="21">
        <v>54</v>
      </c>
      <c r="F115" s="21">
        <v>18</v>
      </c>
      <c r="G115" s="21">
        <v>0</v>
      </c>
      <c r="H115" s="21">
        <v>0</v>
      </c>
      <c r="I115" s="52">
        <f t="shared" si="32"/>
        <v>90</v>
      </c>
      <c r="J115" s="1037">
        <f>$I115</f>
        <v>90</v>
      </c>
      <c r="K115" s="281">
        <f>J115*$L$6</f>
        <v>4680</v>
      </c>
      <c r="L115" s="289">
        <f t="shared" si="33"/>
        <v>4680</v>
      </c>
      <c r="M115" s="1042">
        <f>$I115</f>
        <v>90</v>
      </c>
      <c r="N115" s="69">
        <f>M115*$L$6</f>
        <v>4680</v>
      </c>
      <c r="O115" s="68">
        <f t="shared" si="34"/>
        <v>4680</v>
      </c>
      <c r="P115" s="1037">
        <f>$I115</f>
        <v>90</v>
      </c>
      <c r="Q115" s="281">
        <f>P115*$L$6</f>
        <v>4680</v>
      </c>
      <c r="R115" s="289">
        <f t="shared" si="35"/>
        <v>4680</v>
      </c>
      <c r="S115" s="121">
        <f t="shared" si="36"/>
        <v>4680</v>
      </c>
      <c r="T115" s="135" t="s">
        <v>12</v>
      </c>
      <c r="U115" s="230" t="s">
        <v>12</v>
      </c>
    </row>
    <row r="116" spans="1:21" s="1" customFormat="1" ht="13.5" thickBot="1">
      <c r="A116" s="616"/>
      <c r="B116" s="1282" t="s">
        <v>8</v>
      </c>
      <c r="C116" s="373">
        <f>ROUND(C115*Labor!$D$3,0)</f>
        <v>0</v>
      </c>
      <c r="D116" s="374">
        <f>ROUND(D115*Labor!$D$4,0)</f>
        <v>735</v>
      </c>
      <c r="E116" s="374">
        <f>ROUND(E115*Labor!$D$5,0)</f>
        <v>2382</v>
      </c>
      <c r="F116" s="374">
        <f>ROUND(F115*Labor!$D$6,0)</f>
        <v>887</v>
      </c>
      <c r="G116" s="374">
        <f>ROUND(G115*Labor!$D$7,0)</f>
        <v>0</v>
      </c>
      <c r="H116" s="374">
        <f>ROUND(H115*Labor!$D$8,0)</f>
        <v>0</v>
      </c>
      <c r="I116" s="209">
        <f t="shared" si="32"/>
        <v>4004</v>
      </c>
      <c r="J116" s="332">
        <f>HLOOKUP(Labor!$B$11,InflationTable,2)*$I116</f>
        <v>4796.7919999999995</v>
      </c>
      <c r="K116" s="296">
        <f>J116*$L$6</f>
        <v>249433.18399999998</v>
      </c>
      <c r="L116" s="297">
        <f t="shared" si="33"/>
        <v>249433.18399999998</v>
      </c>
      <c r="M116" s="376">
        <f>HLOOKUP(Labor!$B$11,InflationTable,3)*$I116</f>
        <v>4896.8920000000007</v>
      </c>
      <c r="N116" s="377">
        <f>M116*$L$6</f>
        <v>254638.38400000005</v>
      </c>
      <c r="O116" s="378">
        <f t="shared" si="34"/>
        <v>254638.38400000005</v>
      </c>
      <c r="P116" s="332">
        <f>HLOOKUP(Labor!$B$11,InflationTable,4)*$I116</f>
        <v>4992.9880000000003</v>
      </c>
      <c r="Q116" s="296">
        <f>P116*$L$6</f>
        <v>259635.37600000002</v>
      </c>
      <c r="R116" s="297">
        <f t="shared" si="35"/>
        <v>259635.37600000002</v>
      </c>
      <c r="S116" s="211">
        <f t="shared" si="36"/>
        <v>254568.98133333333</v>
      </c>
      <c r="T116" s="393" t="s">
        <v>12</v>
      </c>
      <c r="U116" s="228" t="s">
        <v>12</v>
      </c>
    </row>
    <row r="117" spans="1:21">
      <c r="A117" s="615"/>
      <c r="B117" s="1281" t="s">
        <v>353</v>
      </c>
      <c r="C117" s="21">
        <v>0</v>
      </c>
      <c r="D117" s="21">
        <v>0</v>
      </c>
      <c r="E117" s="21">
        <v>2.5</v>
      </c>
      <c r="F117" s="21">
        <v>10.5</v>
      </c>
      <c r="G117" s="21">
        <v>3</v>
      </c>
      <c r="H117" s="21">
        <v>0</v>
      </c>
      <c r="I117" s="52">
        <f t="shared" si="32"/>
        <v>16</v>
      </c>
      <c r="J117" s="1037">
        <f>$I117</f>
        <v>16</v>
      </c>
      <c r="K117" s="281">
        <f>J117*$O$6</f>
        <v>9696</v>
      </c>
      <c r="L117" s="289">
        <f t="shared" si="33"/>
        <v>9696</v>
      </c>
      <c r="M117" s="1042">
        <f>$I117</f>
        <v>16</v>
      </c>
      <c r="N117" s="69">
        <f>M117*$O$6</f>
        <v>9696</v>
      </c>
      <c r="O117" s="68">
        <f t="shared" si="34"/>
        <v>9696</v>
      </c>
      <c r="P117" s="263">
        <f>$I$117</f>
        <v>16</v>
      </c>
      <c r="Q117" s="281">
        <f>P117*$O$6</f>
        <v>9696</v>
      </c>
      <c r="R117" s="289">
        <f t="shared" si="35"/>
        <v>9696</v>
      </c>
      <c r="S117" s="121">
        <f t="shared" si="36"/>
        <v>9696</v>
      </c>
      <c r="T117" s="135" t="s">
        <v>12</v>
      </c>
      <c r="U117" s="230" t="s">
        <v>12</v>
      </c>
    </row>
    <row r="118" spans="1:21" s="1" customFormat="1" ht="13.5" thickBot="1">
      <c r="A118" s="616"/>
      <c r="B118" s="1282" t="s">
        <v>8</v>
      </c>
      <c r="C118" s="373">
        <f>ROUND(C117*Labor!$D$3,0)</f>
        <v>0</v>
      </c>
      <c r="D118" s="374">
        <f>ROUND(D117*Labor!$D$4,0)</f>
        <v>0</v>
      </c>
      <c r="E118" s="374">
        <f>ROUND(E117*Labor!$D$5,0)</f>
        <v>110</v>
      </c>
      <c r="F118" s="374">
        <f>ROUND(F117*Labor!$D$6,0)</f>
        <v>517</v>
      </c>
      <c r="G118" s="374">
        <f>ROUND(G117*Labor!$D$7,0)</f>
        <v>166</v>
      </c>
      <c r="H118" s="374">
        <f>ROUND(H117*Labor!$D$8,0)</f>
        <v>0</v>
      </c>
      <c r="I118" s="209">
        <f t="shared" si="32"/>
        <v>793</v>
      </c>
      <c r="J118" s="332">
        <f>HLOOKUP(Labor!$B$11,InflationTable,2)*$I118</f>
        <v>950.01400000000001</v>
      </c>
      <c r="K118" s="296">
        <f>J118*$O$6</f>
        <v>575708.48400000005</v>
      </c>
      <c r="L118" s="297">
        <f t="shared" si="33"/>
        <v>575708.48400000005</v>
      </c>
      <c r="M118" s="376">
        <f>HLOOKUP(Labor!$B$11,InflationTable,3)*$I118</f>
        <v>969.83900000000006</v>
      </c>
      <c r="N118" s="377">
        <f>M118*$O$6</f>
        <v>587722.43400000001</v>
      </c>
      <c r="O118" s="378">
        <f t="shared" si="34"/>
        <v>587722.43400000001</v>
      </c>
      <c r="P118" s="332">
        <f>HLOOKUP(Labor!$B$11,InflationTable,4)*$I118</f>
        <v>988.87100000000009</v>
      </c>
      <c r="Q118" s="296">
        <f>P118*$O$6</f>
        <v>599255.826</v>
      </c>
      <c r="R118" s="297">
        <f t="shared" si="35"/>
        <v>599255.826</v>
      </c>
      <c r="S118" s="211">
        <f t="shared" si="36"/>
        <v>587562.24800000002</v>
      </c>
      <c r="T118" s="393" t="s">
        <v>12</v>
      </c>
      <c r="U118" s="228" t="s">
        <v>12</v>
      </c>
    </row>
    <row r="119" spans="1:21">
      <c r="A119" s="615"/>
      <c r="B119" s="1060" t="s">
        <v>358</v>
      </c>
      <c r="C119" s="23" t="s">
        <v>45</v>
      </c>
      <c r="D119" s="24" t="s">
        <v>46</v>
      </c>
      <c r="E119" s="23" t="s">
        <v>47</v>
      </c>
      <c r="F119" s="23" t="s">
        <v>48</v>
      </c>
      <c r="G119" s="23" t="s">
        <v>49</v>
      </c>
      <c r="H119" s="23" t="s">
        <v>50</v>
      </c>
      <c r="I119" s="45" t="s">
        <v>13</v>
      </c>
      <c r="J119" s="260" t="s">
        <v>56</v>
      </c>
      <c r="K119" s="261" t="s">
        <v>13</v>
      </c>
      <c r="L119" s="262" t="s">
        <v>68</v>
      </c>
      <c r="M119" s="77" t="s">
        <v>56</v>
      </c>
      <c r="N119" s="24" t="s">
        <v>13</v>
      </c>
      <c r="O119" s="38" t="s">
        <v>68</v>
      </c>
      <c r="P119" s="260" t="s">
        <v>56</v>
      </c>
      <c r="Q119" s="261" t="s">
        <v>13</v>
      </c>
      <c r="R119" s="262" t="s">
        <v>68</v>
      </c>
      <c r="S119" s="120"/>
      <c r="T119" s="133"/>
      <c r="U119" s="227"/>
    </row>
    <row r="120" spans="1:21">
      <c r="A120" s="615"/>
      <c r="B120" s="1283" t="s">
        <v>351</v>
      </c>
      <c r="C120" s="21">
        <v>0</v>
      </c>
      <c r="D120" s="21">
        <v>4.5</v>
      </c>
      <c r="E120" s="21">
        <v>13.5</v>
      </c>
      <c r="F120" s="21">
        <v>4.5</v>
      </c>
      <c r="G120" s="21">
        <v>0</v>
      </c>
      <c r="H120" s="21">
        <v>0</v>
      </c>
      <c r="I120" s="52">
        <f t="shared" ref="I120:I127" si="37">SUM(C120:H120)</f>
        <v>22.5</v>
      </c>
      <c r="J120" s="1037">
        <f>$I120</f>
        <v>22.5</v>
      </c>
      <c r="K120" s="281">
        <f>J120*$O$3</f>
        <v>16492.5</v>
      </c>
      <c r="L120" s="289">
        <f t="shared" si="33"/>
        <v>16492.5</v>
      </c>
      <c r="M120" s="1042">
        <f>$I120</f>
        <v>22.5</v>
      </c>
      <c r="N120" s="69">
        <f>M120*$O$3</f>
        <v>16492.5</v>
      </c>
      <c r="O120" s="68">
        <f t="shared" si="34"/>
        <v>16492.5</v>
      </c>
      <c r="P120" s="783">
        <f>$I120</f>
        <v>22.5</v>
      </c>
      <c r="Q120" s="281">
        <f>P120*$O$3</f>
        <v>16492.5</v>
      </c>
      <c r="R120" s="289">
        <f t="shared" si="35"/>
        <v>16492.5</v>
      </c>
      <c r="S120" s="121">
        <f t="shared" ref="S120:S127" si="38">AVERAGE(L120,O120,R120)</f>
        <v>16492.5</v>
      </c>
      <c r="T120" s="135" t="s">
        <v>12</v>
      </c>
      <c r="U120" s="230" t="s">
        <v>12</v>
      </c>
    </row>
    <row r="121" spans="1:21" s="1" customFormat="1" ht="13.5" thickBot="1">
      <c r="A121" s="616"/>
      <c r="B121" s="1282" t="s">
        <v>8</v>
      </c>
      <c r="C121" s="373">
        <f>ROUND(C120*Labor!$D$3,0)</f>
        <v>0</v>
      </c>
      <c r="D121" s="374">
        <f>ROUND(D120*Labor!$D$4,0)</f>
        <v>184</v>
      </c>
      <c r="E121" s="374">
        <f>ROUND(E120*Labor!$D$5,0)</f>
        <v>596</v>
      </c>
      <c r="F121" s="374">
        <f>ROUND(F120*Labor!$D$6,0)</f>
        <v>222</v>
      </c>
      <c r="G121" s="374">
        <f>ROUND(G120*Labor!$D$7,0)</f>
        <v>0</v>
      </c>
      <c r="H121" s="374">
        <f>ROUND(H120*Labor!$D$8,0)</f>
        <v>0</v>
      </c>
      <c r="I121" s="209">
        <f t="shared" si="37"/>
        <v>1002</v>
      </c>
      <c r="J121" s="332">
        <f>HLOOKUP(Labor!$B$11,InflationTable,2)*$I121</f>
        <v>1200.396</v>
      </c>
      <c r="K121" s="296">
        <f>J121*$O$3</f>
        <v>879890.26799999992</v>
      </c>
      <c r="L121" s="297">
        <f t="shared" si="33"/>
        <v>879890.26799999992</v>
      </c>
      <c r="M121" s="376">
        <f>HLOOKUP(Labor!$B$11,InflationTable,3)*$I121</f>
        <v>1225.4460000000001</v>
      </c>
      <c r="N121" s="377">
        <f>M121*$O$3</f>
        <v>898251.91800000006</v>
      </c>
      <c r="O121" s="378">
        <f t="shared" si="34"/>
        <v>898251.91800000006</v>
      </c>
      <c r="P121" s="332">
        <f>HLOOKUP(Labor!$B$11,InflationTable,4)*$I121</f>
        <v>1249.4940000000001</v>
      </c>
      <c r="Q121" s="296">
        <f>P121*$O$3</f>
        <v>915879.10200000007</v>
      </c>
      <c r="R121" s="297">
        <f t="shared" si="35"/>
        <v>915879.10200000007</v>
      </c>
      <c r="S121" s="211">
        <f t="shared" si="38"/>
        <v>898007.09600000002</v>
      </c>
      <c r="T121" s="393" t="s">
        <v>12</v>
      </c>
      <c r="U121" s="228" t="s">
        <v>12</v>
      </c>
    </row>
    <row r="122" spans="1:21">
      <c r="A122" s="615"/>
      <c r="B122" s="1281" t="s">
        <v>352</v>
      </c>
      <c r="C122" s="21">
        <v>0</v>
      </c>
      <c r="D122" s="21">
        <v>1</v>
      </c>
      <c r="E122" s="21">
        <v>2</v>
      </c>
      <c r="F122" s="21">
        <v>1</v>
      </c>
      <c r="G122" s="21">
        <v>2</v>
      </c>
      <c r="H122" s="21">
        <v>0</v>
      </c>
      <c r="I122" s="52">
        <f t="shared" si="37"/>
        <v>6</v>
      </c>
      <c r="J122" s="1037">
        <f>$I122</f>
        <v>6</v>
      </c>
      <c r="K122" s="281">
        <f>J122*($O$4+$O$5)</f>
        <v>2004</v>
      </c>
      <c r="L122" s="289">
        <f t="shared" si="33"/>
        <v>2004</v>
      </c>
      <c r="M122" s="1042">
        <f>$I122</f>
        <v>6</v>
      </c>
      <c r="N122" s="69">
        <f>M122*($O$4+$O$5)</f>
        <v>2004</v>
      </c>
      <c r="O122" s="68">
        <f t="shared" si="34"/>
        <v>2004</v>
      </c>
      <c r="P122" s="783">
        <f>$I122</f>
        <v>6</v>
      </c>
      <c r="Q122" s="281">
        <f>P122*($O$4+$O$5)</f>
        <v>2004</v>
      </c>
      <c r="R122" s="289">
        <f t="shared" si="35"/>
        <v>2004</v>
      </c>
      <c r="S122" s="121">
        <f t="shared" si="38"/>
        <v>2004</v>
      </c>
      <c r="T122" s="135" t="s">
        <v>12</v>
      </c>
      <c r="U122" s="230" t="s">
        <v>12</v>
      </c>
    </row>
    <row r="123" spans="1:21" s="1" customFormat="1" ht="13.5" thickBot="1">
      <c r="A123" s="616"/>
      <c r="B123" s="1282" t="s">
        <v>8</v>
      </c>
      <c r="C123" s="373">
        <f>ROUND(C122*Labor!$D$3,0)</f>
        <v>0</v>
      </c>
      <c r="D123" s="374">
        <f>ROUND(D122*Labor!$D$4,0)</f>
        <v>41</v>
      </c>
      <c r="E123" s="374">
        <f>ROUND(E122*Labor!$D$5,0)</f>
        <v>88</v>
      </c>
      <c r="F123" s="374">
        <f>ROUND(F122*Labor!$D$6,0)</f>
        <v>49</v>
      </c>
      <c r="G123" s="374">
        <f>ROUND(G122*Labor!$D$7,0)</f>
        <v>111</v>
      </c>
      <c r="H123" s="374">
        <f>ROUND(H122*Labor!$D$8,0)</f>
        <v>0</v>
      </c>
      <c r="I123" s="209">
        <f t="shared" si="37"/>
        <v>289</v>
      </c>
      <c r="J123" s="332">
        <f>HLOOKUP(Labor!$B$11,InflationTable,2)*$I123</f>
        <v>346.22199999999998</v>
      </c>
      <c r="K123" s="296">
        <f>J123*($O$5+$O$4)</f>
        <v>115638.14799999999</v>
      </c>
      <c r="L123" s="297">
        <f t="shared" si="33"/>
        <v>115638.14799999999</v>
      </c>
      <c r="M123" s="376">
        <f>HLOOKUP(Labor!$B$11,InflationTable,3)*$I123</f>
        <v>353.447</v>
      </c>
      <c r="N123" s="377">
        <f>M123*($O$5+$O$4)</f>
        <v>118051.298</v>
      </c>
      <c r="O123" s="378">
        <f t="shared" si="34"/>
        <v>118051.298</v>
      </c>
      <c r="P123" s="332">
        <f>HLOOKUP(Labor!$B$11,InflationTable,4)*$I123</f>
        <v>360.38300000000004</v>
      </c>
      <c r="Q123" s="296">
        <f>P123*($O$5+$O$4)</f>
        <v>120367.92200000001</v>
      </c>
      <c r="R123" s="297">
        <f t="shared" si="35"/>
        <v>120367.92200000001</v>
      </c>
      <c r="S123" s="211">
        <f t="shared" si="38"/>
        <v>118019.12266666668</v>
      </c>
      <c r="T123" s="393" t="s">
        <v>12</v>
      </c>
      <c r="U123" s="228" t="s">
        <v>12</v>
      </c>
    </row>
    <row r="124" spans="1:21">
      <c r="A124" s="615"/>
      <c r="B124" s="1283" t="s">
        <v>354</v>
      </c>
      <c r="C124" s="21">
        <v>0</v>
      </c>
      <c r="D124" s="21">
        <v>4.5</v>
      </c>
      <c r="E124" s="21">
        <v>13.5</v>
      </c>
      <c r="F124" s="21">
        <v>4.5</v>
      </c>
      <c r="G124" s="21">
        <v>0</v>
      </c>
      <c r="H124" s="21">
        <v>0</v>
      </c>
      <c r="I124" s="52">
        <f t="shared" si="37"/>
        <v>22.5</v>
      </c>
      <c r="J124" s="1037">
        <f>$I124</f>
        <v>22.5</v>
      </c>
      <c r="K124" s="281">
        <f>J124*$L$6</f>
        <v>1170</v>
      </c>
      <c r="L124" s="289">
        <f t="shared" si="33"/>
        <v>1170</v>
      </c>
      <c r="M124" s="1042">
        <f>$I124</f>
        <v>22.5</v>
      </c>
      <c r="N124" s="69">
        <f>M124*$L$6</f>
        <v>1170</v>
      </c>
      <c r="O124" s="68">
        <f t="shared" si="34"/>
        <v>1170</v>
      </c>
      <c r="P124" s="783">
        <f>$I124</f>
        <v>22.5</v>
      </c>
      <c r="Q124" s="281">
        <f>P124*$L$6</f>
        <v>1170</v>
      </c>
      <c r="R124" s="289">
        <f t="shared" si="35"/>
        <v>1170</v>
      </c>
      <c r="S124" s="121">
        <f t="shared" si="38"/>
        <v>1170</v>
      </c>
      <c r="T124" s="135" t="s">
        <v>12</v>
      </c>
      <c r="U124" s="230" t="s">
        <v>12</v>
      </c>
    </row>
    <row r="125" spans="1:21" s="1" customFormat="1" ht="13.5" thickBot="1">
      <c r="A125" s="616"/>
      <c r="B125" s="1282" t="s">
        <v>8</v>
      </c>
      <c r="C125" s="373">
        <f>ROUND(C124*Labor!$D$3,0)</f>
        <v>0</v>
      </c>
      <c r="D125" s="374">
        <f>ROUND(D124*Labor!$D$4,0)</f>
        <v>184</v>
      </c>
      <c r="E125" s="374">
        <f>ROUND(E124*Labor!$D$5,0)</f>
        <v>596</v>
      </c>
      <c r="F125" s="374">
        <f>ROUND(F124*Labor!$D$6,0)</f>
        <v>222</v>
      </c>
      <c r="G125" s="374">
        <f>ROUND(G124*Labor!$D$7,0)</f>
        <v>0</v>
      </c>
      <c r="H125" s="374">
        <f>ROUND(H124*Labor!$D$8,0)</f>
        <v>0</v>
      </c>
      <c r="I125" s="209">
        <f t="shared" si="37"/>
        <v>1002</v>
      </c>
      <c r="J125" s="332">
        <f>HLOOKUP(Labor!$B$11,InflationTable,2)*$I125</f>
        <v>1200.396</v>
      </c>
      <c r="K125" s="296">
        <f>J125*L6</f>
        <v>62420.591999999997</v>
      </c>
      <c r="L125" s="297">
        <f t="shared" si="33"/>
        <v>62420.591999999997</v>
      </c>
      <c r="M125" s="376">
        <f>HLOOKUP(Labor!$B$11,InflationTable,3)*$I125</f>
        <v>1225.4460000000001</v>
      </c>
      <c r="N125" s="377">
        <f>M125*$L$6</f>
        <v>63723.19200000001</v>
      </c>
      <c r="O125" s="378">
        <f t="shared" si="34"/>
        <v>63723.19200000001</v>
      </c>
      <c r="P125" s="332">
        <f>HLOOKUP(Labor!$B$11,InflationTable,4)*$I125</f>
        <v>1249.4940000000001</v>
      </c>
      <c r="Q125" s="296">
        <f>P125*$L$6</f>
        <v>64973.688000000009</v>
      </c>
      <c r="R125" s="297">
        <f t="shared" si="35"/>
        <v>64973.688000000009</v>
      </c>
      <c r="S125" s="211">
        <f t="shared" si="38"/>
        <v>63705.824000000001</v>
      </c>
      <c r="T125" s="393" t="s">
        <v>12</v>
      </c>
      <c r="U125" s="228" t="s">
        <v>12</v>
      </c>
    </row>
    <row r="126" spans="1:21">
      <c r="A126" s="615"/>
      <c r="B126" s="1281" t="s">
        <v>353</v>
      </c>
      <c r="C126" s="21">
        <v>0</v>
      </c>
      <c r="D126" s="21">
        <v>0</v>
      </c>
      <c r="E126" s="21">
        <v>4</v>
      </c>
      <c r="F126" s="21">
        <v>6</v>
      </c>
      <c r="G126" s="21">
        <v>2</v>
      </c>
      <c r="H126" s="21">
        <v>0</v>
      </c>
      <c r="I126" s="52">
        <f t="shared" si="37"/>
        <v>12</v>
      </c>
      <c r="J126" s="1037">
        <f>$I126</f>
        <v>12</v>
      </c>
      <c r="K126" s="281">
        <f>J126*$O$6</f>
        <v>7272</v>
      </c>
      <c r="L126" s="289">
        <f t="shared" si="33"/>
        <v>7272</v>
      </c>
      <c r="M126" s="1042">
        <f>$I126</f>
        <v>12</v>
      </c>
      <c r="N126" s="69">
        <f>M126*$O$6</f>
        <v>7272</v>
      </c>
      <c r="O126" s="68">
        <f t="shared" si="34"/>
        <v>7272</v>
      </c>
      <c r="P126" s="783">
        <f>$I126</f>
        <v>12</v>
      </c>
      <c r="Q126" s="281">
        <f>P126*$O$6</f>
        <v>7272</v>
      </c>
      <c r="R126" s="289">
        <f t="shared" si="35"/>
        <v>7272</v>
      </c>
      <c r="S126" s="121">
        <f t="shared" si="38"/>
        <v>7272</v>
      </c>
      <c r="T126" s="135" t="s">
        <v>12</v>
      </c>
      <c r="U126" s="230" t="s">
        <v>12</v>
      </c>
    </row>
    <row r="127" spans="1:21" s="1" customFormat="1" ht="13.5" thickBot="1">
      <c r="A127" s="616"/>
      <c r="B127" s="1282" t="s">
        <v>8</v>
      </c>
      <c r="C127" s="373">
        <f>ROUND(C126*Labor!$D$3,0)</f>
        <v>0</v>
      </c>
      <c r="D127" s="374">
        <f>ROUND(D126*Labor!$D$4,0)</f>
        <v>0</v>
      </c>
      <c r="E127" s="374">
        <f>ROUND(E126*Labor!$D$5,0)</f>
        <v>176</v>
      </c>
      <c r="F127" s="374">
        <f>ROUND(F126*Labor!$D$6,0)</f>
        <v>296</v>
      </c>
      <c r="G127" s="374">
        <f>ROUND(G126*Labor!$D$7,0)</f>
        <v>111</v>
      </c>
      <c r="H127" s="374">
        <f>ROUND(H126*Labor!$D$8,0)</f>
        <v>0</v>
      </c>
      <c r="I127" s="209">
        <f t="shared" si="37"/>
        <v>583</v>
      </c>
      <c r="J127" s="332">
        <f>HLOOKUP(Labor!$B$11,InflationTable,2)*$I127</f>
        <v>698.43399999999997</v>
      </c>
      <c r="K127" s="296">
        <f>J127*$O$6</f>
        <v>423251.00399999996</v>
      </c>
      <c r="L127" s="297">
        <f t="shared" si="33"/>
        <v>423251.00399999996</v>
      </c>
      <c r="M127" s="376">
        <f>HLOOKUP(Labor!$B$11,InflationTable,3)*$I127</f>
        <v>713.00900000000001</v>
      </c>
      <c r="N127" s="377">
        <f>M127*$O$6</f>
        <v>432083.45400000003</v>
      </c>
      <c r="O127" s="378">
        <f t="shared" si="34"/>
        <v>432083.45400000003</v>
      </c>
      <c r="P127" s="332">
        <f>HLOOKUP(Labor!$B$11,InflationTable,4)*$I127</f>
        <v>727.00100000000009</v>
      </c>
      <c r="Q127" s="296">
        <f>P127*$O$6</f>
        <v>440562.60600000003</v>
      </c>
      <c r="R127" s="297">
        <f t="shared" si="35"/>
        <v>440562.60600000003</v>
      </c>
      <c r="S127" s="211">
        <f t="shared" si="38"/>
        <v>431965.68800000002</v>
      </c>
      <c r="T127" s="393" t="s">
        <v>12</v>
      </c>
      <c r="U127" s="228" t="s">
        <v>12</v>
      </c>
    </row>
    <row r="128" spans="1:21">
      <c r="A128" s="615"/>
      <c r="B128" s="1060" t="s">
        <v>359</v>
      </c>
      <c r="C128" s="23" t="s">
        <v>45</v>
      </c>
      <c r="D128" s="24" t="s">
        <v>46</v>
      </c>
      <c r="E128" s="23" t="s">
        <v>47</v>
      </c>
      <c r="F128" s="23" t="s">
        <v>48</v>
      </c>
      <c r="G128" s="23" t="s">
        <v>49</v>
      </c>
      <c r="H128" s="23" t="s">
        <v>50</v>
      </c>
      <c r="I128" s="45" t="s">
        <v>13</v>
      </c>
      <c r="J128" s="260" t="s">
        <v>56</v>
      </c>
      <c r="K128" s="261" t="s">
        <v>13</v>
      </c>
      <c r="L128" s="262" t="s">
        <v>68</v>
      </c>
      <c r="M128" s="77" t="s">
        <v>56</v>
      </c>
      <c r="N128" s="24" t="s">
        <v>13</v>
      </c>
      <c r="O128" s="38" t="s">
        <v>68</v>
      </c>
      <c r="P128" s="260" t="s">
        <v>56</v>
      </c>
      <c r="Q128" s="261" t="s">
        <v>13</v>
      </c>
      <c r="R128" s="262" t="s">
        <v>68</v>
      </c>
      <c r="S128" s="120"/>
      <c r="T128" s="133"/>
      <c r="U128" s="227"/>
    </row>
    <row r="129" spans="1:21">
      <c r="A129" s="615"/>
      <c r="B129" s="1283" t="s">
        <v>351</v>
      </c>
      <c r="C129" s="21">
        <v>0</v>
      </c>
      <c r="D129" s="21">
        <v>9</v>
      </c>
      <c r="E129" s="21">
        <v>9</v>
      </c>
      <c r="F129" s="21">
        <v>18</v>
      </c>
      <c r="G129" s="21">
        <v>27</v>
      </c>
      <c r="H129" s="21">
        <v>0</v>
      </c>
      <c r="I129" s="52">
        <f t="shared" ref="I129:I136" si="39">SUM(C129:H129)</f>
        <v>63</v>
      </c>
      <c r="J129" s="1037">
        <f>$I129</f>
        <v>63</v>
      </c>
      <c r="K129" s="281">
        <f>J129*$O$3</f>
        <v>46179</v>
      </c>
      <c r="L129" s="289">
        <f t="shared" si="33"/>
        <v>46179</v>
      </c>
      <c r="M129" s="1042">
        <f>$I129</f>
        <v>63</v>
      </c>
      <c r="N129" s="69">
        <f>M129*$O$3</f>
        <v>46179</v>
      </c>
      <c r="O129" s="68">
        <f t="shared" si="34"/>
        <v>46179</v>
      </c>
      <c r="P129" s="783">
        <f>$I129</f>
        <v>63</v>
      </c>
      <c r="Q129" s="281">
        <f>P129*$O$3</f>
        <v>46179</v>
      </c>
      <c r="R129" s="289">
        <f t="shared" si="35"/>
        <v>46179</v>
      </c>
      <c r="S129" s="121">
        <f t="shared" ref="S129:S136" si="40">AVERAGE(L129,O129,R129)</f>
        <v>46179</v>
      </c>
      <c r="T129" s="135" t="s">
        <v>12</v>
      </c>
      <c r="U129" s="230" t="s">
        <v>12</v>
      </c>
    </row>
    <row r="130" spans="1:21" s="1" customFormat="1" ht="13.5" thickBot="1">
      <c r="A130" s="616"/>
      <c r="B130" s="1065" t="s">
        <v>8</v>
      </c>
      <c r="C130" s="373">
        <f>ROUND(C129*Labor!$D$3,0)</f>
        <v>0</v>
      </c>
      <c r="D130" s="374">
        <f>ROUND(D129*Labor!$D$4,0)</f>
        <v>368</v>
      </c>
      <c r="E130" s="374">
        <f>ROUND(E129*Labor!$D$5,0)</f>
        <v>397</v>
      </c>
      <c r="F130" s="374">
        <f>ROUND(F129*Labor!$D$6,0)</f>
        <v>887</v>
      </c>
      <c r="G130" s="374">
        <f>ROUND(G129*Labor!$D$7,0)</f>
        <v>1498</v>
      </c>
      <c r="H130" s="374">
        <f>ROUND(H129*Labor!$D$8,0)</f>
        <v>0</v>
      </c>
      <c r="I130" s="209">
        <f t="shared" si="39"/>
        <v>3150</v>
      </c>
      <c r="J130" s="332">
        <f>HLOOKUP(Labor!$B$11,InflationTable,2)*$I130</f>
        <v>3773.7</v>
      </c>
      <c r="K130" s="296">
        <f>J130*$O$3</f>
        <v>2766122.1</v>
      </c>
      <c r="L130" s="297">
        <f t="shared" si="33"/>
        <v>2766122.1</v>
      </c>
      <c r="M130" s="376">
        <f>HLOOKUP(Labor!$B$11,InflationTable,3)*$I130</f>
        <v>3852.4500000000003</v>
      </c>
      <c r="N130" s="377">
        <f>M130*$O$3</f>
        <v>2823845.85</v>
      </c>
      <c r="O130" s="378">
        <f t="shared" si="34"/>
        <v>2823845.85</v>
      </c>
      <c r="P130" s="332">
        <f>HLOOKUP(Labor!$B$11,InflationTable,4)*$I130</f>
        <v>3928.05</v>
      </c>
      <c r="Q130" s="296">
        <f>P130*$O$3</f>
        <v>2879260.65</v>
      </c>
      <c r="R130" s="297">
        <f t="shared" si="35"/>
        <v>2879260.65</v>
      </c>
      <c r="S130" s="211">
        <f t="shared" si="40"/>
        <v>2823076.1999999997</v>
      </c>
      <c r="T130" s="393" t="s">
        <v>12</v>
      </c>
      <c r="U130" s="228" t="s">
        <v>12</v>
      </c>
    </row>
    <row r="131" spans="1:21">
      <c r="A131" s="615"/>
      <c r="B131" s="1281" t="s">
        <v>352</v>
      </c>
      <c r="C131" s="21">
        <v>0</v>
      </c>
      <c r="D131" s="21">
        <v>0</v>
      </c>
      <c r="E131" s="21">
        <v>4</v>
      </c>
      <c r="F131" s="21">
        <v>6</v>
      </c>
      <c r="G131" s="21">
        <v>2</v>
      </c>
      <c r="H131" s="21">
        <v>0</v>
      </c>
      <c r="I131" s="52">
        <f t="shared" si="39"/>
        <v>12</v>
      </c>
      <c r="J131" s="1037">
        <f>$I131</f>
        <v>12</v>
      </c>
      <c r="K131" s="281">
        <f>$I$159*($O$4+$O$5)</f>
        <v>3340</v>
      </c>
      <c r="L131" s="289">
        <f t="shared" si="33"/>
        <v>3340</v>
      </c>
      <c r="M131" s="1042">
        <f>$I131</f>
        <v>12</v>
      </c>
      <c r="N131" s="69">
        <f>$I$159*($O$4+$O$5)</f>
        <v>3340</v>
      </c>
      <c r="O131" s="68">
        <f t="shared" si="34"/>
        <v>3340</v>
      </c>
      <c r="P131" s="783">
        <f>$I131</f>
        <v>12</v>
      </c>
      <c r="Q131" s="281">
        <f>$I$159*($O$4+$O$5)</f>
        <v>3340</v>
      </c>
      <c r="R131" s="289">
        <f t="shared" si="35"/>
        <v>3340</v>
      </c>
      <c r="S131" s="121">
        <f t="shared" si="40"/>
        <v>3340</v>
      </c>
      <c r="T131" s="135" t="s">
        <v>12</v>
      </c>
      <c r="U131" s="230" t="s">
        <v>12</v>
      </c>
    </row>
    <row r="132" spans="1:21" s="1" customFormat="1" ht="13.5" thickBot="1">
      <c r="A132" s="616"/>
      <c r="B132" s="1282" t="s">
        <v>8</v>
      </c>
      <c r="C132" s="373">
        <f>ROUND(C131*Labor!$D$3,0)</f>
        <v>0</v>
      </c>
      <c r="D132" s="374">
        <f>ROUND(D131*Labor!$D$4,0)</f>
        <v>0</v>
      </c>
      <c r="E132" s="374">
        <f>ROUND(E131*Labor!$D$5,0)</f>
        <v>176</v>
      </c>
      <c r="F132" s="374">
        <f>ROUND(F131*Labor!$D$6,0)</f>
        <v>296</v>
      </c>
      <c r="G132" s="374">
        <f>ROUND(G131*Labor!$D$7,0)</f>
        <v>111</v>
      </c>
      <c r="H132" s="374">
        <f>ROUND(H131*Labor!$D$8,0)</f>
        <v>0</v>
      </c>
      <c r="I132" s="209">
        <f t="shared" si="39"/>
        <v>583</v>
      </c>
      <c r="J132" s="332">
        <f>HLOOKUP(Labor!$B$11,InflationTable,2)*$I132</f>
        <v>698.43399999999997</v>
      </c>
      <c r="K132" s="296">
        <f>J132*($O$4+$O$5)</f>
        <v>233276.95599999998</v>
      </c>
      <c r="L132" s="297">
        <f t="shared" si="33"/>
        <v>233276.95599999998</v>
      </c>
      <c r="M132" s="376">
        <f>HLOOKUP(Labor!$B$11,InflationTable,3)*$I132</f>
        <v>713.00900000000001</v>
      </c>
      <c r="N132" s="377">
        <f>M132*($O$4+$O$5)</f>
        <v>238145.00599999999</v>
      </c>
      <c r="O132" s="378">
        <f t="shared" si="34"/>
        <v>238145.00599999999</v>
      </c>
      <c r="P132" s="332">
        <f>HLOOKUP(Labor!$B$11,InflationTable,4)*$I132</f>
        <v>727.00100000000009</v>
      </c>
      <c r="Q132" s="296">
        <f>P132*($O$4+$O$5)</f>
        <v>242818.33400000003</v>
      </c>
      <c r="R132" s="297">
        <f t="shared" si="35"/>
        <v>242818.33400000003</v>
      </c>
      <c r="S132" s="211">
        <f t="shared" si="40"/>
        <v>238080.09866666666</v>
      </c>
      <c r="T132" s="393" t="s">
        <v>12</v>
      </c>
      <c r="U132" s="228" t="s">
        <v>12</v>
      </c>
    </row>
    <row r="133" spans="1:21">
      <c r="A133" s="615"/>
      <c r="B133" s="1281" t="s">
        <v>354</v>
      </c>
      <c r="C133" s="21">
        <v>0</v>
      </c>
      <c r="D133" s="21">
        <v>9</v>
      </c>
      <c r="E133" s="21">
        <v>9</v>
      </c>
      <c r="F133" s="21">
        <v>13.5</v>
      </c>
      <c r="G133" s="21">
        <v>27</v>
      </c>
      <c r="H133" s="21">
        <v>0</v>
      </c>
      <c r="I133" s="52">
        <f t="shared" si="39"/>
        <v>58.5</v>
      </c>
      <c r="J133" s="1037">
        <f>$I133</f>
        <v>58.5</v>
      </c>
      <c r="K133" s="281">
        <f>J133*$L$6</f>
        <v>3042</v>
      </c>
      <c r="L133" s="289">
        <f t="shared" si="33"/>
        <v>3042</v>
      </c>
      <c r="M133" s="1042">
        <f>$I133</f>
        <v>58.5</v>
      </c>
      <c r="N133" s="69">
        <f>M133*$L$6</f>
        <v>3042</v>
      </c>
      <c r="O133" s="68">
        <f t="shared" si="34"/>
        <v>3042</v>
      </c>
      <c r="P133" s="783">
        <f>$I133</f>
        <v>58.5</v>
      </c>
      <c r="Q133" s="281">
        <f>P133*$L$6</f>
        <v>3042</v>
      </c>
      <c r="R133" s="289">
        <f t="shared" si="35"/>
        <v>3042</v>
      </c>
      <c r="S133" s="121">
        <f t="shared" si="40"/>
        <v>3042</v>
      </c>
      <c r="T133" s="135" t="s">
        <v>12</v>
      </c>
      <c r="U133" s="230" t="s">
        <v>12</v>
      </c>
    </row>
    <row r="134" spans="1:21" s="1" customFormat="1" ht="13.5" thickBot="1">
      <c r="A134" s="616"/>
      <c r="B134" s="1282" t="s">
        <v>8</v>
      </c>
      <c r="C134" s="373">
        <f>ROUND(C133*Labor!$D$3,0)</f>
        <v>0</v>
      </c>
      <c r="D134" s="374">
        <f>ROUND(D133*Labor!$D$4,0)</f>
        <v>368</v>
      </c>
      <c r="E134" s="374">
        <f>ROUND(E133*Labor!$D$5,0)</f>
        <v>397</v>
      </c>
      <c r="F134" s="374">
        <f>ROUND(F133*Labor!$D$6,0)</f>
        <v>665</v>
      </c>
      <c r="G134" s="374">
        <f>ROUND(G133*Labor!$D$7,0)</f>
        <v>1498</v>
      </c>
      <c r="H134" s="374">
        <f>ROUND(H133*Labor!$D$8,0)</f>
        <v>0</v>
      </c>
      <c r="I134" s="209">
        <f t="shared" si="39"/>
        <v>2928</v>
      </c>
      <c r="J134" s="332">
        <f>HLOOKUP(Labor!$B$11,InflationTable,2)*$I134</f>
        <v>3507.7439999999997</v>
      </c>
      <c r="K134" s="296">
        <f>J134*$L$6</f>
        <v>182402.68799999999</v>
      </c>
      <c r="L134" s="297">
        <f t="shared" si="33"/>
        <v>182402.68799999999</v>
      </c>
      <c r="M134" s="376">
        <f>HLOOKUP(Labor!$B$11,InflationTable,3)*$I134</f>
        <v>3580.9440000000004</v>
      </c>
      <c r="N134" s="377">
        <f>M134*$L$6</f>
        <v>186209.08800000002</v>
      </c>
      <c r="O134" s="378">
        <f t="shared" si="34"/>
        <v>186209.08800000002</v>
      </c>
      <c r="P134" s="332">
        <f>HLOOKUP(Labor!$B$11,InflationTable,4)*$I134</f>
        <v>3651.2160000000003</v>
      </c>
      <c r="Q134" s="296">
        <f>P134*$L$6</f>
        <v>189863.23200000002</v>
      </c>
      <c r="R134" s="297">
        <f t="shared" si="35"/>
        <v>189863.23200000002</v>
      </c>
      <c r="S134" s="211">
        <f t="shared" si="40"/>
        <v>186158.33600000001</v>
      </c>
      <c r="T134" s="393" t="s">
        <v>12</v>
      </c>
      <c r="U134" s="228" t="s">
        <v>12</v>
      </c>
    </row>
    <row r="135" spans="1:21">
      <c r="A135" s="615"/>
      <c r="B135" s="1281" t="s">
        <v>353</v>
      </c>
      <c r="C135" s="21">
        <v>0</v>
      </c>
      <c r="D135" s="21">
        <v>0</v>
      </c>
      <c r="E135" s="21">
        <v>5</v>
      </c>
      <c r="F135" s="21">
        <v>5</v>
      </c>
      <c r="G135" s="21">
        <v>2</v>
      </c>
      <c r="H135" s="21">
        <v>1</v>
      </c>
      <c r="I135" s="52">
        <f t="shared" si="39"/>
        <v>13</v>
      </c>
      <c r="J135" s="1037">
        <f>$I135</f>
        <v>13</v>
      </c>
      <c r="K135" s="281">
        <f>J135*$O$3</f>
        <v>9529</v>
      </c>
      <c r="L135" s="289">
        <f t="shared" si="33"/>
        <v>9529</v>
      </c>
      <c r="M135" s="1042">
        <f>$I135</f>
        <v>13</v>
      </c>
      <c r="N135" s="69">
        <f>M135*$O$3</f>
        <v>9529</v>
      </c>
      <c r="O135" s="68">
        <f t="shared" si="34"/>
        <v>9529</v>
      </c>
      <c r="P135" s="783">
        <f>$I135</f>
        <v>13</v>
      </c>
      <c r="Q135" s="281">
        <f>P135*$O$3</f>
        <v>9529</v>
      </c>
      <c r="R135" s="289">
        <f t="shared" si="35"/>
        <v>9529</v>
      </c>
      <c r="S135" s="121">
        <f t="shared" si="40"/>
        <v>9529</v>
      </c>
      <c r="T135" s="135" t="s">
        <v>12</v>
      </c>
      <c r="U135" s="230" t="s">
        <v>12</v>
      </c>
    </row>
    <row r="136" spans="1:21" s="1" customFormat="1" ht="13.5" thickBot="1">
      <c r="A136" s="616"/>
      <c r="B136" s="1282" t="s">
        <v>8</v>
      </c>
      <c r="C136" s="373">
        <f>ROUND(C135*Labor!$D$3,0)</f>
        <v>0</v>
      </c>
      <c r="D136" s="374">
        <f>ROUND(D135*Labor!$D$4,0)</f>
        <v>0</v>
      </c>
      <c r="E136" s="374">
        <f>ROUND(E135*Labor!$D$5,0)</f>
        <v>221</v>
      </c>
      <c r="F136" s="374">
        <f>ROUND(F135*Labor!$D$6,0)</f>
        <v>246</v>
      </c>
      <c r="G136" s="374">
        <f>ROUND(G135*Labor!$D$7,0)</f>
        <v>111</v>
      </c>
      <c r="H136" s="374">
        <f>ROUND(H135*Labor!$D$8,0)</f>
        <v>59</v>
      </c>
      <c r="I136" s="209">
        <f t="shared" si="39"/>
        <v>637</v>
      </c>
      <c r="J136" s="332">
        <f>HLOOKUP(Labor!$B$11,InflationTable,2)*$I136</f>
        <v>763.12599999999998</v>
      </c>
      <c r="K136" s="296">
        <f>J136*$O$6</f>
        <v>462454.35599999997</v>
      </c>
      <c r="L136" s="297">
        <f t="shared" si="33"/>
        <v>462454.35599999997</v>
      </c>
      <c r="M136" s="376">
        <f>HLOOKUP(Labor!$B$11,InflationTable,3)*$I136</f>
        <v>779.05100000000004</v>
      </c>
      <c r="N136" s="377">
        <f>M136*$O$6</f>
        <v>472104.90600000002</v>
      </c>
      <c r="O136" s="378">
        <f t="shared" si="34"/>
        <v>472104.90600000002</v>
      </c>
      <c r="P136" s="332">
        <f>HLOOKUP(Labor!$B$11,InflationTable,4)*$I136</f>
        <v>794.33900000000006</v>
      </c>
      <c r="Q136" s="296">
        <f>P136*$O$6</f>
        <v>481369.43400000001</v>
      </c>
      <c r="R136" s="297">
        <f t="shared" si="35"/>
        <v>481369.43400000001</v>
      </c>
      <c r="S136" s="211">
        <f t="shared" si="40"/>
        <v>471976.23200000002</v>
      </c>
      <c r="T136" s="393" t="s">
        <v>12</v>
      </c>
      <c r="U136" s="228" t="s">
        <v>12</v>
      </c>
    </row>
    <row r="137" spans="1:21">
      <c r="A137" s="615"/>
      <c r="B137" s="1060" t="s">
        <v>360</v>
      </c>
      <c r="C137" s="23" t="s">
        <v>45</v>
      </c>
      <c r="D137" s="24" t="s">
        <v>46</v>
      </c>
      <c r="E137" s="23" t="s">
        <v>47</v>
      </c>
      <c r="F137" s="23" t="s">
        <v>48</v>
      </c>
      <c r="G137" s="23" t="s">
        <v>49</v>
      </c>
      <c r="H137" s="23" t="s">
        <v>50</v>
      </c>
      <c r="I137" s="45" t="s">
        <v>13</v>
      </c>
      <c r="J137" s="260" t="s">
        <v>56</v>
      </c>
      <c r="K137" s="261" t="s">
        <v>13</v>
      </c>
      <c r="L137" s="262" t="s">
        <v>68</v>
      </c>
      <c r="M137" s="77" t="s">
        <v>56</v>
      </c>
      <c r="N137" s="24" t="s">
        <v>13</v>
      </c>
      <c r="O137" s="38" t="s">
        <v>68</v>
      </c>
      <c r="P137" s="260" t="s">
        <v>56</v>
      </c>
      <c r="Q137" s="261" t="s">
        <v>13</v>
      </c>
      <c r="R137" s="262" t="s">
        <v>68</v>
      </c>
      <c r="S137" s="120"/>
      <c r="T137" s="133"/>
      <c r="U137" s="515"/>
    </row>
    <row r="138" spans="1:21">
      <c r="A138" s="615"/>
      <c r="B138" s="1283" t="s">
        <v>351</v>
      </c>
      <c r="C138" s="21">
        <v>0</v>
      </c>
      <c r="D138" s="21">
        <v>0</v>
      </c>
      <c r="E138" s="21">
        <v>0</v>
      </c>
      <c r="F138" s="21">
        <v>9</v>
      </c>
      <c r="G138" s="21">
        <v>9</v>
      </c>
      <c r="H138" s="21">
        <v>0</v>
      </c>
      <c r="I138" s="52">
        <f t="shared" ref="I138:I145" si="41">SUM(C138:H138)</f>
        <v>18</v>
      </c>
      <c r="J138" s="1037">
        <f>$I138</f>
        <v>18</v>
      </c>
      <c r="K138" s="281">
        <f>J138*$O$3</f>
        <v>13194</v>
      </c>
      <c r="L138" s="289">
        <f t="shared" si="33"/>
        <v>13194</v>
      </c>
      <c r="M138" s="1042">
        <f>$I138</f>
        <v>18</v>
      </c>
      <c r="N138" s="69">
        <f>M138*$O$3</f>
        <v>13194</v>
      </c>
      <c r="O138" s="68">
        <f t="shared" si="34"/>
        <v>13194</v>
      </c>
      <c r="P138" s="783">
        <f>$I138</f>
        <v>18</v>
      </c>
      <c r="Q138" s="281">
        <f>P138*$O$3</f>
        <v>13194</v>
      </c>
      <c r="R138" s="289">
        <f t="shared" si="35"/>
        <v>13194</v>
      </c>
      <c r="S138" s="121">
        <f t="shared" ref="S138:S145" si="42">AVERAGE(L138,O138,R138)</f>
        <v>13194</v>
      </c>
      <c r="T138" s="135" t="s">
        <v>12</v>
      </c>
      <c r="U138" s="230" t="s">
        <v>12</v>
      </c>
    </row>
    <row r="139" spans="1:21" s="1" customFormat="1" ht="13.5" thickBot="1">
      <c r="A139" s="616"/>
      <c r="B139" s="1282" t="s">
        <v>8</v>
      </c>
      <c r="C139" s="373">
        <f>ROUND(C138*Labor!$D$3,0)</f>
        <v>0</v>
      </c>
      <c r="D139" s="374">
        <f>ROUND(D138*Labor!$D$4,0)</f>
        <v>0</v>
      </c>
      <c r="E139" s="374">
        <f>ROUND(E138*Labor!$D$5,0)</f>
        <v>0</v>
      </c>
      <c r="F139" s="374">
        <f>ROUND(F138*Labor!$D$6,0)</f>
        <v>443</v>
      </c>
      <c r="G139" s="374">
        <f>ROUND(G138*Labor!$D$7,0)</f>
        <v>499</v>
      </c>
      <c r="H139" s="374">
        <f>ROUND(H138*Labor!$D$8,0)</f>
        <v>0</v>
      </c>
      <c r="I139" s="209">
        <f t="shared" si="41"/>
        <v>942</v>
      </c>
      <c r="J139" s="332">
        <f>HLOOKUP(Labor!$B$11,InflationTable,2)*$I139</f>
        <v>1128.5159999999998</v>
      </c>
      <c r="K139" s="296">
        <f>J139*$O$3</f>
        <v>827202.22799999989</v>
      </c>
      <c r="L139" s="297">
        <f t="shared" si="33"/>
        <v>827202.22799999989</v>
      </c>
      <c r="M139" s="376">
        <f>HLOOKUP(Labor!$B$11,InflationTable,3)*$I139</f>
        <v>1152.066</v>
      </c>
      <c r="N139" s="377">
        <f>M139*$O$3</f>
        <v>844464.37800000003</v>
      </c>
      <c r="O139" s="378">
        <f t="shared" si="34"/>
        <v>844464.37800000003</v>
      </c>
      <c r="P139" s="332">
        <f>HLOOKUP(Labor!$B$11,InflationTable,4)*$I139</f>
        <v>1174.6740000000002</v>
      </c>
      <c r="Q139" s="296">
        <f>P139*$O$3</f>
        <v>861036.04200000013</v>
      </c>
      <c r="R139" s="297">
        <f t="shared" si="35"/>
        <v>861036.04200000013</v>
      </c>
      <c r="S139" s="211">
        <f t="shared" si="42"/>
        <v>844234.21600000001</v>
      </c>
      <c r="T139" s="393" t="s">
        <v>12</v>
      </c>
      <c r="U139" s="228" t="s">
        <v>12</v>
      </c>
    </row>
    <row r="140" spans="1:21">
      <c r="A140" s="615"/>
      <c r="B140" s="1281" t="s">
        <v>352</v>
      </c>
      <c r="C140" s="21">
        <v>0</v>
      </c>
      <c r="D140" s="21">
        <v>0</v>
      </c>
      <c r="E140" s="21">
        <v>0</v>
      </c>
      <c r="F140" s="21">
        <v>1</v>
      </c>
      <c r="G140" s="21">
        <v>1</v>
      </c>
      <c r="H140" s="21">
        <v>0</v>
      </c>
      <c r="I140" s="52">
        <f t="shared" si="41"/>
        <v>2</v>
      </c>
      <c r="J140" s="1037">
        <f>$I140</f>
        <v>2</v>
      </c>
      <c r="K140" s="281">
        <f>J140*($O$4+$O$5)</f>
        <v>668</v>
      </c>
      <c r="L140" s="289">
        <f t="shared" si="33"/>
        <v>668</v>
      </c>
      <c r="M140" s="1042">
        <f>$I140</f>
        <v>2</v>
      </c>
      <c r="N140" s="69">
        <f>M140*($O$4+$O$5)</f>
        <v>668</v>
      </c>
      <c r="O140" s="68">
        <f t="shared" si="34"/>
        <v>668</v>
      </c>
      <c r="P140" s="783">
        <f>$I140</f>
        <v>2</v>
      </c>
      <c r="Q140" s="281">
        <f>P140*($O$4+$O$5)</f>
        <v>668</v>
      </c>
      <c r="R140" s="289">
        <f t="shared" si="35"/>
        <v>668</v>
      </c>
      <c r="S140" s="121">
        <f t="shared" si="42"/>
        <v>668</v>
      </c>
      <c r="T140" s="135" t="s">
        <v>12</v>
      </c>
      <c r="U140" s="230" t="s">
        <v>12</v>
      </c>
    </row>
    <row r="141" spans="1:21" s="1" customFormat="1" ht="13.5" thickBot="1">
      <c r="A141" s="616"/>
      <c r="B141" s="1282" t="s">
        <v>8</v>
      </c>
      <c r="C141" s="373">
        <f>ROUND(C140*Labor!$D$3,0)</f>
        <v>0</v>
      </c>
      <c r="D141" s="374">
        <f>ROUND(D140*Labor!$D$4,0)</f>
        <v>0</v>
      </c>
      <c r="E141" s="374">
        <f>ROUND(E140*Labor!$D$5,0)</f>
        <v>0</v>
      </c>
      <c r="F141" s="374">
        <f>ROUND(F140*Labor!$D$6,0)</f>
        <v>49</v>
      </c>
      <c r="G141" s="374">
        <f>ROUND(G140*Labor!$D$7,0)</f>
        <v>55</v>
      </c>
      <c r="H141" s="374">
        <f>ROUND(H140*Labor!$D$8,0)</f>
        <v>0</v>
      </c>
      <c r="I141" s="209">
        <f t="shared" si="41"/>
        <v>104</v>
      </c>
      <c r="J141" s="332">
        <f>HLOOKUP(Labor!$B$11,InflationTable,2)*$I141</f>
        <v>124.592</v>
      </c>
      <c r="K141" s="296">
        <f>J141*($O$4+$O$5)</f>
        <v>41613.728000000003</v>
      </c>
      <c r="L141" s="297">
        <f t="shared" si="33"/>
        <v>41613.728000000003</v>
      </c>
      <c r="M141" s="376">
        <f>HLOOKUP(Labor!$B$11,InflationTable,3)*$I141</f>
        <v>127.19200000000001</v>
      </c>
      <c r="N141" s="377">
        <f>M141*($O$4+$O$5)</f>
        <v>42482.128000000004</v>
      </c>
      <c r="O141" s="378">
        <f t="shared" si="34"/>
        <v>42482.128000000004</v>
      </c>
      <c r="P141" s="332">
        <f>HLOOKUP(Labor!$B$11,InflationTable,4)*$I141</f>
        <v>129.68800000000002</v>
      </c>
      <c r="Q141" s="296">
        <f>P141*($O$4+$O$5)</f>
        <v>43315.792000000009</v>
      </c>
      <c r="R141" s="297">
        <f t="shared" si="35"/>
        <v>43315.792000000009</v>
      </c>
      <c r="S141" s="211">
        <f t="shared" si="42"/>
        <v>42470.549333333336</v>
      </c>
      <c r="T141" s="393" t="s">
        <v>12</v>
      </c>
      <c r="U141" s="228" t="s">
        <v>12</v>
      </c>
    </row>
    <row r="142" spans="1:21">
      <c r="A142" s="615"/>
      <c r="B142" s="1283" t="s">
        <v>354</v>
      </c>
      <c r="C142" s="21">
        <v>0</v>
      </c>
      <c r="D142" s="21">
        <v>0</v>
      </c>
      <c r="E142" s="21">
        <v>0</v>
      </c>
      <c r="F142" s="21">
        <v>9</v>
      </c>
      <c r="G142" s="21">
        <v>9</v>
      </c>
      <c r="H142" s="21">
        <v>0</v>
      </c>
      <c r="I142" s="52">
        <f t="shared" si="41"/>
        <v>18</v>
      </c>
      <c r="J142" s="1037">
        <f>$I142</f>
        <v>18</v>
      </c>
      <c r="K142" s="281">
        <f>J142*$L$6</f>
        <v>936</v>
      </c>
      <c r="L142" s="289">
        <f t="shared" si="33"/>
        <v>936</v>
      </c>
      <c r="M142" s="1042">
        <f>$I142</f>
        <v>18</v>
      </c>
      <c r="N142" s="69">
        <f>M142*$L$6</f>
        <v>936</v>
      </c>
      <c r="O142" s="68">
        <f t="shared" si="34"/>
        <v>936</v>
      </c>
      <c r="P142" s="783">
        <f>$I142</f>
        <v>18</v>
      </c>
      <c r="Q142" s="281">
        <f>P142*$L$6</f>
        <v>936</v>
      </c>
      <c r="R142" s="289">
        <f t="shared" si="35"/>
        <v>936</v>
      </c>
      <c r="S142" s="121">
        <f t="shared" si="42"/>
        <v>936</v>
      </c>
      <c r="T142" s="135" t="s">
        <v>12</v>
      </c>
      <c r="U142" s="230" t="s">
        <v>12</v>
      </c>
    </row>
    <row r="143" spans="1:21" s="1" customFormat="1" ht="13.5" thickBot="1">
      <c r="A143" s="616"/>
      <c r="B143" s="1282" t="s">
        <v>8</v>
      </c>
      <c r="C143" s="373">
        <f>ROUND(C142*Labor!$D$3,0)</f>
        <v>0</v>
      </c>
      <c r="D143" s="374">
        <f>ROUND(D142*Labor!$D$4,0)</f>
        <v>0</v>
      </c>
      <c r="E143" s="374">
        <f>ROUND(E142*Labor!$D$5,0)</f>
        <v>0</v>
      </c>
      <c r="F143" s="374">
        <f>ROUND(F142*Labor!$D$6,0)</f>
        <v>443</v>
      </c>
      <c r="G143" s="374">
        <f>ROUND(G142*Labor!$D$7,0)</f>
        <v>499</v>
      </c>
      <c r="H143" s="374">
        <f>ROUND(H142*Labor!$D$8,0)</f>
        <v>0</v>
      </c>
      <c r="I143" s="209">
        <f t="shared" si="41"/>
        <v>942</v>
      </c>
      <c r="J143" s="332">
        <f>HLOOKUP(Labor!$B$11,InflationTable,2)*$I143</f>
        <v>1128.5159999999998</v>
      </c>
      <c r="K143" s="296">
        <f>J143*$L$6</f>
        <v>58682.831999999995</v>
      </c>
      <c r="L143" s="297">
        <f t="shared" si="33"/>
        <v>58682.831999999995</v>
      </c>
      <c r="M143" s="376">
        <f>HLOOKUP(Labor!$B$11,InflationTable,3)*$I143</f>
        <v>1152.066</v>
      </c>
      <c r="N143" s="377">
        <f>M143*$L$6</f>
        <v>59907.432000000001</v>
      </c>
      <c r="O143" s="378">
        <f t="shared" si="34"/>
        <v>59907.432000000001</v>
      </c>
      <c r="P143" s="332">
        <f>HLOOKUP(Labor!$B$11,InflationTable,4)*$I143</f>
        <v>1174.6740000000002</v>
      </c>
      <c r="Q143" s="296">
        <f>P143*$L$6</f>
        <v>61083.04800000001</v>
      </c>
      <c r="R143" s="297">
        <f t="shared" si="35"/>
        <v>61083.04800000001</v>
      </c>
      <c r="S143" s="211">
        <f t="shared" si="42"/>
        <v>59891.103999999999</v>
      </c>
      <c r="T143" s="393" t="s">
        <v>12</v>
      </c>
      <c r="U143" s="228" t="s">
        <v>12</v>
      </c>
    </row>
    <row r="144" spans="1:21">
      <c r="A144" s="615"/>
      <c r="B144" s="1283" t="s">
        <v>353</v>
      </c>
      <c r="C144" s="21">
        <v>0</v>
      </c>
      <c r="D144" s="21">
        <v>0</v>
      </c>
      <c r="E144" s="21">
        <v>0</v>
      </c>
      <c r="F144" s="21">
        <v>3</v>
      </c>
      <c r="G144" s="21">
        <v>2</v>
      </c>
      <c r="H144" s="21">
        <v>0</v>
      </c>
      <c r="I144" s="52">
        <f t="shared" si="41"/>
        <v>5</v>
      </c>
      <c r="J144" s="1037">
        <f>$I144</f>
        <v>5</v>
      </c>
      <c r="K144" s="281">
        <f>J144*$O$6</f>
        <v>3030</v>
      </c>
      <c r="L144" s="289">
        <f t="shared" si="33"/>
        <v>3030</v>
      </c>
      <c r="M144" s="1042">
        <f>$I144</f>
        <v>5</v>
      </c>
      <c r="N144" s="69">
        <f>M144*$O$6</f>
        <v>3030</v>
      </c>
      <c r="O144" s="68">
        <f t="shared" si="34"/>
        <v>3030</v>
      </c>
      <c r="P144" s="783">
        <f>$I144</f>
        <v>5</v>
      </c>
      <c r="Q144" s="281">
        <f>P144*$O$6</f>
        <v>3030</v>
      </c>
      <c r="R144" s="289">
        <f t="shared" si="35"/>
        <v>3030</v>
      </c>
      <c r="S144" s="121">
        <f t="shared" si="42"/>
        <v>3030</v>
      </c>
      <c r="T144" s="135" t="s">
        <v>12</v>
      </c>
      <c r="U144" s="230" t="s">
        <v>12</v>
      </c>
    </row>
    <row r="145" spans="1:22" s="1" customFormat="1" ht="13.5" thickBot="1">
      <c r="A145" s="616"/>
      <c r="B145" s="1065" t="s">
        <v>8</v>
      </c>
      <c r="C145" s="373">
        <f>ROUND(C144*Labor!$D$3,0)</f>
        <v>0</v>
      </c>
      <c r="D145" s="374">
        <f>ROUND(D144*Labor!$D$4,0)</f>
        <v>0</v>
      </c>
      <c r="E145" s="374">
        <f>ROUND(E144*Labor!$D$5,0)</f>
        <v>0</v>
      </c>
      <c r="F145" s="374">
        <f>ROUND(F144*Labor!$D$6,0)</f>
        <v>148</v>
      </c>
      <c r="G145" s="374">
        <f>ROUND(G144*Labor!$D$7,0)</f>
        <v>111</v>
      </c>
      <c r="H145" s="374">
        <f>ROUND(H144*Labor!$D$8,0)</f>
        <v>0</v>
      </c>
      <c r="I145" s="209">
        <f t="shared" si="41"/>
        <v>259</v>
      </c>
      <c r="J145" s="332">
        <f>HLOOKUP(Labor!$B$11,InflationTable,2)*$I145</f>
        <v>310.28199999999998</v>
      </c>
      <c r="K145" s="296">
        <f>J145*$O$6</f>
        <v>188030.89199999999</v>
      </c>
      <c r="L145" s="297">
        <f t="shared" si="33"/>
        <v>188030.89199999999</v>
      </c>
      <c r="M145" s="376">
        <f>HLOOKUP(Labor!$B$11,InflationTable,3)*$I145</f>
        <v>316.75700000000001</v>
      </c>
      <c r="N145" s="377">
        <f>M145*$O$6</f>
        <v>191954.742</v>
      </c>
      <c r="O145" s="378">
        <f t="shared" si="34"/>
        <v>191954.742</v>
      </c>
      <c r="P145" s="332">
        <f>HLOOKUP(Labor!$B$11,InflationTable,4)*$I145</f>
        <v>322.97300000000001</v>
      </c>
      <c r="Q145" s="296">
        <f>P145*$O$6</f>
        <v>195721.63800000001</v>
      </c>
      <c r="R145" s="297">
        <f t="shared" si="35"/>
        <v>195721.63800000001</v>
      </c>
      <c r="S145" s="211">
        <f t="shared" si="42"/>
        <v>191902.424</v>
      </c>
      <c r="T145" s="393" t="s">
        <v>12</v>
      </c>
      <c r="U145" s="228" t="s">
        <v>12</v>
      </c>
    </row>
    <row r="146" spans="1:22">
      <c r="A146" s="615"/>
      <c r="B146" s="605" t="s">
        <v>66</v>
      </c>
      <c r="C146" s="33">
        <f>C111+C113+C115+C117+C120+C122+C124+C126+C129+C131+C133+C135+C138+C140+C142+C144</f>
        <v>0</v>
      </c>
      <c r="D146" s="33">
        <f t="shared" ref="D146:I146" si="43">D111+D113+D115+D117+D120+D122+D124+D126+D129+D131+D133+D135+D138+D140+D142+D144</f>
        <v>64</v>
      </c>
      <c r="E146" s="33">
        <f t="shared" si="43"/>
        <v>176.5</v>
      </c>
      <c r="F146" s="33">
        <f t="shared" si="43"/>
        <v>139</v>
      </c>
      <c r="G146" s="33">
        <f t="shared" si="43"/>
        <v>86</v>
      </c>
      <c r="H146" s="33">
        <f t="shared" si="43"/>
        <v>1</v>
      </c>
      <c r="I146" s="33">
        <f t="shared" si="43"/>
        <v>466.5</v>
      </c>
      <c r="J146" s="285">
        <f t="shared" ref="J146:R146" si="44">J111+J113+J115+J117+J120+J122+J124+J126+J129+J131+J133+J135+J138+J140+J142+J144</f>
        <v>466.5</v>
      </c>
      <c r="K146" s="285">
        <f t="shared" si="44"/>
        <v>193214.5</v>
      </c>
      <c r="L146" s="312">
        <f t="shared" si="44"/>
        <v>193214.5</v>
      </c>
      <c r="M146" s="44">
        <f t="shared" si="44"/>
        <v>466.5</v>
      </c>
      <c r="N146" s="33">
        <f t="shared" si="44"/>
        <v>193214.5</v>
      </c>
      <c r="O146" s="99">
        <f t="shared" si="44"/>
        <v>193214.5</v>
      </c>
      <c r="P146" s="284">
        <f t="shared" si="44"/>
        <v>466.5</v>
      </c>
      <c r="Q146" s="1407">
        <f t="shared" si="44"/>
        <v>193214.5</v>
      </c>
      <c r="R146" s="312">
        <f t="shared" si="44"/>
        <v>193214.5</v>
      </c>
      <c r="S146" s="44">
        <f>S111+S113+S115+S117+S120+S122+S124+S126+S129+S131+S133+S135+S138+S140+S142+S144</f>
        <v>193214.5</v>
      </c>
      <c r="T146" s="136" t="s">
        <v>12</v>
      </c>
      <c r="U146" s="230" t="s">
        <v>12</v>
      </c>
    </row>
    <row r="147" spans="1:22" ht="13.5" thickBot="1">
      <c r="A147" s="615"/>
      <c r="B147" s="606" t="s">
        <v>67</v>
      </c>
      <c r="C147" s="711">
        <f>C112+C114+C116+C118+C121+C123+C125+C127+C130+C132+C134+C136+C139+C141+C143+C145</f>
        <v>0</v>
      </c>
      <c r="D147" s="711">
        <f t="shared" ref="D147:I147" si="45">D112+D114+D116+D118+D121+D123+D125+D127+D130+D132+D134+D136+D139+D141+D143+D145</f>
        <v>2615</v>
      </c>
      <c r="E147" s="711">
        <f t="shared" si="45"/>
        <v>7786</v>
      </c>
      <c r="F147" s="711">
        <f t="shared" si="45"/>
        <v>6848</v>
      </c>
      <c r="G147" s="711">
        <f t="shared" si="45"/>
        <v>4770</v>
      </c>
      <c r="H147" s="711">
        <f t="shared" si="45"/>
        <v>59</v>
      </c>
      <c r="I147" s="240">
        <f t="shared" si="45"/>
        <v>22078</v>
      </c>
      <c r="J147" s="275">
        <f t="shared" ref="J147:R147" si="46">J112+J114+J116+J118+J121+J123+J125+J127+J130+J132+J134+J136+J139+J141+J143+J145</f>
        <v>26449.444</v>
      </c>
      <c r="K147" s="275">
        <f t="shared" si="46"/>
        <v>10924688.988000002</v>
      </c>
      <c r="L147" s="276">
        <f t="shared" si="46"/>
        <v>10924688.988000002</v>
      </c>
      <c r="M147" s="242">
        <f t="shared" si="46"/>
        <v>27001.393999999997</v>
      </c>
      <c r="N147" s="240">
        <f t="shared" si="46"/>
        <v>11152666.638</v>
      </c>
      <c r="O147" s="243">
        <f t="shared" si="46"/>
        <v>11152666.638</v>
      </c>
      <c r="P147" s="274">
        <f t="shared" si="46"/>
        <v>27531.266</v>
      </c>
      <c r="Q147" s="275">
        <f t="shared" si="46"/>
        <v>11371525.182000002</v>
      </c>
      <c r="R147" s="276">
        <f t="shared" si="46"/>
        <v>11371525.182000002</v>
      </c>
      <c r="S147" s="242">
        <f>S112+S114+S116+S118+S121+S123+S125+S127+S130+S132+S134+S136+S139+S141+S143+S145</f>
        <v>11149626.936000001</v>
      </c>
      <c r="T147" s="249" t="s">
        <v>12</v>
      </c>
      <c r="U147" s="231" t="s">
        <v>12</v>
      </c>
    </row>
    <row r="148" spans="1:22" ht="13.5" thickTop="1">
      <c r="B148" s="624"/>
      <c r="C148" s="621"/>
      <c r="D148" s="621"/>
      <c r="E148" s="621"/>
      <c r="F148" s="621"/>
      <c r="G148" s="621"/>
      <c r="H148" s="621"/>
      <c r="I148" s="622"/>
      <c r="J148" s="622"/>
      <c r="K148" s="622"/>
      <c r="L148" s="622"/>
      <c r="M148" s="622"/>
      <c r="N148" s="622"/>
      <c r="O148" s="622"/>
      <c r="P148" s="622"/>
      <c r="Q148" s="622"/>
      <c r="R148" s="622"/>
      <c r="S148" s="625"/>
      <c r="T148" s="626"/>
      <c r="U148" s="627"/>
      <c r="V148" s="5"/>
    </row>
    <row r="149" spans="1:22" ht="13.5" thickBot="1">
      <c r="B149" s="410"/>
      <c r="C149" s="410"/>
      <c r="D149" s="410"/>
      <c r="E149" s="410"/>
      <c r="F149" s="410"/>
      <c r="G149" s="410"/>
      <c r="H149" s="410"/>
      <c r="I149" s="410"/>
      <c r="J149" s="410"/>
      <c r="K149" s="410"/>
      <c r="L149" s="410"/>
      <c r="M149" s="413"/>
      <c r="N149" s="413"/>
      <c r="O149" s="413"/>
      <c r="P149" s="410"/>
      <c r="Q149" s="410"/>
      <c r="R149" s="410"/>
      <c r="S149" s="410"/>
      <c r="T149" s="410"/>
      <c r="U149" s="410"/>
      <c r="V149" s="5"/>
    </row>
    <row r="150" spans="1:22" ht="27.75" thickTop="1" thickBot="1">
      <c r="A150" s="615"/>
      <c r="B150" s="710" t="s">
        <v>28</v>
      </c>
      <c r="C150" s="5"/>
      <c r="D150" s="5"/>
      <c r="E150" s="1045"/>
      <c r="F150" s="112" t="s">
        <v>6</v>
      </c>
      <c r="G150" s="1412"/>
      <c r="H150" s="1413"/>
      <c r="I150" s="1414"/>
      <c r="J150" s="181" t="s">
        <v>28</v>
      </c>
      <c r="K150" s="426"/>
      <c r="L150" s="67"/>
      <c r="M150" s="181" t="s">
        <v>28</v>
      </c>
      <c r="N150" s="426"/>
      <c r="O150" s="67"/>
      <c r="P150" s="181" t="s">
        <v>28</v>
      </c>
      <c r="Q150" s="426"/>
      <c r="R150" s="67"/>
      <c r="S150" s="546" t="s">
        <v>17</v>
      </c>
      <c r="T150" s="547" t="s">
        <v>103</v>
      </c>
      <c r="U150" s="1262" t="s">
        <v>79</v>
      </c>
    </row>
    <row r="151" spans="1:22">
      <c r="A151" s="615"/>
      <c r="B151" s="5"/>
      <c r="C151" s="72"/>
      <c r="D151" s="431" t="s">
        <v>54</v>
      </c>
      <c r="E151" s="70">
        <v>7</v>
      </c>
      <c r="I151" s="43"/>
      <c r="J151" s="57" t="s">
        <v>61</v>
      </c>
      <c r="K151" s="1429" t="s">
        <v>57</v>
      </c>
      <c r="L151" s="1430"/>
      <c r="M151" s="57" t="s">
        <v>61</v>
      </c>
      <c r="N151" s="1429" t="s">
        <v>57</v>
      </c>
      <c r="O151" s="1433"/>
      <c r="P151" s="120" t="s">
        <v>61</v>
      </c>
      <c r="Q151" s="1429" t="s">
        <v>57</v>
      </c>
      <c r="R151" s="1430"/>
      <c r="S151" s="170"/>
      <c r="T151" s="133"/>
      <c r="U151" s="227"/>
    </row>
    <row r="152" spans="1:22">
      <c r="A152" s="615"/>
      <c r="B152" s="797"/>
      <c r="C152" s="23" t="s">
        <v>60</v>
      </c>
      <c r="D152" s="23" t="s">
        <v>62</v>
      </c>
      <c r="E152" s="1044"/>
      <c r="F152" s="396"/>
      <c r="G152" s="396"/>
      <c r="H152" s="396"/>
      <c r="I152" s="145"/>
      <c r="J152" s="77" t="s">
        <v>56</v>
      </c>
      <c r="K152" s="24" t="s">
        <v>13</v>
      </c>
      <c r="L152" s="38" t="s">
        <v>68</v>
      </c>
      <c r="M152" s="77" t="s">
        <v>56</v>
      </c>
      <c r="N152" s="24" t="s">
        <v>13</v>
      </c>
      <c r="O152" s="38" t="s">
        <v>68</v>
      </c>
      <c r="P152" s="77" t="s">
        <v>56</v>
      </c>
      <c r="Q152" s="24" t="s">
        <v>13</v>
      </c>
      <c r="R152" s="38" t="s">
        <v>68</v>
      </c>
      <c r="S152" s="120"/>
      <c r="T152" s="133"/>
      <c r="U152" s="227"/>
    </row>
    <row r="153" spans="1:22" ht="13.5" thickBot="1">
      <c r="A153" s="615"/>
      <c r="B153" s="1286" t="str">
        <f>VLOOKUP(C$2,Monitor_Costs,34,FALSE)</f>
        <v>Filter-based calibration kit</v>
      </c>
      <c r="C153" s="458">
        <f>VLOOKUP(C$2,Monitor_Costs,35,FALSE)</f>
        <v>120</v>
      </c>
      <c r="D153" s="381">
        <f>VLOOKUP(C$2,Monitor_Costs,36,FALSE)</f>
        <v>2013</v>
      </c>
      <c r="E153" s="74"/>
      <c r="F153" s="75"/>
      <c r="G153" s="76"/>
      <c r="H153" s="76"/>
      <c r="I153" s="864"/>
      <c r="J153" s="424">
        <f>HLOOKUP($D153,InflationTable,2)*$C153</f>
        <v>143.76</v>
      </c>
      <c r="K153" s="355">
        <f>J153*$L$7</f>
        <v>151666.79999999999</v>
      </c>
      <c r="L153" s="308">
        <f>K153/$E$151*0.2</f>
        <v>4333.3371428571427</v>
      </c>
      <c r="M153" s="1055">
        <f>HLOOKUP($D153,InflationTable,3)*$C153</f>
        <v>146.76000000000002</v>
      </c>
      <c r="N153" s="357">
        <f>M153*$L$7</f>
        <v>154831.80000000002</v>
      </c>
      <c r="O153" s="95">
        <f>N153/$E$151*0.2</f>
        <v>4423.7657142857151</v>
      </c>
      <c r="P153" s="424">
        <f>HLOOKUP($D153,InflationTable,4)*$C153</f>
        <v>149.64000000000001</v>
      </c>
      <c r="Q153" s="355">
        <f>P153*$L$7</f>
        <v>157870.20000000001</v>
      </c>
      <c r="R153" s="308">
        <f>Q153/$E$151*0.2</f>
        <v>4510.5771428571434</v>
      </c>
      <c r="S153" s="359" t="s">
        <v>12</v>
      </c>
      <c r="T153" s="941" t="s">
        <v>12</v>
      </c>
      <c r="U153" s="1260">
        <f>AVERAGE(L153,O153,R153)</f>
        <v>4422.5600000000004</v>
      </c>
    </row>
    <row r="154" spans="1:22" ht="13.5" thickBot="1">
      <c r="A154" s="615"/>
      <c r="B154" s="1287" t="str">
        <f>VLOOKUP(C$2,Monitor_Costs,37,FALSE)</f>
        <v>Continuous calibration kit</v>
      </c>
      <c r="C154" s="721">
        <f>VLOOKUP(C$2,Monitor_Costs,38,FALSE)</f>
        <v>75</v>
      </c>
      <c r="D154" s="373">
        <f>VLOOKUP(C$2,Monitor_Costs,39,FALSE)</f>
        <v>2013</v>
      </c>
      <c r="E154" s="642"/>
      <c r="F154" s="12"/>
      <c r="G154" s="4"/>
      <c r="H154" s="4"/>
      <c r="I154" s="41"/>
      <c r="J154" s="424">
        <f>HLOOKUP($D154,InflationTable,2)*$C154</f>
        <v>89.85</v>
      </c>
      <c r="K154" s="355">
        <f>J154*$O$6</f>
        <v>54449.1</v>
      </c>
      <c r="L154" s="308">
        <f>K154/$E$151*0.2</f>
        <v>1555.6885714285715</v>
      </c>
      <c r="M154" s="1055">
        <f>HLOOKUP($D154,InflationTable,3)*$C154</f>
        <v>91.725000000000009</v>
      </c>
      <c r="N154" s="357">
        <f>M154*$O$6</f>
        <v>55585.350000000006</v>
      </c>
      <c r="O154" s="95">
        <f>N154/$E$151*0.2</f>
        <v>1588.1528571428573</v>
      </c>
      <c r="P154" s="424">
        <f>HLOOKUP($D154,InflationTable,4)*$C154</f>
        <v>93.525000000000006</v>
      </c>
      <c r="Q154" s="355">
        <f>P154*$O$6</f>
        <v>56676.15</v>
      </c>
      <c r="R154" s="308">
        <f>Q154/$E$151*0.2</f>
        <v>1619.3185714285717</v>
      </c>
      <c r="S154" s="359" t="s">
        <v>12</v>
      </c>
      <c r="T154" s="941" t="s">
        <v>12</v>
      </c>
      <c r="U154" s="1260">
        <f>AVERAGE(L154,O154,R154)</f>
        <v>1587.7200000000003</v>
      </c>
    </row>
    <row r="155" spans="1:22">
      <c r="A155" s="615"/>
      <c r="B155" s="112"/>
      <c r="C155" s="5"/>
      <c r="D155" s="5"/>
      <c r="E155" s="5"/>
      <c r="F155" s="7"/>
      <c r="G155" s="5"/>
      <c r="H155" s="5"/>
      <c r="I155" s="45" t="s">
        <v>61</v>
      </c>
      <c r="J155" s="277" t="s">
        <v>61</v>
      </c>
      <c r="K155" s="1419" t="s">
        <v>57</v>
      </c>
      <c r="L155" s="1420"/>
      <c r="M155" s="57" t="s">
        <v>61</v>
      </c>
      <c r="N155" s="1429" t="s">
        <v>57</v>
      </c>
      <c r="O155" s="1433"/>
      <c r="P155" s="318" t="s">
        <v>61</v>
      </c>
      <c r="Q155" s="1419" t="s">
        <v>57</v>
      </c>
      <c r="R155" s="1420"/>
      <c r="S155" s="120"/>
      <c r="T155" s="133"/>
      <c r="U155" s="227"/>
    </row>
    <row r="156" spans="1:22">
      <c r="A156" s="615"/>
      <c r="B156" s="600" t="s">
        <v>350</v>
      </c>
      <c r="C156" s="23" t="s">
        <v>45</v>
      </c>
      <c r="D156" s="24" t="s">
        <v>46</v>
      </c>
      <c r="E156" s="23" t="s">
        <v>47</v>
      </c>
      <c r="F156" s="23" t="s">
        <v>48</v>
      </c>
      <c r="G156" s="23" t="s">
        <v>49</v>
      </c>
      <c r="H156" s="23" t="s">
        <v>50</v>
      </c>
      <c r="I156" s="45" t="s">
        <v>13</v>
      </c>
      <c r="J156" s="260" t="s">
        <v>56</v>
      </c>
      <c r="K156" s="261" t="s">
        <v>13</v>
      </c>
      <c r="L156" s="262" t="s">
        <v>68</v>
      </c>
      <c r="M156" s="77" t="s">
        <v>56</v>
      </c>
      <c r="N156" s="24" t="s">
        <v>13</v>
      </c>
      <c r="O156" s="38" t="s">
        <v>68</v>
      </c>
      <c r="P156" s="260" t="s">
        <v>56</v>
      </c>
      <c r="Q156" s="261" t="s">
        <v>13</v>
      </c>
      <c r="R156" s="262" t="s">
        <v>68</v>
      </c>
      <c r="S156" s="120"/>
      <c r="T156" s="133"/>
      <c r="U156" s="227"/>
    </row>
    <row r="157" spans="1:22">
      <c r="A157" s="615"/>
      <c r="B157" s="1283" t="s">
        <v>351</v>
      </c>
      <c r="C157" s="21">
        <v>0</v>
      </c>
      <c r="D157" s="21">
        <v>2</v>
      </c>
      <c r="E157" s="21">
        <v>6</v>
      </c>
      <c r="F157" s="21">
        <v>2</v>
      </c>
      <c r="G157" s="21">
        <v>0</v>
      </c>
      <c r="H157" s="21">
        <v>0</v>
      </c>
      <c r="I157" s="52">
        <f t="shared" ref="I157:I164" si="47">SUM(C157:H157)</f>
        <v>10</v>
      </c>
      <c r="J157" s="783">
        <f>$I157</f>
        <v>10</v>
      </c>
      <c r="K157" s="281">
        <f>J157*$O$3</f>
        <v>7330</v>
      </c>
      <c r="L157" s="289">
        <f t="shared" ref="L157:L191" si="48">K157</f>
        <v>7330</v>
      </c>
      <c r="M157" s="1036">
        <f>$I157</f>
        <v>10</v>
      </c>
      <c r="N157" s="69">
        <f>M157*$O$3</f>
        <v>7330</v>
      </c>
      <c r="O157" s="68">
        <f t="shared" ref="O157:O191" si="49">N157</f>
        <v>7330</v>
      </c>
      <c r="P157" s="783">
        <f>$I157</f>
        <v>10</v>
      </c>
      <c r="Q157" s="281">
        <f>P157*$O$3</f>
        <v>7330</v>
      </c>
      <c r="R157" s="289">
        <f t="shared" ref="R157:R191" si="50">Q157</f>
        <v>7330</v>
      </c>
      <c r="S157" s="121">
        <f t="shared" ref="S157:S164" si="51">AVERAGE(L157,O157,R157)</f>
        <v>7330</v>
      </c>
      <c r="T157" s="135" t="s">
        <v>12</v>
      </c>
      <c r="U157" s="230" t="s">
        <v>12</v>
      </c>
    </row>
    <row r="158" spans="1:22" s="1" customFormat="1" ht="13.5" thickBot="1">
      <c r="A158" s="616"/>
      <c r="B158" s="1065" t="s">
        <v>8</v>
      </c>
      <c r="C158" s="373">
        <f>ROUND(C157*Labor!$D$3,0)</f>
        <v>0</v>
      </c>
      <c r="D158" s="374">
        <f>ROUND(D157*Labor!$D$4,0)</f>
        <v>82</v>
      </c>
      <c r="E158" s="374">
        <f>ROUND(E157*Labor!$D$5,0)</f>
        <v>265</v>
      </c>
      <c r="F158" s="374">
        <f>ROUND(F157*Labor!$D$6,0)</f>
        <v>99</v>
      </c>
      <c r="G158" s="374">
        <f>ROUND(G157*Labor!$D$7,0)</f>
        <v>0</v>
      </c>
      <c r="H158" s="374">
        <f>ROUND(H157*Labor!$D$8,0)</f>
        <v>0</v>
      </c>
      <c r="I158" s="209">
        <f t="shared" si="47"/>
        <v>446</v>
      </c>
      <c r="J158" s="332">
        <f>HLOOKUP(Labor!$B$11,InflationTable,2)*$I158</f>
        <v>534.30799999999999</v>
      </c>
      <c r="K158" s="296">
        <f>J158*$O$3</f>
        <v>391647.76399999997</v>
      </c>
      <c r="L158" s="297">
        <f t="shared" si="48"/>
        <v>391647.76399999997</v>
      </c>
      <c r="M158" s="376">
        <f>HLOOKUP(Labor!$B$11,InflationTable,3)*$I158</f>
        <v>545.45800000000008</v>
      </c>
      <c r="N158" s="377">
        <f>M158*$O$3</f>
        <v>399820.71400000004</v>
      </c>
      <c r="O158" s="378">
        <f t="shared" si="49"/>
        <v>399820.71400000004</v>
      </c>
      <c r="P158" s="332">
        <f>HLOOKUP(Labor!$B$11,InflationTable,4)*$I158</f>
        <v>556.16200000000003</v>
      </c>
      <c r="Q158" s="296">
        <f>P158*$O$3</f>
        <v>407666.74600000004</v>
      </c>
      <c r="R158" s="297">
        <f t="shared" si="50"/>
        <v>407666.74600000004</v>
      </c>
      <c r="S158" s="211">
        <f t="shared" si="51"/>
        <v>399711.74133333331</v>
      </c>
      <c r="T158" s="393" t="s">
        <v>12</v>
      </c>
      <c r="U158" s="228" t="s">
        <v>12</v>
      </c>
    </row>
    <row r="159" spans="1:22">
      <c r="A159" s="615"/>
      <c r="B159" s="1281" t="s">
        <v>352</v>
      </c>
      <c r="C159" s="21">
        <v>0</v>
      </c>
      <c r="D159" s="21">
        <v>2</v>
      </c>
      <c r="E159" s="21">
        <v>6</v>
      </c>
      <c r="F159" s="21">
        <v>2</v>
      </c>
      <c r="G159" s="21">
        <v>0</v>
      </c>
      <c r="H159" s="21">
        <v>0</v>
      </c>
      <c r="I159" s="52">
        <f t="shared" si="47"/>
        <v>10</v>
      </c>
      <c r="J159" s="263">
        <f>$I$159</f>
        <v>10</v>
      </c>
      <c r="K159" s="281">
        <f>$I$159*($O$4+$O$5)</f>
        <v>3340</v>
      </c>
      <c r="L159" s="289">
        <f t="shared" si="48"/>
        <v>3340</v>
      </c>
      <c r="M159" s="58">
        <f>$I$159</f>
        <v>10</v>
      </c>
      <c r="N159" s="69">
        <f>$I$159*($O$4+$O$5)</f>
        <v>3340</v>
      </c>
      <c r="O159" s="68">
        <f t="shared" si="49"/>
        <v>3340</v>
      </c>
      <c r="P159" s="263">
        <f>$I$159</f>
        <v>10</v>
      </c>
      <c r="Q159" s="281">
        <f>$I$159*($O$4+$O$5)</f>
        <v>3340</v>
      </c>
      <c r="R159" s="289">
        <f t="shared" si="50"/>
        <v>3340</v>
      </c>
      <c r="S159" s="121">
        <f t="shared" si="51"/>
        <v>3340</v>
      </c>
      <c r="T159" s="135" t="s">
        <v>12</v>
      </c>
      <c r="U159" s="230" t="s">
        <v>12</v>
      </c>
    </row>
    <row r="160" spans="1:22" s="1" customFormat="1" ht="13.5" thickBot="1">
      <c r="A160" s="616"/>
      <c r="B160" s="1282" t="s">
        <v>8</v>
      </c>
      <c r="C160" s="373">
        <f>ROUND(C159*Labor!$D$3,0)</f>
        <v>0</v>
      </c>
      <c r="D160" s="374">
        <f>ROUND(D159*Labor!$D$4,0)</f>
        <v>82</v>
      </c>
      <c r="E160" s="374">
        <f>ROUND(E159*Labor!$D$5,0)</f>
        <v>265</v>
      </c>
      <c r="F160" s="374">
        <f>ROUND(F159*Labor!$D$6,0)</f>
        <v>99</v>
      </c>
      <c r="G160" s="374">
        <f>ROUND(G159*Labor!$D$7,0)</f>
        <v>0</v>
      </c>
      <c r="H160" s="374">
        <f>ROUND(H159*Labor!$D$8,0)</f>
        <v>0</v>
      </c>
      <c r="I160" s="209">
        <f t="shared" si="47"/>
        <v>446</v>
      </c>
      <c r="J160" s="332">
        <f>HLOOKUP(Labor!$B$11,InflationTable,2)*$I160</f>
        <v>534.30799999999999</v>
      </c>
      <c r="K160" s="296">
        <f>J160*($O$4+$O$5)</f>
        <v>178458.872</v>
      </c>
      <c r="L160" s="297">
        <f t="shared" si="48"/>
        <v>178458.872</v>
      </c>
      <c r="M160" s="376">
        <f>HLOOKUP(Labor!$B$11,InflationTable,3)*$I160</f>
        <v>545.45800000000008</v>
      </c>
      <c r="N160" s="377">
        <f>M160*($O$4+$O$5)</f>
        <v>182182.97200000004</v>
      </c>
      <c r="O160" s="378">
        <f t="shared" si="49"/>
        <v>182182.97200000004</v>
      </c>
      <c r="P160" s="332">
        <f>HLOOKUP(Labor!$B$11,InflationTable,4)*$I160</f>
        <v>556.16200000000003</v>
      </c>
      <c r="Q160" s="296">
        <f>P160*($O$4+$O$5)</f>
        <v>185758.10800000001</v>
      </c>
      <c r="R160" s="297">
        <f t="shared" si="50"/>
        <v>185758.10800000001</v>
      </c>
      <c r="S160" s="211">
        <f t="shared" si="51"/>
        <v>182133.31733333334</v>
      </c>
      <c r="T160" s="393" t="s">
        <v>12</v>
      </c>
      <c r="U160" s="228" t="s">
        <v>12</v>
      </c>
    </row>
    <row r="161" spans="1:21">
      <c r="A161" s="615"/>
      <c r="B161" s="1283" t="s">
        <v>354</v>
      </c>
      <c r="C161" s="21">
        <v>0</v>
      </c>
      <c r="D161" s="21">
        <v>2</v>
      </c>
      <c r="E161" s="21">
        <v>6</v>
      </c>
      <c r="F161" s="21">
        <v>2</v>
      </c>
      <c r="G161" s="21">
        <v>0</v>
      </c>
      <c r="H161" s="21">
        <v>0</v>
      </c>
      <c r="I161" s="52">
        <f t="shared" si="47"/>
        <v>10</v>
      </c>
      <c r="J161" s="263">
        <f>$I$161</f>
        <v>10</v>
      </c>
      <c r="K161" s="281">
        <f>J161*$L$6</f>
        <v>520</v>
      </c>
      <c r="L161" s="289">
        <f t="shared" si="48"/>
        <v>520</v>
      </c>
      <c r="M161" s="58">
        <f>$I$161</f>
        <v>10</v>
      </c>
      <c r="N161" s="69">
        <f>M161*$L$6</f>
        <v>520</v>
      </c>
      <c r="O161" s="68">
        <f t="shared" si="49"/>
        <v>520</v>
      </c>
      <c r="P161" s="263">
        <f>$I$161</f>
        <v>10</v>
      </c>
      <c r="Q161" s="281">
        <f>P161*$L$6</f>
        <v>520</v>
      </c>
      <c r="R161" s="289">
        <f t="shared" si="50"/>
        <v>520</v>
      </c>
      <c r="S161" s="121">
        <f t="shared" si="51"/>
        <v>520</v>
      </c>
      <c r="T161" s="135" t="s">
        <v>12</v>
      </c>
      <c r="U161" s="230" t="s">
        <v>12</v>
      </c>
    </row>
    <row r="162" spans="1:21" s="1" customFormat="1" ht="13.5" thickBot="1">
      <c r="A162" s="616"/>
      <c r="B162" s="1065" t="s">
        <v>8</v>
      </c>
      <c r="C162" s="373">
        <f>ROUND(C161*Labor!$D$3,0)</f>
        <v>0</v>
      </c>
      <c r="D162" s="374">
        <f>ROUND(D161*Labor!$D$4,0)</f>
        <v>82</v>
      </c>
      <c r="E162" s="374">
        <f>ROUND(E161*Labor!$D$5,0)</f>
        <v>265</v>
      </c>
      <c r="F162" s="374">
        <f>ROUND(F161*Labor!$D$6,0)</f>
        <v>99</v>
      </c>
      <c r="G162" s="374">
        <f>ROUND(G161*Labor!$D$7,0)</f>
        <v>0</v>
      </c>
      <c r="H162" s="374">
        <f>ROUND(H161*Labor!$D$8,0)</f>
        <v>0</v>
      </c>
      <c r="I162" s="209">
        <f t="shared" si="47"/>
        <v>446</v>
      </c>
      <c r="J162" s="332">
        <f>HLOOKUP(Labor!$B$11,InflationTable,2)*$I162</f>
        <v>534.30799999999999</v>
      </c>
      <c r="K162" s="296">
        <f>J162*$L$6</f>
        <v>27784.016</v>
      </c>
      <c r="L162" s="297">
        <f t="shared" si="48"/>
        <v>27784.016</v>
      </c>
      <c r="M162" s="376">
        <f>HLOOKUP(Labor!$B$11,InflationTable,3)*$I162</f>
        <v>545.45800000000008</v>
      </c>
      <c r="N162" s="377">
        <f>M162*$L$6</f>
        <v>28363.816000000006</v>
      </c>
      <c r="O162" s="378">
        <f t="shared" si="49"/>
        <v>28363.816000000006</v>
      </c>
      <c r="P162" s="332">
        <f>HLOOKUP(Labor!$B$11,InflationTable,4)*$I162</f>
        <v>556.16200000000003</v>
      </c>
      <c r="Q162" s="296">
        <f>P162*$L$6</f>
        <v>28920.424000000003</v>
      </c>
      <c r="R162" s="297">
        <f t="shared" si="50"/>
        <v>28920.424000000003</v>
      </c>
      <c r="S162" s="211">
        <f t="shared" si="51"/>
        <v>28356.085333333336</v>
      </c>
      <c r="T162" s="393" t="s">
        <v>12</v>
      </c>
      <c r="U162" s="228" t="s">
        <v>12</v>
      </c>
    </row>
    <row r="163" spans="1:21">
      <c r="A163" s="615"/>
      <c r="B163" s="1281" t="s">
        <v>353</v>
      </c>
      <c r="C163" s="21">
        <v>0</v>
      </c>
      <c r="D163" s="21">
        <v>3</v>
      </c>
      <c r="E163" s="21">
        <v>5</v>
      </c>
      <c r="F163" s="21">
        <v>2</v>
      </c>
      <c r="G163" s="21">
        <v>0</v>
      </c>
      <c r="H163" s="21">
        <v>0</v>
      </c>
      <c r="I163" s="52">
        <f t="shared" si="47"/>
        <v>10</v>
      </c>
      <c r="J163" s="263">
        <f>$I$163</f>
        <v>10</v>
      </c>
      <c r="K163" s="281">
        <f>J163*$O$6</f>
        <v>6060</v>
      </c>
      <c r="L163" s="289">
        <f t="shared" si="48"/>
        <v>6060</v>
      </c>
      <c r="M163" s="58">
        <f>$I$163</f>
        <v>10</v>
      </c>
      <c r="N163" s="69">
        <f>M163*$O$6</f>
        <v>6060</v>
      </c>
      <c r="O163" s="68">
        <f t="shared" si="49"/>
        <v>6060</v>
      </c>
      <c r="P163" s="263">
        <f>$I$163</f>
        <v>10</v>
      </c>
      <c r="Q163" s="281">
        <f>P163*$O$6</f>
        <v>6060</v>
      </c>
      <c r="R163" s="289">
        <f t="shared" si="50"/>
        <v>6060</v>
      </c>
      <c r="S163" s="121">
        <f t="shared" si="51"/>
        <v>6060</v>
      </c>
      <c r="T163" s="135" t="s">
        <v>12</v>
      </c>
      <c r="U163" s="230" t="s">
        <v>12</v>
      </c>
    </row>
    <row r="164" spans="1:21" s="1" customFormat="1" ht="13.5" thickBot="1">
      <c r="A164" s="616"/>
      <c r="B164" s="1282" t="s">
        <v>8</v>
      </c>
      <c r="C164" s="373">
        <f>ROUND(C163*Labor!$D$3,0)</f>
        <v>0</v>
      </c>
      <c r="D164" s="374">
        <f>ROUND(D163*Labor!$D$4,0)</f>
        <v>123</v>
      </c>
      <c r="E164" s="374">
        <f>ROUND(E163*Labor!$D$5,0)</f>
        <v>221</v>
      </c>
      <c r="F164" s="374">
        <f>ROUND(F163*Labor!$D$6,0)</f>
        <v>99</v>
      </c>
      <c r="G164" s="374">
        <f>ROUND(G163*Labor!$D$7,0)</f>
        <v>0</v>
      </c>
      <c r="H164" s="374">
        <f>ROUND(H163*Labor!$D$8,0)</f>
        <v>0</v>
      </c>
      <c r="I164" s="209">
        <f t="shared" si="47"/>
        <v>443</v>
      </c>
      <c r="J164" s="332">
        <f>HLOOKUP(Labor!$B$11,InflationTable,2)*$I164</f>
        <v>530.71399999999994</v>
      </c>
      <c r="K164" s="296">
        <f>J164*$O$6</f>
        <v>321612.68399999995</v>
      </c>
      <c r="L164" s="297">
        <f t="shared" si="48"/>
        <v>321612.68399999995</v>
      </c>
      <c r="M164" s="376">
        <f>HLOOKUP(Labor!$B$11,InflationTable,3)*$I164</f>
        <v>541.78899999999999</v>
      </c>
      <c r="N164" s="377">
        <f>M164*$O$6</f>
        <v>328324.13400000002</v>
      </c>
      <c r="O164" s="378">
        <f t="shared" si="49"/>
        <v>328324.13400000002</v>
      </c>
      <c r="P164" s="332">
        <f>HLOOKUP(Labor!$B$11,InflationTable,4)*$I164</f>
        <v>552.42100000000005</v>
      </c>
      <c r="Q164" s="296">
        <f>P164*$O$6</f>
        <v>334767.12600000005</v>
      </c>
      <c r="R164" s="297">
        <f t="shared" si="50"/>
        <v>334767.12600000005</v>
      </c>
      <c r="S164" s="211">
        <f t="shared" si="51"/>
        <v>328234.64799999999</v>
      </c>
      <c r="T164" s="393" t="s">
        <v>12</v>
      </c>
      <c r="U164" s="228" t="s">
        <v>12</v>
      </c>
    </row>
    <row r="165" spans="1:21">
      <c r="A165" s="615"/>
      <c r="B165" s="600" t="s">
        <v>355</v>
      </c>
      <c r="C165" s="23" t="s">
        <v>45</v>
      </c>
      <c r="D165" s="24" t="s">
        <v>46</v>
      </c>
      <c r="E165" s="23" t="s">
        <v>47</v>
      </c>
      <c r="F165" s="23" t="s">
        <v>48</v>
      </c>
      <c r="G165" s="23" t="s">
        <v>49</v>
      </c>
      <c r="H165" s="23" t="s">
        <v>50</v>
      </c>
      <c r="I165" s="45" t="s">
        <v>13</v>
      </c>
      <c r="J165" s="260" t="s">
        <v>56</v>
      </c>
      <c r="K165" s="261" t="s">
        <v>13</v>
      </c>
      <c r="L165" s="262" t="s">
        <v>68</v>
      </c>
      <c r="M165" s="77" t="s">
        <v>56</v>
      </c>
      <c r="N165" s="24" t="s">
        <v>13</v>
      </c>
      <c r="O165" s="38" t="s">
        <v>68</v>
      </c>
      <c r="P165" s="260" t="s">
        <v>56</v>
      </c>
      <c r="Q165" s="261" t="s">
        <v>13</v>
      </c>
      <c r="R165" s="262" t="s">
        <v>68</v>
      </c>
      <c r="S165" s="120"/>
      <c r="T165" s="133"/>
      <c r="U165" s="227"/>
    </row>
    <row r="166" spans="1:21">
      <c r="A166" s="615"/>
      <c r="B166" s="1283" t="s">
        <v>351</v>
      </c>
      <c r="C166" s="21">
        <v>0</v>
      </c>
      <c r="D166" s="21">
        <v>0</v>
      </c>
      <c r="E166" s="21">
        <v>0</v>
      </c>
      <c r="F166" s="21">
        <v>2</v>
      </c>
      <c r="G166" s="21">
        <v>2</v>
      </c>
      <c r="H166" s="21">
        <v>0</v>
      </c>
      <c r="I166" s="52">
        <f t="shared" ref="I166:I173" si="52">SUM(C166:H166)</f>
        <v>4</v>
      </c>
      <c r="J166" s="1037">
        <f>$I166</f>
        <v>4</v>
      </c>
      <c r="K166" s="281">
        <f>J166*$O$3</f>
        <v>2932</v>
      </c>
      <c r="L166" s="289">
        <f t="shared" si="48"/>
        <v>2932</v>
      </c>
      <c r="M166" s="1042">
        <f>$I166</f>
        <v>4</v>
      </c>
      <c r="N166" s="69">
        <f>M166*$O$3</f>
        <v>2932</v>
      </c>
      <c r="O166" s="68">
        <f t="shared" si="49"/>
        <v>2932</v>
      </c>
      <c r="P166" s="1037">
        <f>$I166</f>
        <v>4</v>
      </c>
      <c r="Q166" s="281">
        <f>P166*$O$3</f>
        <v>2932</v>
      </c>
      <c r="R166" s="289">
        <f t="shared" si="50"/>
        <v>2932</v>
      </c>
      <c r="S166" s="121">
        <f t="shared" ref="S166:S173" si="53">AVERAGE(L166,O166,R166)</f>
        <v>2932</v>
      </c>
      <c r="T166" s="135" t="s">
        <v>12</v>
      </c>
      <c r="U166" s="230" t="s">
        <v>12</v>
      </c>
    </row>
    <row r="167" spans="1:21" s="1" customFormat="1" ht="13.5" thickBot="1">
      <c r="A167" s="616"/>
      <c r="B167" s="1065" t="s">
        <v>8</v>
      </c>
      <c r="C167" s="373">
        <f>ROUND(C166*Labor!$D$3,0)</f>
        <v>0</v>
      </c>
      <c r="D167" s="374">
        <f>ROUND(D166*Labor!$D$4,0)</f>
        <v>0</v>
      </c>
      <c r="E167" s="374">
        <f>ROUND(E166*Labor!$D$5,0)</f>
        <v>0</v>
      </c>
      <c r="F167" s="374">
        <f>ROUND(F166*Labor!$D$6,0)</f>
        <v>99</v>
      </c>
      <c r="G167" s="374">
        <f>ROUND(G166*Labor!$D$7,0)</f>
        <v>111</v>
      </c>
      <c r="H167" s="374">
        <f>ROUND(H166*Labor!$D$8,0)</f>
        <v>0</v>
      </c>
      <c r="I167" s="209">
        <f t="shared" si="52"/>
        <v>210</v>
      </c>
      <c r="J167" s="332">
        <f>HLOOKUP(Labor!$B$11,InflationTable,2)*$I167</f>
        <v>251.57999999999998</v>
      </c>
      <c r="K167" s="296">
        <f>J167*$O$3</f>
        <v>184408.13999999998</v>
      </c>
      <c r="L167" s="297">
        <f t="shared" si="48"/>
        <v>184408.13999999998</v>
      </c>
      <c r="M167" s="376">
        <f>HLOOKUP(Labor!$B$11,InflationTable,3)*$I167</f>
        <v>256.83000000000004</v>
      </c>
      <c r="N167" s="377">
        <f>M167*$O$3</f>
        <v>188256.39000000004</v>
      </c>
      <c r="O167" s="378">
        <f t="shared" si="49"/>
        <v>188256.39000000004</v>
      </c>
      <c r="P167" s="332">
        <f>HLOOKUP(Labor!$B$11,InflationTable,4)*$I167</f>
        <v>261.87</v>
      </c>
      <c r="Q167" s="296">
        <f>P167*$O$3</f>
        <v>191950.71</v>
      </c>
      <c r="R167" s="297">
        <f t="shared" si="50"/>
        <v>191950.71</v>
      </c>
      <c r="S167" s="211">
        <f t="shared" si="53"/>
        <v>188205.08</v>
      </c>
      <c r="T167" s="393" t="s">
        <v>12</v>
      </c>
      <c r="U167" s="228" t="s">
        <v>12</v>
      </c>
    </row>
    <row r="168" spans="1:21">
      <c r="A168" s="615"/>
      <c r="B168" s="1281" t="s">
        <v>352</v>
      </c>
      <c r="C168" s="21">
        <v>0</v>
      </c>
      <c r="D168" s="21">
        <v>0</v>
      </c>
      <c r="E168" s="21">
        <v>0</v>
      </c>
      <c r="F168" s="21">
        <v>2</v>
      </c>
      <c r="G168" s="21">
        <v>2</v>
      </c>
      <c r="H168" s="21">
        <v>0</v>
      </c>
      <c r="I168" s="52">
        <f t="shared" si="52"/>
        <v>4</v>
      </c>
      <c r="J168" s="1037">
        <f>$I168</f>
        <v>4</v>
      </c>
      <c r="K168" s="281">
        <f>$I$159*($O$4+$O$5)</f>
        <v>3340</v>
      </c>
      <c r="L168" s="289">
        <f t="shared" si="48"/>
        <v>3340</v>
      </c>
      <c r="M168" s="1042">
        <f>$I168</f>
        <v>4</v>
      </c>
      <c r="N168" s="69">
        <f>$I$159*($O$4+$O$5)</f>
        <v>3340</v>
      </c>
      <c r="O168" s="68">
        <f t="shared" si="49"/>
        <v>3340</v>
      </c>
      <c r="P168" s="1037">
        <f>$I168</f>
        <v>4</v>
      </c>
      <c r="Q168" s="281">
        <f>$I$159*($O$4+$O$5)</f>
        <v>3340</v>
      </c>
      <c r="R168" s="289">
        <f t="shared" si="50"/>
        <v>3340</v>
      </c>
      <c r="S168" s="121">
        <f t="shared" si="53"/>
        <v>3340</v>
      </c>
      <c r="T168" s="135" t="s">
        <v>12</v>
      </c>
      <c r="U168" s="230" t="s">
        <v>12</v>
      </c>
    </row>
    <row r="169" spans="1:21" s="1" customFormat="1" ht="13.5" thickBot="1">
      <c r="A169" s="616"/>
      <c r="B169" s="1282" t="s">
        <v>8</v>
      </c>
      <c r="C169" s="373">
        <f>ROUND(C168*Labor!$D$3,0)</f>
        <v>0</v>
      </c>
      <c r="D169" s="374">
        <f>ROUND(D168*Labor!$D$4,0)</f>
        <v>0</v>
      </c>
      <c r="E169" s="374">
        <f>ROUND(E168*Labor!$D$5,0)</f>
        <v>0</v>
      </c>
      <c r="F169" s="374">
        <f>ROUND(F168*Labor!$D$6,0)</f>
        <v>99</v>
      </c>
      <c r="G169" s="374">
        <f>ROUND(G168*Labor!$D$7,0)</f>
        <v>111</v>
      </c>
      <c r="H169" s="374">
        <f>ROUND(H168*Labor!$D$8,0)</f>
        <v>0</v>
      </c>
      <c r="I169" s="209">
        <f t="shared" si="52"/>
        <v>210</v>
      </c>
      <c r="J169" s="332">
        <f>HLOOKUP(Labor!$B$11,InflationTable,2)*$I169</f>
        <v>251.57999999999998</v>
      </c>
      <c r="K169" s="296">
        <f>J169*($O$4+$O$5)</f>
        <v>84027.72</v>
      </c>
      <c r="L169" s="297">
        <f t="shared" si="48"/>
        <v>84027.72</v>
      </c>
      <c r="M169" s="376">
        <f>HLOOKUP(Labor!$B$11,InflationTable,3)*$I169</f>
        <v>256.83000000000004</v>
      </c>
      <c r="N169" s="377">
        <f>M169*($O$4+$O$5)</f>
        <v>85781.220000000016</v>
      </c>
      <c r="O169" s="378">
        <f t="shared" si="49"/>
        <v>85781.220000000016</v>
      </c>
      <c r="P169" s="332">
        <f>HLOOKUP(Labor!$B$11,InflationTable,4)*$I169</f>
        <v>261.87</v>
      </c>
      <c r="Q169" s="296">
        <f>P169*($O$4+$O$5)</f>
        <v>87464.58</v>
      </c>
      <c r="R169" s="297">
        <f t="shared" si="50"/>
        <v>87464.58</v>
      </c>
      <c r="S169" s="211">
        <f t="shared" si="53"/>
        <v>85757.840000000011</v>
      </c>
      <c r="T169" s="393" t="s">
        <v>12</v>
      </c>
      <c r="U169" s="228" t="s">
        <v>12</v>
      </c>
    </row>
    <row r="170" spans="1:21">
      <c r="A170" s="615"/>
      <c r="B170" s="1281" t="s">
        <v>354</v>
      </c>
      <c r="C170" s="21">
        <v>0</v>
      </c>
      <c r="D170" s="21">
        <v>0</v>
      </c>
      <c r="E170" s="21">
        <v>0</v>
      </c>
      <c r="F170" s="21">
        <v>2</v>
      </c>
      <c r="G170" s="21">
        <v>2</v>
      </c>
      <c r="H170" s="21">
        <v>0</v>
      </c>
      <c r="I170" s="52">
        <f t="shared" si="52"/>
        <v>4</v>
      </c>
      <c r="J170" s="1037">
        <f>$I170</f>
        <v>4</v>
      </c>
      <c r="K170" s="281">
        <f>J170*$L$6</f>
        <v>208</v>
      </c>
      <c r="L170" s="289">
        <f t="shared" si="48"/>
        <v>208</v>
      </c>
      <c r="M170" s="1042">
        <f>$I170</f>
        <v>4</v>
      </c>
      <c r="N170" s="69">
        <f>M170*$L$6</f>
        <v>208</v>
      </c>
      <c r="O170" s="68">
        <f t="shared" si="49"/>
        <v>208</v>
      </c>
      <c r="P170" s="1037">
        <f>$I170</f>
        <v>4</v>
      </c>
      <c r="Q170" s="281">
        <f>P170*$L$6</f>
        <v>208</v>
      </c>
      <c r="R170" s="289">
        <f t="shared" si="50"/>
        <v>208</v>
      </c>
      <c r="S170" s="121">
        <f t="shared" si="53"/>
        <v>208</v>
      </c>
      <c r="T170" s="135" t="s">
        <v>12</v>
      </c>
      <c r="U170" s="230" t="s">
        <v>12</v>
      </c>
    </row>
    <row r="171" spans="1:21" s="1" customFormat="1" ht="13.5" thickBot="1">
      <c r="A171" s="616"/>
      <c r="B171" s="1065" t="s">
        <v>8</v>
      </c>
      <c r="C171" s="373">
        <f>ROUND(C170*Labor!$D$3,0)</f>
        <v>0</v>
      </c>
      <c r="D171" s="374">
        <f>ROUND(D170*Labor!$D$4,0)</f>
        <v>0</v>
      </c>
      <c r="E171" s="374">
        <f>ROUND(E170*Labor!$D$5,0)</f>
        <v>0</v>
      </c>
      <c r="F171" s="374">
        <f>ROUND(F170*Labor!$D$6,0)</f>
        <v>99</v>
      </c>
      <c r="G171" s="374">
        <f>ROUND(G170*Labor!$D$7,0)</f>
        <v>111</v>
      </c>
      <c r="H171" s="374">
        <f>ROUND(H170*Labor!$D$8,0)</f>
        <v>0</v>
      </c>
      <c r="I171" s="209">
        <f t="shared" si="52"/>
        <v>210</v>
      </c>
      <c r="J171" s="332">
        <f>HLOOKUP(Labor!$B$11,InflationTable,2)*$I171</f>
        <v>251.57999999999998</v>
      </c>
      <c r="K171" s="296">
        <f>J171*$L$6</f>
        <v>13082.16</v>
      </c>
      <c r="L171" s="297">
        <f t="shared" si="48"/>
        <v>13082.16</v>
      </c>
      <c r="M171" s="376">
        <f>HLOOKUP(Labor!$B$11,InflationTable,3)*$I171</f>
        <v>256.83000000000004</v>
      </c>
      <c r="N171" s="377">
        <f>M171*$L$6</f>
        <v>13355.160000000002</v>
      </c>
      <c r="O171" s="378">
        <f t="shared" si="49"/>
        <v>13355.160000000002</v>
      </c>
      <c r="P171" s="332">
        <f>HLOOKUP(Labor!$B$11,InflationTable,4)*$I171</f>
        <v>261.87</v>
      </c>
      <c r="Q171" s="296">
        <f>P171*$L$6</f>
        <v>13617.24</v>
      </c>
      <c r="R171" s="297">
        <f t="shared" si="50"/>
        <v>13617.24</v>
      </c>
      <c r="S171" s="211">
        <f t="shared" si="53"/>
        <v>13351.519999999999</v>
      </c>
      <c r="T171" s="393" t="s">
        <v>12</v>
      </c>
      <c r="U171" s="228" t="s">
        <v>12</v>
      </c>
    </row>
    <row r="172" spans="1:21">
      <c r="A172" s="615"/>
      <c r="B172" s="1281" t="s">
        <v>353</v>
      </c>
      <c r="C172" s="21">
        <v>0</v>
      </c>
      <c r="D172" s="21">
        <v>0</v>
      </c>
      <c r="E172" s="21">
        <v>0</v>
      </c>
      <c r="F172" s="21">
        <v>2</v>
      </c>
      <c r="G172" s="21">
        <v>2</v>
      </c>
      <c r="H172" s="21">
        <v>0</v>
      </c>
      <c r="I172" s="52">
        <f t="shared" si="52"/>
        <v>4</v>
      </c>
      <c r="J172" s="1037">
        <f>$I172</f>
        <v>4</v>
      </c>
      <c r="K172" s="281">
        <f>J172*$O$6</f>
        <v>2424</v>
      </c>
      <c r="L172" s="289">
        <f t="shared" si="48"/>
        <v>2424</v>
      </c>
      <c r="M172" s="1042">
        <f>$I172</f>
        <v>4</v>
      </c>
      <c r="N172" s="69">
        <f>M172*$O$6</f>
        <v>2424</v>
      </c>
      <c r="O172" s="68">
        <f t="shared" si="49"/>
        <v>2424</v>
      </c>
      <c r="P172" s="1037">
        <f>$I172</f>
        <v>4</v>
      </c>
      <c r="Q172" s="281">
        <f>P172*$O$6</f>
        <v>2424</v>
      </c>
      <c r="R172" s="289">
        <f t="shared" si="50"/>
        <v>2424</v>
      </c>
      <c r="S172" s="121">
        <f t="shared" si="53"/>
        <v>2424</v>
      </c>
      <c r="T172" s="135" t="s">
        <v>12</v>
      </c>
      <c r="U172" s="230" t="s">
        <v>12</v>
      </c>
    </row>
    <row r="173" spans="1:21" s="1" customFormat="1" ht="13.5" thickBot="1">
      <c r="A173" s="616"/>
      <c r="B173" s="1282" t="s">
        <v>8</v>
      </c>
      <c r="C173" s="373">
        <f>ROUND(C172*Labor!$D$3,0)</f>
        <v>0</v>
      </c>
      <c r="D173" s="374">
        <f>ROUND(D172*Labor!$D$4,0)</f>
        <v>0</v>
      </c>
      <c r="E173" s="374">
        <f>ROUND(E172*Labor!$D$5,0)</f>
        <v>0</v>
      </c>
      <c r="F173" s="374">
        <f>ROUND(F172*Labor!$D$6,0)</f>
        <v>99</v>
      </c>
      <c r="G173" s="374">
        <f>ROUND(G172*Labor!$D$7,0)</f>
        <v>111</v>
      </c>
      <c r="H173" s="374">
        <f>ROUND(H172*Labor!$D$8,0)</f>
        <v>0</v>
      </c>
      <c r="I173" s="209">
        <f t="shared" si="52"/>
        <v>210</v>
      </c>
      <c r="J173" s="332">
        <f>HLOOKUP(Labor!$B$11,InflationTable,2)*$I173</f>
        <v>251.57999999999998</v>
      </c>
      <c r="K173" s="296">
        <f>J173*$O$6</f>
        <v>152457.47999999998</v>
      </c>
      <c r="L173" s="297">
        <f t="shared" si="48"/>
        <v>152457.47999999998</v>
      </c>
      <c r="M173" s="376">
        <f>HLOOKUP(Labor!$B$11,InflationTable,3)*$I173</f>
        <v>256.83000000000004</v>
      </c>
      <c r="N173" s="377">
        <f>M173*$O$6</f>
        <v>155638.98000000001</v>
      </c>
      <c r="O173" s="378">
        <f t="shared" si="49"/>
        <v>155638.98000000001</v>
      </c>
      <c r="P173" s="332">
        <f>HLOOKUP(Labor!$B$11,InflationTable,4)*$I173</f>
        <v>261.87</v>
      </c>
      <c r="Q173" s="296">
        <f>P173*$O$6</f>
        <v>158693.22</v>
      </c>
      <c r="R173" s="297">
        <f t="shared" si="50"/>
        <v>158693.22</v>
      </c>
      <c r="S173" s="211">
        <f t="shared" si="53"/>
        <v>155596.55999999997</v>
      </c>
      <c r="T173" s="393" t="s">
        <v>12</v>
      </c>
      <c r="U173" s="228" t="s">
        <v>12</v>
      </c>
    </row>
    <row r="174" spans="1:21">
      <c r="A174" s="615"/>
      <c r="B174" s="600" t="s">
        <v>356</v>
      </c>
      <c r="C174" s="23" t="s">
        <v>45</v>
      </c>
      <c r="D174" s="24" t="s">
        <v>46</v>
      </c>
      <c r="E174" s="23" t="s">
        <v>47</v>
      </c>
      <c r="F174" s="23" t="s">
        <v>48</v>
      </c>
      <c r="G174" s="23" t="s">
        <v>49</v>
      </c>
      <c r="H174" s="23" t="s">
        <v>50</v>
      </c>
      <c r="I174" s="45" t="s">
        <v>13</v>
      </c>
      <c r="J174" s="260" t="s">
        <v>56</v>
      </c>
      <c r="K174" s="261" t="s">
        <v>13</v>
      </c>
      <c r="L174" s="262" t="s">
        <v>68</v>
      </c>
      <c r="M174" s="77" t="s">
        <v>56</v>
      </c>
      <c r="N174" s="24" t="s">
        <v>13</v>
      </c>
      <c r="O174" s="38" t="s">
        <v>68</v>
      </c>
      <c r="P174" s="260" t="s">
        <v>56</v>
      </c>
      <c r="Q174" s="261" t="s">
        <v>13</v>
      </c>
      <c r="R174" s="262" t="s">
        <v>68</v>
      </c>
      <c r="S174" s="120"/>
      <c r="T174" s="133"/>
      <c r="U174" s="227"/>
    </row>
    <row r="175" spans="1:21">
      <c r="A175" s="615"/>
      <c r="B175" s="1283" t="s">
        <v>351</v>
      </c>
      <c r="C175" s="21">
        <v>0</v>
      </c>
      <c r="D175" s="21">
        <v>5</v>
      </c>
      <c r="E175" s="21">
        <v>5</v>
      </c>
      <c r="F175" s="21">
        <v>2</v>
      </c>
      <c r="G175" s="21">
        <v>1</v>
      </c>
      <c r="H175" s="21">
        <v>0</v>
      </c>
      <c r="I175" s="52">
        <f t="shared" ref="I175:I182" si="54">SUM(C175:H175)</f>
        <v>13</v>
      </c>
      <c r="J175" s="263">
        <f>$I175</f>
        <v>13</v>
      </c>
      <c r="K175" s="281">
        <f>J175*$O$3</f>
        <v>9529</v>
      </c>
      <c r="L175" s="289">
        <f t="shared" si="48"/>
        <v>9529</v>
      </c>
      <c r="M175" s="1042">
        <f>$I175</f>
        <v>13</v>
      </c>
      <c r="N175" s="69">
        <f>M175*$O$3</f>
        <v>9529</v>
      </c>
      <c r="O175" s="68">
        <f t="shared" si="49"/>
        <v>9529</v>
      </c>
      <c r="P175" s="1037">
        <f>$I175</f>
        <v>13</v>
      </c>
      <c r="Q175" s="281">
        <f>P175*$O$3</f>
        <v>9529</v>
      </c>
      <c r="R175" s="289">
        <f t="shared" si="50"/>
        <v>9529</v>
      </c>
      <c r="S175" s="121">
        <f t="shared" ref="S175:S182" si="55">AVERAGE(L175,O175,R175)</f>
        <v>9529</v>
      </c>
      <c r="T175" s="135" t="s">
        <v>12</v>
      </c>
      <c r="U175" s="230" t="s">
        <v>12</v>
      </c>
    </row>
    <row r="176" spans="1:21" s="1" customFormat="1" ht="13.5" thickBot="1">
      <c r="A176" s="616"/>
      <c r="B176" s="1065" t="s">
        <v>8</v>
      </c>
      <c r="C176" s="373">
        <f>ROUND(C175*Labor!$D$3,0)</f>
        <v>0</v>
      </c>
      <c r="D176" s="374">
        <f>ROUND(D175*Labor!$D$4,0)</f>
        <v>204</v>
      </c>
      <c r="E176" s="374">
        <f>ROUND(E175*Labor!$D$5,0)</f>
        <v>221</v>
      </c>
      <c r="F176" s="374">
        <f>ROUND(F175*Labor!$D$6,0)</f>
        <v>99</v>
      </c>
      <c r="G176" s="374">
        <f>ROUND(G175*Labor!$D$7,0)</f>
        <v>55</v>
      </c>
      <c r="H176" s="374">
        <f>ROUND(H175*Labor!$D$8,0)</f>
        <v>0</v>
      </c>
      <c r="I176" s="209">
        <f t="shared" si="54"/>
        <v>579</v>
      </c>
      <c r="J176" s="332">
        <f>HLOOKUP(Labor!$B$11,InflationTable,2)*$I176</f>
        <v>693.64199999999994</v>
      </c>
      <c r="K176" s="296">
        <f>J176*$O$3</f>
        <v>508439.58599999995</v>
      </c>
      <c r="L176" s="297">
        <f t="shared" si="48"/>
        <v>508439.58599999995</v>
      </c>
      <c r="M176" s="376">
        <f>HLOOKUP(Labor!$B$11,InflationTable,3)*$I176</f>
        <v>708.11700000000008</v>
      </c>
      <c r="N176" s="377">
        <f>M176*$O$3</f>
        <v>519049.76100000006</v>
      </c>
      <c r="O176" s="378">
        <f t="shared" si="49"/>
        <v>519049.76100000006</v>
      </c>
      <c r="P176" s="332">
        <f>HLOOKUP(Labor!$B$11,InflationTable,4)*$I176</f>
        <v>722.01300000000003</v>
      </c>
      <c r="Q176" s="296">
        <f>P176*$O$3</f>
        <v>529235.52899999998</v>
      </c>
      <c r="R176" s="297">
        <f t="shared" si="50"/>
        <v>529235.52899999998</v>
      </c>
      <c r="S176" s="211">
        <f t="shared" si="55"/>
        <v>518908.29200000007</v>
      </c>
      <c r="T176" s="393" t="s">
        <v>12</v>
      </c>
      <c r="U176" s="228" t="s">
        <v>12</v>
      </c>
    </row>
    <row r="177" spans="1:21">
      <c r="A177" s="615"/>
      <c r="B177" s="1281" t="s">
        <v>352</v>
      </c>
      <c r="C177" s="21">
        <v>0</v>
      </c>
      <c r="D177" s="21">
        <v>5</v>
      </c>
      <c r="E177" s="21">
        <v>5</v>
      </c>
      <c r="F177" s="21">
        <v>2</v>
      </c>
      <c r="G177" s="21">
        <v>1</v>
      </c>
      <c r="H177" s="21">
        <v>0</v>
      </c>
      <c r="I177" s="52">
        <f t="shared" si="54"/>
        <v>13</v>
      </c>
      <c r="J177" s="263">
        <f>$I177</f>
        <v>13</v>
      </c>
      <c r="K177" s="281">
        <f>$I$159*($O$4+$O$5)</f>
        <v>3340</v>
      </c>
      <c r="L177" s="289">
        <f t="shared" si="48"/>
        <v>3340</v>
      </c>
      <c r="M177" s="1042">
        <f>$I177</f>
        <v>13</v>
      </c>
      <c r="N177" s="69">
        <f>$I$159*($O$4+$O$5)</f>
        <v>3340</v>
      </c>
      <c r="O177" s="68">
        <f t="shared" si="49"/>
        <v>3340</v>
      </c>
      <c r="P177" s="1037">
        <f>$I177</f>
        <v>13</v>
      </c>
      <c r="Q177" s="281">
        <f>$I$159*($O$4+$O$5)</f>
        <v>3340</v>
      </c>
      <c r="R177" s="289">
        <f t="shared" si="50"/>
        <v>3340</v>
      </c>
      <c r="S177" s="121">
        <f t="shared" si="55"/>
        <v>3340</v>
      </c>
      <c r="T177" s="135" t="s">
        <v>12</v>
      </c>
      <c r="U177" s="230" t="s">
        <v>12</v>
      </c>
    </row>
    <row r="178" spans="1:21" s="1" customFormat="1" ht="13.5" thickBot="1">
      <c r="A178" s="616"/>
      <c r="B178" s="1282" t="s">
        <v>8</v>
      </c>
      <c r="C178" s="373">
        <f>ROUND(C177*Labor!$D$3,0)</f>
        <v>0</v>
      </c>
      <c r="D178" s="374">
        <f>ROUND(D177*Labor!$D$4,0)</f>
        <v>204</v>
      </c>
      <c r="E178" s="374">
        <f>ROUND(E177*Labor!$D$5,0)</f>
        <v>221</v>
      </c>
      <c r="F178" s="374">
        <f>ROUND(F177*Labor!$D$6,0)</f>
        <v>99</v>
      </c>
      <c r="G178" s="374">
        <f>ROUND(G177*Labor!$D$7,0)</f>
        <v>55</v>
      </c>
      <c r="H178" s="374">
        <f>ROUND(H177*Labor!$D$8,0)</f>
        <v>0</v>
      </c>
      <c r="I178" s="209">
        <f t="shared" si="54"/>
        <v>579</v>
      </c>
      <c r="J178" s="332">
        <f>HLOOKUP(Labor!$B$11,InflationTable,2)*$I178</f>
        <v>693.64199999999994</v>
      </c>
      <c r="K178" s="296">
        <f>J178*($O$4+$O$5)</f>
        <v>231676.42799999999</v>
      </c>
      <c r="L178" s="297">
        <f t="shared" si="48"/>
        <v>231676.42799999999</v>
      </c>
      <c r="M178" s="376">
        <f>HLOOKUP(Labor!$B$11,InflationTable,3)*$I178</f>
        <v>708.11700000000008</v>
      </c>
      <c r="N178" s="377">
        <f>M178*($O$4+$O$5)</f>
        <v>236511.07800000004</v>
      </c>
      <c r="O178" s="378">
        <f t="shared" si="49"/>
        <v>236511.07800000004</v>
      </c>
      <c r="P178" s="332">
        <f>HLOOKUP(Labor!$B$11,InflationTable,4)*$I178</f>
        <v>722.01300000000003</v>
      </c>
      <c r="Q178" s="296">
        <f>P178*($O$4+$O$5)</f>
        <v>241152.342</v>
      </c>
      <c r="R178" s="297">
        <f t="shared" si="50"/>
        <v>241152.342</v>
      </c>
      <c r="S178" s="211">
        <f t="shared" si="55"/>
        <v>236446.61600000001</v>
      </c>
      <c r="T178" s="393" t="s">
        <v>12</v>
      </c>
      <c r="U178" s="228" t="s">
        <v>12</v>
      </c>
    </row>
    <row r="179" spans="1:21">
      <c r="A179" s="615"/>
      <c r="B179" s="1281" t="s">
        <v>354</v>
      </c>
      <c r="C179" s="21">
        <v>0</v>
      </c>
      <c r="D179" s="21">
        <v>5</v>
      </c>
      <c r="E179" s="21">
        <v>5</v>
      </c>
      <c r="F179" s="21">
        <v>2</v>
      </c>
      <c r="G179" s="21">
        <v>1</v>
      </c>
      <c r="H179" s="21">
        <v>0</v>
      </c>
      <c r="I179" s="52">
        <f t="shared" si="54"/>
        <v>13</v>
      </c>
      <c r="J179" s="263">
        <f>$I179</f>
        <v>13</v>
      </c>
      <c r="K179" s="281">
        <f>J179*$L$6</f>
        <v>676</v>
      </c>
      <c r="L179" s="289">
        <f t="shared" si="48"/>
        <v>676</v>
      </c>
      <c r="M179" s="1042">
        <f>$I179</f>
        <v>13</v>
      </c>
      <c r="N179" s="69">
        <f>M179*$L$6</f>
        <v>676</v>
      </c>
      <c r="O179" s="68">
        <f t="shared" si="49"/>
        <v>676</v>
      </c>
      <c r="P179" s="1037">
        <f>$I179</f>
        <v>13</v>
      </c>
      <c r="Q179" s="281">
        <f>P179*$L$6</f>
        <v>676</v>
      </c>
      <c r="R179" s="289">
        <f t="shared" si="50"/>
        <v>676</v>
      </c>
      <c r="S179" s="121">
        <f t="shared" si="55"/>
        <v>676</v>
      </c>
      <c r="T179" s="135" t="s">
        <v>12</v>
      </c>
      <c r="U179" s="230" t="s">
        <v>12</v>
      </c>
    </row>
    <row r="180" spans="1:21" s="1" customFormat="1" ht="13.5" thickBot="1">
      <c r="A180" s="616"/>
      <c r="B180" s="1065" t="s">
        <v>8</v>
      </c>
      <c r="C180" s="373">
        <f>ROUND(C179*Labor!$D$3,0)</f>
        <v>0</v>
      </c>
      <c r="D180" s="374">
        <f>ROUND(D179*Labor!$D$4,0)</f>
        <v>204</v>
      </c>
      <c r="E180" s="374">
        <f>ROUND(E179*Labor!$D$5,0)</f>
        <v>221</v>
      </c>
      <c r="F180" s="374">
        <f>ROUND(F179*Labor!$D$6,0)</f>
        <v>99</v>
      </c>
      <c r="G180" s="374">
        <f>ROUND(G179*Labor!$D$7,0)</f>
        <v>55</v>
      </c>
      <c r="H180" s="374">
        <f>ROUND(H179*Labor!$D$8,0)</f>
        <v>0</v>
      </c>
      <c r="I180" s="209">
        <f t="shared" si="54"/>
        <v>579</v>
      </c>
      <c r="J180" s="332">
        <f>HLOOKUP(Labor!$B$11,InflationTable,2)*$I180</f>
        <v>693.64199999999994</v>
      </c>
      <c r="K180" s="296">
        <f>J180*$L$6</f>
        <v>36069.383999999998</v>
      </c>
      <c r="L180" s="297">
        <f t="shared" si="48"/>
        <v>36069.383999999998</v>
      </c>
      <c r="M180" s="376">
        <f>HLOOKUP(Labor!$B$11,InflationTable,3)*$I180</f>
        <v>708.11700000000008</v>
      </c>
      <c r="N180" s="377">
        <f>M180*$L$6</f>
        <v>36822.084000000003</v>
      </c>
      <c r="O180" s="378">
        <f t="shared" si="49"/>
        <v>36822.084000000003</v>
      </c>
      <c r="P180" s="332">
        <f>HLOOKUP(Labor!$B$11,InflationTable,4)*$I180</f>
        <v>722.01300000000003</v>
      </c>
      <c r="Q180" s="296">
        <f>P180*$L$6</f>
        <v>37544.675999999999</v>
      </c>
      <c r="R180" s="297">
        <f t="shared" si="50"/>
        <v>37544.675999999999</v>
      </c>
      <c r="S180" s="211">
        <f t="shared" si="55"/>
        <v>36812.048000000003</v>
      </c>
      <c r="T180" s="393" t="s">
        <v>12</v>
      </c>
      <c r="U180" s="228" t="s">
        <v>12</v>
      </c>
    </row>
    <row r="181" spans="1:21">
      <c r="A181" s="615"/>
      <c r="B181" s="1281" t="s">
        <v>353</v>
      </c>
      <c r="C181" s="21">
        <v>0</v>
      </c>
      <c r="D181" s="21">
        <v>0</v>
      </c>
      <c r="E181" s="21">
        <v>5</v>
      </c>
      <c r="F181" s="21">
        <v>5</v>
      </c>
      <c r="G181" s="21">
        <v>2</v>
      </c>
      <c r="H181" s="21">
        <v>1</v>
      </c>
      <c r="I181" s="52">
        <f t="shared" si="54"/>
        <v>13</v>
      </c>
      <c r="J181" s="263">
        <f>$I181</f>
        <v>13</v>
      </c>
      <c r="K181" s="281">
        <f>J181*$O$6</f>
        <v>7878</v>
      </c>
      <c r="L181" s="289">
        <f t="shared" si="48"/>
        <v>7878</v>
      </c>
      <c r="M181" s="1042">
        <f>$I181</f>
        <v>13</v>
      </c>
      <c r="N181" s="69">
        <f>M181*$O$6</f>
        <v>7878</v>
      </c>
      <c r="O181" s="68">
        <f t="shared" si="49"/>
        <v>7878</v>
      </c>
      <c r="P181" s="1037">
        <f>$I181</f>
        <v>13</v>
      </c>
      <c r="Q181" s="281">
        <f>P181*$O$6</f>
        <v>7878</v>
      </c>
      <c r="R181" s="289">
        <f t="shared" si="50"/>
        <v>7878</v>
      </c>
      <c r="S181" s="121">
        <f t="shared" si="55"/>
        <v>7878</v>
      </c>
      <c r="T181" s="135" t="s">
        <v>12</v>
      </c>
      <c r="U181" s="230" t="s">
        <v>12</v>
      </c>
    </row>
    <row r="182" spans="1:21" s="1" customFormat="1" ht="13.5" thickBot="1">
      <c r="A182" s="616"/>
      <c r="B182" s="1282" t="s">
        <v>8</v>
      </c>
      <c r="C182" s="373">
        <f>ROUND(C181*Labor!$D$3,0)</f>
        <v>0</v>
      </c>
      <c r="D182" s="374">
        <f>ROUND(D181*Labor!$D$4,0)</f>
        <v>0</v>
      </c>
      <c r="E182" s="374">
        <f>ROUND(E181*Labor!$D$5,0)</f>
        <v>221</v>
      </c>
      <c r="F182" s="374">
        <f>ROUND(F181*Labor!$D$6,0)</f>
        <v>246</v>
      </c>
      <c r="G182" s="374">
        <f>ROUND(G181*Labor!$D$7,0)</f>
        <v>111</v>
      </c>
      <c r="H182" s="374">
        <f>ROUND(H181*Labor!$D$8,0)</f>
        <v>59</v>
      </c>
      <c r="I182" s="209">
        <f t="shared" si="54"/>
        <v>637</v>
      </c>
      <c r="J182" s="332">
        <f>HLOOKUP(Labor!$B$11,InflationTable,2)*$I182</f>
        <v>763.12599999999998</v>
      </c>
      <c r="K182" s="296">
        <f>J182*$O$6</f>
        <v>462454.35599999997</v>
      </c>
      <c r="L182" s="297">
        <f t="shared" si="48"/>
        <v>462454.35599999997</v>
      </c>
      <c r="M182" s="376">
        <f>HLOOKUP(Labor!$B$11,InflationTable,3)*$I182</f>
        <v>779.05100000000004</v>
      </c>
      <c r="N182" s="377">
        <f>M182*$O$6</f>
        <v>472104.90600000002</v>
      </c>
      <c r="O182" s="378">
        <f t="shared" si="49"/>
        <v>472104.90600000002</v>
      </c>
      <c r="P182" s="332">
        <f>HLOOKUP(Labor!$B$11,InflationTable,4)*$I182</f>
        <v>794.33900000000006</v>
      </c>
      <c r="Q182" s="296">
        <f>P182*$O$6</f>
        <v>481369.43400000001</v>
      </c>
      <c r="R182" s="297">
        <f t="shared" si="50"/>
        <v>481369.43400000001</v>
      </c>
      <c r="S182" s="211">
        <f t="shared" si="55"/>
        <v>471976.23200000002</v>
      </c>
      <c r="T182" s="393" t="s">
        <v>12</v>
      </c>
      <c r="U182" s="228" t="s">
        <v>12</v>
      </c>
    </row>
    <row r="183" spans="1:21">
      <c r="A183" s="615"/>
      <c r="B183" s="600" t="s">
        <v>357</v>
      </c>
      <c r="C183" s="23" t="s">
        <v>45</v>
      </c>
      <c r="D183" s="24" t="s">
        <v>46</v>
      </c>
      <c r="E183" s="23" t="s">
        <v>47</v>
      </c>
      <c r="F183" s="23" t="s">
        <v>48</v>
      </c>
      <c r="G183" s="23" t="s">
        <v>49</v>
      </c>
      <c r="H183" s="23" t="s">
        <v>50</v>
      </c>
      <c r="I183" s="45" t="s">
        <v>13</v>
      </c>
      <c r="J183" s="260" t="s">
        <v>56</v>
      </c>
      <c r="K183" s="261" t="s">
        <v>13</v>
      </c>
      <c r="L183" s="262" t="s">
        <v>68</v>
      </c>
      <c r="M183" s="77" t="s">
        <v>56</v>
      </c>
      <c r="N183" s="24" t="s">
        <v>13</v>
      </c>
      <c r="O183" s="38" t="s">
        <v>68</v>
      </c>
      <c r="P183" s="260" t="s">
        <v>56</v>
      </c>
      <c r="Q183" s="261" t="s">
        <v>13</v>
      </c>
      <c r="R183" s="262" t="s">
        <v>68</v>
      </c>
      <c r="S183" s="120"/>
      <c r="T183" s="133"/>
      <c r="U183" s="227"/>
    </row>
    <row r="184" spans="1:21">
      <c r="A184" s="615"/>
      <c r="B184" s="1283" t="s">
        <v>351</v>
      </c>
      <c r="C184" s="21">
        <v>0</v>
      </c>
      <c r="D184" s="21">
        <v>0</v>
      </c>
      <c r="E184" s="21">
        <v>3</v>
      </c>
      <c r="F184" s="21">
        <v>2</v>
      </c>
      <c r="G184" s="21">
        <v>1</v>
      </c>
      <c r="H184" s="21">
        <v>0</v>
      </c>
      <c r="I184" s="52">
        <f t="shared" ref="I184:I191" si="56">SUM(C184:H184)</f>
        <v>6</v>
      </c>
      <c r="J184" s="263">
        <f>$I184</f>
        <v>6</v>
      </c>
      <c r="K184" s="281">
        <f>J184*$O$3</f>
        <v>4398</v>
      </c>
      <c r="L184" s="289">
        <f t="shared" si="48"/>
        <v>4398</v>
      </c>
      <c r="M184" s="1042">
        <f>$I184</f>
        <v>6</v>
      </c>
      <c r="N184" s="69">
        <f>M184*$O$3</f>
        <v>4398</v>
      </c>
      <c r="O184" s="68">
        <f t="shared" si="49"/>
        <v>4398</v>
      </c>
      <c r="P184" s="1037">
        <f>$I184</f>
        <v>6</v>
      </c>
      <c r="Q184" s="281">
        <f>P184*$O$3</f>
        <v>4398</v>
      </c>
      <c r="R184" s="289">
        <f t="shared" si="50"/>
        <v>4398</v>
      </c>
      <c r="S184" s="121">
        <f t="shared" ref="S184:S191" si="57">AVERAGE(L184,O184,R184)</f>
        <v>4398</v>
      </c>
      <c r="T184" s="135" t="s">
        <v>12</v>
      </c>
      <c r="U184" s="230" t="s">
        <v>12</v>
      </c>
    </row>
    <row r="185" spans="1:21" s="1" customFormat="1" ht="13.5" thickBot="1">
      <c r="A185" s="616"/>
      <c r="B185" s="1065" t="s">
        <v>8</v>
      </c>
      <c r="C185" s="373">
        <f>ROUND(C184*Labor!$D$3,0)</f>
        <v>0</v>
      </c>
      <c r="D185" s="374">
        <f>ROUND(D184*Labor!$D$4,0)</f>
        <v>0</v>
      </c>
      <c r="E185" s="374">
        <f>ROUND(E184*Labor!$D$5,0)</f>
        <v>132</v>
      </c>
      <c r="F185" s="374">
        <f>ROUND(F184*Labor!$D$6,0)</f>
        <v>99</v>
      </c>
      <c r="G185" s="374">
        <f>ROUND(G184*Labor!$D$7,0)</f>
        <v>55</v>
      </c>
      <c r="H185" s="374">
        <f>ROUND(H184*Labor!$D$8,0)</f>
        <v>0</v>
      </c>
      <c r="I185" s="209">
        <f t="shared" si="56"/>
        <v>286</v>
      </c>
      <c r="J185" s="332">
        <f>HLOOKUP(Labor!$B$11,InflationTable,2)*$I185</f>
        <v>342.62799999999999</v>
      </c>
      <c r="K185" s="296">
        <f>J185*$O$3</f>
        <v>251146.32399999999</v>
      </c>
      <c r="L185" s="297">
        <f t="shared" si="48"/>
        <v>251146.32399999999</v>
      </c>
      <c r="M185" s="376">
        <f>HLOOKUP(Labor!$B$11,InflationTable,3)*$I185</f>
        <v>349.77800000000002</v>
      </c>
      <c r="N185" s="377">
        <f>M185*$O$3</f>
        <v>256387.274</v>
      </c>
      <c r="O185" s="378">
        <f t="shared" si="49"/>
        <v>256387.274</v>
      </c>
      <c r="P185" s="332">
        <f>HLOOKUP(Labor!$B$11,InflationTable,4)*$I185</f>
        <v>356.64200000000005</v>
      </c>
      <c r="Q185" s="296">
        <f>P185*$O$3</f>
        <v>261418.58600000004</v>
      </c>
      <c r="R185" s="297">
        <f t="shared" si="50"/>
        <v>261418.58600000004</v>
      </c>
      <c r="S185" s="211">
        <f t="shared" si="57"/>
        <v>256317.39466666666</v>
      </c>
      <c r="T185" s="393" t="s">
        <v>12</v>
      </c>
      <c r="U185" s="228" t="s">
        <v>12</v>
      </c>
    </row>
    <row r="186" spans="1:21">
      <c r="A186" s="615"/>
      <c r="B186" s="1281" t="s">
        <v>352</v>
      </c>
      <c r="C186" s="21">
        <v>0</v>
      </c>
      <c r="D186" s="21">
        <v>0</v>
      </c>
      <c r="E186" s="21">
        <v>3</v>
      </c>
      <c r="F186" s="21">
        <v>2</v>
      </c>
      <c r="G186" s="21">
        <v>1</v>
      </c>
      <c r="H186" s="21">
        <v>0</v>
      </c>
      <c r="I186" s="52">
        <f t="shared" si="56"/>
        <v>6</v>
      </c>
      <c r="J186" s="263">
        <f>$I186</f>
        <v>6</v>
      </c>
      <c r="K186" s="281">
        <f>$I$159*($O$4+$O$5)</f>
        <v>3340</v>
      </c>
      <c r="L186" s="289">
        <f t="shared" si="48"/>
        <v>3340</v>
      </c>
      <c r="M186" s="1042">
        <f>$I186</f>
        <v>6</v>
      </c>
      <c r="N186" s="69">
        <f>$I$159*($O$4+$O$5)</f>
        <v>3340</v>
      </c>
      <c r="O186" s="68">
        <f t="shared" si="49"/>
        <v>3340</v>
      </c>
      <c r="P186" s="1037">
        <f>$I186</f>
        <v>6</v>
      </c>
      <c r="Q186" s="281">
        <f>$I$159*($O$4+$O$5)</f>
        <v>3340</v>
      </c>
      <c r="R186" s="289">
        <f t="shared" si="50"/>
        <v>3340</v>
      </c>
      <c r="S186" s="121">
        <f t="shared" si="57"/>
        <v>3340</v>
      </c>
      <c r="T186" s="135" t="s">
        <v>12</v>
      </c>
      <c r="U186" s="230" t="s">
        <v>12</v>
      </c>
    </row>
    <row r="187" spans="1:21" s="1" customFormat="1" ht="13.5" thickBot="1">
      <c r="A187" s="616"/>
      <c r="B187" s="1282" t="s">
        <v>8</v>
      </c>
      <c r="C187" s="373">
        <f>ROUND(C186*Labor!$D$3,0)</f>
        <v>0</v>
      </c>
      <c r="D187" s="374">
        <f>ROUND(D186*Labor!$D$4,0)</f>
        <v>0</v>
      </c>
      <c r="E187" s="374">
        <f>ROUND(E186*Labor!$D$5,0)</f>
        <v>132</v>
      </c>
      <c r="F187" s="374">
        <f>ROUND(F186*Labor!$D$6,0)</f>
        <v>99</v>
      </c>
      <c r="G187" s="374">
        <f>ROUND(G186*Labor!$D$7,0)</f>
        <v>55</v>
      </c>
      <c r="H187" s="374">
        <f>ROUND(H186*Labor!$D$8,0)</f>
        <v>0</v>
      </c>
      <c r="I187" s="209">
        <f t="shared" si="56"/>
        <v>286</v>
      </c>
      <c r="J187" s="332">
        <f>HLOOKUP(Labor!$B$11,InflationTable,2)*$I187</f>
        <v>342.62799999999999</v>
      </c>
      <c r="K187" s="296">
        <f>J187*($O$4+$O$5)</f>
        <v>114437.75199999999</v>
      </c>
      <c r="L187" s="297">
        <f t="shared" si="48"/>
        <v>114437.75199999999</v>
      </c>
      <c r="M187" s="376">
        <f>HLOOKUP(Labor!$B$11,InflationTable,3)*$I187</f>
        <v>349.77800000000002</v>
      </c>
      <c r="N187" s="377">
        <f>M187*($O$4+$O$5)</f>
        <v>116825.85200000001</v>
      </c>
      <c r="O187" s="378">
        <f t="shared" si="49"/>
        <v>116825.85200000001</v>
      </c>
      <c r="P187" s="332">
        <f>HLOOKUP(Labor!$B$11,InflationTable,4)*$I187</f>
        <v>356.64200000000005</v>
      </c>
      <c r="Q187" s="296">
        <f>P187*($O$4+$O$5)</f>
        <v>119118.42800000001</v>
      </c>
      <c r="R187" s="297">
        <f t="shared" si="50"/>
        <v>119118.42800000001</v>
      </c>
      <c r="S187" s="211">
        <f t="shared" si="57"/>
        <v>116794.01066666667</v>
      </c>
      <c r="T187" s="393" t="s">
        <v>12</v>
      </c>
      <c r="U187" s="228" t="s">
        <v>12</v>
      </c>
    </row>
    <row r="188" spans="1:21">
      <c r="A188" s="615"/>
      <c r="B188" s="1283" t="s">
        <v>354</v>
      </c>
      <c r="C188" s="21">
        <v>0</v>
      </c>
      <c r="D188" s="21">
        <v>0</v>
      </c>
      <c r="E188" s="21">
        <v>3</v>
      </c>
      <c r="F188" s="21">
        <v>2</v>
      </c>
      <c r="G188" s="21">
        <v>1</v>
      </c>
      <c r="H188" s="21">
        <v>0</v>
      </c>
      <c r="I188" s="52">
        <f t="shared" si="56"/>
        <v>6</v>
      </c>
      <c r="J188" s="263">
        <f>$I188</f>
        <v>6</v>
      </c>
      <c r="K188" s="281">
        <f>J188*$L$6</f>
        <v>312</v>
      </c>
      <c r="L188" s="289">
        <f t="shared" si="48"/>
        <v>312</v>
      </c>
      <c r="M188" s="1042">
        <f>$I188</f>
        <v>6</v>
      </c>
      <c r="N188" s="69">
        <f>M188*$L$6</f>
        <v>312</v>
      </c>
      <c r="O188" s="68">
        <f t="shared" si="49"/>
        <v>312</v>
      </c>
      <c r="P188" s="1037">
        <f>$I188</f>
        <v>6</v>
      </c>
      <c r="Q188" s="281">
        <f>P188*$L$6</f>
        <v>312</v>
      </c>
      <c r="R188" s="289">
        <f t="shared" si="50"/>
        <v>312</v>
      </c>
      <c r="S188" s="121">
        <f t="shared" si="57"/>
        <v>312</v>
      </c>
      <c r="T188" s="135" t="s">
        <v>12</v>
      </c>
      <c r="U188" s="230" t="s">
        <v>12</v>
      </c>
    </row>
    <row r="189" spans="1:21" s="1" customFormat="1" ht="13.5" thickBot="1">
      <c r="A189" s="616"/>
      <c r="B189" s="1282" t="s">
        <v>8</v>
      </c>
      <c r="C189" s="373">
        <f>ROUND(C188*Labor!$D$3,0)</f>
        <v>0</v>
      </c>
      <c r="D189" s="374">
        <f>ROUND(D188*Labor!$D$4,0)</f>
        <v>0</v>
      </c>
      <c r="E189" s="374">
        <f>ROUND(E188*Labor!$D$5,0)</f>
        <v>132</v>
      </c>
      <c r="F189" s="374">
        <f>ROUND(F188*Labor!$D$6,0)</f>
        <v>99</v>
      </c>
      <c r="G189" s="374">
        <f>ROUND(G188*Labor!$D$7,0)</f>
        <v>55</v>
      </c>
      <c r="H189" s="374">
        <f>ROUND(H188*Labor!$D$8,0)</f>
        <v>0</v>
      </c>
      <c r="I189" s="209">
        <f t="shared" si="56"/>
        <v>286</v>
      </c>
      <c r="J189" s="332">
        <f>HLOOKUP(Labor!$B$11,InflationTable,2)*$I189</f>
        <v>342.62799999999999</v>
      </c>
      <c r="K189" s="296">
        <f>J189*$L$6</f>
        <v>17816.655999999999</v>
      </c>
      <c r="L189" s="297">
        <f t="shared" si="48"/>
        <v>17816.655999999999</v>
      </c>
      <c r="M189" s="376">
        <f>HLOOKUP(Labor!$B$11,InflationTable,3)*$I189</f>
        <v>349.77800000000002</v>
      </c>
      <c r="N189" s="377">
        <f>M189*$L$6</f>
        <v>18188.456000000002</v>
      </c>
      <c r="O189" s="378">
        <f t="shared" si="49"/>
        <v>18188.456000000002</v>
      </c>
      <c r="P189" s="332">
        <f>HLOOKUP(Labor!$B$11,InflationTable,4)*$I189</f>
        <v>356.64200000000005</v>
      </c>
      <c r="Q189" s="296">
        <f>P189*$L$6</f>
        <v>18545.384000000002</v>
      </c>
      <c r="R189" s="297">
        <f t="shared" si="50"/>
        <v>18545.384000000002</v>
      </c>
      <c r="S189" s="211">
        <f t="shared" si="57"/>
        <v>18183.498666666666</v>
      </c>
      <c r="T189" s="393" t="s">
        <v>12</v>
      </c>
      <c r="U189" s="228" t="s">
        <v>12</v>
      </c>
    </row>
    <row r="190" spans="1:21">
      <c r="A190" s="615"/>
      <c r="B190" s="1281" t="s">
        <v>353</v>
      </c>
      <c r="C190" s="21">
        <v>0</v>
      </c>
      <c r="D190" s="21">
        <v>0</v>
      </c>
      <c r="E190" s="21">
        <v>3</v>
      </c>
      <c r="F190" s="21">
        <v>2</v>
      </c>
      <c r="G190" s="21">
        <v>1</v>
      </c>
      <c r="H190" s="21">
        <v>0</v>
      </c>
      <c r="I190" s="52">
        <f t="shared" si="56"/>
        <v>6</v>
      </c>
      <c r="J190" s="263">
        <f>$I190</f>
        <v>6</v>
      </c>
      <c r="K190" s="281">
        <f>J190*$O$6</f>
        <v>3636</v>
      </c>
      <c r="L190" s="289">
        <f t="shared" si="48"/>
        <v>3636</v>
      </c>
      <c r="M190" s="1042">
        <f>$I190</f>
        <v>6</v>
      </c>
      <c r="N190" s="69">
        <f>M190*$O$6</f>
        <v>3636</v>
      </c>
      <c r="O190" s="68">
        <f t="shared" si="49"/>
        <v>3636</v>
      </c>
      <c r="P190" s="1037">
        <f>$I190</f>
        <v>6</v>
      </c>
      <c r="Q190" s="281">
        <f>P190*$O$6</f>
        <v>3636</v>
      </c>
      <c r="R190" s="289">
        <f t="shared" si="50"/>
        <v>3636</v>
      </c>
      <c r="S190" s="121">
        <f t="shared" si="57"/>
        <v>3636</v>
      </c>
      <c r="T190" s="135" t="s">
        <v>12</v>
      </c>
      <c r="U190" s="230" t="s">
        <v>12</v>
      </c>
    </row>
    <row r="191" spans="1:21" s="1" customFormat="1" ht="13.5" thickBot="1">
      <c r="A191" s="616"/>
      <c r="B191" s="1282" t="s">
        <v>8</v>
      </c>
      <c r="C191" s="373">
        <f>ROUND(C190*Labor!$D$3,0)</f>
        <v>0</v>
      </c>
      <c r="D191" s="374">
        <f>ROUND(D190*Labor!$D$4,0)</f>
        <v>0</v>
      </c>
      <c r="E191" s="374">
        <f>ROUND(E190*Labor!$D$5,0)</f>
        <v>132</v>
      </c>
      <c r="F191" s="374">
        <f>ROUND(F190*Labor!$D$6,0)</f>
        <v>99</v>
      </c>
      <c r="G191" s="374">
        <f>ROUND(G190*Labor!$D$7,0)</f>
        <v>55</v>
      </c>
      <c r="H191" s="374">
        <f>ROUND(H190*Labor!$D$8,0)</f>
        <v>0</v>
      </c>
      <c r="I191" s="209">
        <f t="shared" si="56"/>
        <v>286</v>
      </c>
      <c r="J191" s="332">
        <f>HLOOKUP(Labor!$B$11,InflationTable,2)*$I191</f>
        <v>342.62799999999999</v>
      </c>
      <c r="K191" s="296">
        <f>J191*$O$6</f>
        <v>207632.568</v>
      </c>
      <c r="L191" s="297">
        <f t="shared" si="48"/>
        <v>207632.568</v>
      </c>
      <c r="M191" s="376">
        <f>HLOOKUP(Labor!$B$11,InflationTable,3)*$I191</f>
        <v>349.77800000000002</v>
      </c>
      <c r="N191" s="377">
        <f>M191*$O$6</f>
        <v>211965.46800000002</v>
      </c>
      <c r="O191" s="378">
        <f t="shared" si="49"/>
        <v>211965.46800000002</v>
      </c>
      <c r="P191" s="332">
        <f>HLOOKUP(Labor!$B$11,InflationTable,4)*$I191</f>
        <v>356.64200000000005</v>
      </c>
      <c r="Q191" s="296">
        <f>P191*$O$6</f>
        <v>216125.05200000003</v>
      </c>
      <c r="R191" s="297">
        <f t="shared" si="50"/>
        <v>216125.05200000003</v>
      </c>
      <c r="S191" s="211">
        <f t="shared" si="57"/>
        <v>211907.696</v>
      </c>
      <c r="T191" s="393" t="s">
        <v>12</v>
      </c>
      <c r="U191" s="228" t="s">
        <v>12</v>
      </c>
    </row>
    <row r="192" spans="1:21">
      <c r="A192" s="615"/>
      <c r="B192" s="1059" t="s">
        <v>106</v>
      </c>
      <c r="C192" s="32"/>
      <c r="D192" s="431" t="s">
        <v>54</v>
      </c>
      <c r="E192" s="28">
        <v>5</v>
      </c>
      <c r="F192" s="7"/>
      <c r="G192" s="5"/>
      <c r="H192" s="5"/>
      <c r="I192" s="109" t="s">
        <v>55</v>
      </c>
      <c r="J192" s="259"/>
      <c r="K192" s="542"/>
      <c r="L192" s="543"/>
      <c r="M192" s="364" t="s">
        <v>55</v>
      </c>
      <c r="N192" s="1431" t="s">
        <v>57</v>
      </c>
      <c r="O192" s="1432"/>
      <c r="P192" s="259" t="s">
        <v>55</v>
      </c>
      <c r="Q192" s="1428" t="s">
        <v>57</v>
      </c>
      <c r="R192" s="1436"/>
      <c r="S192" s="170"/>
      <c r="T192" s="133"/>
      <c r="U192" s="227"/>
    </row>
    <row r="193" spans="1:22">
      <c r="A193" s="615"/>
      <c r="B193" s="1112" t="s">
        <v>51</v>
      </c>
      <c r="C193" s="21">
        <v>0</v>
      </c>
      <c r="D193" s="21">
        <v>0</v>
      </c>
      <c r="E193" s="21">
        <v>5</v>
      </c>
      <c r="F193" s="21">
        <v>5</v>
      </c>
      <c r="G193" s="21">
        <v>5</v>
      </c>
      <c r="H193" s="21">
        <v>0</v>
      </c>
      <c r="I193" s="52">
        <f>SUM(C193:H193)</f>
        <v>15</v>
      </c>
      <c r="J193" s="263" t="s">
        <v>12</v>
      </c>
      <c r="K193" s="283">
        <f>$I193*$I$4</f>
        <v>1995</v>
      </c>
      <c r="L193" s="282">
        <f>K193/$E$192</f>
        <v>399</v>
      </c>
      <c r="M193" s="58" t="s">
        <v>12</v>
      </c>
      <c r="N193" s="60">
        <f>$I193*$I$4</f>
        <v>1995</v>
      </c>
      <c r="O193" s="59">
        <f>N193/$E$192</f>
        <v>399</v>
      </c>
      <c r="P193" s="263" t="s">
        <v>12</v>
      </c>
      <c r="Q193" s="283">
        <f>$I193*$I$4</f>
        <v>1995</v>
      </c>
      <c r="R193" s="282">
        <f>Q193/$E$192</f>
        <v>399</v>
      </c>
      <c r="S193" s="121">
        <f>AVERAGE(L193,O193,R193)</f>
        <v>399</v>
      </c>
      <c r="T193" s="118" t="s">
        <v>12</v>
      </c>
      <c r="U193" s="232" t="s">
        <v>12</v>
      </c>
    </row>
    <row r="194" spans="1:22" ht="13.5" thickBot="1">
      <c r="A194" s="615"/>
      <c r="B194" s="1284" t="s">
        <v>105</v>
      </c>
      <c r="C194" s="34">
        <f>ROUND(C193*Labor!$D$3,0)</f>
        <v>0</v>
      </c>
      <c r="D194" s="35">
        <f>ROUND(D193*Labor!$D$4,0)</f>
        <v>0</v>
      </c>
      <c r="E194" s="35">
        <f>ROUND(E193*Labor!$D$5,0)</f>
        <v>221</v>
      </c>
      <c r="F194" s="35">
        <f>ROUND(F193*Labor!$D$6,0)</f>
        <v>246</v>
      </c>
      <c r="G194" s="35">
        <f>ROUND(G193*Labor!$D$7,0)</f>
        <v>277</v>
      </c>
      <c r="H194" s="35">
        <f>ROUND(H193*Labor!$D$8,0)</f>
        <v>0</v>
      </c>
      <c r="I194" s="39">
        <f>SUM(C194:H194)</f>
        <v>744</v>
      </c>
      <c r="J194" s="268">
        <f>HLOOKUP(Labor!$B$11,InflationTable,2)*I194</f>
        <v>891.31200000000001</v>
      </c>
      <c r="K194" s="269">
        <f>J194*$I$4</f>
        <v>118544.496</v>
      </c>
      <c r="L194" s="270">
        <f>K194/$E$192</f>
        <v>23708.8992</v>
      </c>
      <c r="M194" s="91">
        <f>HLOOKUP(Labor!$B$11,InflationTable,3)*$I194</f>
        <v>909.91200000000003</v>
      </c>
      <c r="N194" s="63">
        <f>M194*$I$4</f>
        <v>121018.296</v>
      </c>
      <c r="O194" s="64">
        <f>N194/$E$192</f>
        <v>24203.659200000002</v>
      </c>
      <c r="P194" s="292">
        <f>HLOOKUP(Labor!$B$11,InflationTable,4)*$I194</f>
        <v>927.76800000000003</v>
      </c>
      <c r="Q194" s="269">
        <f>P194*$I$4</f>
        <v>123393.144</v>
      </c>
      <c r="R194" s="270">
        <f>Q194/$E$192</f>
        <v>24678.628799999999</v>
      </c>
      <c r="S194" s="128">
        <f>AVERAGE(L194,O194,R194)</f>
        <v>24197.062399999999</v>
      </c>
      <c r="T194" s="137" t="s">
        <v>12</v>
      </c>
      <c r="U194" s="519" t="s">
        <v>12</v>
      </c>
    </row>
    <row r="195" spans="1:22">
      <c r="A195" s="615"/>
      <c r="B195" s="1059" t="s">
        <v>29</v>
      </c>
      <c r="C195" s="107" t="s">
        <v>45</v>
      </c>
      <c r="D195" s="108" t="s">
        <v>46</v>
      </c>
      <c r="E195" s="107" t="s">
        <v>47</v>
      </c>
      <c r="F195" s="107" t="s">
        <v>48</v>
      </c>
      <c r="G195" s="107" t="s">
        <v>49</v>
      </c>
      <c r="H195" s="107" t="s">
        <v>50</v>
      </c>
      <c r="I195" s="109" t="s">
        <v>112</v>
      </c>
      <c r="J195" s="351"/>
      <c r="K195" s="352"/>
      <c r="L195" s="356"/>
      <c r="M195" s="110" t="s">
        <v>113</v>
      </c>
      <c r="N195" s="108" t="s">
        <v>13</v>
      </c>
      <c r="O195" s="111" t="s">
        <v>68</v>
      </c>
      <c r="P195" s="351" t="s">
        <v>113</v>
      </c>
      <c r="Q195" s="352" t="s">
        <v>13</v>
      </c>
      <c r="R195" s="356" t="s">
        <v>68</v>
      </c>
      <c r="S195" s="123"/>
      <c r="T195" s="133"/>
      <c r="U195" s="227"/>
    </row>
    <row r="196" spans="1:22">
      <c r="A196" s="615"/>
      <c r="B196" s="1285" t="s">
        <v>51</v>
      </c>
      <c r="C196" s="21">
        <v>0</v>
      </c>
      <c r="D196" s="21">
        <v>0</v>
      </c>
      <c r="E196" s="21">
        <v>0</v>
      </c>
      <c r="F196" s="21">
        <v>5</v>
      </c>
      <c r="G196" s="21">
        <v>5</v>
      </c>
      <c r="H196" s="21">
        <v>5</v>
      </c>
      <c r="I196" s="52">
        <f>SUM(C196:H196)</f>
        <v>15</v>
      </c>
      <c r="J196" s="263" t="s">
        <v>12</v>
      </c>
      <c r="K196" s="314">
        <f>$I196*$I$4</f>
        <v>1995</v>
      </c>
      <c r="L196" s="289">
        <f>K196</f>
        <v>1995</v>
      </c>
      <c r="M196" s="58" t="s">
        <v>12</v>
      </c>
      <c r="N196" s="89">
        <f>$I196*$I$4</f>
        <v>1995</v>
      </c>
      <c r="O196" s="68">
        <f>N196</f>
        <v>1995</v>
      </c>
      <c r="P196" s="263" t="s">
        <v>12</v>
      </c>
      <c r="Q196" s="314">
        <f>$I196*$I$4</f>
        <v>1995</v>
      </c>
      <c r="R196" s="289">
        <f>Q196</f>
        <v>1995</v>
      </c>
      <c r="S196" s="121">
        <f>AVERAGE(L196,O196,R196)</f>
        <v>1995</v>
      </c>
      <c r="T196" s="135" t="s">
        <v>12</v>
      </c>
      <c r="U196" s="230" t="s">
        <v>12</v>
      </c>
    </row>
    <row r="197" spans="1:22" ht="13.5" thickBot="1">
      <c r="A197" s="615"/>
      <c r="B197" s="1113" t="s">
        <v>107</v>
      </c>
      <c r="C197" s="34">
        <f>ROUND(C196*Labor!$D$3,0)</f>
        <v>0</v>
      </c>
      <c r="D197" s="35">
        <f>ROUND(D196*Labor!$D$4,0)</f>
        <v>0</v>
      </c>
      <c r="E197" s="35">
        <f>ROUND(E196*Labor!$D$5,0)</f>
        <v>0</v>
      </c>
      <c r="F197" s="35">
        <f>ROUND(F196*Labor!$D$6,0)</f>
        <v>246</v>
      </c>
      <c r="G197" s="35">
        <f>ROUND(G196*Labor!$D$7,0)</f>
        <v>277</v>
      </c>
      <c r="H197" s="35">
        <f>ROUND(H196*Labor!$D$8,0)</f>
        <v>293</v>
      </c>
      <c r="I197" s="39">
        <f>SUM(C197:H197)</f>
        <v>816</v>
      </c>
      <c r="J197" s="268">
        <f>HLOOKUP(Labor!$B$11,InflationTable,2)*I197</f>
        <v>977.56799999999998</v>
      </c>
      <c r="K197" s="269">
        <f>J197*$I$4</f>
        <v>130016.54399999999</v>
      </c>
      <c r="L197" s="308">
        <f>K197/$E$192</f>
        <v>26003.308799999999</v>
      </c>
      <c r="M197" s="362">
        <f>HLOOKUP(Labor!$B$11,InflationTable,3)*$I197</f>
        <v>997.96800000000007</v>
      </c>
      <c r="N197" s="63">
        <f>M197*$I$4</f>
        <v>132729.74400000001</v>
      </c>
      <c r="O197" s="95">
        <f>N197/$E$192</f>
        <v>26545.948800000002</v>
      </c>
      <c r="P197" s="268">
        <f>HLOOKUP(Labor!$B$11,InflationTable,4)*$I197</f>
        <v>1017.5520000000001</v>
      </c>
      <c r="Q197" s="269">
        <f>P197*$I$4</f>
        <v>135334.41600000003</v>
      </c>
      <c r="R197" s="308">
        <f>Q197/$E$192</f>
        <v>27066.883200000004</v>
      </c>
      <c r="S197" s="171">
        <f>AVERAGE(L197,O197,R197)</f>
        <v>26538.713599999999</v>
      </c>
      <c r="T197" s="137" t="s">
        <v>12</v>
      </c>
      <c r="U197" s="519" t="s">
        <v>12</v>
      </c>
    </row>
    <row r="198" spans="1:22">
      <c r="A198" s="615"/>
      <c r="B198" s="605" t="s">
        <v>66</v>
      </c>
      <c r="C198" s="42">
        <f t="shared" ref="C198:I199" si="58">C157+C159+C161+C163+C166+C168+C170+C172+C175+C177+C179+C181+C184+C186+C188+C190+C193+C196</f>
        <v>0</v>
      </c>
      <c r="D198" s="42">
        <f t="shared" si="58"/>
        <v>24</v>
      </c>
      <c r="E198" s="42">
        <f t="shared" si="58"/>
        <v>60</v>
      </c>
      <c r="F198" s="42">
        <f t="shared" si="58"/>
        <v>45</v>
      </c>
      <c r="G198" s="42">
        <f t="shared" si="58"/>
        <v>27</v>
      </c>
      <c r="H198" s="42">
        <f t="shared" si="58"/>
        <v>6</v>
      </c>
      <c r="I198" s="1378">
        <f t="shared" si="58"/>
        <v>162</v>
      </c>
      <c r="J198" s="1377">
        <f t="shared" ref="J198:R198" si="59">J157+J159+J161+J163+J166+J168+J170+J172+J175+J177+J179+J181+J184+J186+J188+J190</f>
        <v>132</v>
      </c>
      <c r="K198" s="285">
        <f t="shared" si="59"/>
        <v>59263</v>
      </c>
      <c r="L198" s="312">
        <f t="shared" si="59"/>
        <v>59263</v>
      </c>
      <c r="M198" s="1379">
        <f t="shared" si="59"/>
        <v>132</v>
      </c>
      <c r="N198" s="33">
        <f t="shared" si="59"/>
        <v>59263</v>
      </c>
      <c r="O198" s="99">
        <f t="shared" si="59"/>
        <v>59263</v>
      </c>
      <c r="P198" s="1379">
        <f t="shared" si="59"/>
        <v>132</v>
      </c>
      <c r="Q198" s="33">
        <f t="shared" si="59"/>
        <v>59263</v>
      </c>
      <c r="R198" s="33">
        <f t="shared" si="59"/>
        <v>59263</v>
      </c>
      <c r="S198" s="150">
        <f>AVERAGE(L198,O198,R198)</f>
        <v>59263</v>
      </c>
      <c r="T198" s="1381" t="s">
        <v>12</v>
      </c>
      <c r="U198" s="1382" t="s">
        <v>12</v>
      </c>
    </row>
    <row r="199" spans="1:22" ht="13.5" thickBot="1">
      <c r="A199" s="615"/>
      <c r="B199" s="606" t="s">
        <v>67</v>
      </c>
      <c r="C199" s="711">
        <f t="shared" si="58"/>
        <v>0</v>
      </c>
      <c r="D199" s="711">
        <f t="shared" si="58"/>
        <v>981</v>
      </c>
      <c r="E199" s="711">
        <f t="shared" si="58"/>
        <v>2649</v>
      </c>
      <c r="F199" s="711">
        <f t="shared" si="58"/>
        <v>2223</v>
      </c>
      <c r="G199" s="711">
        <f t="shared" si="58"/>
        <v>1494</v>
      </c>
      <c r="H199" s="711">
        <f t="shared" si="58"/>
        <v>352</v>
      </c>
      <c r="I199" s="1370">
        <f t="shared" si="58"/>
        <v>7699</v>
      </c>
      <c r="J199" s="1369">
        <f>J158+J160+J162+J164+J167+J169+J171+J173+J176+J178+J180+J182+J185+J187+J189+J191+J194+J197</f>
        <v>9223.4019999999982</v>
      </c>
      <c r="K199" s="942">
        <f>K158+K160+K162+K164+K167+K169+K171+K173+K176+K178+K180+K182+K185+K187+K189+K191+K194+K197+K154+K153</f>
        <v>3637828.8299999996</v>
      </c>
      <c r="L199" s="1368">
        <f>L158+L160+L162+L164+L167+L169+L171+L173+L176+L178+L180+L182+L185+L187+L189+L191+L194+L197+L154+L153</f>
        <v>3238753.123714285</v>
      </c>
      <c r="M199" s="1367">
        <f>M158+M160+M162+M164+M167+M169+M171+M173+M176+M178+M180+M182+M185+M187+M189+M191+M194+M197</f>
        <v>9415.8770000000022</v>
      </c>
      <c r="N199" s="711">
        <f>N158+N160+N162+N164+N167+N169+N171+N173+N176+N178+N180+N182+N185+N187+N189+N191+N194+N197+N154+N153</f>
        <v>3713743.4550000001</v>
      </c>
      <c r="O199" s="1370">
        <f>O158+O160+O162+O164+O167+O169+O171+O173+O176+O178+O180+O182+O185+O187+O189+O191+O194+O197+O154+O153</f>
        <v>3306339.791571429</v>
      </c>
      <c r="P199" s="1367">
        <f>P158+P160+P162+P164+P167+P169+P171+P173+P176+P178+P180+P182+P185+P187+P189+P191+P194+P197</f>
        <v>9600.6529999999984</v>
      </c>
      <c r="Q199" s="711">
        <f>Q158+Q160+Q162+Q164+Q167+Q169+Q171+Q173+Q176+Q178+Q180+Q182+Q185+Q187+Q189+Q191+Q194+Q197+Q154+Q153</f>
        <v>3786621.4950000006</v>
      </c>
      <c r="R199" s="1384">
        <f>R158+R160+R162+R164+R167+R169+R171+R173+R176+R178+R180+R182+R185+R187+R189+R191+R194+R197+R154+R153</f>
        <v>3371222.9927142863</v>
      </c>
      <c r="S199" s="1380">
        <f>SUM(S151:S197)</f>
        <v>3361085.3559999997</v>
      </c>
      <c r="T199" s="1229">
        <f>SUM(T151:T197)</f>
        <v>0</v>
      </c>
      <c r="U199" s="1263">
        <f>SUM(U151:U197)</f>
        <v>6010.2800000000007</v>
      </c>
    </row>
    <row r="200" spans="1:22" ht="14.25" thickTop="1" thickBot="1">
      <c r="B200" s="618"/>
      <c r="C200" s="618"/>
      <c r="D200" s="618"/>
      <c r="E200" s="618"/>
      <c r="F200" s="618"/>
      <c r="G200" s="618"/>
      <c r="H200" s="618"/>
      <c r="I200" s="618"/>
      <c r="J200" s="618"/>
      <c r="K200" s="618"/>
      <c r="L200" s="618"/>
      <c r="M200" s="1231"/>
      <c r="N200" s="1231"/>
      <c r="O200" s="1231"/>
      <c r="P200" s="618"/>
      <c r="Q200" s="618"/>
      <c r="R200" s="618"/>
      <c r="S200" s="618"/>
      <c r="T200" s="618"/>
      <c r="U200" s="618"/>
      <c r="V200" s="5"/>
    </row>
    <row r="201" spans="1:22" ht="16.5" thickTop="1">
      <c r="A201" s="615"/>
      <c r="B201" s="181" t="s">
        <v>30</v>
      </c>
      <c r="C201" s="5"/>
      <c r="D201" s="5"/>
      <c r="E201" s="5"/>
      <c r="F201" s="112" t="s">
        <v>6</v>
      </c>
      <c r="G201" s="1412"/>
      <c r="H201" s="1413"/>
      <c r="I201" s="1414"/>
      <c r="J201" s="181" t="s">
        <v>30</v>
      </c>
      <c r="K201" s="426"/>
      <c r="L201" s="67"/>
      <c r="M201" s="181" t="s">
        <v>30</v>
      </c>
      <c r="N201" s="426"/>
      <c r="O201" s="67"/>
      <c r="P201" s="181" t="s">
        <v>30</v>
      </c>
      <c r="Q201" s="319"/>
      <c r="R201" s="180"/>
      <c r="S201" s="225"/>
      <c r="T201" s="133"/>
      <c r="U201" s="508"/>
    </row>
    <row r="202" spans="1:22">
      <c r="A202" s="615"/>
      <c r="B202" s="72"/>
      <c r="C202" s="5"/>
      <c r="D202" s="5"/>
      <c r="E202" s="5"/>
      <c r="F202" s="7"/>
      <c r="G202" s="5"/>
      <c r="H202" s="5"/>
      <c r="I202" s="45" t="s">
        <v>61</v>
      </c>
      <c r="J202" s="277" t="s">
        <v>61</v>
      </c>
      <c r="K202" s="1419" t="s">
        <v>57</v>
      </c>
      <c r="L202" s="1420"/>
      <c r="M202" s="57" t="s">
        <v>61</v>
      </c>
      <c r="N202" s="1429" t="s">
        <v>57</v>
      </c>
      <c r="O202" s="1433"/>
      <c r="P202" s="318" t="s">
        <v>61</v>
      </c>
      <c r="Q202" s="1428" t="s">
        <v>57</v>
      </c>
      <c r="R202" s="1436"/>
      <c r="S202" s="131"/>
      <c r="T202" s="133"/>
      <c r="U202" s="227"/>
    </row>
    <row r="203" spans="1:22">
      <c r="A203" s="615"/>
      <c r="B203" s="611" t="s">
        <v>21</v>
      </c>
      <c r="C203" s="23" t="s">
        <v>45</v>
      </c>
      <c r="D203" s="24" t="s">
        <v>46</v>
      </c>
      <c r="E203" s="23" t="s">
        <v>47</v>
      </c>
      <c r="F203" s="23" t="s">
        <v>48</v>
      </c>
      <c r="G203" s="23" t="s">
        <v>49</v>
      </c>
      <c r="H203" s="23" t="s">
        <v>50</v>
      </c>
      <c r="I203" s="45" t="s">
        <v>13</v>
      </c>
      <c r="J203" s="260" t="s">
        <v>56</v>
      </c>
      <c r="K203" s="261" t="s">
        <v>13</v>
      </c>
      <c r="L203" s="262" t="s">
        <v>68</v>
      </c>
      <c r="M203" s="77" t="s">
        <v>56</v>
      </c>
      <c r="N203" s="24" t="s">
        <v>13</v>
      </c>
      <c r="O203" s="38" t="s">
        <v>68</v>
      </c>
      <c r="P203" s="260" t="s">
        <v>56</v>
      </c>
      <c r="Q203" s="261" t="s">
        <v>13</v>
      </c>
      <c r="R203" s="262" t="s">
        <v>68</v>
      </c>
      <c r="S203" s="123"/>
      <c r="T203" s="198"/>
      <c r="U203" s="517"/>
    </row>
    <row r="204" spans="1:22">
      <c r="A204" s="615"/>
      <c r="B204" s="1280" t="s">
        <v>340</v>
      </c>
      <c r="C204" s="21">
        <v>0</v>
      </c>
      <c r="D204" s="21">
        <v>6</v>
      </c>
      <c r="E204" s="21">
        <v>3</v>
      </c>
      <c r="F204" s="21">
        <v>3</v>
      </c>
      <c r="G204" s="21">
        <v>0</v>
      </c>
      <c r="H204" s="21">
        <v>0</v>
      </c>
      <c r="I204" s="52">
        <f t="shared" ref="I204:I213" si="60">SUM(C204:H204)</f>
        <v>12</v>
      </c>
      <c r="J204" s="263" t="s">
        <v>12</v>
      </c>
      <c r="K204" s="281">
        <f>$I204*$O$3</f>
        <v>8796</v>
      </c>
      <c r="L204" s="289">
        <f t="shared" ref="L204:L213" si="61">K204</f>
        <v>8796</v>
      </c>
      <c r="M204" s="58" t="s">
        <v>12</v>
      </c>
      <c r="N204" s="69">
        <f>$I204*$O$3</f>
        <v>8796</v>
      </c>
      <c r="O204" s="68">
        <f t="shared" ref="O204:O213" si="62">N204</f>
        <v>8796</v>
      </c>
      <c r="P204" s="263" t="s">
        <v>12</v>
      </c>
      <c r="Q204" s="281">
        <f>$I204*$O$3</f>
        <v>8796</v>
      </c>
      <c r="R204" s="289">
        <f t="shared" ref="R204:R213" si="63">Q204</f>
        <v>8796</v>
      </c>
      <c r="S204" s="173">
        <f t="shared" ref="S204:S213" si="64">AVERAGE(L204,O204,R204)</f>
        <v>8796</v>
      </c>
      <c r="T204" s="135" t="s">
        <v>12</v>
      </c>
      <c r="U204" s="230" t="s">
        <v>12</v>
      </c>
    </row>
    <row r="205" spans="1:22" s="1" customFormat="1" ht="13.5" thickBot="1">
      <c r="A205" s="616"/>
      <c r="B205" s="1070" t="s">
        <v>8</v>
      </c>
      <c r="C205" s="373">
        <f>ROUND(C204*Labor!$D$3,0)</f>
        <v>0</v>
      </c>
      <c r="D205" s="374">
        <f>ROUND(D204*Labor!$D$4,0)</f>
        <v>245</v>
      </c>
      <c r="E205" s="374">
        <f>ROUND(E204*Labor!$D$5,0)</f>
        <v>132</v>
      </c>
      <c r="F205" s="374">
        <f>ROUND(F204*Labor!$D$6,0)</f>
        <v>148</v>
      </c>
      <c r="G205" s="374">
        <f>ROUND(G204*Labor!$D$7,0)</f>
        <v>0</v>
      </c>
      <c r="H205" s="374">
        <f>ROUND(H204*Labor!$D$8,0)</f>
        <v>0</v>
      </c>
      <c r="I205" s="209">
        <f t="shared" si="60"/>
        <v>525</v>
      </c>
      <c r="J205" s="332">
        <f>HLOOKUP(Labor!$B$11,InflationTable,2)*$I205</f>
        <v>628.94999999999993</v>
      </c>
      <c r="K205" s="384">
        <f>J205*$O$3</f>
        <v>461020.35</v>
      </c>
      <c r="L205" s="297">
        <f t="shared" si="61"/>
        <v>461020.35</v>
      </c>
      <c r="M205" s="376">
        <f>HLOOKUP(Labor!$B$11,InflationTable,3)*$I205</f>
        <v>642.07500000000005</v>
      </c>
      <c r="N205" s="387">
        <f>M205*$O$3</f>
        <v>470640.97500000003</v>
      </c>
      <c r="O205" s="378">
        <f t="shared" si="62"/>
        <v>470640.97500000003</v>
      </c>
      <c r="P205" s="332">
        <f>HLOOKUP(Labor!$B$11,InflationTable,4)*$I205</f>
        <v>654.67500000000007</v>
      </c>
      <c r="Q205" s="384">
        <f>P205*$O$3</f>
        <v>479876.77500000002</v>
      </c>
      <c r="R205" s="297">
        <f t="shared" si="63"/>
        <v>479876.77500000002</v>
      </c>
      <c r="S205" s="450">
        <f t="shared" si="64"/>
        <v>470512.7</v>
      </c>
      <c r="T205" s="393" t="s">
        <v>12</v>
      </c>
      <c r="U205" s="228" t="s">
        <v>12</v>
      </c>
    </row>
    <row r="206" spans="1:22">
      <c r="A206" s="615"/>
      <c r="B206" s="1069" t="s">
        <v>339</v>
      </c>
      <c r="C206" s="21">
        <v>0</v>
      </c>
      <c r="D206" s="21">
        <v>6</v>
      </c>
      <c r="E206" s="21">
        <v>3</v>
      </c>
      <c r="F206" s="21">
        <v>3</v>
      </c>
      <c r="G206" s="21">
        <v>0</v>
      </c>
      <c r="H206" s="21">
        <v>0</v>
      </c>
      <c r="I206" s="52">
        <f t="shared" si="60"/>
        <v>12</v>
      </c>
      <c r="J206" s="263" t="s">
        <v>12</v>
      </c>
      <c r="K206" s="281">
        <f>$I206*$O$4</f>
        <v>1728</v>
      </c>
      <c r="L206" s="289">
        <f t="shared" si="61"/>
        <v>1728</v>
      </c>
      <c r="M206" s="58" t="s">
        <v>12</v>
      </c>
      <c r="N206" s="69">
        <f>$I206*$O$4</f>
        <v>1728</v>
      </c>
      <c r="O206" s="68">
        <f t="shared" si="62"/>
        <v>1728</v>
      </c>
      <c r="P206" s="263" t="s">
        <v>12</v>
      </c>
      <c r="Q206" s="281">
        <f>$I206*$O$4</f>
        <v>1728</v>
      </c>
      <c r="R206" s="289">
        <f t="shared" si="63"/>
        <v>1728</v>
      </c>
      <c r="S206" s="173">
        <f t="shared" si="64"/>
        <v>1728</v>
      </c>
      <c r="T206" s="135" t="s">
        <v>12</v>
      </c>
      <c r="U206" s="230" t="s">
        <v>12</v>
      </c>
    </row>
    <row r="207" spans="1:22" s="1" customFormat="1" ht="13.5" thickBot="1">
      <c r="A207" s="616"/>
      <c r="B207" s="1070" t="s">
        <v>8</v>
      </c>
      <c r="C207" s="373">
        <f>ROUND(C206*Labor!$D$3,0)</f>
        <v>0</v>
      </c>
      <c r="D207" s="374">
        <f>ROUND(D206*Labor!$D$4,0)</f>
        <v>245</v>
      </c>
      <c r="E207" s="374">
        <f>ROUND(E206*Labor!$D$5,0)</f>
        <v>132</v>
      </c>
      <c r="F207" s="374">
        <f>ROUND(F206*Labor!$D$6,0)</f>
        <v>148</v>
      </c>
      <c r="G207" s="374">
        <f>ROUND(G206*Labor!$D$7,0)</f>
        <v>0</v>
      </c>
      <c r="H207" s="374">
        <f>ROUND(H206*Labor!$D$8,0)</f>
        <v>0</v>
      </c>
      <c r="I207" s="209">
        <f t="shared" si="60"/>
        <v>525</v>
      </c>
      <c r="J207" s="332">
        <f>HLOOKUP(Labor!$B$11,InflationTable,2)*$I207</f>
        <v>628.94999999999993</v>
      </c>
      <c r="K207" s="296">
        <f>J207*$O$4</f>
        <v>90568.799999999988</v>
      </c>
      <c r="L207" s="297">
        <f t="shared" si="61"/>
        <v>90568.799999999988</v>
      </c>
      <c r="M207" s="376">
        <f>HLOOKUP(Labor!$B$11,InflationTable,3)*$I207</f>
        <v>642.07500000000005</v>
      </c>
      <c r="N207" s="377">
        <f>M207*$O$4</f>
        <v>92458.8</v>
      </c>
      <c r="O207" s="378">
        <f t="shared" si="62"/>
        <v>92458.8</v>
      </c>
      <c r="P207" s="332">
        <f>HLOOKUP(Labor!$B$11,InflationTable,4)*$I207</f>
        <v>654.67500000000007</v>
      </c>
      <c r="Q207" s="296">
        <f>P207*$O$4</f>
        <v>94273.200000000012</v>
      </c>
      <c r="R207" s="297">
        <f t="shared" si="63"/>
        <v>94273.200000000012</v>
      </c>
      <c r="S207" s="450">
        <f t="shared" si="64"/>
        <v>92433.599999999991</v>
      </c>
      <c r="T207" s="393" t="s">
        <v>12</v>
      </c>
      <c r="U207" s="228" t="s">
        <v>12</v>
      </c>
    </row>
    <row r="208" spans="1:22">
      <c r="A208" s="615"/>
      <c r="B208" s="1069" t="s">
        <v>341</v>
      </c>
      <c r="C208" s="21">
        <v>0</v>
      </c>
      <c r="D208" s="21">
        <v>6</v>
      </c>
      <c r="E208" s="21">
        <v>3</v>
      </c>
      <c r="F208" s="21">
        <v>3</v>
      </c>
      <c r="G208" s="21">
        <v>0</v>
      </c>
      <c r="H208" s="21">
        <v>0</v>
      </c>
      <c r="I208" s="52">
        <f t="shared" si="60"/>
        <v>12</v>
      </c>
      <c r="J208" s="263" t="s">
        <v>12</v>
      </c>
      <c r="K208" s="281">
        <f>$I208*$L$6</f>
        <v>624</v>
      </c>
      <c r="L208" s="289">
        <f t="shared" si="61"/>
        <v>624</v>
      </c>
      <c r="M208" s="58" t="s">
        <v>12</v>
      </c>
      <c r="N208" s="69">
        <f>$I208*$L$6</f>
        <v>624</v>
      </c>
      <c r="O208" s="68">
        <f t="shared" si="62"/>
        <v>624</v>
      </c>
      <c r="P208" s="263" t="s">
        <v>12</v>
      </c>
      <c r="Q208" s="281">
        <f>$I208*$L$6</f>
        <v>624</v>
      </c>
      <c r="R208" s="289">
        <f t="shared" si="63"/>
        <v>624</v>
      </c>
      <c r="S208" s="173">
        <f t="shared" si="64"/>
        <v>624</v>
      </c>
      <c r="T208" s="135" t="s">
        <v>12</v>
      </c>
      <c r="U208" s="230" t="s">
        <v>12</v>
      </c>
    </row>
    <row r="209" spans="1:21" s="1" customFormat="1" ht="13.5" thickBot="1">
      <c r="A209" s="616"/>
      <c r="B209" s="1070" t="s">
        <v>8</v>
      </c>
      <c r="C209" s="373">
        <f>ROUND(C208*Labor!$D$3,0)</f>
        <v>0</v>
      </c>
      <c r="D209" s="374">
        <f>ROUND(D208*Labor!$D$4,0)</f>
        <v>245</v>
      </c>
      <c r="E209" s="374">
        <f>ROUND(E208*Labor!$D$5,0)</f>
        <v>132</v>
      </c>
      <c r="F209" s="374">
        <f>ROUND(F208*Labor!$D$6,0)</f>
        <v>148</v>
      </c>
      <c r="G209" s="374">
        <f>ROUND(G208*Labor!$D$7,0)</f>
        <v>0</v>
      </c>
      <c r="H209" s="374">
        <f>ROUND(H208*Labor!$D$8,0)</f>
        <v>0</v>
      </c>
      <c r="I209" s="209">
        <f t="shared" si="60"/>
        <v>525</v>
      </c>
      <c r="J209" s="332">
        <f>HLOOKUP(Labor!$B$11,InflationTable,2)*$I209</f>
        <v>628.94999999999993</v>
      </c>
      <c r="K209" s="296">
        <f>J209*$L$6</f>
        <v>32705.399999999998</v>
      </c>
      <c r="L209" s="297">
        <f t="shared" si="61"/>
        <v>32705.399999999998</v>
      </c>
      <c r="M209" s="376">
        <f>HLOOKUP(Labor!$B$11,InflationTable,3)*$I209</f>
        <v>642.07500000000005</v>
      </c>
      <c r="N209" s="377">
        <f>M209*$L$6</f>
        <v>33387.9</v>
      </c>
      <c r="O209" s="378">
        <f t="shared" si="62"/>
        <v>33387.9</v>
      </c>
      <c r="P209" s="332">
        <f>HLOOKUP(Labor!$B$11,InflationTable,4)*$I209</f>
        <v>654.67500000000007</v>
      </c>
      <c r="Q209" s="296">
        <f>P209*$L$6</f>
        <v>34043.100000000006</v>
      </c>
      <c r="R209" s="297">
        <f t="shared" si="63"/>
        <v>34043.100000000006</v>
      </c>
      <c r="S209" s="450">
        <f t="shared" si="64"/>
        <v>33378.800000000003</v>
      </c>
      <c r="T209" s="393" t="s">
        <v>12</v>
      </c>
      <c r="U209" s="228" t="s">
        <v>12</v>
      </c>
    </row>
    <row r="210" spans="1:21">
      <c r="A210" s="615"/>
      <c r="B210" s="1069" t="s">
        <v>343</v>
      </c>
      <c r="C210" s="21">
        <v>0</v>
      </c>
      <c r="D210" s="21">
        <v>0</v>
      </c>
      <c r="E210" s="21">
        <v>0</v>
      </c>
      <c r="F210" s="21">
        <v>12</v>
      </c>
      <c r="G210" s="21">
        <v>24</v>
      </c>
      <c r="H210" s="21">
        <v>0</v>
      </c>
      <c r="I210" s="52">
        <f t="shared" si="60"/>
        <v>36</v>
      </c>
      <c r="J210" s="263" t="s">
        <v>12</v>
      </c>
      <c r="K210" s="281">
        <f>$I210*$O$6</f>
        <v>21816</v>
      </c>
      <c r="L210" s="289">
        <f t="shared" si="61"/>
        <v>21816</v>
      </c>
      <c r="M210" s="58" t="s">
        <v>12</v>
      </c>
      <c r="N210" s="69">
        <f>$I210*$O$6</f>
        <v>21816</v>
      </c>
      <c r="O210" s="68">
        <f t="shared" si="62"/>
        <v>21816</v>
      </c>
      <c r="P210" s="263" t="s">
        <v>12</v>
      </c>
      <c r="Q210" s="281">
        <f>$I210*$O$6</f>
        <v>21816</v>
      </c>
      <c r="R210" s="289">
        <f t="shared" si="63"/>
        <v>21816</v>
      </c>
      <c r="S210" s="173">
        <f t="shared" si="64"/>
        <v>21816</v>
      </c>
      <c r="T210" s="135" t="s">
        <v>12</v>
      </c>
      <c r="U210" s="230" t="s">
        <v>12</v>
      </c>
    </row>
    <row r="211" spans="1:21" s="1" customFormat="1" ht="13.5" thickBot="1">
      <c r="A211" s="616"/>
      <c r="B211" s="1070" t="s">
        <v>8</v>
      </c>
      <c r="C211" s="373">
        <f>ROUND(C210*Labor!$D$3,0)</f>
        <v>0</v>
      </c>
      <c r="D211" s="374">
        <f>ROUND(D210*Labor!$D$4,0)</f>
        <v>0</v>
      </c>
      <c r="E211" s="374">
        <f>ROUND(E210*Labor!$D$5,0)</f>
        <v>0</v>
      </c>
      <c r="F211" s="374">
        <f>ROUND(F210*Labor!$D$6,0)</f>
        <v>591</v>
      </c>
      <c r="G211" s="374">
        <f>ROUND(G210*Labor!$D$7,0)</f>
        <v>1331</v>
      </c>
      <c r="H211" s="374">
        <f>ROUND(H210*Labor!$D$8,0)</f>
        <v>0</v>
      </c>
      <c r="I211" s="209">
        <f t="shared" si="60"/>
        <v>1922</v>
      </c>
      <c r="J211" s="332">
        <f>HLOOKUP(Labor!$B$11,InflationTable,2)*$I211</f>
        <v>2302.556</v>
      </c>
      <c r="K211" s="296">
        <f>J211*$O$6</f>
        <v>1395348.936</v>
      </c>
      <c r="L211" s="297">
        <f t="shared" si="61"/>
        <v>1395348.936</v>
      </c>
      <c r="M211" s="376">
        <f>HLOOKUP(Labor!$B$11,InflationTable,3)*$I211</f>
        <v>2350.6060000000002</v>
      </c>
      <c r="N211" s="377">
        <f>M211*$O$6</f>
        <v>1424467.236</v>
      </c>
      <c r="O211" s="378">
        <f t="shared" si="62"/>
        <v>1424467.236</v>
      </c>
      <c r="P211" s="332">
        <f>HLOOKUP(Labor!$B$11,InflationTable,4)*$I211</f>
        <v>2396.7340000000004</v>
      </c>
      <c r="Q211" s="296">
        <f>P211*$O$6</f>
        <v>1452420.8040000002</v>
      </c>
      <c r="R211" s="297">
        <f t="shared" si="63"/>
        <v>1452420.8040000002</v>
      </c>
      <c r="S211" s="450">
        <f t="shared" si="64"/>
        <v>1424078.9920000003</v>
      </c>
      <c r="T211" s="393" t="s">
        <v>12</v>
      </c>
      <c r="U211" s="228" t="s">
        <v>12</v>
      </c>
    </row>
    <row r="212" spans="1:21">
      <c r="A212" s="615"/>
      <c r="B212" s="1069" t="s">
        <v>342</v>
      </c>
      <c r="C212" s="21">
        <v>0</v>
      </c>
      <c r="D212" s="21">
        <v>0</v>
      </c>
      <c r="E212" s="21">
        <v>0</v>
      </c>
      <c r="F212" s="21">
        <v>7</v>
      </c>
      <c r="G212" s="21">
        <v>7</v>
      </c>
      <c r="H212" s="21">
        <v>0</v>
      </c>
      <c r="I212" s="52">
        <f t="shared" si="60"/>
        <v>14</v>
      </c>
      <c r="J212" s="263" t="s">
        <v>12</v>
      </c>
      <c r="K212" s="281">
        <f>$I212*$O$7</f>
        <v>2772</v>
      </c>
      <c r="L212" s="289">
        <f t="shared" si="61"/>
        <v>2772</v>
      </c>
      <c r="M212" s="58" t="s">
        <v>12</v>
      </c>
      <c r="N212" s="69">
        <f>$I212*$O$7</f>
        <v>2772</v>
      </c>
      <c r="O212" s="68">
        <f t="shared" si="62"/>
        <v>2772</v>
      </c>
      <c r="P212" s="263" t="s">
        <v>12</v>
      </c>
      <c r="Q212" s="281">
        <f>$I212*$O$7</f>
        <v>2772</v>
      </c>
      <c r="R212" s="289">
        <f t="shared" si="63"/>
        <v>2772</v>
      </c>
      <c r="S212" s="173">
        <f t="shared" si="64"/>
        <v>2772</v>
      </c>
      <c r="T212" s="135" t="s">
        <v>12</v>
      </c>
      <c r="U212" s="230" t="s">
        <v>12</v>
      </c>
    </row>
    <row r="213" spans="1:21" s="1" customFormat="1" ht="13.5" thickBot="1">
      <c r="A213" s="616"/>
      <c r="B213" s="1070" t="s">
        <v>8</v>
      </c>
      <c r="C213" s="373">
        <f>ROUND(C212*Labor!$D$3,0)</f>
        <v>0</v>
      </c>
      <c r="D213" s="374">
        <f>ROUND(D212*Labor!$D$4,0)</f>
        <v>0</v>
      </c>
      <c r="E213" s="374">
        <f>ROUND(E212*Labor!$D$5,0)</f>
        <v>0</v>
      </c>
      <c r="F213" s="374">
        <f>ROUND(F212*Labor!$D$6,0)</f>
        <v>345</v>
      </c>
      <c r="G213" s="374">
        <f>ROUND(G212*Labor!$D$7,0)</f>
        <v>388</v>
      </c>
      <c r="H213" s="374">
        <f>ROUND(H212*Labor!$D$8,0)</f>
        <v>0</v>
      </c>
      <c r="I213" s="209">
        <f t="shared" si="60"/>
        <v>733</v>
      </c>
      <c r="J213" s="332">
        <f>HLOOKUP(Labor!$B$11,InflationTable,2)*$I213</f>
        <v>878.13400000000001</v>
      </c>
      <c r="K213" s="296">
        <f>J213*$O$7</f>
        <v>173870.53200000001</v>
      </c>
      <c r="L213" s="297">
        <f t="shared" si="61"/>
        <v>173870.53200000001</v>
      </c>
      <c r="M213" s="376">
        <f>HLOOKUP(Labor!$B$11,InflationTable,3)*$I213</f>
        <v>896.45900000000006</v>
      </c>
      <c r="N213" s="377">
        <f>M213*$O$7</f>
        <v>177498.88200000001</v>
      </c>
      <c r="O213" s="378">
        <f t="shared" si="62"/>
        <v>177498.88200000001</v>
      </c>
      <c r="P213" s="332">
        <f>HLOOKUP(Labor!$B$11,InflationTable,4)*$I213</f>
        <v>914.05100000000004</v>
      </c>
      <c r="Q213" s="296">
        <f>P213*$O$7</f>
        <v>180982.098</v>
      </c>
      <c r="R213" s="297">
        <f t="shared" si="63"/>
        <v>180982.098</v>
      </c>
      <c r="S213" s="450">
        <f t="shared" si="64"/>
        <v>177450.50399999999</v>
      </c>
      <c r="T213" s="393" t="s">
        <v>12</v>
      </c>
      <c r="U213" s="228" t="s">
        <v>12</v>
      </c>
    </row>
    <row r="214" spans="1:21">
      <c r="A214" s="615"/>
      <c r="B214" s="112" t="s">
        <v>220</v>
      </c>
      <c r="C214" s="1160"/>
      <c r="D214" s="1170"/>
      <c r="E214" s="1170"/>
      <c r="F214" s="1170"/>
      <c r="G214" s="1170"/>
      <c r="H214" s="1170"/>
      <c r="I214" s="1171"/>
      <c r="J214" s="1167"/>
      <c r="K214" s="1162"/>
      <c r="L214" s="1163"/>
      <c r="M214" s="1164"/>
      <c r="N214" s="1165"/>
      <c r="O214" s="1166"/>
      <c r="P214" s="1167"/>
      <c r="Q214" s="327"/>
      <c r="R214" s="1163"/>
      <c r="S214" s="1383"/>
      <c r="T214" s="656"/>
      <c r="U214" s="1264"/>
    </row>
    <row r="215" spans="1:21">
      <c r="A215" s="615"/>
      <c r="B215" s="1278" t="s">
        <v>344</v>
      </c>
      <c r="C215" s="346">
        <v>0</v>
      </c>
      <c r="D215" s="346">
        <v>0</v>
      </c>
      <c r="E215" s="346">
        <v>5</v>
      </c>
      <c r="F215" s="346">
        <v>5</v>
      </c>
      <c r="G215" s="346">
        <v>10</v>
      </c>
      <c r="H215" s="346">
        <v>10</v>
      </c>
      <c r="I215" s="347">
        <f t="shared" ref="I215:I224" si="65">SUM(C215:H215)</f>
        <v>30</v>
      </c>
      <c r="J215" s="293" t="s">
        <v>12</v>
      </c>
      <c r="K215" s="1225">
        <f>$I215*$O$3</f>
        <v>21990</v>
      </c>
      <c r="L215" s="328">
        <f t="shared" ref="L215:L224" si="66">K215</f>
        <v>21990</v>
      </c>
      <c r="M215" s="61" t="s">
        <v>12</v>
      </c>
      <c r="N215" s="1228">
        <f>$I215*$O$3</f>
        <v>21990</v>
      </c>
      <c r="O215" s="349">
        <f t="shared" ref="O215:O224" si="67">N215</f>
        <v>21990</v>
      </c>
      <c r="P215" s="293" t="s">
        <v>12</v>
      </c>
      <c r="Q215" s="1225">
        <f>$I215*$O$3</f>
        <v>21990</v>
      </c>
      <c r="R215" s="328">
        <f t="shared" ref="R215:R224" si="68">Q215</f>
        <v>21990</v>
      </c>
      <c r="S215" s="670">
        <f t="shared" ref="S215:S226" si="69">AVERAGE(L215,O215,R215)</f>
        <v>21990</v>
      </c>
      <c r="T215" s="135" t="s">
        <v>12</v>
      </c>
      <c r="U215" s="232" t="s">
        <v>12</v>
      </c>
    </row>
    <row r="216" spans="1:21" ht="13.5" thickBot="1">
      <c r="A216" s="615"/>
      <c r="B216" s="1279" t="s">
        <v>8</v>
      </c>
      <c r="C216" s="34">
        <f>ROUND(C215*Labor!$D$3,0)</f>
        <v>0</v>
      </c>
      <c r="D216" s="35">
        <f>ROUND(D215*Labor!$D$4,0)</f>
        <v>0</v>
      </c>
      <c r="E216" s="35">
        <f>ROUND(E215*Labor!$D$5,0)</f>
        <v>221</v>
      </c>
      <c r="F216" s="35">
        <f>ROUND(F215*Labor!$D$6,0)</f>
        <v>246</v>
      </c>
      <c r="G216" s="35">
        <f>ROUND(G215*Labor!$D$7,0)</f>
        <v>555</v>
      </c>
      <c r="H216" s="35">
        <f>ROUND(H215*Labor!$D$8,0)</f>
        <v>586</v>
      </c>
      <c r="I216" s="39">
        <f t="shared" si="65"/>
        <v>1608</v>
      </c>
      <c r="J216" s="292">
        <f>HLOOKUP(Labor!$B$11,InflationTable,2)*I216</f>
        <v>1926.384</v>
      </c>
      <c r="K216" s="355">
        <f>J216*$O$3</f>
        <v>1412039.4720000001</v>
      </c>
      <c r="L216" s="308">
        <f t="shared" si="66"/>
        <v>1412039.4720000001</v>
      </c>
      <c r="M216" s="84">
        <f>HLOOKUP(Labor!$B$11,InflationTable,3)*$I216</f>
        <v>1966.5840000000001</v>
      </c>
      <c r="N216" s="357">
        <f>M216*$O$3</f>
        <v>1441506.0720000002</v>
      </c>
      <c r="O216" s="95">
        <f t="shared" si="67"/>
        <v>1441506.0720000002</v>
      </c>
      <c r="P216" s="292">
        <f>HLOOKUP(Labor!$B$11,InflationTable,4)*$I216</f>
        <v>2005.1760000000002</v>
      </c>
      <c r="Q216" s="779">
        <f>P216*$O$3</f>
        <v>1469794.0080000001</v>
      </c>
      <c r="R216" s="300">
        <f t="shared" si="68"/>
        <v>1469794.0080000001</v>
      </c>
      <c r="S216" s="128">
        <f t="shared" si="69"/>
        <v>1441113.1840000001</v>
      </c>
      <c r="T216" s="137" t="s">
        <v>12</v>
      </c>
      <c r="U216" s="519" t="s">
        <v>12</v>
      </c>
    </row>
    <row r="217" spans="1:21">
      <c r="A217" s="615"/>
      <c r="B217" s="1278" t="s">
        <v>345</v>
      </c>
      <c r="C217" s="346">
        <v>0</v>
      </c>
      <c r="D217" s="346">
        <v>0</v>
      </c>
      <c r="E217" s="346">
        <v>5</v>
      </c>
      <c r="F217" s="346">
        <v>5</v>
      </c>
      <c r="G217" s="346">
        <v>10</v>
      </c>
      <c r="H217" s="346">
        <v>10</v>
      </c>
      <c r="I217" s="347">
        <f t="shared" si="65"/>
        <v>30</v>
      </c>
      <c r="J217" s="293" t="s">
        <v>12</v>
      </c>
      <c r="K217" s="327">
        <f>$I217*$O$4</f>
        <v>4320</v>
      </c>
      <c r="L217" s="328">
        <f t="shared" si="66"/>
        <v>4320</v>
      </c>
      <c r="M217" s="61" t="s">
        <v>12</v>
      </c>
      <c r="N217" s="348">
        <f>$I217*$O$4</f>
        <v>4320</v>
      </c>
      <c r="O217" s="349">
        <f t="shared" si="67"/>
        <v>4320</v>
      </c>
      <c r="P217" s="293" t="s">
        <v>12</v>
      </c>
      <c r="Q217" s="327">
        <f>$I217*$O$4</f>
        <v>4320</v>
      </c>
      <c r="R217" s="328">
        <f t="shared" si="68"/>
        <v>4320</v>
      </c>
      <c r="S217" s="173">
        <f t="shared" si="69"/>
        <v>4320</v>
      </c>
      <c r="T217" s="135" t="s">
        <v>12</v>
      </c>
      <c r="U217" s="230" t="s">
        <v>12</v>
      </c>
    </row>
    <row r="218" spans="1:21" ht="13.5" thickBot="1">
      <c r="A218" s="615"/>
      <c r="B218" s="1279" t="s">
        <v>8</v>
      </c>
      <c r="C218" s="34">
        <f>ROUND(C217*Labor!$D$3,0)</f>
        <v>0</v>
      </c>
      <c r="D218" s="35">
        <f>ROUND(D217*Labor!$D$4,0)</f>
        <v>0</v>
      </c>
      <c r="E218" s="35">
        <f>ROUND(E217*Labor!$D$5,0)</f>
        <v>221</v>
      </c>
      <c r="F218" s="35">
        <f>ROUND(F217*Labor!$D$6,0)</f>
        <v>246</v>
      </c>
      <c r="G218" s="35">
        <f>ROUND(G217*Labor!$D$7,0)</f>
        <v>555</v>
      </c>
      <c r="H218" s="35">
        <f>ROUND(H217*Labor!$D$8,0)</f>
        <v>586</v>
      </c>
      <c r="I218" s="39">
        <f t="shared" si="65"/>
        <v>1608</v>
      </c>
      <c r="J218" s="268">
        <f>HLOOKUP(Labor!$B$11,InflationTable,2)*I218</f>
        <v>1926.384</v>
      </c>
      <c r="K218" s="269">
        <f>J218*$O$4</f>
        <v>277399.29599999997</v>
      </c>
      <c r="L218" s="308">
        <f t="shared" si="66"/>
        <v>277399.29599999997</v>
      </c>
      <c r="M218" s="84">
        <f>HLOOKUP(Labor!$B$11,InflationTable,3)*$I218</f>
        <v>1966.5840000000001</v>
      </c>
      <c r="N218" s="63">
        <f>M218*$O$4</f>
        <v>283188.09600000002</v>
      </c>
      <c r="O218" s="64">
        <f t="shared" si="67"/>
        <v>283188.09600000002</v>
      </c>
      <c r="P218" s="292">
        <f>HLOOKUP(Labor!$B$11,InflationTable,4)*$I218</f>
        <v>2005.1760000000002</v>
      </c>
      <c r="Q218" s="269">
        <f>P218*$O$4</f>
        <v>288745.34400000004</v>
      </c>
      <c r="R218" s="270">
        <f t="shared" si="68"/>
        <v>288745.34400000004</v>
      </c>
      <c r="S218" s="128">
        <f t="shared" si="69"/>
        <v>283110.91200000001</v>
      </c>
      <c r="T218" s="137" t="s">
        <v>12</v>
      </c>
      <c r="U218" s="519" t="s">
        <v>12</v>
      </c>
    </row>
    <row r="219" spans="1:21">
      <c r="A219" s="615"/>
      <c r="B219" s="1278" t="s">
        <v>346</v>
      </c>
      <c r="C219" s="346">
        <v>0</v>
      </c>
      <c r="D219" s="346">
        <v>0</v>
      </c>
      <c r="E219" s="346">
        <v>0</v>
      </c>
      <c r="F219" s="346">
        <v>5</v>
      </c>
      <c r="G219" s="346">
        <v>2</v>
      </c>
      <c r="H219" s="346">
        <v>2</v>
      </c>
      <c r="I219" s="347">
        <f t="shared" si="65"/>
        <v>9</v>
      </c>
      <c r="J219" s="293" t="s">
        <v>12</v>
      </c>
      <c r="K219" s="327">
        <f>$I219*$L$6</f>
        <v>468</v>
      </c>
      <c r="L219" s="328">
        <f t="shared" si="66"/>
        <v>468</v>
      </c>
      <c r="M219" s="61" t="s">
        <v>12</v>
      </c>
      <c r="N219" s="348">
        <f>$I219*$L$6</f>
        <v>468</v>
      </c>
      <c r="O219" s="349">
        <f t="shared" si="67"/>
        <v>468</v>
      </c>
      <c r="P219" s="293" t="s">
        <v>12</v>
      </c>
      <c r="Q219" s="327">
        <f>$I219*$L$6</f>
        <v>468</v>
      </c>
      <c r="R219" s="328">
        <f t="shared" si="68"/>
        <v>468</v>
      </c>
      <c r="S219" s="173">
        <f t="shared" ref="S219:S224" si="70">AVERAGE(L219,O219,R219)</f>
        <v>468</v>
      </c>
      <c r="T219" s="135" t="s">
        <v>12</v>
      </c>
      <c r="U219" s="230" t="s">
        <v>12</v>
      </c>
    </row>
    <row r="220" spans="1:21" ht="13.5" thickBot="1">
      <c r="A220" s="615"/>
      <c r="B220" s="1279" t="s">
        <v>8</v>
      </c>
      <c r="C220" s="34">
        <f>ROUND(C219*Labor!$D$3,0)</f>
        <v>0</v>
      </c>
      <c r="D220" s="35">
        <f>ROUND(D219*Labor!$D$4,0)</f>
        <v>0</v>
      </c>
      <c r="E220" s="35">
        <f>ROUND(E219*Labor!$D$5,0)</f>
        <v>0</v>
      </c>
      <c r="F220" s="35">
        <f>ROUND(F219*Labor!$D$6,0)</f>
        <v>246</v>
      </c>
      <c r="G220" s="35">
        <f>ROUND(G219*Labor!$D$7,0)</f>
        <v>111</v>
      </c>
      <c r="H220" s="35">
        <f>ROUND(H219*Labor!$D$8,0)</f>
        <v>117</v>
      </c>
      <c r="I220" s="39">
        <f t="shared" si="65"/>
        <v>474</v>
      </c>
      <c r="J220" s="268">
        <f>HLOOKUP(Labor!$B$11,InflationTable,2)*I220</f>
        <v>567.85199999999998</v>
      </c>
      <c r="K220" s="269">
        <f>J220*$L$6</f>
        <v>29528.304</v>
      </c>
      <c r="L220" s="308">
        <f t="shared" si="66"/>
        <v>29528.304</v>
      </c>
      <c r="M220" s="84">
        <f>HLOOKUP(Labor!$B$11,InflationTable,3)*$I220</f>
        <v>579.702</v>
      </c>
      <c r="N220" s="63">
        <f>M220*$L$6</f>
        <v>30144.504000000001</v>
      </c>
      <c r="O220" s="64">
        <f t="shared" si="67"/>
        <v>30144.504000000001</v>
      </c>
      <c r="P220" s="292">
        <f>HLOOKUP(Labor!$B$11,InflationTable,4)*$I220</f>
        <v>591.07800000000009</v>
      </c>
      <c r="Q220" s="269">
        <f>P220*$L$6</f>
        <v>30736.056000000004</v>
      </c>
      <c r="R220" s="270">
        <f t="shared" si="68"/>
        <v>30736.056000000004</v>
      </c>
      <c r="S220" s="128">
        <f t="shared" si="70"/>
        <v>30136.288</v>
      </c>
      <c r="T220" s="137" t="s">
        <v>12</v>
      </c>
      <c r="U220" s="519" t="s">
        <v>12</v>
      </c>
    </row>
    <row r="221" spans="1:21">
      <c r="A221" s="615"/>
      <c r="B221" s="1278" t="s">
        <v>347</v>
      </c>
      <c r="C221" s="346">
        <v>0</v>
      </c>
      <c r="D221" s="346">
        <v>0</v>
      </c>
      <c r="E221" s="346">
        <v>0</v>
      </c>
      <c r="F221" s="346">
        <v>12</v>
      </c>
      <c r="G221" s="346">
        <v>8</v>
      </c>
      <c r="H221" s="346">
        <v>4</v>
      </c>
      <c r="I221" s="347">
        <f t="shared" si="65"/>
        <v>24</v>
      </c>
      <c r="J221" s="293" t="s">
        <v>12</v>
      </c>
      <c r="K221" s="327">
        <f>$I221*$O$6</f>
        <v>14544</v>
      </c>
      <c r="L221" s="328">
        <f t="shared" si="66"/>
        <v>14544</v>
      </c>
      <c r="M221" s="61" t="s">
        <v>12</v>
      </c>
      <c r="N221" s="348">
        <f>$I221*$O$6</f>
        <v>14544</v>
      </c>
      <c r="O221" s="349">
        <f t="shared" si="67"/>
        <v>14544</v>
      </c>
      <c r="P221" s="293" t="s">
        <v>12</v>
      </c>
      <c r="Q221" s="327">
        <f>$I221*$O$6</f>
        <v>14544</v>
      </c>
      <c r="R221" s="328">
        <f t="shared" si="68"/>
        <v>14544</v>
      </c>
      <c r="S221" s="173">
        <f t="shared" si="70"/>
        <v>14544</v>
      </c>
      <c r="T221" s="135" t="s">
        <v>12</v>
      </c>
      <c r="U221" s="230" t="s">
        <v>12</v>
      </c>
    </row>
    <row r="222" spans="1:21" ht="13.5" thickBot="1">
      <c r="A222" s="615"/>
      <c r="B222" s="1279" t="s">
        <v>8</v>
      </c>
      <c r="C222" s="34">
        <f>ROUND(C221*Labor!$D$3,0)</f>
        <v>0</v>
      </c>
      <c r="D222" s="35">
        <f>ROUND(D221*Labor!$D$4,0)</f>
        <v>0</v>
      </c>
      <c r="E222" s="35">
        <f>ROUND(E221*Labor!$D$5,0)</f>
        <v>0</v>
      </c>
      <c r="F222" s="35">
        <f>ROUND(F221*Labor!$D$6,0)</f>
        <v>591</v>
      </c>
      <c r="G222" s="35">
        <f>ROUND(G221*Labor!$D$7,0)</f>
        <v>444</v>
      </c>
      <c r="H222" s="35">
        <f>ROUND(H221*Labor!$D$8,0)</f>
        <v>234</v>
      </c>
      <c r="I222" s="39">
        <f t="shared" si="65"/>
        <v>1269</v>
      </c>
      <c r="J222" s="268">
        <f>HLOOKUP(Labor!$B$11,InflationTable,2)*I222</f>
        <v>1520.2619999999999</v>
      </c>
      <c r="K222" s="269">
        <f>J222*$O$6</f>
        <v>921278.772</v>
      </c>
      <c r="L222" s="308">
        <f t="shared" si="66"/>
        <v>921278.772</v>
      </c>
      <c r="M222" s="84">
        <f>HLOOKUP(Labor!$B$11,InflationTable,3)*$I222</f>
        <v>1551.9870000000001</v>
      </c>
      <c r="N222" s="63">
        <f>M222*$O$6</f>
        <v>940504.12200000009</v>
      </c>
      <c r="O222" s="64">
        <f t="shared" si="67"/>
        <v>940504.12200000009</v>
      </c>
      <c r="P222" s="292">
        <f>HLOOKUP(Labor!$B$11,InflationTable,4)*$I222</f>
        <v>1582.4430000000002</v>
      </c>
      <c r="Q222" s="269">
        <f>P222*$O$6</f>
        <v>958960.4580000001</v>
      </c>
      <c r="R222" s="270">
        <f t="shared" si="68"/>
        <v>958960.4580000001</v>
      </c>
      <c r="S222" s="128">
        <f t="shared" si="70"/>
        <v>940247.78399999999</v>
      </c>
      <c r="T222" s="137" t="s">
        <v>12</v>
      </c>
      <c r="U222" s="519" t="s">
        <v>12</v>
      </c>
    </row>
    <row r="223" spans="1:21">
      <c r="A223" s="615"/>
      <c r="B223" s="1278" t="s">
        <v>342</v>
      </c>
      <c r="C223" s="346">
        <v>0</v>
      </c>
      <c r="D223" s="346">
        <v>0</v>
      </c>
      <c r="E223" s="346">
        <v>0</v>
      </c>
      <c r="F223" s="346">
        <v>2</v>
      </c>
      <c r="G223" s="346">
        <v>8</v>
      </c>
      <c r="H223" s="346">
        <v>4</v>
      </c>
      <c r="I223" s="347">
        <f t="shared" si="65"/>
        <v>14</v>
      </c>
      <c r="J223" s="293" t="s">
        <v>12</v>
      </c>
      <c r="K223" s="327">
        <f>$I223*$O$7</f>
        <v>2772</v>
      </c>
      <c r="L223" s="328">
        <f t="shared" si="66"/>
        <v>2772</v>
      </c>
      <c r="M223" s="61" t="s">
        <v>12</v>
      </c>
      <c r="N223" s="348">
        <f>$I223*$O$7</f>
        <v>2772</v>
      </c>
      <c r="O223" s="349">
        <f t="shared" si="67"/>
        <v>2772</v>
      </c>
      <c r="P223" s="293" t="s">
        <v>12</v>
      </c>
      <c r="Q223" s="327">
        <f>$I223*$O$7</f>
        <v>2772</v>
      </c>
      <c r="R223" s="328">
        <f t="shared" si="68"/>
        <v>2772</v>
      </c>
      <c r="S223" s="173">
        <f t="shared" si="70"/>
        <v>2772</v>
      </c>
      <c r="T223" s="135" t="s">
        <v>12</v>
      </c>
      <c r="U223" s="230" t="s">
        <v>12</v>
      </c>
    </row>
    <row r="224" spans="1:21" ht="13.5" thickBot="1">
      <c r="A224" s="615"/>
      <c r="B224" s="1279" t="s">
        <v>8</v>
      </c>
      <c r="C224" s="34">
        <f>ROUND(C223*Labor!$D$3,0)</f>
        <v>0</v>
      </c>
      <c r="D224" s="35">
        <f>ROUND(D223*Labor!$D$4,0)</f>
        <v>0</v>
      </c>
      <c r="E224" s="35">
        <f>ROUND(E223*Labor!$D$5,0)</f>
        <v>0</v>
      </c>
      <c r="F224" s="35">
        <f>ROUND(F223*Labor!$D$6,0)</f>
        <v>99</v>
      </c>
      <c r="G224" s="35">
        <f>ROUND(G223*Labor!$D$7,0)</f>
        <v>444</v>
      </c>
      <c r="H224" s="35">
        <f>ROUND(H223*Labor!$D$8,0)</f>
        <v>234</v>
      </c>
      <c r="I224" s="39">
        <f t="shared" si="65"/>
        <v>777</v>
      </c>
      <c r="J224" s="268">
        <f>HLOOKUP(Labor!$B$11,InflationTable,2)*I224</f>
        <v>930.846</v>
      </c>
      <c r="K224" s="269">
        <f>J224*$O$7</f>
        <v>184307.508</v>
      </c>
      <c r="L224" s="308">
        <f t="shared" si="66"/>
        <v>184307.508</v>
      </c>
      <c r="M224" s="84">
        <f>HLOOKUP(Labor!$B$11,InflationTable,3)*$I224</f>
        <v>950.27100000000007</v>
      </c>
      <c r="N224" s="63">
        <f>M224*$O$7</f>
        <v>188153.65800000002</v>
      </c>
      <c r="O224" s="64">
        <f t="shared" si="67"/>
        <v>188153.65800000002</v>
      </c>
      <c r="P224" s="292">
        <f>HLOOKUP(Labor!$B$11,InflationTable,4)*$I224</f>
        <v>968.9190000000001</v>
      </c>
      <c r="Q224" s="269">
        <f>P224*$O$7</f>
        <v>191845.96200000003</v>
      </c>
      <c r="R224" s="270">
        <f t="shared" si="68"/>
        <v>191845.96200000003</v>
      </c>
      <c r="S224" s="128">
        <f t="shared" si="70"/>
        <v>188102.37600000002</v>
      </c>
      <c r="T224" s="137" t="s">
        <v>12</v>
      </c>
      <c r="U224" s="519" t="s">
        <v>12</v>
      </c>
    </row>
    <row r="225" spans="1:22">
      <c r="A225" s="615"/>
      <c r="B225" s="605" t="s">
        <v>66</v>
      </c>
      <c r="C225" s="33">
        <f>C204+C206+C208+C210+C212+C215+C217+C219+C221+C223</f>
        <v>0</v>
      </c>
      <c r="D225" s="33">
        <f t="shared" ref="D225:R225" si="71">D204+D206+D208+D210+D212+D215+D217+D219+D221+D223</f>
        <v>18</v>
      </c>
      <c r="E225" s="33">
        <f t="shared" si="71"/>
        <v>19</v>
      </c>
      <c r="F225" s="33">
        <f t="shared" si="71"/>
        <v>57</v>
      </c>
      <c r="G225" s="33">
        <f t="shared" si="71"/>
        <v>69</v>
      </c>
      <c r="H225" s="33">
        <f t="shared" si="71"/>
        <v>30</v>
      </c>
      <c r="I225" s="99">
        <f t="shared" si="71"/>
        <v>193</v>
      </c>
      <c r="J225" s="1226" t="s">
        <v>12</v>
      </c>
      <c r="K225" s="285">
        <f t="shared" si="71"/>
        <v>79830</v>
      </c>
      <c r="L225" s="312">
        <f t="shared" si="71"/>
        <v>79830</v>
      </c>
      <c r="M225" s="1227" t="s">
        <v>12</v>
      </c>
      <c r="N225" s="33">
        <f t="shared" si="71"/>
        <v>79830</v>
      </c>
      <c r="O225" s="99">
        <f t="shared" si="71"/>
        <v>79830</v>
      </c>
      <c r="P225" s="1226" t="s">
        <v>12</v>
      </c>
      <c r="Q225" s="285">
        <f t="shared" si="71"/>
        <v>79830</v>
      </c>
      <c r="R225" s="285">
        <f t="shared" si="71"/>
        <v>79830</v>
      </c>
      <c r="S225" s="121">
        <f t="shared" si="69"/>
        <v>79830</v>
      </c>
      <c r="T225" s="135" t="s">
        <v>12</v>
      </c>
      <c r="U225" s="230" t="s">
        <v>12</v>
      </c>
    </row>
    <row r="226" spans="1:22" ht="13.5" thickBot="1">
      <c r="A226" s="615"/>
      <c r="B226" s="606" t="s">
        <v>67</v>
      </c>
      <c r="C226" s="240">
        <f>C205+C207+C209+C211+C213+C216+C218+C220+C222+C224</f>
        <v>0</v>
      </c>
      <c r="D226" s="240">
        <f t="shared" ref="D226:R226" si="72">D205+D207+D209+D211+D213+D216+D218+D220+D222+D224</f>
        <v>735</v>
      </c>
      <c r="E226" s="240">
        <f t="shared" si="72"/>
        <v>838</v>
      </c>
      <c r="F226" s="240">
        <f t="shared" si="72"/>
        <v>2808</v>
      </c>
      <c r="G226" s="240">
        <f t="shared" si="72"/>
        <v>3828</v>
      </c>
      <c r="H226" s="240">
        <f t="shared" si="72"/>
        <v>1757</v>
      </c>
      <c r="I226" s="243">
        <f t="shared" si="72"/>
        <v>9966</v>
      </c>
      <c r="J226" s="274" t="s">
        <v>12</v>
      </c>
      <c r="K226" s="275">
        <f t="shared" si="72"/>
        <v>4978067.370000001</v>
      </c>
      <c r="L226" s="287">
        <f t="shared" si="72"/>
        <v>4978067.370000001</v>
      </c>
      <c r="M226" s="408" t="s">
        <v>12</v>
      </c>
      <c r="N226" s="240">
        <f t="shared" si="72"/>
        <v>5081950.2450000001</v>
      </c>
      <c r="O226" s="243">
        <f t="shared" si="72"/>
        <v>5081950.2450000001</v>
      </c>
      <c r="P226" s="274" t="s">
        <v>12</v>
      </c>
      <c r="Q226" s="275">
        <f t="shared" si="72"/>
        <v>5181677.8050000006</v>
      </c>
      <c r="R226" s="275">
        <f t="shared" si="72"/>
        <v>5181677.8050000006</v>
      </c>
      <c r="S226" s="257">
        <f t="shared" si="69"/>
        <v>5080565.1400000006</v>
      </c>
      <c r="T226" s="258" t="s">
        <v>12</v>
      </c>
      <c r="U226" s="231" t="s">
        <v>12</v>
      </c>
    </row>
    <row r="227" spans="1:22" ht="13.5" thickTop="1">
      <c r="A227" s="5"/>
      <c r="B227" s="610"/>
      <c r="C227" s="622"/>
      <c r="D227" s="621"/>
      <c r="E227" s="621"/>
      <c r="F227" s="621"/>
      <c r="G227" s="621"/>
      <c r="H227" s="621"/>
      <c r="I227" s="622"/>
      <c r="J227" s="621"/>
      <c r="K227" s="622"/>
      <c r="L227" s="622"/>
      <c r="M227" s="621"/>
      <c r="N227" s="621"/>
      <c r="O227" s="621"/>
      <c r="P227" s="621"/>
      <c r="Q227" s="621"/>
      <c r="R227" s="621"/>
      <c r="S227" s="1387"/>
      <c r="T227" s="627"/>
      <c r="U227" s="627"/>
    </row>
    <row r="228" spans="1:22" ht="13.5" thickBot="1">
      <c r="B228" s="410"/>
      <c r="C228" s="5"/>
      <c r="D228" s="410"/>
      <c r="E228" s="410"/>
      <c r="F228" s="410"/>
      <c r="G228" s="410"/>
      <c r="H228" s="410"/>
      <c r="I228" s="410"/>
      <c r="J228" s="410"/>
      <c r="K228" s="410"/>
      <c r="L228" s="410"/>
      <c r="M228" s="413"/>
      <c r="N228" s="413"/>
      <c r="O228" s="413"/>
      <c r="P228" s="410"/>
      <c r="Q228" s="410"/>
      <c r="R228" s="410"/>
      <c r="S228" s="410"/>
      <c r="T228" s="410"/>
      <c r="U228" s="410"/>
      <c r="V228" s="5"/>
    </row>
    <row r="229" spans="1:22" ht="19.5" thickTop="1" thickBot="1">
      <c r="A229" s="615"/>
      <c r="B229" s="598" t="s">
        <v>121</v>
      </c>
      <c r="C229" s="234" t="str">
        <f>C2</f>
        <v>PM25</v>
      </c>
      <c r="D229" s="5"/>
      <c r="E229" s="4"/>
      <c r="F229" s="12"/>
      <c r="G229" s="4"/>
      <c r="H229" s="4"/>
      <c r="I229" s="41"/>
      <c r="J229" s="233" t="str">
        <f>J10</f>
        <v>Year 1</v>
      </c>
      <c r="K229" s="233">
        <f>K10</f>
        <v>2013</v>
      </c>
      <c r="L229" s="83"/>
      <c r="M229" s="233" t="str">
        <f>M10</f>
        <v>Year 2</v>
      </c>
      <c r="N229" s="233">
        <f>N10</f>
        <v>2014</v>
      </c>
      <c r="O229" s="83"/>
      <c r="P229" s="233" t="str">
        <f>P10</f>
        <v>Year 3</v>
      </c>
      <c r="Q229" s="233">
        <f>Q10</f>
        <v>2015</v>
      </c>
      <c r="R229" s="83"/>
      <c r="S229" s="152"/>
      <c r="T229" s="130"/>
      <c r="U229" s="1209"/>
    </row>
    <row r="230" spans="1:22" ht="13.5" thickBot="1">
      <c r="A230" s="615"/>
      <c r="B230" s="5"/>
      <c r="C230" s="194" t="s">
        <v>45</v>
      </c>
      <c r="D230" s="190" t="s">
        <v>46</v>
      </c>
      <c r="E230" s="187" t="s">
        <v>47</v>
      </c>
      <c r="F230" s="202" t="s">
        <v>48</v>
      </c>
      <c r="G230" s="201" t="s">
        <v>49</v>
      </c>
      <c r="H230" s="187" t="s">
        <v>50</v>
      </c>
      <c r="I230" s="188" t="s">
        <v>13</v>
      </c>
      <c r="J230" s="323" t="s">
        <v>56</v>
      </c>
      <c r="K230" s="324" t="s">
        <v>13</v>
      </c>
      <c r="L230" s="325" t="s">
        <v>68</v>
      </c>
      <c r="M230" s="189" t="s">
        <v>56</v>
      </c>
      <c r="N230" s="190" t="s">
        <v>13</v>
      </c>
      <c r="O230" s="191" t="s">
        <v>68</v>
      </c>
      <c r="P230" s="323" t="s">
        <v>56</v>
      </c>
      <c r="Q230" s="324" t="s">
        <v>13</v>
      </c>
      <c r="R230" s="325" t="s">
        <v>68</v>
      </c>
      <c r="S230" s="192"/>
      <c r="T230" s="193"/>
      <c r="U230" s="1265"/>
      <c r="V230" s="5"/>
    </row>
    <row r="231" spans="1:22">
      <c r="A231" s="615"/>
      <c r="B231" s="1101" t="s">
        <v>97</v>
      </c>
      <c r="C231" s="196">
        <f t="shared" ref="C231:S231" si="73">C19</f>
        <v>0</v>
      </c>
      <c r="D231" s="184">
        <f t="shared" si="73"/>
        <v>0</v>
      </c>
      <c r="E231" s="184">
        <f t="shared" si="73"/>
        <v>2</v>
      </c>
      <c r="F231" s="184">
        <f t="shared" si="73"/>
        <v>7</v>
      </c>
      <c r="G231" s="184">
        <f t="shared" si="73"/>
        <v>7</v>
      </c>
      <c r="H231" s="184">
        <f t="shared" si="73"/>
        <v>5</v>
      </c>
      <c r="I231" s="185">
        <f t="shared" si="73"/>
        <v>21</v>
      </c>
      <c r="J231" s="326" t="str">
        <f t="shared" si="73"/>
        <v>NA</v>
      </c>
      <c r="K231" s="327">
        <f t="shared" si="73"/>
        <v>2793</v>
      </c>
      <c r="L231" s="328">
        <f t="shared" si="73"/>
        <v>399</v>
      </c>
      <c r="M231" s="1232" t="str">
        <f t="shared" si="73"/>
        <v>NA</v>
      </c>
      <c r="N231" s="348">
        <f t="shared" si="73"/>
        <v>2793</v>
      </c>
      <c r="O231" s="349">
        <f t="shared" si="73"/>
        <v>399</v>
      </c>
      <c r="P231" s="326" t="str">
        <f t="shared" si="73"/>
        <v>NA</v>
      </c>
      <c r="Q231" s="327">
        <f t="shared" si="73"/>
        <v>2793</v>
      </c>
      <c r="R231" s="328">
        <f t="shared" si="73"/>
        <v>399</v>
      </c>
      <c r="S231" s="185">
        <f t="shared" si="73"/>
        <v>399</v>
      </c>
      <c r="T231" s="37"/>
      <c r="U231" s="227"/>
    </row>
    <row r="232" spans="1:22" ht="13.5" thickBot="1">
      <c r="A232" s="615"/>
      <c r="B232" s="1102" t="s">
        <v>76</v>
      </c>
      <c r="C232" s="203">
        <f t="shared" ref="C232:S232" si="74">C20</f>
        <v>0</v>
      </c>
      <c r="D232" s="204">
        <f t="shared" si="74"/>
        <v>0</v>
      </c>
      <c r="E232" s="204">
        <f t="shared" si="74"/>
        <v>88</v>
      </c>
      <c r="F232" s="204">
        <f t="shared" si="74"/>
        <v>345</v>
      </c>
      <c r="G232" s="204">
        <f t="shared" si="74"/>
        <v>388</v>
      </c>
      <c r="H232" s="204">
        <f t="shared" si="74"/>
        <v>293</v>
      </c>
      <c r="I232" s="205">
        <f t="shared" si="74"/>
        <v>1114</v>
      </c>
      <c r="J232" s="329">
        <f t="shared" si="74"/>
        <v>1334.5719999999999</v>
      </c>
      <c r="K232" s="330">
        <f t="shared" si="74"/>
        <v>177498.076</v>
      </c>
      <c r="L232" s="331">
        <f t="shared" si="74"/>
        <v>25356.867999999995</v>
      </c>
      <c r="M232" s="1233">
        <f t="shared" si="74"/>
        <v>1362.422</v>
      </c>
      <c r="N232" s="1234">
        <f t="shared" si="74"/>
        <v>181202.12599999999</v>
      </c>
      <c r="O232" s="1235">
        <f t="shared" si="74"/>
        <v>25886.018</v>
      </c>
      <c r="P232" s="329">
        <f t="shared" si="74"/>
        <v>1389.1580000000001</v>
      </c>
      <c r="Q232" s="330">
        <f t="shared" si="74"/>
        <v>184758.01400000002</v>
      </c>
      <c r="R232" s="331">
        <f t="shared" si="74"/>
        <v>26394.002000000008</v>
      </c>
      <c r="S232" s="205">
        <f t="shared" si="74"/>
        <v>25878.96266666667</v>
      </c>
      <c r="T232" s="206" t="str">
        <f>T20</f>
        <v>NA</v>
      </c>
      <c r="U232" s="228" t="s">
        <v>12</v>
      </c>
    </row>
    <row r="233" spans="1:22">
      <c r="A233" s="615"/>
      <c r="B233" s="466" t="s">
        <v>98</v>
      </c>
      <c r="C233" s="196">
        <f t="shared" ref="C233:S233" si="75">C50</f>
        <v>0</v>
      </c>
      <c r="D233" s="184">
        <f t="shared" si="75"/>
        <v>16</v>
      </c>
      <c r="E233" s="184">
        <f t="shared" si="75"/>
        <v>17</v>
      </c>
      <c r="F233" s="184">
        <f t="shared" si="75"/>
        <v>11</v>
      </c>
      <c r="G233" s="184">
        <f t="shared" si="75"/>
        <v>0</v>
      </c>
      <c r="H233" s="184">
        <f t="shared" si="75"/>
        <v>0</v>
      </c>
      <c r="I233" s="185">
        <f t="shared" si="75"/>
        <v>44</v>
      </c>
      <c r="J233" s="326" t="str">
        <f t="shared" si="75"/>
        <v>NA</v>
      </c>
      <c r="K233" s="327">
        <f t="shared" si="75"/>
        <v>36999.200000000004</v>
      </c>
      <c r="L233" s="328">
        <f t="shared" si="75"/>
        <v>5625.0285714285719</v>
      </c>
      <c r="M233" s="1232" t="str">
        <f t="shared" si="75"/>
        <v>NA</v>
      </c>
      <c r="N233" s="348">
        <f t="shared" si="75"/>
        <v>36999.200000000004</v>
      </c>
      <c r="O233" s="349">
        <f t="shared" si="75"/>
        <v>5625.0285714285719</v>
      </c>
      <c r="P233" s="326" t="str">
        <f t="shared" si="75"/>
        <v>NA</v>
      </c>
      <c r="Q233" s="327">
        <f t="shared" si="75"/>
        <v>36999.200000000004</v>
      </c>
      <c r="R233" s="328">
        <f t="shared" si="75"/>
        <v>5625.0285714285719</v>
      </c>
      <c r="S233" s="185">
        <f t="shared" si="75"/>
        <v>5625.0285714285719</v>
      </c>
      <c r="T233" s="37"/>
      <c r="U233" s="227"/>
    </row>
    <row r="234" spans="1:22" ht="13.5" thickBot="1">
      <c r="A234" s="615"/>
      <c r="B234" s="1102" t="s">
        <v>76</v>
      </c>
      <c r="C234" s="207">
        <f t="shared" ref="C234:S234" si="76">C51</f>
        <v>0</v>
      </c>
      <c r="D234" s="208">
        <f t="shared" si="76"/>
        <v>653</v>
      </c>
      <c r="E234" s="208">
        <f t="shared" si="76"/>
        <v>749</v>
      </c>
      <c r="F234" s="208">
        <f t="shared" si="76"/>
        <v>544</v>
      </c>
      <c r="G234" s="208">
        <f t="shared" si="76"/>
        <v>0</v>
      </c>
      <c r="H234" s="208">
        <f t="shared" si="76"/>
        <v>0</v>
      </c>
      <c r="I234" s="209">
        <f t="shared" si="76"/>
        <v>1946</v>
      </c>
      <c r="J234" s="332">
        <f t="shared" si="76"/>
        <v>129016.21399999998</v>
      </c>
      <c r="K234" s="296">
        <f t="shared" si="76"/>
        <v>38551550.329699993</v>
      </c>
      <c r="L234" s="297">
        <f t="shared" si="76"/>
        <v>5507364.3328142855</v>
      </c>
      <c r="M234" s="376">
        <f t="shared" si="76"/>
        <v>126816.53899999999</v>
      </c>
      <c r="N234" s="377">
        <f t="shared" si="76"/>
        <v>39101664.458450004</v>
      </c>
      <c r="O234" s="378">
        <f t="shared" si="76"/>
        <v>5585952.0654928572</v>
      </c>
      <c r="P234" s="332">
        <f t="shared" si="76"/>
        <v>129305.17100000002</v>
      </c>
      <c r="Q234" s="296">
        <f t="shared" si="76"/>
        <v>39868990.662050016</v>
      </c>
      <c r="R234" s="297">
        <f t="shared" si="76"/>
        <v>5695570.0945785725</v>
      </c>
      <c r="S234" s="209">
        <f t="shared" si="76"/>
        <v>405122.76620000007</v>
      </c>
      <c r="T234" s="210" t="str">
        <f>T51</f>
        <v>NA</v>
      </c>
      <c r="U234" s="229">
        <f>U51</f>
        <v>5191172.731428571</v>
      </c>
    </row>
    <row r="235" spans="1:22">
      <c r="A235" s="615"/>
      <c r="B235" s="466" t="s">
        <v>96</v>
      </c>
      <c r="C235" s="197">
        <f t="shared" ref="C235:S235" si="77">C71</f>
        <v>0</v>
      </c>
      <c r="D235" s="25">
        <f t="shared" si="77"/>
        <v>208</v>
      </c>
      <c r="E235" s="25">
        <f t="shared" si="77"/>
        <v>196</v>
      </c>
      <c r="F235" s="25">
        <f t="shared" si="77"/>
        <v>273</v>
      </c>
      <c r="G235" s="25">
        <f t="shared" si="77"/>
        <v>0</v>
      </c>
      <c r="H235" s="25">
        <f t="shared" si="77"/>
        <v>0</v>
      </c>
      <c r="I235" s="198">
        <f t="shared" si="77"/>
        <v>677</v>
      </c>
      <c r="J235" s="326" t="str">
        <f t="shared" si="77"/>
        <v>NA</v>
      </c>
      <c r="K235" s="327">
        <f t="shared" si="77"/>
        <v>206780.61611374406</v>
      </c>
      <c r="L235" s="328">
        <f t="shared" si="77"/>
        <v>206780.61611374406</v>
      </c>
      <c r="M235" s="1232" t="str">
        <f t="shared" si="77"/>
        <v>NA</v>
      </c>
      <c r="N235" s="348">
        <f t="shared" si="77"/>
        <v>206780.61611374406</v>
      </c>
      <c r="O235" s="349">
        <f t="shared" si="77"/>
        <v>206780.61611374406</v>
      </c>
      <c r="P235" s="326" t="str">
        <f t="shared" si="77"/>
        <v>NA</v>
      </c>
      <c r="Q235" s="327">
        <f t="shared" si="77"/>
        <v>206780.61611374406</v>
      </c>
      <c r="R235" s="328">
        <f t="shared" si="77"/>
        <v>206780.61611374406</v>
      </c>
      <c r="S235" s="185">
        <f t="shared" si="77"/>
        <v>19392</v>
      </c>
      <c r="T235" s="135" t="str">
        <f>T25</f>
        <v>NA</v>
      </c>
      <c r="U235" s="230" t="s">
        <v>12</v>
      </c>
    </row>
    <row r="236" spans="1:22" ht="13.5" thickBot="1">
      <c r="A236" s="615"/>
      <c r="B236" s="1102" t="s">
        <v>76</v>
      </c>
      <c r="C236" s="211">
        <f t="shared" ref="C236:S236" si="78">C72</f>
        <v>0</v>
      </c>
      <c r="D236" s="208">
        <f t="shared" si="78"/>
        <v>8499</v>
      </c>
      <c r="E236" s="208">
        <f t="shared" si="78"/>
        <v>4677</v>
      </c>
      <c r="F236" s="208">
        <f t="shared" si="78"/>
        <v>9015</v>
      </c>
      <c r="G236" s="208">
        <f t="shared" si="78"/>
        <v>0</v>
      </c>
      <c r="H236" s="208">
        <f t="shared" si="78"/>
        <v>0</v>
      </c>
      <c r="I236" s="209">
        <f t="shared" si="78"/>
        <v>22191</v>
      </c>
      <c r="J236" s="332">
        <f t="shared" si="78"/>
        <v>8491607.5040758271</v>
      </c>
      <c r="K236" s="296">
        <f t="shared" si="78"/>
        <v>23866958.528000005</v>
      </c>
      <c r="L236" s="297">
        <f t="shared" si="78"/>
        <v>23866958.528000005</v>
      </c>
      <c r="M236" s="376">
        <f t="shared" si="78"/>
        <v>8668811.3334597144</v>
      </c>
      <c r="N236" s="377">
        <f t="shared" si="78"/>
        <v>24365016.928000003</v>
      </c>
      <c r="O236" s="378">
        <f t="shared" si="78"/>
        <v>24365016.928000003</v>
      </c>
      <c r="P236" s="332">
        <f t="shared" si="78"/>
        <v>8838927.0096682459</v>
      </c>
      <c r="Q236" s="296">
        <f t="shared" si="78"/>
        <v>24843152.992000002</v>
      </c>
      <c r="R236" s="297">
        <f t="shared" si="78"/>
        <v>24843152.992000002</v>
      </c>
      <c r="S236" s="209">
        <f t="shared" si="78"/>
        <v>15274202.458666667</v>
      </c>
      <c r="T236" s="209">
        <f>T72</f>
        <v>455565.60000000003</v>
      </c>
      <c r="U236" s="1266">
        <f>U72</f>
        <v>8642232.0906666666</v>
      </c>
    </row>
    <row r="237" spans="1:22">
      <c r="A237" s="615"/>
      <c r="B237" s="466" t="s">
        <v>99</v>
      </c>
      <c r="C237" s="197">
        <f t="shared" ref="C237:S237" si="79">C105</f>
        <v>0</v>
      </c>
      <c r="D237" s="25">
        <f t="shared" si="79"/>
        <v>19</v>
      </c>
      <c r="E237" s="25">
        <f t="shared" si="79"/>
        <v>49</v>
      </c>
      <c r="F237" s="25">
        <f t="shared" si="79"/>
        <v>66</v>
      </c>
      <c r="G237" s="25">
        <f t="shared" si="79"/>
        <v>4</v>
      </c>
      <c r="H237" s="25">
        <f t="shared" si="79"/>
        <v>0</v>
      </c>
      <c r="I237" s="198">
        <f t="shared" si="79"/>
        <v>138</v>
      </c>
      <c r="J237" s="326">
        <f>J105</f>
        <v>138</v>
      </c>
      <c r="K237" s="327">
        <f>K105</f>
        <v>53138</v>
      </c>
      <c r="L237" s="328">
        <f t="shared" si="79"/>
        <v>53138</v>
      </c>
      <c r="M237" s="1232">
        <f t="shared" si="79"/>
        <v>138</v>
      </c>
      <c r="N237" s="348">
        <f t="shared" si="79"/>
        <v>53138</v>
      </c>
      <c r="O237" s="349">
        <f t="shared" si="79"/>
        <v>53138</v>
      </c>
      <c r="P237" s="326">
        <f t="shared" si="79"/>
        <v>138</v>
      </c>
      <c r="Q237" s="327">
        <f t="shared" si="79"/>
        <v>53138</v>
      </c>
      <c r="R237" s="328">
        <f t="shared" si="79"/>
        <v>53138</v>
      </c>
      <c r="S237" s="185">
        <f t="shared" si="79"/>
        <v>53138</v>
      </c>
      <c r="T237" s="37"/>
      <c r="U237" s="227"/>
    </row>
    <row r="238" spans="1:22" ht="13.5" thickBot="1">
      <c r="A238" s="615"/>
      <c r="B238" s="1102" t="s">
        <v>76</v>
      </c>
      <c r="C238" s="207">
        <f t="shared" ref="C238:S238" si="80">C106</f>
        <v>0</v>
      </c>
      <c r="D238" s="208">
        <f t="shared" si="80"/>
        <v>778</v>
      </c>
      <c r="E238" s="208">
        <f t="shared" si="80"/>
        <v>2162</v>
      </c>
      <c r="F238" s="208">
        <f t="shared" si="80"/>
        <v>3253</v>
      </c>
      <c r="G238" s="208">
        <f t="shared" si="80"/>
        <v>222</v>
      </c>
      <c r="H238" s="208">
        <f t="shared" si="80"/>
        <v>0</v>
      </c>
      <c r="I238" s="209">
        <f>J106</f>
        <v>7685.1699999999992</v>
      </c>
      <c r="J238" s="332" t="e">
        <f>#REF!</f>
        <v>#REF!</v>
      </c>
      <c r="K238" s="296">
        <f t="shared" si="80"/>
        <v>3546741.2959999992</v>
      </c>
      <c r="L238" s="297">
        <f t="shared" si="80"/>
        <v>3546741.2959999992</v>
      </c>
      <c r="M238" s="450">
        <f t="shared" si="80"/>
        <v>7845.5450000000019</v>
      </c>
      <c r="N238" s="377">
        <f t="shared" si="80"/>
        <v>3620755.0959999999</v>
      </c>
      <c r="O238" s="378">
        <f t="shared" si="80"/>
        <v>3620755.0959999999</v>
      </c>
      <c r="P238" s="332">
        <f t="shared" si="80"/>
        <v>7999.505000000001</v>
      </c>
      <c r="Q238" s="296">
        <f t="shared" si="80"/>
        <v>3691808.344</v>
      </c>
      <c r="R238" s="297">
        <f t="shared" si="80"/>
        <v>3691808.344</v>
      </c>
      <c r="S238" s="209">
        <f t="shared" si="80"/>
        <v>2995437.9653333328</v>
      </c>
      <c r="T238" s="209">
        <f>T106</f>
        <v>624330.28</v>
      </c>
      <c r="U238" s="758" t="s">
        <v>12</v>
      </c>
    </row>
    <row r="239" spans="1:22">
      <c r="A239" s="615"/>
      <c r="B239" s="466" t="s">
        <v>100</v>
      </c>
      <c r="C239" s="197">
        <f t="shared" ref="C239:U239" si="81">C146</f>
        <v>0</v>
      </c>
      <c r="D239" s="25">
        <f t="shared" si="81"/>
        <v>64</v>
      </c>
      <c r="E239" s="25">
        <f t="shared" si="81"/>
        <v>176.5</v>
      </c>
      <c r="F239" s="25">
        <f t="shared" si="81"/>
        <v>139</v>
      </c>
      <c r="G239" s="25">
        <f t="shared" si="81"/>
        <v>86</v>
      </c>
      <c r="H239" s="25">
        <f t="shared" si="81"/>
        <v>1</v>
      </c>
      <c r="I239" s="198">
        <f t="shared" si="81"/>
        <v>466.5</v>
      </c>
      <c r="J239" s="326">
        <f t="shared" si="81"/>
        <v>466.5</v>
      </c>
      <c r="K239" s="327">
        <f t="shared" si="81"/>
        <v>193214.5</v>
      </c>
      <c r="L239" s="328">
        <f t="shared" si="81"/>
        <v>193214.5</v>
      </c>
      <c r="M239" s="1232">
        <f t="shared" si="81"/>
        <v>466.5</v>
      </c>
      <c r="N239" s="348">
        <f t="shared" si="81"/>
        <v>193214.5</v>
      </c>
      <c r="O239" s="349">
        <f t="shared" si="81"/>
        <v>193214.5</v>
      </c>
      <c r="P239" s="326">
        <f t="shared" si="81"/>
        <v>466.5</v>
      </c>
      <c r="Q239" s="327">
        <f t="shared" si="81"/>
        <v>193214.5</v>
      </c>
      <c r="R239" s="328">
        <f t="shared" si="81"/>
        <v>193214.5</v>
      </c>
      <c r="S239" s="185">
        <f t="shared" si="81"/>
        <v>193214.5</v>
      </c>
      <c r="T239" s="212" t="str">
        <f t="shared" si="81"/>
        <v>NA</v>
      </c>
      <c r="U239" s="1090" t="str">
        <f t="shared" si="81"/>
        <v>NA</v>
      </c>
    </row>
    <row r="240" spans="1:22" ht="13.5" thickBot="1">
      <c r="A240" s="615"/>
      <c r="B240" s="1102" t="s">
        <v>76</v>
      </c>
      <c r="C240" s="207">
        <f t="shared" ref="C240:T240" si="82">C147</f>
        <v>0</v>
      </c>
      <c r="D240" s="208">
        <f t="shared" si="82"/>
        <v>2615</v>
      </c>
      <c r="E240" s="208">
        <f t="shared" si="82"/>
        <v>7786</v>
      </c>
      <c r="F240" s="208">
        <f t="shared" si="82"/>
        <v>6848</v>
      </c>
      <c r="G240" s="208">
        <f t="shared" si="82"/>
        <v>4770</v>
      </c>
      <c r="H240" s="208">
        <f t="shared" si="82"/>
        <v>59</v>
      </c>
      <c r="I240" s="209">
        <f t="shared" si="82"/>
        <v>22078</v>
      </c>
      <c r="J240" s="332">
        <f t="shared" si="82"/>
        <v>26449.444</v>
      </c>
      <c r="K240" s="296">
        <f t="shared" si="82"/>
        <v>10924688.988000002</v>
      </c>
      <c r="L240" s="297">
        <f t="shared" si="82"/>
        <v>10924688.988000002</v>
      </c>
      <c r="M240" s="376">
        <f t="shared" si="82"/>
        <v>27001.393999999997</v>
      </c>
      <c r="N240" s="377">
        <f t="shared" si="82"/>
        <v>11152666.638</v>
      </c>
      <c r="O240" s="378">
        <f t="shared" si="82"/>
        <v>11152666.638</v>
      </c>
      <c r="P240" s="339">
        <f t="shared" si="82"/>
        <v>27531.266</v>
      </c>
      <c r="Q240" s="296">
        <f t="shared" si="82"/>
        <v>11371525.182000002</v>
      </c>
      <c r="R240" s="297">
        <f t="shared" si="82"/>
        <v>11371525.182000002</v>
      </c>
      <c r="S240" s="209">
        <f t="shared" si="82"/>
        <v>11149626.936000001</v>
      </c>
      <c r="T240" s="210" t="str">
        <f t="shared" si="82"/>
        <v>NA</v>
      </c>
      <c r="U240" s="228" t="s">
        <v>12</v>
      </c>
    </row>
    <row r="241" spans="1:21">
      <c r="A241" s="615"/>
      <c r="B241" s="466" t="s">
        <v>101</v>
      </c>
      <c r="C241" s="213">
        <f t="shared" ref="C241:S241" si="83">C198</f>
        <v>0</v>
      </c>
      <c r="D241" s="214">
        <f t="shared" si="83"/>
        <v>24</v>
      </c>
      <c r="E241" s="214">
        <f t="shared" si="83"/>
        <v>60</v>
      </c>
      <c r="F241" s="214">
        <f t="shared" si="83"/>
        <v>45</v>
      </c>
      <c r="G241" s="214">
        <f t="shared" si="83"/>
        <v>27</v>
      </c>
      <c r="H241" s="214">
        <f t="shared" si="83"/>
        <v>6</v>
      </c>
      <c r="I241" s="215">
        <f>I198</f>
        <v>162</v>
      </c>
      <c r="J241" s="336">
        <f>J198</f>
        <v>132</v>
      </c>
      <c r="K241" s="337">
        <f t="shared" si="83"/>
        <v>59263</v>
      </c>
      <c r="L241" s="294">
        <f t="shared" si="83"/>
        <v>59263</v>
      </c>
      <c r="M241" s="1236">
        <f t="shared" si="83"/>
        <v>132</v>
      </c>
      <c r="N241" s="1237">
        <f t="shared" si="83"/>
        <v>59263</v>
      </c>
      <c r="O241" s="62">
        <f t="shared" si="83"/>
        <v>59263</v>
      </c>
      <c r="P241" s="336">
        <f t="shared" si="83"/>
        <v>132</v>
      </c>
      <c r="Q241" s="337">
        <f t="shared" si="83"/>
        <v>59263</v>
      </c>
      <c r="R241" s="294">
        <f t="shared" si="83"/>
        <v>59263</v>
      </c>
      <c r="S241" s="215">
        <f t="shared" si="83"/>
        <v>59263</v>
      </c>
      <c r="T241" s="136" t="s">
        <v>12</v>
      </c>
      <c r="U241" s="230" t="s">
        <v>12</v>
      </c>
    </row>
    <row r="242" spans="1:21" ht="13.5" thickBot="1">
      <c r="A242" s="615"/>
      <c r="B242" s="1102" t="s">
        <v>76</v>
      </c>
      <c r="C242" s="207">
        <f t="shared" ref="C242:S242" si="84">C199</f>
        <v>0</v>
      </c>
      <c r="D242" s="208">
        <f>D199</f>
        <v>981</v>
      </c>
      <c r="E242" s="208">
        <f>E199</f>
        <v>2649</v>
      </c>
      <c r="F242" s="208">
        <f t="shared" si="84"/>
        <v>2223</v>
      </c>
      <c r="G242" s="208">
        <f t="shared" si="84"/>
        <v>1494</v>
      </c>
      <c r="H242" s="208">
        <f t="shared" si="84"/>
        <v>352</v>
      </c>
      <c r="I242" s="209">
        <f t="shared" si="84"/>
        <v>7699</v>
      </c>
      <c r="J242" s="332">
        <f t="shared" si="84"/>
        <v>9223.4019999999982</v>
      </c>
      <c r="K242" s="338">
        <f t="shared" si="84"/>
        <v>3637828.8299999996</v>
      </c>
      <c r="L242" s="297">
        <f t="shared" si="84"/>
        <v>3238753.123714285</v>
      </c>
      <c r="M242" s="450">
        <f t="shared" si="84"/>
        <v>9415.8770000000022</v>
      </c>
      <c r="N242" s="1238">
        <f t="shared" si="84"/>
        <v>3713743.4550000001</v>
      </c>
      <c r="O242" s="378">
        <f t="shared" si="84"/>
        <v>3306339.791571429</v>
      </c>
      <c r="P242" s="332">
        <f t="shared" si="84"/>
        <v>9600.6529999999984</v>
      </c>
      <c r="Q242" s="338">
        <f t="shared" si="84"/>
        <v>3786621.4950000006</v>
      </c>
      <c r="R242" s="297">
        <f t="shared" si="84"/>
        <v>3371222.9927142863</v>
      </c>
      <c r="S242" s="209">
        <f t="shared" si="84"/>
        <v>3361085.3559999997</v>
      </c>
      <c r="T242" s="209">
        <f>T199</f>
        <v>0</v>
      </c>
      <c r="U242" s="1266">
        <f>U199</f>
        <v>6010.2800000000007</v>
      </c>
    </row>
    <row r="243" spans="1:21">
      <c r="A243" s="615"/>
      <c r="B243" s="466" t="s">
        <v>102</v>
      </c>
      <c r="C243" s="197">
        <f t="shared" ref="C243:S243" si="85">C225</f>
        <v>0</v>
      </c>
      <c r="D243" s="25">
        <f t="shared" si="85"/>
        <v>18</v>
      </c>
      <c r="E243" s="25">
        <f t="shared" si="85"/>
        <v>19</v>
      </c>
      <c r="F243" s="25">
        <f t="shared" si="85"/>
        <v>57</v>
      </c>
      <c r="G243" s="25">
        <f t="shared" si="85"/>
        <v>69</v>
      </c>
      <c r="H243" s="25">
        <f t="shared" si="85"/>
        <v>30</v>
      </c>
      <c r="I243" s="198">
        <f t="shared" si="85"/>
        <v>193</v>
      </c>
      <c r="J243" s="333" t="str">
        <f t="shared" si="85"/>
        <v>NA</v>
      </c>
      <c r="K243" s="334">
        <f t="shared" si="85"/>
        <v>79830</v>
      </c>
      <c r="L243" s="335">
        <f t="shared" si="85"/>
        <v>79830</v>
      </c>
      <c r="M243" s="1239" t="str">
        <f t="shared" si="85"/>
        <v>NA</v>
      </c>
      <c r="N243" s="668">
        <f t="shared" si="85"/>
        <v>79830</v>
      </c>
      <c r="O243" s="1240">
        <f t="shared" si="85"/>
        <v>79830</v>
      </c>
      <c r="P243" s="333" t="str">
        <f t="shared" si="85"/>
        <v>NA</v>
      </c>
      <c r="Q243" s="334">
        <f t="shared" si="85"/>
        <v>79830</v>
      </c>
      <c r="R243" s="335">
        <f t="shared" si="85"/>
        <v>79830</v>
      </c>
      <c r="S243" s="198">
        <f t="shared" si="85"/>
        <v>79830</v>
      </c>
      <c r="T243" s="136" t="s">
        <v>12</v>
      </c>
      <c r="U243" s="230" t="s">
        <v>12</v>
      </c>
    </row>
    <row r="244" spans="1:21" ht="13.5" thickBot="1">
      <c r="A244" s="615"/>
      <c r="B244" s="1103" t="s">
        <v>76</v>
      </c>
      <c r="C244" s="220">
        <f t="shared" ref="C244:S244" si="86">C226</f>
        <v>0</v>
      </c>
      <c r="D244" s="221">
        <f t="shared" si="86"/>
        <v>735</v>
      </c>
      <c r="E244" s="221">
        <f t="shared" si="86"/>
        <v>838</v>
      </c>
      <c r="F244" s="221">
        <f t="shared" si="86"/>
        <v>2808</v>
      </c>
      <c r="G244" s="221">
        <f t="shared" si="86"/>
        <v>3828</v>
      </c>
      <c r="H244" s="221">
        <f t="shared" si="86"/>
        <v>1757</v>
      </c>
      <c r="I244" s="222">
        <f t="shared" si="86"/>
        <v>9966</v>
      </c>
      <c r="J244" s="304" t="str">
        <f t="shared" si="86"/>
        <v>NA</v>
      </c>
      <c r="K244" s="305">
        <f t="shared" si="86"/>
        <v>4978067.370000001</v>
      </c>
      <c r="L244" s="306">
        <f t="shared" si="86"/>
        <v>4978067.370000001</v>
      </c>
      <c r="M244" s="252" t="str">
        <f t="shared" si="86"/>
        <v>NA</v>
      </c>
      <c r="N244" s="253">
        <f t="shared" si="86"/>
        <v>5081950.2450000001</v>
      </c>
      <c r="O244" s="254">
        <f t="shared" si="86"/>
        <v>5081950.2450000001</v>
      </c>
      <c r="P244" s="311" t="str">
        <f t="shared" si="86"/>
        <v>NA</v>
      </c>
      <c r="Q244" s="305">
        <f t="shared" si="86"/>
        <v>5181677.8050000006</v>
      </c>
      <c r="R244" s="306">
        <f t="shared" si="86"/>
        <v>5181677.8050000006</v>
      </c>
      <c r="S244" s="222">
        <f t="shared" si="86"/>
        <v>5080565.1400000006</v>
      </c>
      <c r="T244" s="223" t="str">
        <f>T226</f>
        <v>NA</v>
      </c>
      <c r="U244" s="231" t="s">
        <v>12</v>
      </c>
    </row>
    <row r="245" spans="1:21" ht="18.75" thickTop="1">
      <c r="A245" s="615"/>
      <c r="B245" s="1104" t="s">
        <v>13</v>
      </c>
      <c r="C245" s="183" t="s">
        <v>45</v>
      </c>
      <c r="D245" s="108" t="s">
        <v>46</v>
      </c>
      <c r="E245" s="107" t="s">
        <v>47</v>
      </c>
      <c r="F245" s="107" t="s">
        <v>48</v>
      </c>
      <c r="G245" s="107" t="s">
        <v>49</v>
      </c>
      <c r="H245" s="107" t="s">
        <v>50</v>
      </c>
      <c r="I245" s="109" t="s">
        <v>13</v>
      </c>
      <c r="J245" s="110" t="s">
        <v>56</v>
      </c>
      <c r="K245" s="108" t="s">
        <v>13</v>
      </c>
      <c r="L245" s="111" t="s">
        <v>68</v>
      </c>
      <c r="M245" s="110" t="s">
        <v>56</v>
      </c>
      <c r="N245" s="108" t="s">
        <v>13</v>
      </c>
      <c r="O245" s="111" t="s">
        <v>68</v>
      </c>
      <c r="P245" s="110" t="s">
        <v>56</v>
      </c>
      <c r="Q245" s="108" t="s">
        <v>13</v>
      </c>
      <c r="R245" s="111" t="s">
        <v>68</v>
      </c>
      <c r="S245" s="111"/>
      <c r="T245" s="37"/>
      <c r="U245" s="227"/>
    </row>
    <row r="246" spans="1:21">
      <c r="A246" s="615"/>
      <c r="B246" s="1105" t="s">
        <v>75</v>
      </c>
      <c r="C246" s="195">
        <f t="shared" ref="C246:I247" si="87">C231+C233+C235+C237+C239+C241+C243</f>
        <v>0</v>
      </c>
      <c r="D246" s="101">
        <f t="shared" si="87"/>
        <v>349</v>
      </c>
      <c r="E246" s="101">
        <f t="shared" si="87"/>
        <v>519.5</v>
      </c>
      <c r="F246" s="101">
        <f t="shared" si="87"/>
        <v>598</v>
      </c>
      <c r="G246" s="101">
        <f t="shared" si="87"/>
        <v>193</v>
      </c>
      <c r="H246" s="101">
        <f t="shared" si="87"/>
        <v>42</v>
      </c>
      <c r="I246" s="102">
        <f t="shared" si="87"/>
        <v>1701.5</v>
      </c>
      <c r="J246" s="340" t="s">
        <v>12</v>
      </c>
      <c r="K246" s="281">
        <f>K231+K233+K235+K237+K239+K243</f>
        <v>572755.31611374405</v>
      </c>
      <c r="L246" s="289">
        <f>L231+L233+L235+L237+L239+L241+L243</f>
        <v>598250.14468517271</v>
      </c>
      <c r="M246" s="1241" t="s">
        <v>12</v>
      </c>
      <c r="N246" s="69">
        <f>N231+N233+N235+N237+N239+N243</f>
        <v>572755.31611374405</v>
      </c>
      <c r="O246" s="68">
        <f>O231+O233+O235+O237+O239+O241+O243</f>
        <v>598250.14468517271</v>
      </c>
      <c r="P246" s="340" t="s">
        <v>12</v>
      </c>
      <c r="Q246" s="281">
        <f>Q231+Q233+Q235+Q237+Q239+Q243</f>
        <v>572755.31611374405</v>
      </c>
      <c r="R246" s="289">
        <f>R231+R233+R235+R237+R239+R241+R243</f>
        <v>598250.14468517271</v>
      </c>
      <c r="S246" s="68">
        <f>S231+S233+S235+S237+S239+S241+S243</f>
        <v>410861.52857142856</v>
      </c>
      <c r="T246" s="102"/>
      <c r="U246" s="232" t="s">
        <v>12</v>
      </c>
    </row>
    <row r="247" spans="1:21" s="235" customFormat="1" ht="16.5" thickBot="1">
      <c r="A247" s="1107"/>
      <c r="B247" s="1106" t="s">
        <v>76</v>
      </c>
      <c r="C247" s="1097">
        <f t="shared" si="87"/>
        <v>0</v>
      </c>
      <c r="D247" s="1098">
        <f t="shared" si="87"/>
        <v>14261</v>
      </c>
      <c r="E247" s="1098">
        <f t="shared" si="87"/>
        <v>18949</v>
      </c>
      <c r="F247" s="1098">
        <f t="shared" si="87"/>
        <v>25036</v>
      </c>
      <c r="G247" s="1098">
        <f t="shared" si="87"/>
        <v>10702</v>
      </c>
      <c r="H247" s="1098">
        <f t="shared" si="87"/>
        <v>2461</v>
      </c>
      <c r="I247" s="1095">
        <f t="shared" si="87"/>
        <v>72679.17</v>
      </c>
      <c r="J247" s="1091" t="s">
        <v>12</v>
      </c>
      <c r="K247" s="1092">
        <f>K232+K234+K236+K238+K240+K244</f>
        <v>82045504.587699994</v>
      </c>
      <c r="L247" s="1093">
        <f>L232+L234+L236+L238+L240+L242+L244</f>
        <v>52087930.506528571</v>
      </c>
      <c r="M247" s="1267" t="s">
        <v>12</v>
      </c>
      <c r="N247" s="1268">
        <f>N232+N234+N236+N238+N240+N244</f>
        <v>83503255.491450012</v>
      </c>
      <c r="O247" s="1094">
        <f>O232+O234+O236+O238+O240+O242+O244</f>
        <v>53138566.782064289</v>
      </c>
      <c r="P247" s="1269" t="s">
        <v>12</v>
      </c>
      <c r="Q247" s="1092">
        <f>Q232+Q234+Q236+Q238+Q240+Q244</f>
        <v>85141912.999050021</v>
      </c>
      <c r="R247" s="1093">
        <f>R232+R234+R236+R238+R240+R242+R244</f>
        <v>54181351.41229286</v>
      </c>
      <c r="S247" s="1094">
        <f>S232+S234+S236+S238+S240+S242+S244</f>
        <v>38291919.584866665</v>
      </c>
      <c r="T247" s="1270">
        <f>SUM(T231:T246)</f>
        <v>1079895.8800000001</v>
      </c>
      <c r="U247" s="1096">
        <f>SUM(U231:U246)</f>
        <v>13839415.102095237</v>
      </c>
    </row>
    <row r="248" spans="1:21" ht="13.5" thickTop="1">
      <c r="M248" s="870"/>
      <c r="N248" s="870"/>
      <c r="O248" s="870"/>
    </row>
    <row r="249" spans="1:21">
      <c r="M249" s="870"/>
      <c r="N249" s="870"/>
      <c r="O249" s="870"/>
    </row>
    <row r="250" spans="1:21">
      <c r="M250" s="870"/>
      <c r="N250" s="870"/>
      <c r="O250" s="870"/>
    </row>
    <row r="251" spans="1:21">
      <c r="M251" s="870"/>
      <c r="N251" s="870"/>
      <c r="O251" s="870"/>
      <c r="S251" s="654">
        <f>+S247+T247+U247</f>
        <v>53211230.566961907</v>
      </c>
    </row>
    <row r="252" spans="1:21">
      <c r="M252" s="870"/>
      <c r="N252" s="870"/>
      <c r="O252" s="870"/>
    </row>
    <row r="253" spans="1:21">
      <c r="M253" s="870"/>
      <c r="N253" s="870"/>
      <c r="O253" s="870"/>
    </row>
    <row r="254" spans="1:21">
      <c r="M254" s="870"/>
      <c r="N254" s="870"/>
      <c r="O254" s="870"/>
    </row>
    <row r="255" spans="1:21">
      <c r="M255" s="870"/>
      <c r="N255" s="870"/>
      <c r="O255" s="870"/>
    </row>
    <row r="256" spans="1:21">
      <c r="M256" s="870"/>
      <c r="N256" s="870"/>
      <c r="O256" s="870"/>
    </row>
    <row r="257" spans="13:15">
      <c r="M257" s="870"/>
      <c r="N257" s="870"/>
      <c r="O257" s="870"/>
    </row>
    <row r="258" spans="13:15">
      <c r="M258" s="870"/>
      <c r="N258" s="870"/>
      <c r="O258" s="870"/>
    </row>
    <row r="259" spans="13:15">
      <c r="M259" s="870"/>
      <c r="N259" s="870"/>
      <c r="O259" s="870"/>
    </row>
    <row r="260" spans="13:15">
      <c r="M260" s="870"/>
      <c r="N260" s="870"/>
      <c r="O260" s="870"/>
    </row>
    <row r="261" spans="13:15">
      <c r="M261" s="870"/>
      <c r="N261" s="870"/>
      <c r="O261" s="870"/>
    </row>
    <row r="262" spans="13:15">
      <c r="M262" s="870"/>
      <c r="N262" s="870"/>
      <c r="O262" s="870"/>
    </row>
  </sheetData>
  <mergeCells count="39">
    <mergeCell ref="F2:G2"/>
    <mergeCell ref="N2:O2"/>
    <mergeCell ref="K2:L2"/>
    <mergeCell ref="G201:I201"/>
    <mergeCell ref="K12:L12"/>
    <mergeCell ref="N12:O12"/>
    <mergeCell ref="G108:I108"/>
    <mergeCell ref="G150:I150"/>
    <mergeCell ref="N23:O23"/>
    <mergeCell ref="G76:I76"/>
    <mergeCell ref="K151:L151"/>
    <mergeCell ref="K76:L76"/>
    <mergeCell ref="C3:I3"/>
    <mergeCell ref="G75:I75"/>
    <mergeCell ref="K109:L109"/>
    <mergeCell ref="N192:O192"/>
    <mergeCell ref="Q23:R23"/>
    <mergeCell ref="G11:I11"/>
    <mergeCell ref="K23:L23"/>
    <mergeCell ref="Q12:R12"/>
    <mergeCell ref="G54:I54"/>
    <mergeCell ref="G22:I22"/>
    <mergeCell ref="G53:I53"/>
    <mergeCell ref="K202:L202"/>
    <mergeCell ref="N54:O54"/>
    <mergeCell ref="N76:O76"/>
    <mergeCell ref="N151:O151"/>
    <mergeCell ref="N202:O202"/>
    <mergeCell ref="N109:O109"/>
    <mergeCell ref="K54:L54"/>
    <mergeCell ref="K155:L155"/>
    <mergeCell ref="N155:O155"/>
    <mergeCell ref="Q202:R202"/>
    <mergeCell ref="Q54:R54"/>
    <mergeCell ref="Q76:R76"/>
    <mergeCell ref="Q109:R109"/>
    <mergeCell ref="Q192:R192"/>
    <mergeCell ref="Q151:R151"/>
    <mergeCell ref="Q155:R155"/>
  </mergeCells>
  <phoneticPr fontId="2" type="noConversion"/>
  <dataValidations count="2">
    <dataValidation allowBlank="1" showInputMessage="1" showErrorMessage="1" sqref="D153:D154 D29:D35 D25:D26 D56:D59"/>
    <dataValidation type="list" allowBlank="1" showInputMessage="1" showErrorMessage="1" sqref="D78:D82">
      <formula1>YearList</formula1>
    </dataValidation>
  </dataValidations>
  <pageMargins left="0.25" right="0.28000000000000003" top="0.64" bottom="0.47" header="0.5" footer="0.44"/>
  <pageSetup scale="46" fitToHeight="25" orientation="landscape" r:id="rId1"/>
  <headerFooter alignWithMargins="0"/>
  <rowBreaks count="3" manualBreakCount="3">
    <brk id="73" max="16383" man="1"/>
    <brk id="148" max="16383" man="1"/>
    <brk id="2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Labor</vt:lpstr>
      <vt:lpstr>Inflation</vt:lpstr>
      <vt:lpstr>MonitorEquip</vt:lpstr>
      <vt:lpstr>SO2</vt:lpstr>
      <vt:lpstr>CO</vt:lpstr>
      <vt:lpstr>NO2</vt:lpstr>
      <vt:lpstr>O3</vt:lpstr>
      <vt:lpstr>PM10</vt:lpstr>
      <vt:lpstr>PM25</vt:lpstr>
      <vt:lpstr>Pb</vt:lpstr>
      <vt:lpstr>PAMSVOC</vt:lpstr>
      <vt:lpstr>PAMSNMOC</vt:lpstr>
      <vt:lpstr>PAMSNOx</vt:lpstr>
      <vt:lpstr>NF_PAMSSurfMet</vt:lpstr>
      <vt:lpstr>PAMS_Upper_Air</vt:lpstr>
      <vt:lpstr>PAMSCarbE</vt:lpstr>
      <vt:lpstr>PAMSCarbD</vt:lpstr>
      <vt:lpstr>PAMSHalfD</vt:lpstr>
      <vt:lpstr>NATTS</vt:lpstr>
      <vt:lpstr>Generic</vt:lpstr>
      <vt:lpstr>Summary</vt:lpstr>
      <vt:lpstr>Grand Total</vt:lpstr>
      <vt:lpstr>InflationTable</vt:lpstr>
      <vt:lpstr>Labor_rates_based_on_year</vt:lpstr>
      <vt:lpstr>Monitor_Costs</vt:lpstr>
      <vt:lpstr>Generic!Print_Area</vt:lpstr>
      <vt:lpstr>PAMS_Upper_Air!Print_Area</vt:lpstr>
      <vt:lpstr>PAMSNMOC!Print_Area</vt:lpstr>
      <vt:lpstr>Summary!Print_Area</vt:lpstr>
      <vt:lpstr>MonitorEquip!Print_Titles</vt:lpstr>
      <vt:lpstr>YearList</vt:lpstr>
    </vt:vector>
  </TitlesOfParts>
  <Company>RTI International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eer</dc:creator>
  <cp:lastModifiedBy>Courtney Kerwin</cp:lastModifiedBy>
  <cp:lastPrinted>2013-02-05T17:25:44Z</cp:lastPrinted>
  <dcterms:created xsi:type="dcterms:W3CDTF">2009-06-01T18:12:38Z</dcterms:created>
  <dcterms:modified xsi:type="dcterms:W3CDTF">2013-09-12T17:24:06Z</dcterms:modified>
</cp:coreProperties>
</file>