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1820" windowHeight="6945"/>
  </bookViews>
  <sheets>
    <sheet name="2014" sheetId="2" r:id="rId1"/>
  </sheets>
  <calcPr calcId="145621"/>
</workbook>
</file>

<file path=xl/calcChain.xml><?xml version="1.0" encoding="utf-8"?>
<calcChain xmlns="http://schemas.openxmlformats.org/spreadsheetml/2006/main">
  <c r="E5" i="2" l="1"/>
  <c r="C6" i="2"/>
  <c r="E6" i="2"/>
  <c r="C7" i="2"/>
  <c r="E7" i="2" s="1"/>
  <c r="G7" i="2" s="1"/>
  <c r="H7" i="2" s="1"/>
  <c r="C8" i="2"/>
  <c r="E8" i="2"/>
  <c r="D10" i="2"/>
  <c r="E10" i="2" s="1"/>
  <c r="G10" i="2" s="1"/>
  <c r="D11" i="2"/>
  <c r="E11" i="2"/>
  <c r="D12" i="2"/>
  <c r="E12" i="2" s="1"/>
  <c r="G12" i="2" s="1"/>
  <c r="H12" i="2" s="1"/>
  <c r="E13" i="2"/>
  <c r="D14" i="2"/>
  <c r="E14" i="2"/>
  <c r="G14" i="2" s="1"/>
  <c r="H14" i="2" s="1"/>
  <c r="E15" i="2"/>
  <c r="D16" i="2"/>
  <c r="E16" i="2"/>
  <c r="G16" i="2" s="1"/>
  <c r="H16" i="2" s="1"/>
  <c r="E17" i="2"/>
  <c r="G17" i="2" s="1"/>
  <c r="D18" i="2"/>
  <c r="E18" i="2" s="1"/>
  <c r="G18" i="2" s="1"/>
  <c r="H18" i="2" s="1"/>
  <c r="D19" i="2"/>
  <c r="E19" i="2"/>
  <c r="G19" i="2" s="1"/>
  <c r="H19" i="2" s="1"/>
  <c r="E20" i="2"/>
  <c r="E21" i="2"/>
  <c r="D22" i="2"/>
  <c r="E22" i="2"/>
  <c r="G22" i="2" s="1"/>
  <c r="H22" i="2" s="1"/>
  <c r="D23" i="2"/>
  <c r="E23" i="2" s="1"/>
  <c r="G23" i="2" s="1"/>
  <c r="D24" i="2"/>
  <c r="E24" i="2"/>
  <c r="G24" i="2" s="1"/>
  <c r="H24" i="2" s="1"/>
  <c r="E25" i="2"/>
  <c r="E26" i="2"/>
  <c r="D27" i="2"/>
  <c r="E27" i="2"/>
  <c r="G27" i="2" s="1"/>
  <c r="H27" i="2" s="1"/>
  <c r="D28" i="2"/>
  <c r="E28" i="2" s="1"/>
  <c r="G28" i="2" s="1"/>
  <c r="H28" i="2" s="1"/>
  <c r="C29" i="2"/>
  <c r="E29" i="2"/>
  <c r="G29" i="2" s="1"/>
  <c r="D30" i="2"/>
  <c r="E30" i="2" s="1"/>
  <c r="G30" i="2" s="1"/>
  <c r="H30" i="2" s="1"/>
  <c r="E31" i="2"/>
  <c r="E35" i="2"/>
  <c r="E36" i="2"/>
  <c r="E37" i="2"/>
  <c r="G37" i="2" s="1"/>
  <c r="H37" i="2" s="1"/>
  <c r="C38" i="2"/>
  <c r="E38" i="2" s="1"/>
  <c r="C39" i="2"/>
  <c r="E39" i="2"/>
  <c r="G39" i="2" s="1"/>
  <c r="E40" i="2"/>
  <c r="D40" i="2" s="1"/>
  <c r="E42" i="2"/>
  <c r="C43" i="2"/>
  <c r="E43" i="2"/>
  <c r="G43" i="2" s="1"/>
  <c r="H43" i="2" s="1"/>
  <c r="C44" i="2"/>
  <c r="E44" i="2" s="1"/>
  <c r="G44" i="2" s="1"/>
  <c r="H44" i="2" s="1"/>
  <c r="C45" i="2"/>
  <c r="E45" i="2"/>
  <c r="G45" i="2" s="1"/>
  <c r="H45" i="2" s="1"/>
  <c r="E50" i="2"/>
  <c r="E51" i="2"/>
  <c r="G51" i="2" s="1"/>
  <c r="C52" i="2"/>
  <c r="E52" i="2" s="1"/>
  <c r="G52" i="2" s="1"/>
  <c r="H52" i="2" s="1"/>
  <c r="C53" i="2"/>
  <c r="E53" i="2"/>
  <c r="G53" i="2" s="1"/>
  <c r="H53" i="2" s="1"/>
  <c r="E54" i="2"/>
  <c r="D55" i="2"/>
  <c r="E55" i="2"/>
  <c r="D56" i="2"/>
  <c r="E56" i="2" s="1"/>
  <c r="G56" i="2" s="1"/>
  <c r="H56" i="2" s="1"/>
  <c r="D57" i="2"/>
  <c r="E57" i="2"/>
  <c r="E58" i="2"/>
  <c r="G58" i="2" s="1"/>
  <c r="H58" i="2" s="1"/>
  <c r="C59" i="2"/>
  <c r="E59" i="2" s="1"/>
  <c r="G59" i="2" s="1"/>
  <c r="D60" i="2"/>
  <c r="E60" i="2"/>
  <c r="G60" i="2" s="1"/>
  <c r="H60" i="2" s="1"/>
  <c r="D61" i="2"/>
  <c r="E61" i="2" s="1"/>
  <c r="G61" i="2" s="1"/>
  <c r="H61" i="2" s="1"/>
  <c r="C62" i="2"/>
  <c r="E62" i="2"/>
  <c r="G62" i="2" s="1"/>
  <c r="H62" i="2" s="1"/>
  <c r="C32" i="2"/>
  <c r="C47" i="2" s="1"/>
  <c r="C63" i="2"/>
  <c r="C76" i="2"/>
  <c r="G5" i="2"/>
  <c r="H5" i="2" s="1"/>
  <c r="G6" i="2"/>
  <c r="H6" i="2"/>
  <c r="G8" i="2"/>
  <c r="H8" i="2"/>
  <c r="G11" i="2"/>
  <c r="H11" i="2"/>
  <c r="G13" i="2"/>
  <c r="H13" i="2"/>
  <c r="G15" i="2"/>
  <c r="H15" i="2"/>
  <c r="H17" i="2"/>
  <c r="G20" i="2"/>
  <c r="H20" i="2" s="1"/>
  <c r="G21" i="2"/>
  <c r="H21" i="2"/>
  <c r="H23" i="2"/>
  <c r="G25" i="2"/>
  <c r="H25" i="2"/>
  <c r="G26" i="2"/>
  <c r="H26" i="2" s="1"/>
  <c r="H29" i="2"/>
  <c r="G31" i="2"/>
  <c r="H31" i="2"/>
  <c r="G35" i="2"/>
  <c r="H35" i="2"/>
  <c r="G36" i="2"/>
  <c r="G38" i="2"/>
  <c r="H38" i="2" s="1"/>
  <c r="G42" i="2"/>
  <c r="H42" i="2"/>
  <c r="H51" i="2"/>
  <c r="G54" i="2"/>
  <c r="H54" i="2" s="1"/>
  <c r="G55" i="2"/>
  <c r="H55" i="2"/>
  <c r="G57" i="2"/>
  <c r="H57" i="2"/>
  <c r="H59" i="2"/>
  <c r="I39" i="2"/>
  <c r="I40" i="2" s="1"/>
  <c r="I47" i="2" s="1"/>
  <c r="I64" i="2" s="1"/>
  <c r="I46" i="2"/>
  <c r="J40" i="2"/>
  <c r="J46" i="2"/>
  <c r="J47" i="2" s="1"/>
  <c r="J64" i="2" s="1"/>
  <c r="J63" i="2"/>
  <c r="I63" i="2"/>
  <c r="I32" i="2"/>
  <c r="J32" i="2"/>
  <c r="G46" i="2" l="1"/>
  <c r="F46" i="2" s="1"/>
  <c r="E46" i="2"/>
  <c r="D46" i="2" s="1"/>
  <c r="H10" i="2"/>
  <c r="G9" i="2"/>
  <c r="H9" i="2" s="1"/>
  <c r="H46" i="2"/>
  <c r="G32" i="2"/>
  <c r="C67" i="2"/>
  <c r="C64" i="2"/>
  <c r="E63" i="2"/>
  <c r="H36" i="2"/>
  <c r="H40" i="2" s="1"/>
  <c r="G40" i="2"/>
  <c r="F40" i="2" s="1"/>
  <c r="H32" i="2"/>
  <c r="E32" i="2"/>
  <c r="G50" i="2"/>
  <c r="H50" i="2" l="1"/>
  <c r="H63" i="2" s="1"/>
  <c r="C81" i="2" s="1"/>
  <c r="G63" i="2"/>
  <c r="E47" i="2"/>
  <c r="D32" i="2"/>
  <c r="G47" i="2"/>
  <c r="F32" i="2"/>
  <c r="H47" i="2"/>
  <c r="C78" i="2"/>
  <c r="C77" i="2" s="1"/>
  <c r="D63" i="2"/>
  <c r="C72" i="2" l="1"/>
  <c r="H64" i="2"/>
  <c r="G64" i="2"/>
  <c r="F47" i="2"/>
  <c r="F64" i="2" s="1"/>
  <c r="C71" i="2"/>
  <c r="C69" i="2"/>
  <c r="D47" i="2"/>
  <c r="D64" i="2" s="1"/>
  <c r="E64" i="2"/>
  <c r="F63" i="2"/>
  <c r="C80" i="2"/>
  <c r="C68" i="2" l="1"/>
  <c r="C85" i="2"/>
  <c r="C73" i="2"/>
  <c r="D86" i="2"/>
  <c r="C88" i="2" s="1"/>
  <c r="C70" i="2"/>
  <c r="C79" i="2"/>
  <c r="C82" i="2"/>
</calcChain>
</file>

<file path=xl/sharedStrings.xml><?xml version="1.0" encoding="utf-8"?>
<sst xmlns="http://schemas.openxmlformats.org/spreadsheetml/2006/main" count="193" uniqueCount="110">
  <si>
    <t>State Plan</t>
  </si>
  <si>
    <t>246.5(b)</t>
  </si>
  <si>
    <t>Local Agency (LA) applications</t>
  </si>
  <si>
    <t>LA Agreements</t>
  </si>
  <si>
    <t>LA requests for notice extension</t>
  </si>
  <si>
    <t>246.7(i)</t>
  </si>
  <si>
    <t xml:space="preserve">Certification data for infants </t>
  </si>
  <si>
    <t>SA notification re funding shortfall</t>
  </si>
  <si>
    <t>246.7(k)</t>
  </si>
  <si>
    <t>246.11(d)(2)</t>
  </si>
  <si>
    <t>LA nutrition education plan</t>
  </si>
  <si>
    <t>246.12(h)</t>
  </si>
  <si>
    <t>246.12(i)(1)</t>
  </si>
  <si>
    <t>Vendor training development</t>
  </si>
  <si>
    <t>Vendor training</t>
  </si>
  <si>
    <t>246.12(j)(4)</t>
  </si>
  <si>
    <t>246.12(o)</t>
  </si>
  <si>
    <t>Complaints</t>
  </si>
  <si>
    <t>ADP proposals</t>
  </si>
  <si>
    <t>246.16(d)</t>
  </si>
  <si>
    <t>Distribution of funds to LAs</t>
  </si>
  <si>
    <t>246.17(c)(1)</t>
  </si>
  <si>
    <t>Termination of SAs &amp; LAs</t>
  </si>
  <si>
    <t>SA corrective action plans to FNS</t>
  </si>
  <si>
    <t>246.20(a)(2)</t>
  </si>
  <si>
    <t>SA response to OIG audits</t>
  </si>
  <si>
    <t>246.12(i)(4)</t>
  </si>
  <si>
    <t>246.25(a)</t>
  </si>
  <si>
    <t>Financial ops. &amp; food delivery sys.</t>
  </si>
  <si>
    <t>Nutrition education for infants</t>
  </si>
  <si>
    <t>Fair hearings</t>
  </si>
  <si>
    <t>246.12(q)</t>
  </si>
  <si>
    <t>246.19(b)(5)</t>
  </si>
  <si>
    <t>Targeted LA reviews</t>
  </si>
  <si>
    <t>Disposition of food instruments</t>
  </si>
  <si>
    <t>Vendor compliance investigations</t>
  </si>
  <si>
    <t>246.12(j)(6)</t>
  </si>
  <si>
    <t>246.23(c)(1)</t>
  </si>
  <si>
    <t>Routine vendor monitoring</t>
  </si>
  <si>
    <t>Disposition of participant claims</t>
  </si>
  <si>
    <t>Vendor training content</t>
  </si>
  <si>
    <t>Nutrition ed. for women &amp; children</t>
  </si>
  <si>
    <t>Verification of Certification cards</t>
  </si>
  <si>
    <t>246.7(j)(9)</t>
  </si>
  <si>
    <t>Vendor food sales data</t>
  </si>
  <si>
    <t>Vendor shelf prices</t>
  </si>
  <si>
    <t>246.10(b)(1)</t>
  </si>
  <si>
    <t>TOTAL NO. RESPONDENTS</t>
  </si>
  <si>
    <t>AVERAGE NO. RESPONSES PER RESPONDENT</t>
  </si>
  <si>
    <t>TOTAL ANNUAL RESPONSES</t>
  </si>
  <si>
    <t>AVERAGE HOURS PER RESPONSE</t>
  </si>
  <si>
    <t>TOTAL ANNUAL BURDEN HOURS REQUESTED</t>
  </si>
  <si>
    <t>CURRENT OMB INVENTORY</t>
  </si>
  <si>
    <t>DIFFERENCE</t>
  </si>
  <si>
    <t>246.12(g)(4)(i)</t>
  </si>
  <si>
    <t>246.12(g)(4)(ii)(B)</t>
  </si>
  <si>
    <t>Affected Public:  State and Local Agencies (including Indian Tribal Organizations and U.S. Territories)</t>
  </si>
  <si>
    <t xml:space="preserve">Vendor applications &amp; agreements </t>
  </si>
  <si>
    <t>Vendor incentive items</t>
  </si>
  <si>
    <t>246.12(l)(3)</t>
  </si>
  <si>
    <t>Vendor notice of violations</t>
  </si>
  <si>
    <t>246.12(g)(11)</t>
  </si>
  <si>
    <t>Vendor infant formula suppliers</t>
  </si>
  <si>
    <t>REPORTING BURDEN ESTIMATES</t>
  </si>
  <si>
    <t>246.7(f)(2)(iii)(A)</t>
  </si>
  <si>
    <t>RECORDKEEPING BURDEN ESTIMATES</t>
  </si>
  <si>
    <t>246.12(h)(1)(i)</t>
  </si>
  <si>
    <t xml:space="preserve">                  ATTACHMENT A:  WIC PROGRAM REPORTING AND RECORDKEEPING REQUIREMENTS  (OMB #0584-0043)                                            </t>
  </si>
  <si>
    <t xml:space="preserve">Vendor shelf prices exemption </t>
  </si>
  <si>
    <t>Estimated Number of Respondents</t>
  </si>
  <si>
    <t>Annual Responses per Respondent</t>
  </si>
  <si>
    <t>Total Annual Responses</t>
  </si>
  <si>
    <t>Number of Burden Hours per Request</t>
  </si>
  <si>
    <t>Estimated Total Burden Hours</t>
  </si>
  <si>
    <t>Previous Sumbission: Total Hours per Person</t>
  </si>
  <si>
    <t>Difference Due to Program Changes</t>
  </si>
  <si>
    <t>Difference Due to Adjustments</t>
  </si>
  <si>
    <t>Regulatory Section</t>
  </si>
  <si>
    <t>Information Collected</t>
  </si>
  <si>
    <r>
      <t xml:space="preserve">Subtotal </t>
    </r>
    <r>
      <rPr>
        <b/>
        <i/>
        <sz val="11"/>
        <rFont val="Arial"/>
        <family val="2"/>
      </rPr>
      <t>Reporting: State and Local Agencies</t>
    </r>
  </si>
  <si>
    <t>Subtotal Reporting: Applicants</t>
  </si>
  <si>
    <t>Subtotal Reporting: Retail Vendors</t>
  </si>
  <si>
    <t xml:space="preserve">GRAND SUBTOTAL: REPORTING </t>
  </si>
  <si>
    <t>SUBTOTAL:  RECORDKEEPING</t>
  </si>
  <si>
    <t xml:space="preserve">GRAND TOTAL: REPORTING AND RECORDKEEPING   </t>
  </si>
  <si>
    <t>246.10(d)(1)</t>
  </si>
  <si>
    <t>Medical documentation</t>
  </si>
  <si>
    <t>Vendor food sales data for A50s</t>
  </si>
  <si>
    <t>246.19(a)(2)</t>
  </si>
  <si>
    <t xml:space="preserve">Cert. data for women </t>
  </si>
  <si>
    <t xml:space="preserve">Cert. data for children </t>
  </si>
  <si>
    <t>Cert. data for children</t>
  </si>
  <si>
    <t>Cert. data for women and children</t>
  </si>
  <si>
    <t>Identification of acceptable foods</t>
  </si>
  <si>
    <t>246.14(d)</t>
  </si>
  <si>
    <t>246.12(h)(8)(i)</t>
  </si>
  <si>
    <t>246.12(j)(6)(ii)</t>
  </si>
  <si>
    <t>N/A</t>
  </si>
  <si>
    <t xml:space="preserve">Women &amp; Children certification data have been separated to show the differences in the number of annual responses. </t>
  </si>
  <si>
    <t>SUMMARY OF REPORTING BURDEN (OMB #0584-0043)</t>
  </si>
  <si>
    <t>SUMMARY OF RECORDKEEPING BURDEN (OMB #0584-0043)</t>
  </si>
  <si>
    <t>TOTAL NO. RECORDKEEPERS</t>
  </si>
  <si>
    <t>ANNUAL REPORTING &amp; RECORDKEEPING BURDEN (OMB #0584-0043)</t>
  </si>
  <si>
    <t>GRAND TOTAL - ANNUAL BURDEN HOURS</t>
  </si>
  <si>
    <t>Medical documentation, 1% of infants</t>
  </si>
  <si>
    <t>Affected Public:  Individuals and Households:  Applicants for Program Benefits</t>
  </si>
  <si>
    <t>Affected Public:  Business:  Retail Vendors (WIC-Authorized Food Stores)</t>
  </si>
  <si>
    <t>Explanation of Differences</t>
  </si>
  <si>
    <t>GRAND TOTAL - RESPONSES</t>
  </si>
  <si>
    <t xml:space="preserve">As a result of rulemaking, FNS no longer requires a health care professional licensed to write medical prescriptions to provide documentation for children to receive soy-based beverage and tofu as milk substitutes.  Also, FNS no longer requires documentation from a health care professional licensed to write medical prescriptions for women to receive tofu in excess of the maximum substitution allowance.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</si>
</sst>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#,##0.0000000"/>
  </numFmts>
  <fonts count="14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7.5"/>
      <color rgb="FF000000"/>
      <name val="Arial"/>
      <family val="2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4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4" xfId="0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0" fontId="3" fillId="0" borderId="4" xfId="0" applyFont="1" applyFill="1" applyBorder="1" applyAlignment="1">
      <alignment horizontal="left" vertical="justify" wrapText="1"/>
    </xf>
    <xf numFmtId="3" fontId="3" fillId="7" borderId="13" xfId="1" applyNumberFormat="1" applyFont="1" applyFill="1" applyBorder="1" applyAlignment="1">
      <alignment horizontal="right" vertical="center" wrapText="1"/>
    </xf>
    <xf numFmtId="4" fontId="4" fillId="0" borderId="4" xfId="1" applyNumberFormat="1" applyFont="1" applyBorder="1" applyAlignment="1">
      <alignment horizontal="right" vertical="center" wrapText="1"/>
    </xf>
    <xf numFmtId="3" fontId="3" fillId="7" borderId="8" xfId="1" applyNumberFormat="1" applyFont="1" applyFill="1" applyBorder="1" applyAlignment="1">
      <alignment horizontal="right" vertical="center" wrapText="1"/>
    </xf>
    <xf numFmtId="3" fontId="6" fillId="7" borderId="8" xfId="1" applyNumberFormat="1" applyFont="1" applyFill="1" applyBorder="1" applyAlignment="1">
      <alignment horizontal="right" vertical="center" wrapText="1"/>
    </xf>
    <xf numFmtId="3" fontId="3" fillId="7" borderId="14" xfId="1" applyNumberFormat="1" applyFont="1" applyFill="1" applyBorder="1" applyAlignment="1">
      <alignment horizontal="right" vertical="center" wrapText="1"/>
    </xf>
    <xf numFmtId="3" fontId="3" fillId="6" borderId="8" xfId="1" applyNumberFormat="1" applyFont="1" applyFill="1" applyBorder="1" applyAlignment="1">
      <alignment horizontal="right" vertical="center" wrapText="1"/>
    </xf>
    <xf numFmtId="3" fontId="6" fillId="6" borderId="8" xfId="1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4" fontId="2" fillId="0" borderId="6" xfId="1" applyNumberFormat="1" applyFont="1" applyBorder="1" applyAlignment="1">
      <alignment horizontal="right" vertical="center" wrapText="1"/>
    </xf>
    <xf numFmtId="4" fontId="2" fillId="0" borderId="6" xfId="1" applyNumberFormat="1" applyFont="1" applyFill="1" applyBorder="1" applyAlignment="1">
      <alignment horizontal="right" vertical="center" wrapText="1"/>
    </xf>
    <xf numFmtId="43" fontId="3" fillId="8" borderId="0" xfId="1" applyFont="1" applyFill="1" applyBorder="1" applyAlignment="1">
      <alignment horizontal="center" vertical="center" wrapText="1"/>
    </xf>
    <xf numFmtId="43" fontId="3" fillId="8" borderId="1" xfId="1" applyFont="1" applyFill="1" applyBorder="1" applyAlignment="1">
      <alignment horizontal="center" vertical="center" wrapText="1"/>
    </xf>
    <xf numFmtId="4" fontId="2" fillId="0" borderId="4" xfId="1" applyNumberFormat="1" applyFont="1" applyBorder="1" applyAlignment="1">
      <alignment horizontal="right" vertical="center" wrapText="1"/>
    </xf>
    <xf numFmtId="4" fontId="2" fillId="0" borderId="4" xfId="1" applyNumberFormat="1" applyFont="1" applyFill="1" applyBorder="1" applyAlignment="1">
      <alignment horizontal="right" vertical="center" wrapText="1"/>
    </xf>
    <xf numFmtId="4" fontId="2" fillId="8" borderId="4" xfId="1" applyNumberFormat="1" applyFont="1" applyFill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4" fillId="0" borderId="4" xfId="1" applyNumberFormat="1" applyFont="1" applyFill="1" applyBorder="1" applyAlignment="1">
      <alignment horizontal="right" vertical="center" wrapText="1"/>
    </xf>
    <xf numFmtId="4" fontId="2" fillId="0" borderId="0" xfId="1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3" fillId="0" borderId="5" xfId="0" applyFont="1" applyFill="1" applyBorder="1" applyAlignment="1">
      <alignment horizontal="left" wrapText="1"/>
    </xf>
    <xf numFmtId="0" fontId="9" fillId="0" borderId="0" xfId="0" applyFont="1"/>
    <xf numFmtId="49" fontId="3" fillId="0" borderId="4" xfId="0" applyNumberFormat="1" applyFont="1" applyFill="1" applyBorder="1" applyAlignment="1">
      <alignment horizontal="left" wrapText="1"/>
    </xf>
    <xf numFmtId="3" fontId="9" fillId="0" borderId="0" xfId="0" applyNumberFormat="1" applyFont="1"/>
    <xf numFmtId="4" fontId="2" fillId="0" borderId="0" xfId="1" applyNumberFormat="1" applyFont="1" applyFill="1" applyBorder="1" applyAlignment="1">
      <alignment horizontal="right" vertical="center" wrapText="1"/>
    </xf>
    <xf numFmtId="4" fontId="3" fillId="6" borderId="8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1" fillId="0" borderId="0" xfId="0" applyFont="1"/>
    <xf numFmtId="0" fontId="11" fillId="0" borderId="0" xfId="0" applyFont="1" applyAlignment="1">
      <alignment wrapText="1"/>
    </xf>
    <xf numFmtId="43" fontId="0" fillId="0" borderId="0" xfId="1" applyFont="1"/>
    <xf numFmtId="164" fontId="0" fillId="0" borderId="0" xfId="0" applyNumberFormat="1"/>
    <xf numFmtId="0" fontId="5" fillId="0" borderId="0" xfId="0" applyFont="1" applyAlignment="1">
      <alignment horizontal="center" vertical="center"/>
    </xf>
    <xf numFmtId="3" fontId="12" fillId="0" borderId="0" xfId="0" applyNumberFormat="1" applyFont="1"/>
    <xf numFmtId="3" fontId="2" fillId="0" borderId="0" xfId="0" applyNumberFormat="1" applyFont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3" fontId="9" fillId="0" borderId="0" xfId="0" applyNumberFormat="1" applyFont="1" applyAlignment="1">
      <alignment horizontal="center" vertical="center"/>
    </xf>
    <xf numFmtId="3" fontId="3" fillId="0" borderId="14" xfId="0" applyNumberFormat="1" applyFont="1" applyBorder="1" applyAlignment="1">
      <alignment horizontal="right" vertical="center" wrapText="1"/>
    </xf>
    <xf numFmtId="0" fontId="0" fillId="0" borderId="0" xfId="0" applyFill="1"/>
    <xf numFmtId="3" fontId="3" fillId="0" borderId="7" xfId="0" applyNumberFormat="1" applyFont="1" applyBorder="1" applyAlignment="1">
      <alignment horizontal="right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Fill="1" applyAlignment="1">
      <alignment wrapText="1"/>
    </xf>
    <xf numFmtId="4" fontId="0" fillId="7" borderId="7" xfId="0" applyNumberFormat="1" applyFill="1" applyBorder="1" applyAlignment="1">
      <alignment wrapText="1"/>
    </xf>
    <xf numFmtId="4" fontId="0" fillId="7" borderId="19" xfId="0" applyNumberFormat="1" applyFill="1" applyBorder="1" applyAlignment="1">
      <alignment wrapText="1"/>
    </xf>
    <xf numFmtId="4" fontId="0" fillId="7" borderId="20" xfId="0" applyNumberFormat="1" applyFill="1" applyBorder="1" applyAlignment="1">
      <alignment wrapText="1"/>
    </xf>
    <xf numFmtId="4" fontId="0" fillId="6" borderId="22" xfId="0" applyNumberFormat="1" applyFill="1" applyBorder="1" applyAlignment="1">
      <alignment wrapText="1"/>
    </xf>
    <xf numFmtId="4" fontId="0" fillId="7" borderId="8" xfId="0" applyNumberFormat="1" applyFill="1" applyBorder="1" applyAlignment="1">
      <alignment wrapText="1"/>
    </xf>
    <xf numFmtId="4" fontId="0" fillId="0" borderId="4" xfId="0" applyNumberFormat="1" applyBorder="1" applyAlignment="1">
      <alignment wrapText="1"/>
    </xf>
    <xf numFmtId="4" fontId="11" fillId="0" borderId="12" xfId="0" applyNumberFormat="1" applyFont="1" applyBorder="1" applyAlignment="1">
      <alignment wrapText="1"/>
    </xf>
    <xf numFmtId="3" fontId="3" fillId="0" borderId="0" xfId="0" applyNumberFormat="1" applyFont="1" applyAlignment="1">
      <alignment wrapText="1"/>
    </xf>
    <xf numFmtId="0" fontId="0" fillId="0" borderId="0" xfId="0" applyAlignment="1">
      <alignment horizontal="center" vertical="center"/>
    </xf>
    <xf numFmtId="0" fontId="3" fillId="9" borderId="4" xfId="0" applyFont="1" applyFill="1" applyBorder="1" applyAlignment="1">
      <alignment horizontal="left" wrapText="1"/>
    </xf>
    <xf numFmtId="0" fontId="2" fillId="9" borderId="4" xfId="0" applyFont="1" applyFill="1" applyBorder="1" applyAlignment="1">
      <alignment horizontal="left" wrapText="1"/>
    </xf>
    <xf numFmtId="4" fontId="2" fillId="9" borderId="0" xfId="1" applyNumberFormat="1" applyFont="1" applyFill="1" applyBorder="1" applyAlignment="1">
      <alignment horizontal="right" vertical="center" wrapText="1"/>
    </xf>
    <xf numFmtId="4" fontId="2" fillId="9" borderId="4" xfId="1" applyNumberFormat="1" applyFont="1" applyFill="1" applyBorder="1" applyAlignment="1">
      <alignment horizontal="right" vertical="center" wrapText="1"/>
    </xf>
    <xf numFmtId="4" fontId="2" fillId="9" borderId="5" xfId="1" applyNumberFormat="1" applyFont="1" applyFill="1" applyBorder="1" applyAlignment="1">
      <alignment horizontal="right" vertical="center" wrapText="1"/>
    </xf>
    <xf numFmtId="4" fontId="4" fillId="9" borderId="4" xfId="1" applyNumberFormat="1" applyFont="1" applyFill="1" applyBorder="1" applyAlignment="1">
      <alignment horizontal="right" vertical="center" wrapText="1"/>
    </xf>
    <xf numFmtId="4" fontId="2" fillId="9" borderId="4" xfId="0" applyNumberFormat="1" applyFont="1" applyFill="1" applyBorder="1" applyAlignment="1">
      <alignment horizontal="right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3" fillId="7" borderId="13" xfId="1" applyNumberFormat="1" applyFont="1" applyFill="1" applyBorder="1" applyAlignment="1">
      <alignment horizontal="right" vertical="center" wrapText="1"/>
    </xf>
    <xf numFmtId="4" fontId="2" fillId="9" borderId="0" xfId="0" applyNumberFormat="1" applyFont="1" applyFill="1" applyBorder="1" applyAlignment="1">
      <alignment horizontal="right" vertical="center" wrapText="1"/>
    </xf>
    <xf numFmtId="4" fontId="3" fillId="7" borderId="8" xfId="1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/>
    <xf numFmtId="4" fontId="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0" fontId="13" fillId="9" borderId="11" xfId="0" applyFont="1" applyFill="1" applyBorder="1" applyAlignment="1">
      <alignment horizontal="left" vertical="top" wrapText="1"/>
    </xf>
    <xf numFmtId="165" fontId="3" fillId="7" borderId="13" xfId="1" applyNumberFormat="1" applyFont="1" applyFill="1" applyBorder="1" applyAlignment="1">
      <alignment horizontal="right" vertical="center" wrapText="1"/>
    </xf>
    <xf numFmtId="37" fontId="7" fillId="0" borderId="14" xfId="0" applyNumberFormat="1" applyFont="1" applyBorder="1" applyAlignment="1" applyProtection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3" fontId="3" fillId="0" borderId="16" xfId="0" applyNumberFormat="1" applyFont="1" applyBorder="1" applyAlignment="1">
      <alignment horizontal="right" vertical="center" wrapText="1"/>
    </xf>
    <xf numFmtId="3" fontId="2" fillId="0" borderId="20" xfId="0" applyNumberFormat="1" applyFont="1" applyBorder="1" applyAlignment="1">
      <alignment horizontal="right" vertical="center" wrapText="1"/>
    </xf>
    <xf numFmtId="37" fontId="7" fillId="0" borderId="14" xfId="0" applyNumberFormat="1" applyFont="1" applyBorder="1" applyAlignment="1" applyProtection="1">
      <alignment horizontal="left" wrapText="1"/>
    </xf>
    <xf numFmtId="0" fontId="2" fillId="0" borderId="9" xfId="0" applyFont="1" applyBorder="1" applyAlignment="1">
      <alignment horizontal="left" wrapText="1"/>
    </xf>
    <xf numFmtId="3" fontId="3" fillId="0" borderId="14" xfId="0" applyNumberFormat="1" applyFont="1" applyFill="1" applyBorder="1" applyAlignment="1">
      <alignment horizontal="right" vertical="center" wrapText="1"/>
    </xf>
    <xf numFmtId="3" fontId="2" fillId="0" borderId="7" xfId="0" applyNumberFormat="1" applyFont="1" applyFill="1" applyBorder="1" applyAlignment="1">
      <alignment horizontal="right" vertical="center" wrapText="1"/>
    </xf>
    <xf numFmtId="37" fontId="7" fillId="0" borderId="9" xfId="0" applyNumberFormat="1" applyFont="1" applyBorder="1" applyAlignment="1" applyProtection="1">
      <alignment horizontal="left" wrapText="1"/>
    </xf>
    <xf numFmtId="3" fontId="3" fillId="0" borderId="14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3" fillId="5" borderId="14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wrapText="1"/>
    </xf>
    <xf numFmtId="0" fontId="8" fillId="0" borderId="9" xfId="0" applyFont="1" applyBorder="1" applyAlignment="1">
      <alignment horizontal="left" wrapText="1"/>
    </xf>
    <xf numFmtId="37" fontId="7" fillId="0" borderId="14" xfId="0" applyNumberFormat="1" applyFont="1" applyBorder="1" applyAlignment="1" applyProtection="1">
      <alignment wrapText="1"/>
    </xf>
    <xf numFmtId="0" fontId="2" fillId="0" borderId="9" xfId="0" applyFont="1" applyBorder="1" applyAlignment="1">
      <alignment wrapText="1"/>
    </xf>
    <xf numFmtId="4" fontId="3" fillId="0" borderId="18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0" fontId="3" fillId="7" borderId="14" xfId="0" applyFont="1" applyFill="1" applyBorder="1" applyAlignment="1">
      <alignment horizontal="center" wrapText="1"/>
    </xf>
    <xf numFmtId="0" fontId="2" fillId="7" borderId="15" xfId="0" applyFont="1" applyFill="1" applyBorder="1" applyAlignment="1">
      <alignment horizontal="center" wrapText="1"/>
    </xf>
    <xf numFmtId="0" fontId="2" fillId="7" borderId="7" xfId="0" applyFont="1" applyFill="1" applyBorder="1" applyAlignment="1">
      <alignment horizontal="center" wrapText="1"/>
    </xf>
    <xf numFmtId="0" fontId="2" fillId="7" borderId="9" xfId="0" applyFont="1" applyFill="1" applyBorder="1" applyAlignment="1">
      <alignment horizontal="center" wrapText="1"/>
    </xf>
    <xf numFmtId="0" fontId="3" fillId="4" borderId="18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6" borderId="14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tabSelected="1" zoomScale="80" zoomScaleNormal="80" workbookViewId="0">
      <selection activeCell="K25" sqref="K25"/>
    </sheetView>
  </sheetViews>
  <sheetFormatPr defaultRowHeight="12.75" x14ac:dyDescent="0.2"/>
  <cols>
    <col min="1" max="1" width="18.7109375" bestFit="1" customWidth="1"/>
    <col min="2" max="2" width="33.5703125" bestFit="1" customWidth="1"/>
    <col min="3" max="3" width="15.140625" bestFit="1" customWidth="1"/>
    <col min="4" max="4" width="14.140625" customWidth="1"/>
    <col min="5" max="5" width="17.7109375" customWidth="1"/>
    <col min="6" max="6" width="13.140625" bestFit="1" customWidth="1"/>
    <col min="7" max="7" width="16.28515625" customWidth="1"/>
    <col min="8" max="8" width="15.5703125" bestFit="1" customWidth="1"/>
    <col min="9" max="9" width="15.7109375" style="44" customWidth="1"/>
    <col min="10" max="10" width="14" bestFit="1" customWidth="1"/>
    <col min="11" max="11" width="57.42578125" customWidth="1"/>
    <col min="12" max="12" width="22" bestFit="1" customWidth="1"/>
    <col min="13" max="13" width="11.5703125" bestFit="1" customWidth="1"/>
    <col min="14" max="14" width="6" customWidth="1"/>
    <col min="15" max="15" width="12.85546875" bestFit="1" customWidth="1"/>
    <col min="17" max="17" width="17.28515625" customWidth="1"/>
    <col min="18" max="18" width="16.42578125" customWidth="1"/>
    <col min="19" max="19" width="13.42578125" customWidth="1"/>
    <col min="20" max="20" width="14.140625" customWidth="1"/>
  </cols>
  <sheetData>
    <row r="1" spans="1:20" s="2" customFormat="1" ht="15" customHeight="1" thickBot="1" x14ac:dyDescent="0.25">
      <c r="A1" s="120" t="s">
        <v>67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M1" s="74"/>
    </row>
    <row r="2" spans="1:20" s="10" customFormat="1" ht="93.75" customHeight="1" thickBot="1" x14ac:dyDescent="0.25">
      <c r="A2" s="3" t="s">
        <v>77</v>
      </c>
      <c r="B2" s="4" t="s">
        <v>78</v>
      </c>
      <c r="C2" s="5" t="s">
        <v>69</v>
      </c>
      <c r="D2" s="6" t="s">
        <v>70</v>
      </c>
      <c r="E2" s="27" t="s">
        <v>71</v>
      </c>
      <c r="F2" s="7" t="s">
        <v>72</v>
      </c>
      <c r="G2" s="28" t="s">
        <v>73</v>
      </c>
      <c r="H2" s="8" t="s">
        <v>74</v>
      </c>
      <c r="I2" s="82" t="s">
        <v>75</v>
      </c>
      <c r="J2" s="9" t="s">
        <v>76</v>
      </c>
      <c r="K2" s="9" t="s">
        <v>107</v>
      </c>
      <c r="L2" s="24"/>
      <c r="M2" s="63"/>
      <c r="N2" s="62"/>
      <c r="P2" s="24"/>
      <c r="Q2" s="35"/>
      <c r="S2" s="35"/>
      <c r="T2" s="35"/>
    </row>
    <row r="3" spans="1:20" s="2" customFormat="1" ht="15" customHeight="1" x14ac:dyDescent="0.2">
      <c r="A3" s="122" t="s">
        <v>63</v>
      </c>
      <c r="B3" s="123"/>
      <c r="C3" s="123"/>
      <c r="D3" s="123"/>
      <c r="E3" s="123"/>
      <c r="F3" s="123"/>
      <c r="G3" s="123"/>
      <c r="H3" s="123"/>
      <c r="I3" s="123"/>
      <c r="J3" s="123"/>
      <c r="K3" s="124"/>
      <c r="P3" s="52"/>
      <c r="Q3" s="37"/>
      <c r="R3" s="36"/>
      <c r="S3" s="54"/>
      <c r="T3" s="41"/>
    </row>
    <row r="4" spans="1:20" s="2" customFormat="1" ht="15" customHeight="1" thickBot="1" x14ac:dyDescent="0.25">
      <c r="A4" s="125" t="s">
        <v>56</v>
      </c>
      <c r="B4" s="126"/>
      <c r="C4" s="126"/>
      <c r="D4" s="126"/>
      <c r="E4" s="126"/>
      <c r="F4" s="126"/>
      <c r="G4" s="126"/>
      <c r="H4" s="126"/>
      <c r="I4" s="126"/>
      <c r="J4" s="126"/>
      <c r="K4" s="127"/>
      <c r="L4" s="49"/>
      <c r="P4" s="52"/>
      <c r="Q4" s="37"/>
      <c r="R4" s="36"/>
      <c r="S4" s="54"/>
      <c r="T4" s="41"/>
    </row>
    <row r="5" spans="1:20" ht="15" x14ac:dyDescent="0.25">
      <c r="A5" s="11">
        <v>246.4</v>
      </c>
      <c r="B5" s="12" t="s">
        <v>0</v>
      </c>
      <c r="C5" s="29">
        <v>90</v>
      </c>
      <c r="D5" s="30">
        <v>1</v>
      </c>
      <c r="E5" s="31">
        <f>C5*D5</f>
        <v>90</v>
      </c>
      <c r="F5" s="25">
        <v>134.62</v>
      </c>
      <c r="G5" s="31">
        <f>E5*F5</f>
        <v>12115.800000000001</v>
      </c>
      <c r="H5" s="18">
        <f>G5</f>
        <v>12115.800000000001</v>
      </c>
      <c r="I5" s="58"/>
      <c r="J5" s="58"/>
      <c r="K5" s="71" t="s">
        <v>97</v>
      </c>
      <c r="M5" s="44"/>
      <c r="Q5" s="37"/>
      <c r="R5" s="36"/>
      <c r="S5" s="41"/>
      <c r="T5" s="41"/>
    </row>
    <row r="6" spans="1:20" ht="15" x14ac:dyDescent="0.25">
      <c r="A6" s="11" t="s">
        <v>1</v>
      </c>
      <c r="B6" s="12" t="s">
        <v>2</v>
      </c>
      <c r="C6" s="29">
        <f>1839/2</f>
        <v>919.5</v>
      </c>
      <c r="D6" s="30">
        <v>1</v>
      </c>
      <c r="E6" s="31">
        <f t="shared" ref="E6:E31" si="0">C6*D6</f>
        <v>919.5</v>
      </c>
      <c r="F6" s="25">
        <v>2</v>
      </c>
      <c r="G6" s="31">
        <f t="shared" ref="G6:G31" si="1">E6*F6</f>
        <v>1839</v>
      </c>
      <c r="H6" s="18">
        <f t="shared" ref="H6:H31" si="2">G6</f>
        <v>1839</v>
      </c>
      <c r="I6" s="58"/>
      <c r="J6" s="58"/>
      <c r="K6" s="71" t="s">
        <v>97</v>
      </c>
      <c r="M6" s="44"/>
      <c r="Q6" s="37"/>
      <c r="R6" s="36"/>
      <c r="S6" s="41"/>
      <c r="T6" s="41"/>
    </row>
    <row r="7" spans="1:20" ht="15" x14ac:dyDescent="0.25">
      <c r="A7" s="11">
        <v>246.6</v>
      </c>
      <c r="B7" s="12" t="s">
        <v>3</v>
      </c>
      <c r="C7" s="29">
        <f>1839/2</f>
        <v>919.5</v>
      </c>
      <c r="D7" s="30">
        <v>1</v>
      </c>
      <c r="E7" s="31">
        <f t="shared" si="0"/>
        <v>919.5</v>
      </c>
      <c r="F7" s="25">
        <v>1.5</v>
      </c>
      <c r="G7" s="31">
        <f t="shared" si="1"/>
        <v>1379.25</v>
      </c>
      <c r="H7" s="18">
        <f t="shared" si="2"/>
        <v>1379.25</v>
      </c>
      <c r="I7" s="58"/>
      <c r="J7" s="58"/>
      <c r="K7" s="71" t="s">
        <v>97</v>
      </c>
      <c r="M7" s="44"/>
      <c r="Q7" s="37"/>
      <c r="R7" s="36"/>
      <c r="S7" s="41"/>
      <c r="T7" s="41"/>
    </row>
    <row r="8" spans="1:20" ht="15" x14ac:dyDescent="0.25">
      <c r="A8" s="11" t="s">
        <v>64</v>
      </c>
      <c r="B8" s="12" t="s">
        <v>4</v>
      </c>
      <c r="C8" s="30">
        <f>1839/6</f>
        <v>306.5</v>
      </c>
      <c r="D8" s="30">
        <v>1</v>
      </c>
      <c r="E8" s="31">
        <f t="shared" si="0"/>
        <v>306.5</v>
      </c>
      <c r="F8" s="25">
        <v>0.25</v>
      </c>
      <c r="G8" s="31">
        <f t="shared" si="1"/>
        <v>76.625</v>
      </c>
      <c r="H8" s="18">
        <f t="shared" si="2"/>
        <v>76.625</v>
      </c>
      <c r="I8" s="58"/>
      <c r="J8" s="58"/>
      <c r="K8" s="71" t="s">
        <v>97</v>
      </c>
      <c r="M8" s="44"/>
      <c r="Q8" s="37"/>
      <c r="R8" s="36"/>
      <c r="S8" s="41"/>
      <c r="T8" s="41"/>
    </row>
    <row r="9" spans="1:20" ht="15" hidden="1" x14ac:dyDescent="0.25">
      <c r="A9" s="11" t="s">
        <v>5</v>
      </c>
      <c r="B9" s="12" t="s">
        <v>92</v>
      </c>
      <c r="C9" s="30"/>
      <c r="D9" s="30"/>
      <c r="E9" s="31"/>
      <c r="F9" s="25"/>
      <c r="G9" s="31">
        <f>+G10+G11</f>
        <v>1249119.8800000001</v>
      </c>
      <c r="H9" s="18">
        <f t="shared" si="2"/>
        <v>1249119.8800000001</v>
      </c>
      <c r="I9" s="58"/>
      <c r="J9" s="58"/>
      <c r="K9" s="71" t="s">
        <v>97</v>
      </c>
      <c r="L9" s="46"/>
      <c r="M9" s="44"/>
      <c r="N9" s="44"/>
      <c r="O9" s="44"/>
      <c r="Q9" s="37"/>
      <c r="R9" s="36"/>
      <c r="S9" s="39"/>
      <c r="T9" s="41"/>
    </row>
    <row r="10" spans="1:20" ht="15" x14ac:dyDescent="0.25">
      <c r="A10" s="11" t="s">
        <v>5</v>
      </c>
      <c r="B10" s="12" t="s">
        <v>89</v>
      </c>
      <c r="C10" s="30">
        <v>1839</v>
      </c>
      <c r="D10" s="30">
        <f>(2*2096872)/1839</f>
        <v>2280.448069603045</v>
      </c>
      <c r="E10" s="31">
        <f t="shared" si="0"/>
        <v>4193744</v>
      </c>
      <c r="F10" s="25">
        <v>0.17</v>
      </c>
      <c r="G10" s="31">
        <f t="shared" si="1"/>
        <v>712936.4800000001</v>
      </c>
      <c r="H10" s="18">
        <f t="shared" si="2"/>
        <v>712936.4800000001</v>
      </c>
      <c r="I10" s="58"/>
      <c r="J10" s="58"/>
      <c r="K10" s="71" t="s">
        <v>97</v>
      </c>
      <c r="L10" s="53"/>
      <c r="M10" s="44"/>
      <c r="N10" s="64"/>
      <c r="O10" s="42"/>
      <c r="P10" s="64"/>
      <c r="Q10" s="37"/>
      <c r="R10" s="39"/>
      <c r="S10" s="41"/>
      <c r="T10" s="41"/>
    </row>
    <row r="11" spans="1:20" ht="15" x14ac:dyDescent="0.25">
      <c r="A11" s="11" t="s">
        <v>5</v>
      </c>
      <c r="B11" s="12" t="s">
        <v>90</v>
      </c>
      <c r="C11" s="30">
        <v>1839</v>
      </c>
      <c r="D11" s="30">
        <f>(1.5*2102680)/1839</f>
        <v>1715.0734094616639</v>
      </c>
      <c r="E11" s="31">
        <f t="shared" si="0"/>
        <v>3154020</v>
      </c>
      <c r="F11" s="25">
        <v>0.17</v>
      </c>
      <c r="G11" s="31">
        <f t="shared" si="1"/>
        <v>536183.4</v>
      </c>
      <c r="H11" s="18">
        <f t="shared" si="2"/>
        <v>536183.4</v>
      </c>
      <c r="I11" s="58"/>
      <c r="J11" s="58"/>
      <c r="K11" s="71" t="s">
        <v>97</v>
      </c>
      <c r="L11" s="53"/>
      <c r="M11" s="44"/>
      <c r="O11" s="47"/>
      <c r="Q11" s="37"/>
      <c r="R11" s="41"/>
      <c r="S11" s="41"/>
      <c r="T11" s="41"/>
    </row>
    <row r="12" spans="1:20" ht="15" x14ac:dyDescent="0.25">
      <c r="A12" s="11" t="s">
        <v>5</v>
      </c>
      <c r="B12" s="12" t="s">
        <v>6</v>
      </c>
      <c r="C12" s="30">
        <v>1839</v>
      </c>
      <c r="D12" s="30">
        <f>1*(4761034/1839)</f>
        <v>2588.9255029907558</v>
      </c>
      <c r="E12" s="31">
        <f t="shared" si="0"/>
        <v>4761034</v>
      </c>
      <c r="F12" s="25">
        <v>0.17</v>
      </c>
      <c r="G12" s="31">
        <f t="shared" si="1"/>
        <v>809375.78</v>
      </c>
      <c r="H12" s="18">
        <f t="shared" si="2"/>
        <v>809375.78</v>
      </c>
      <c r="I12" s="58"/>
      <c r="J12" s="58"/>
      <c r="K12" s="71" t="s">
        <v>97</v>
      </c>
      <c r="M12" s="44"/>
      <c r="O12" s="48"/>
      <c r="Q12" s="37"/>
      <c r="R12" s="36"/>
      <c r="S12" s="41"/>
      <c r="T12" s="41"/>
    </row>
    <row r="13" spans="1:20" ht="15" x14ac:dyDescent="0.25">
      <c r="A13" s="11" t="s">
        <v>43</v>
      </c>
      <c r="B13" s="12" t="s">
        <v>7</v>
      </c>
      <c r="C13" s="30">
        <v>4</v>
      </c>
      <c r="D13" s="30">
        <v>1</v>
      </c>
      <c r="E13" s="31">
        <f t="shared" si="0"/>
        <v>4</v>
      </c>
      <c r="F13" s="25">
        <v>0.09</v>
      </c>
      <c r="G13" s="31">
        <f t="shared" si="1"/>
        <v>0.36</v>
      </c>
      <c r="H13" s="18">
        <f t="shared" si="2"/>
        <v>0.36</v>
      </c>
      <c r="I13" s="58"/>
      <c r="J13" s="58"/>
      <c r="K13" s="71" t="s">
        <v>97</v>
      </c>
      <c r="M13" s="44"/>
      <c r="Q13" s="37"/>
      <c r="R13" s="36"/>
      <c r="S13" s="41"/>
      <c r="T13" s="41"/>
    </row>
    <row r="14" spans="1:20" ht="15" x14ac:dyDescent="0.25">
      <c r="A14" s="11" t="s">
        <v>8</v>
      </c>
      <c r="B14" s="12" t="s">
        <v>42</v>
      </c>
      <c r="C14" s="30">
        <v>1839</v>
      </c>
      <c r="D14" s="30">
        <f>((0.03*8960587)/1839)</f>
        <v>146.17597063621534</v>
      </c>
      <c r="E14" s="31">
        <f t="shared" si="0"/>
        <v>268817.61</v>
      </c>
      <c r="F14" s="25">
        <v>0.09</v>
      </c>
      <c r="G14" s="31">
        <f t="shared" si="1"/>
        <v>24193.584899999998</v>
      </c>
      <c r="H14" s="18">
        <f t="shared" si="2"/>
        <v>24193.584899999998</v>
      </c>
      <c r="I14" s="58"/>
      <c r="J14" s="58"/>
      <c r="K14" s="71" t="s">
        <v>97</v>
      </c>
      <c r="L14" s="53"/>
      <c r="M14" s="44"/>
    </row>
    <row r="15" spans="1:20" ht="15" x14ac:dyDescent="0.25">
      <c r="A15" s="11" t="s">
        <v>46</v>
      </c>
      <c r="B15" s="12" t="s">
        <v>93</v>
      </c>
      <c r="C15" s="29">
        <v>90</v>
      </c>
      <c r="D15" s="30">
        <v>1</v>
      </c>
      <c r="E15" s="31">
        <f t="shared" si="0"/>
        <v>90</v>
      </c>
      <c r="F15" s="25">
        <v>40</v>
      </c>
      <c r="G15" s="31">
        <f t="shared" si="1"/>
        <v>3600</v>
      </c>
      <c r="H15" s="18">
        <f t="shared" si="2"/>
        <v>3600</v>
      </c>
      <c r="I15" s="58"/>
      <c r="J15" s="58"/>
      <c r="K15" s="71" t="s">
        <v>97</v>
      </c>
      <c r="M15" s="44"/>
    </row>
    <row r="16" spans="1:20" ht="28.5" x14ac:dyDescent="0.2">
      <c r="A16" s="16" t="s">
        <v>85</v>
      </c>
      <c r="B16" s="12" t="s">
        <v>104</v>
      </c>
      <c r="C16" s="30">
        <v>1839</v>
      </c>
      <c r="D16" s="30">
        <f>(4761034*0.01)/1839</f>
        <v>25.889255029907559</v>
      </c>
      <c r="E16" s="31">
        <f t="shared" si="0"/>
        <v>47610.340000000004</v>
      </c>
      <c r="F16" s="26">
        <v>0.03</v>
      </c>
      <c r="G16" s="31">
        <f t="shared" si="1"/>
        <v>1428.3102000000001</v>
      </c>
      <c r="H16" s="18">
        <f t="shared" si="2"/>
        <v>1428.3102000000001</v>
      </c>
      <c r="I16" s="58"/>
      <c r="J16" s="58"/>
      <c r="K16" s="71" t="s">
        <v>97</v>
      </c>
      <c r="L16" s="53"/>
      <c r="M16" s="44"/>
    </row>
    <row r="17" spans="1:13" ht="15" x14ac:dyDescent="0.25">
      <c r="A17" s="11" t="s">
        <v>9</v>
      </c>
      <c r="B17" s="12" t="s">
        <v>10</v>
      </c>
      <c r="C17" s="30">
        <v>1839</v>
      </c>
      <c r="D17" s="30">
        <v>1</v>
      </c>
      <c r="E17" s="31">
        <f t="shared" si="0"/>
        <v>1839</v>
      </c>
      <c r="F17" s="25">
        <v>40</v>
      </c>
      <c r="G17" s="31">
        <f t="shared" si="1"/>
        <v>73560</v>
      </c>
      <c r="H17" s="18">
        <f t="shared" si="2"/>
        <v>73560</v>
      </c>
      <c r="I17" s="58"/>
      <c r="J17" s="58"/>
      <c r="K17" s="71" t="s">
        <v>97</v>
      </c>
      <c r="M17" s="44"/>
    </row>
    <row r="18" spans="1:13" ht="15" x14ac:dyDescent="0.25">
      <c r="A18" s="11" t="s">
        <v>54</v>
      </c>
      <c r="B18" s="12" t="s">
        <v>44</v>
      </c>
      <c r="C18" s="29">
        <v>90</v>
      </c>
      <c r="D18" s="30">
        <f>(2650)/90</f>
        <v>29.444444444444443</v>
      </c>
      <c r="E18" s="31">
        <f t="shared" si="0"/>
        <v>2650</v>
      </c>
      <c r="F18" s="25">
        <v>4</v>
      </c>
      <c r="G18" s="31">
        <f t="shared" si="1"/>
        <v>10600</v>
      </c>
      <c r="H18" s="18">
        <f t="shared" si="2"/>
        <v>10600</v>
      </c>
      <c r="I18" s="58"/>
      <c r="J18" s="58"/>
      <c r="K18" s="71" t="s">
        <v>97</v>
      </c>
      <c r="L18" s="46"/>
      <c r="M18" s="44"/>
    </row>
    <row r="19" spans="1:13" ht="15" x14ac:dyDescent="0.25">
      <c r="A19" s="11" t="s">
        <v>55</v>
      </c>
      <c r="B19" s="14" t="s">
        <v>45</v>
      </c>
      <c r="C19" s="30">
        <v>75</v>
      </c>
      <c r="D19" s="30">
        <f>2*(48621/75)</f>
        <v>1296.56</v>
      </c>
      <c r="E19" s="31">
        <f t="shared" si="0"/>
        <v>97242</v>
      </c>
      <c r="F19" s="25">
        <v>2</v>
      </c>
      <c r="G19" s="31">
        <f t="shared" si="1"/>
        <v>194484</v>
      </c>
      <c r="H19" s="18">
        <f t="shared" si="2"/>
        <v>194484</v>
      </c>
      <c r="I19" s="58"/>
      <c r="J19" s="58"/>
      <c r="K19" s="71" t="s">
        <v>97</v>
      </c>
      <c r="L19" s="46"/>
      <c r="M19" s="44"/>
    </row>
    <row r="20" spans="1:13" ht="15" x14ac:dyDescent="0.25">
      <c r="A20" s="11" t="s">
        <v>55</v>
      </c>
      <c r="B20" s="12" t="s">
        <v>68</v>
      </c>
      <c r="C20" s="30">
        <v>1</v>
      </c>
      <c r="D20" s="30">
        <v>1</v>
      </c>
      <c r="E20" s="31">
        <f t="shared" si="0"/>
        <v>1</v>
      </c>
      <c r="F20" s="25">
        <v>16</v>
      </c>
      <c r="G20" s="31">
        <f t="shared" si="1"/>
        <v>16</v>
      </c>
      <c r="H20" s="18">
        <f t="shared" si="2"/>
        <v>16</v>
      </c>
      <c r="I20" s="58"/>
      <c r="J20" s="58"/>
      <c r="K20" s="71" t="s">
        <v>97</v>
      </c>
      <c r="L20" s="46"/>
      <c r="M20" s="44"/>
    </row>
    <row r="21" spans="1:13" ht="15" x14ac:dyDescent="0.25">
      <c r="A21" s="11" t="s">
        <v>12</v>
      </c>
      <c r="B21" s="12" t="s">
        <v>13</v>
      </c>
      <c r="C21" s="29">
        <v>90</v>
      </c>
      <c r="D21" s="30">
        <v>1</v>
      </c>
      <c r="E21" s="31">
        <f t="shared" si="0"/>
        <v>90</v>
      </c>
      <c r="F21" s="25">
        <v>8</v>
      </c>
      <c r="G21" s="31">
        <f t="shared" si="1"/>
        <v>720</v>
      </c>
      <c r="H21" s="18">
        <f t="shared" si="2"/>
        <v>720</v>
      </c>
      <c r="I21" s="58"/>
      <c r="J21" s="58"/>
      <c r="K21" s="71" t="s">
        <v>97</v>
      </c>
      <c r="M21" s="44"/>
    </row>
    <row r="22" spans="1:13" ht="15" x14ac:dyDescent="0.25">
      <c r="A22" s="11" t="s">
        <v>12</v>
      </c>
      <c r="B22" s="12" t="s">
        <v>14</v>
      </c>
      <c r="C22" s="32">
        <v>90</v>
      </c>
      <c r="D22" s="30">
        <f>(48621/90)</f>
        <v>540.23333333333335</v>
      </c>
      <c r="E22" s="31">
        <f t="shared" si="0"/>
        <v>48621</v>
      </c>
      <c r="F22" s="25">
        <v>2</v>
      </c>
      <c r="G22" s="31">
        <f t="shared" si="1"/>
        <v>97242</v>
      </c>
      <c r="H22" s="18">
        <f t="shared" si="2"/>
        <v>97242</v>
      </c>
      <c r="I22" s="58"/>
      <c r="J22" s="58"/>
      <c r="K22" s="71" t="s">
        <v>97</v>
      </c>
      <c r="L22" s="46"/>
      <c r="M22" s="44"/>
    </row>
    <row r="23" spans="1:13" ht="15" x14ac:dyDescent="0.25">
      <c r="A23" s="11" t="s">
        <v>15</v>
      </c>
      <c r="B23" s="12" t="s">
        <v>35</v>
      </c>
      <c r="C23" s="32">
        <v>90</v>
      </c>
      <c r="D23" s="30">
        <f>(48621*0.05)/90</f>
        <v>27.01166666666667</v>
      </c>
      <c r="E23" s="31">
        <f t="shared" si="0"/>
        <v>2431.0500000000002</v>
      </c>
      <c r="F23" s="25">
        <v>2</v>
      </c>
      <c r="G23" s="31">
        <f t="shared" si="1"/>
        <v>4862.1000000000004</v>
      </c>
      <c r="H23" s="18">
        <f t="shared" si="2"/>
        <v>4862.1000000000004</v>
      </c>
      <c r="I23" s="58"/>
      <c r="J23" s="58"/>
      <c r="K23" s="71" t="s">
        <v>97</v>
      </c>
      <c r="L23" s="46"/>
      <c r="M23" s="44"/>
    </row>
    <row r="24" spans="1:13" ht="15" x14ac:dyDescent="0.25">
      <c r="A24" s="11" t="s">
        <v>16</v>
      </c>
      <c r="B24" s="12" t="s">
        <v>17</v>
      </c>
      <c r="C24" s="29">
        <v>90</v>
      </c>
      <c r="D24" s="30">
        <f>10000/90</f>
        <v>111.11111111111111</v>
      </c>
      <c r="E24" s="31">
        <f t="shared" si="0"/>
        <v>10000</v>
      </c>
      <c r="F24" s="25">
        <v>1</v>
      </c>
      <c r="G24" s="31">
        <f t="shared" si="1"/>
        <v>10000</v>
      </c>
      <c r="H24" s="18">
        <f t="shared" si="2"/>
        <v>10000</v>
      </c>
      <c r="I24" s="58"/>
      <c r="J24" s="58"/>
      <c r="K24" s="71" t="s">
        <v>97</v>
      </c>
      <c r="M24" s="44"/>
    </row>
    <row r="25" spans="1:13" ht="15" x14ac:dyDescent="0.25">
      <c r="A25" s="11" t="s">
        <v>31</v>
      </c>
      <c r="B25" s="12" t="s">
        <v>34</v>
      </c>
      <c r="C25" s="29">
        <v>90</v>
      </c>
      <c r="D25" s="30">
        <v>1</v>
      </c>
      <c r="E25" s="31">
        <f t="shared" si="0"/>
        <v>90</v>
      </c>
      <c r="F25" s="25">
        <v>40</v>
      </c>
      <c r="G25" s="31">
        <f t="shared" si="1"/>
        <v>3600</v>
      </c>
      <c r="H25" s="18">
        <f t="shared" si="2"/>
        <v>3600</v>
      </c>
      <c r="I25" s="58"/>
      <c r="J25" s="58"/>
      <c r="K25" s="71" t="s">
        <v>97</v>
      </c>
      <c r="M25" s="44"/>
    </row>
    <row r="26" spans="1:13" ht="15" x14ac:dyDescent="0.25">
      <c r="A26" s="11" t="s">
        <v>94</v>
      </c>
      <c r="B26" s="12" t="s">
        <v>18</v>
      </c>
      <c r="C26" s="30">
        <v>15</v>
      </c>
      <c r="D26" s="30">
        <v>1</v>
      </c>
      <c r="E26" s="31">
        <f t="shared" si="0"/>
        <v>15</v>
      </c>
      <c r="F26" s="25">
        <v>160</v>
      </c>
      <c r="G26" s="31">
        <f t="shared" si="1"/>
        <v>2400</v>
      </c>
      <c r="H26" s="18">
        <f t="shared" si="2"/>
        <v>2400</v>
      </c>
      <c r="I26" s="58"/>
      <c r="J26" s="58"/>
      <c r="K26" s="71" t="s">
        <v>97</v>
      </c>
      <c r="M26" s="44"/>
    </row>
    <row r="27" spans="1:13" ht="15" x14ac:dyDescent="0.25">
      <c r="A27" s="11" t="s">
        <v>19</v>
      </c>
      <c r="B27" s="12" t="s">
        <v>20</v>
      </c>
      <c r="C27" s="29">
        <v>90</v>
      </c>
      <c r="D27" s="30">
        <f>(1839*4)/90</f>
        <v>81.733333333333334</v>
      </c>
      <c r="E27" s="31">
        <f t="shared" si="0"/>
        <v>7356</v>
      </c>
      <c r="F27" s="25">
        <v>2</v>
      </c>
      <c r="G27" s="31">
        <f t="shared" si="1"/>
        <v>14712</v>
      </c>
      <c r="H27" s="18">
        <f t="shared" si="2"/>
        <v>14712</v>
      </c>
      <c r="I27" s="58"/>
      <c r="J27" s="58"/>
      <c r="K27" s="71" t="s">
        <v>97</v>
      </c>
      <c r="L27" s="46"/>
      <c r="M27" s="44"/>
    </row>
    <row r="28" spans="1:13" ht="15" x14ac:dyDescent="0.25">
      <c r="A28" s="11" t="s">
        <v>21</v>
      </c>
      <c r="B28" s="12" t="s">
        <v>22</v>
      </c>
      <c r="C28" s="29">
        <v>90</v>
      </c>
      <c r="D28" s="30">
        <f>(10/90)</f>
        <v>0.1111111111111111</v>
      </c>
      <c r="E28" s="31">
        <f t="shared" si="0"/>
        <v>10</v>
      </c>
      <c r="F28" s="25">
        <v>8</v>
      </c>
      <c r="G28" s="31">
        <f t="shared" si="1"/>
        <v>80</v>
      </c>
      <c r="H28" s="18">
        <f t="shared" si="2"/>
        <v>80</v>
      </c>
      <c r="I28" s="58"/>
      <c r="J28" s="58"/>
      <c r="K28" s="71" t="s">
        <v>97</v>
      </c>
      <c r="M28" s="44"/>
    </row>
    <row r="29" spans="1:13" ht="15" x14ac:dyDescent="0.25">
      <c r="A29" s="11" t="s">
        <v>88</v>
      </c>
      <c r="B29" s="14" t="s">
        <v>23</v>
      </c>
      <c r="C29" s="30">
        <f>90*0.25</f>
        <v>22.5</v>
      </c>
      <c r="D29" s="30">
        <v>1</v>
      </c>
      <c r="E29" s="31">
        <f t="shared" si="0"/>
        <v>22.5</v>
      </c>
      <c r="F29" s="25">
        <v>40</v>
      </c>
      <c r="G29" s="31">
        <f t="shared" si="1"/>
        <v>900</v>
      </c>
      <c r="H29" s="18">
        <f t="shared" si="2"/>
        <v>900</v>
      </c>
      <c r="I29" s="58"/>
      <c r="J29" s="58"/>
      <c r="K29" s="71" t="s">
        <v>97</v>
      </c>
      <c r="M29" s="44"/>
    </row>
    <row r="30" spans="1:13" ht="15" x14ac:dyDescent="0.25">
      <c r="A30" s="11" t="s">
        <v>32</v>
      </c>
      <c r="B30" s="12" t="s">
        <v>33</v>
      </c>
      <c r="C30" s="29">
        <v>90</v>
      </c>
      <c r="D30" s="30">
        <f>(1839/90)*0.5*0.25</f>
        <v>2.5541666666666667</v>
      </c>
      <c r="E30" s="31">
        <f t="shared" si="0"/>
        <v>229.875</v>
      </c>
      <c r="F30" s="26">
        <v>2</v>
      </c>
      <c r="G30" s="31">
        <f t="shared" si="1"/>
        <v>459.75</v>
      </c>
      <c r="H30" s="18">
        <f t="shared" si="2"/>
        <v>459.75</v>
      </c>
      <c r="I30" s="58"/>
      <c r="J30" s="58"/>
      <c r="K30" s="71" t="s">
        <v>97</v>
      </c>
      <c r="M30" s="44"/>
    </row>
    <row r="31" spans="1:13" ht="15.75" thickBot="1" x14ac:dyDescent="0.3">
      <c r="A31" s="40" t="s">
        <v>24</v>
      </c>
      <c r="B31" s="12" t="s">
        <v>25</v>
      </c>
      <c r="C31" s="30">
        <v>4</v>
      </c>
      <c r="D31" s="30">
        <v>1</v>
      </c>
      <c r="E31" s="31">
        <f t="shared" si="0"/>
        <v>4</v>
      </c>
      <c r="F31" s="25">
        <v>40</v>
      </c>
      <c r="G31" s="31">
        <f t="shared" si="1"/>
        <v>160</v>
      </c>
      <c r="H31" s="18">
        <f t="shared" si="2"/>
        <v>160</v>
      </c>
      <c r="I31" s="58"/>
      <c r="J31" s="58"/>
      <c r="K31" s="71" t="s">
        <v>97</v>
      </c>
      <c r="M31" s="44"/>
    </row>
    <row r="32" spans="1:13" ht="15.75" thickBot="1" x14ac:dyDescent="0.25">
      <c r="A32" s="112" t="s">
        <v>79</v>
      </c>
      <c r="B32" s="113"/>
      <c r="C32" s="17">
        <f>1839+90</f>
        <v>1929</v>
      </c>
      <c r="D32" s="17">
        <f>+E32/C32</f>
        <v>6530.9263219284603</v>
      </c>
      <c r="E32" s="17">
        <f>SUM(E5:E31)</f>
        <v>12598156.875</v>
      </c>
      <c r="F32" s="83">
        <f>+G32/E32</f>
        <v>0.19978513246605376</v>
      </c>
      <c r="G32" s="17">
        <f>SUM(G5:G8,G10:G31)</f>
        <v>2516924.4401000007</v>
      </c>
      <c r="H32" s="17">
        <f>SUM(H5:H8,H10:H31)</f>
        <v>2516924.4401000007</v>
      </c>
      <c r="I32" s="83">
        <f>SUM(I5:I31)</f>
        <v>0</v>
      </c>
      <c r="J32" s="17">
        <f>SUM(J5:J31)</f>
        <v>0</v>
      </c>
      <c r="K32" s="66"/>
    </row>
    <row r="33" spans="1:12" ht="15.75" customHeight="1" thickBot="1" x14ac:dyDescent="0.3">
      <c r="A33" s="128" t="s">
        <v>105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30"/>
    </row>
    <row r="34" spans="1:12" ht="26.25" hidden="1" x14ac:dyDescent="0.25">
      <c r="A34" s="11" t="s">
        <v>5</v>
      </c>
      <c r="B34" s="12" t="s">
        <v>92</v>
      </c>
      <c r="C34" s="29"/>
      <c r="D34" s="30"/>
      <c r="E34" s="31"/>
      <c r="F34" s="29"/>
      <c r="G34" s="31"/>
      <c r="H34" s="18">
        <v>194915</v>
      </c>
      <c r="I34" s="58"/>
      <c r="J34" s="58"/>
      <c r="K34" s="72" t="s">
        <v>98</v>
      </c>
    </row>
    <row r="35" spans="1:12" ht="15" x14ac:dyDescent="0.25">
      <c r="A35" s="11" t="s">
        <v>5</v>
      </c>
      <c r="B35" s="12" t="s">
        <v>89</v>
      </c>
      <c r="C35" s="29">
        <v>2096872</v>
      </c>
      <c r="D35" s="30">
        <v>2</v>
      </c>
      <c r="E35" s="31">
        <f>C35*D35</f>
        <v>4193744</v>
      </c>
      <c r="F35" s="29">
        <v>0.05</v>
      </c>
      <c r="G35" s="31">
        <f>E35*F35</f>
        <v>209687.2</v>
      </c>
      <c r="H35" s="18">
        <f>G35</f>
        <v>209687.2</v>
      </c>
      <c r="I35" s="59"/>
      <c r="J35" s="58"/>
      <c r="K35" s="71" t="s">
        <v>97</v>
      </c>
      <c r="L35" s="53"/>
    </row>
    <row r="36" spans="1:12" ht="15" x14ac:dyDescent="0.25">
      <c r="A36" s="11" t="s">
        <v>5</v>
      </c>
      <c r="B36" s="12" t="s">
        <v>91</v>
      </c>
      <c r="C36" s="34">
        <v>2102680</v>
      </c>
      <c r="D36" s="30">
        <v>1.5</v>
      </c>
      <c r="E36" s="31">
        <f t="shared" ref="E36:E39" si="3">C36*D36</f>
        <v>3154020</v>
      </c>
      <c r="F36" s="29">
        <v>0.05</v>
      </c>
      <c r="G36" s="31">
        <f t="shared" ref="G36:G39" si="4">E36*F36</f>
        <v>157701</v>
      </c>
      <c r="H36" s="18">
        <f>G36</f>
        <v>157701</v>
      </c>
      <c r="I36" s="60"/>
      <c r="J36" s="58"/>
      <c r="K36" s="71" t="s">
        <v>97</v>
      </c>
      <c r="L36" s="45"/>
    </row>
    <row r="37" spans="1:12" ht="15" x14ac:dyDescent="0.25">
      <c r="A37" s="11" t="s">
        <v>5</v>
      </c>
      <c r="B37" s="12" t="s">
        <v>6</v>
      </c>
      <c r="C37" s="34">
        <v>4761034</v>
      </c>
      <c r="D37" s="30">
        <v>1</v>
      </c>
      <c r="E37" s="31">
        <f t="shared" si="3"/>
        <v>4761034</v>
      </c>
      <c r="F37" s="29">
        <v>0.05</v>
      </c>
      <c r="G37" s="31">
        <f t="shared" si="4"/>
        <v>238051.7</v>
      </c>
      <c r="H37" s="18">
        <f>G37</f>
        <v>238051.7</v>
      </c>
      <c r="I37" s="60"/>
      <c r="J37" s="58"/>
      <c r="K37" s="71" t="s">
        <v>97</v>
      </c>
    </row>
    <row r="38" spans="1:12" ht="29.25" x14ac:dyDescent="0.25">
      <c r="A38" s="11" t="s">
        <v>85</v>
      </c>
      <c r="B38" s="12" t="s">
        <v>104</v>
      </c>
      <c r="C38" s="34">
        <f>4761034*0.01</f>
        <v>47610.340000000004</v>
      </c>
      <c r="D38" s="30">
        <v>1</v>
      </c>
      <c r="E38" s="31">
        <f t="shared" si="3"/>
        <v>47610.340000000004</v>
      </c>
      <c r="F38" s="29">
        <v>0.03</v>
      </c>
      <c r="G38" s="31">
        <f t="shared" si="4"/>
        <v>1428.3102000000001</v>
      </c>
      <c r="H38" s="18">
        <f>G38</f>
        <v>1428.3102000000001</v>
      </c>
      <c r="I38" s="60"/>
      <c r="J38" s="58"/>
      <c r="K38" s="71" t="s">
        <v>97</v>
      </c>
    </row>
    <row r="39" spans="1:12" ht="111" thickBot="1" x14ac:dyDescent="0.3">
      <c r="A39" s="75" t="s">
        <v>85</v>
      </c>
      <c r="B39" s="76" t="s">
        <v>86</v>
      </c>
      <c r="C39" s="77">
        <f>(8960587*0.01)</f>
        <v>89605.87</v>
      </c>
      <c r="D39" s="78">
        <v>2</v>
      </c>
      <c r="E39" s="78">
        <f t="shared" si="3"/>
        <v>179211.74</v>
      </c>
      <c r="F39" s="78">
        <v>0.05</v>
      </c>
      <c r="G39" s="79">
        <f t="shared" si="4"/>
        <v>8960.5869999999995</v>
      </c>
      <c r="H39" s="80">
        <v>13160.138999999999</v>
      </c>
      <c r="I39" s="84">
        <f>+G39-H39</f>
        <v>-4199.5519999999997</v>
      </c>
      <c r="J39" s="81"/>
      <c r="K39" s="89" t="s">
        <v>109</v>
      </c>
      <c r="L39" s="46"/>
    </row>
    <row r="40" spans="1:12" ht="15.75" thickBot="1" x14ac:dyDescent="0.3">
      <c r="A40" s="112" t="s">
        <v>80</v>
      </c>
      <c r="B40" s="115"/>
      <c r="C40" s="21">
        <v>8960587</v>
      </c>
      <c r="D40" s="90">
        <f>+E40/C40</f>
        <v>1.3766531232831063</v>
      </c>
      <c r="E40" s="17">
        <f>SUM(E35:E39)</f>
        <v>12335620.08</v>
      </c>
      <c r="F40" s="83">
        <f>+G40/E40</f>
        <v>4.9922808355492079E-2</v>
      </c>
      <c r="G40" s="17">
        <f>SUM(G35:G39)</f>
        <v>615828.79719999991</v>
      </c>
      <c r="H40" s="17">
        <f>SUM(H35:H39)</f>
        <v>620028.34919999994</v>
      </c>
      <c r="I40" s="83">
        <f>SUM(I35:I39)</f>
        <v>-4199.5519999999997</v>
      </c>
      <c r="J40" s="17">
        <f>SUM(J35:J39)</f>
        <v>0</v>
      </c>
      <c r="K40" s="66"/>
    </row>
    <row r="41" spans="1:12" ht="15.75" customHeight="1" thickBot="1" x14ac:dyDescent="0.3">
      <c r="A41" s="131" t="s">
        <v>106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3"/>
    </row>
    <row r="42" spans="1:12" ht="15" x14ac:dyDescent="0.25">
      <c r="A42" s="11" t="s">
        <v>54</v>
      </c>
      <c r="B42" s="12" t="s">
        <v>87</v>
      </c>
      <c r="C42" s="30">
        <v>2650</v>
      </c>
      <c r="D42" s="30">
        <v>1</v>
      </c>
      <c r="E42" s="31">
        <f>C42*D42</f>
        <v>2650</v>
      </c>
      <c r="F42" s="25">
        <v>2</v>
      </c>
      <c r="G42" s="31">
        <f>E42*F42</f>
        <v>5300</v>
      </c>
      <c r="H42" s="18">
        <f>G42</f>
        <v>5300</v>
      </c>
      <c r="I42" s="58"/>
      <c r="J42" s="58"/>
      <c r="K42" s="71" t="s">
        <v>97</v>
      </c>
      <c r="L42" s="46"/>
    </row>
    <row r="43" spans="1:12" ht="15" x14ac:dyDescent="0.25">
      <c r="A43" s="11" t="s">
        <v>55</v>
      </c>
      <c r="B43" s="14" t="s">
        <v>45</v>
      </c>
      <c r="C43" s="30">
        <f>(75/90)*48621</f>
        <v>40517.5</v>
      </c>
      <c r="D43" s="30">
        <v>2</v>
      </c>
      <c r="E43" s="31">
        <f t="shared" ref="E43:E45" si="5">C43*D43</f>
        <v>81035</v>
      </c>
      <c r="F43" s="25">
        <v>2</v>
      </c>
      <c r="G43" s="31">
        <f t="shared" ref="G43:G45" si="6">E43*F43</f>
        <v>162070</v>
      </c>
      <c r="H43" s="18">
        <f>G43</f>
        <v>162070</v>
      </c>
      <c r="I43" s="58"/>
      <c r="J43" s="58"/>
      <c r="K43" s="71" t="s">
        <v>97</v>
      </c>
    </row>
    <row r="44" spans="1:12" ht="15" x14ac:dyDescent="0.25">
      <c r="A44" s="11" t="s">
        <v>11</v>
      </c>
      <c r="B44" s="12" t="s">
        <v>57</v>
      </c>
      <c r="C44" s="30">
        <f>48621*0.5</f>
        <v>24310.5</v>
      </c>
      <c r="D44" s="30">
        <v>1</v>
      </c>
      <c r="E44" s="31">
        <f t="shared" si="5"/>
        <v>24310.5</v>
      </c>
      <c r="F44" s="25">
        <v>1</v>
      </c>
      <c r="G44" s="31">
        <f t="shared" si="6"/>
        <v>24310.5</v>
      </c>
      <c r="H44" s="18">
        <f>G44</f>
        <v>24310.5</v>
      </c>
      <c r="I44" s="58"/>
      <c r="J44" s="58"/>
      <c r="K44" s="71" t="s">
        <v>97</v>
      </c>
    </row>
    <row r="45" spans="1:12" ht="15.75" thickBot="1" x14ac:dyDescent="0.3">
      <c r="A45" s="38" t="s">
        <v>95</v>
      </c>
      <c r="B45" s="12" t="s">
        <v>58</v>
      </c>
      <c r="C45" s="30">
        <f>(9/17)*578</f>
        <v>306</v>
      </c>
      <c r="D45" s="30">
        <v>1</v>
      </c>
      <c r="E45" s="31">
        <f t="shared" si="5"/>
        <v>306</v>
      </c>
      <c r="F45" s="25">
        <v>1</v>
      </c>
      <c r="G45" s="31">
        <f t="shared" si="6"/>
        <v>306</v>
      </c>
      <c r="H45" s="18">
        <f>G45</f>
        <v>306</v>
      </c>
      <c r="I45" s="58"/>
      <c r="J45" s="58"/>
      <c r="K45" s="71" t="s">
        <v>97</v>
      </c>
      <c r="L45" s="46"/>
    </row>
    <row r="46" spans="1:12" ht="15.75" thickBot="1" x14ac:dyDescent="0.3">
      <c r="A46" s="112" t="s">
        <v>81</v>
      </c>
      <c r="B46" s="113"/>
      <c r="C46" s="17">
        <v>48621</v>
      </c>
      <c r="D46" s="83">
        <f>+E46/C46</f>
        <v>2.2274634417227124</v>
      </c>
      <c r="E46" s="17">
        <f t="shared" ref="E46:H46" si="7">SUM(E42:E45)</f>
        <v>108301.5</v>
      </c>
      <c r="F46" s="83">
        <f>+G46/E46</f>
        <v>1.7727039791692636</v>
      </c>
      <c r="G46" s="17">
        <f t="shared" si="7"/>
        <v>191986.5</v>
      </c>
      <c r="H46" s="17">
        <f t="shared" si="7"/>
        <v>191986.5</v>
      </c>
      <c r="I46" s="83">
        <f>SUM(I42:I45)</f>
        <v>0</v>
      </c>
      <c r="J46" s="17">
        <f>SUM(J42:J45)</f>
        <v>0</v>
      </c>
      <c r="K46" s="67"/>
    </row>
    <row r="47" spans="1:12" s="1" customFormat="1" ht="15.75" thickBot="1" x14ac:dyDescent="0.3">
      <c r="A47" s="112" t="s">
        <v>82</v>
      </c>
      <c r="B47" s="114"/>
      <c r="C47" s="19">
        <f>SUM(C32,C40,C46)</f>
        <v>9011137</v>
      </c>
      <c r="D47" s="83">
        <f>+E47/C47</f>
        <v>2.7790142858775755</v>
      </c>
      <c r="E47" s="19">
        <f>SUM(E32,E40,E46)</f>
        <v>25042078.454999998</v>
      </c>
      <c r="F47" s="85">
        <f>+G47/E47</f>
        <v>0.13276612575407734</v>
      </c>
      <c r="G47" s="19">
        <f>SUM(G32,G40,G46)</f>
        <v>3324739.7373000006</v>
      </c>
      <c r="H47" s="20">
        <f>SUM(H32,H40,H46)</f>
        <v>3328939.2893000008</v>
      </c>
      <c r="I47" s="85">
        <f>SUM(I32,I40,I46)</f>
        <v>-4199.5519999999997</v>
      </c>
      <c r="J47" s="19">
        <f>SUM(J32,J40,J46)</f>
        <v>0</v>
      </c>
      <c r="K47" s="68"/>
    </row>
    <row r="48" spans="1:12" s="1" customFormat="1" ht="15.75" customHeight="1" x14ac:dyDescent="0.25">
      <c r="A48" s="116" t="s">
        <v>65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</row>
    <row r="49" spans="1:12" ht="15" customHeight="1" x14ac:dyDescent="0.25">
      <c r="A49" s="118" t="s">
        <v>56</v>
      </c>
      <c r="B49" s="119"/>
      <c r="C49" s="119"/>
      <c r="D49" s="119"/>
      <c r="E49" s="119"/>
      <c r="F49" s="119"/>
      <c r="G49" s="119"/>
      <c r="H49" s="119"/>
      <c r="I49" s="119"/>
      <c r="J49" s="119"/>
      <c r="K49" s="119"/>
    </row>
    <row r="50" spans="1:12" s="56" customFormat="1" ht="15" x14ac:dyDescent="0.25">
      <c r="A50" s="38" t="s">
        <v>85</v>
      </c>
      <c r="B50" s="14" t="s">
        <v>86</v>
      </c>
      <c r="C50" s="30">
        <v>10000</v>
      </c>
      <c r="D50" s="30">
        <v>2</v>
      </c>
      <c r="E50" s="31">
        <f>C50*D50</f>
        <v>20000</v>
      </c>
      <c r="F50" s="26">
        <v>1.6E-2</v>
      </c>
      <c r="G50" s="31">
        <f>E50*F50</f>
        <v>320</v>
      </c>
      <c r="H50" s="33">
        <f>G50</f>
        <v>320</v>
      </c>
      <c r="I50" s="58"/>
      <c r="J50" s="58"/>
      <c r="K50" s="71" t="s">
        <v>97</v>
      </c>
    </row>
    <row r="51" spans="1:12" s="1" customFormat="1" ht="15" x14ac:dyDescent="0.25">
      <c r="A51" s="38" t="s">
        <v>61</v>
      </c>
      <c r="B51" s="12" t="s">
        <v>62</v>
      </c>
      <c r="C51" s="30">
        <v>90</v>
      </c>
      <c r="D51" s="29">
        <v>1</v>
      </c>
      <c r="E51" s="31">
        <f>C51*D51</f>
        <v>90</v>
      </c>
      <c r="F51" s="25">
        <v>50</v>
      </c>
      <c r="G51" s="31">
        <f>E51*F51</f>
        <v>4500</v>
      </c>
      <c r="H51" s="33">
        <f t="shared" ref="H51:H62" si="8">G51</f>
        <v>4500</v>
      </c>
      <c r="I51" s="58"/>
      <c r="J51" s="58"/>
      <c r="K51" s="71" t="s">
        <v>97</v>
      </c>
    </row>
    <row r="52" spans="1:12" s="1" customFormat="1" ht="15" x14ac:dyDescent="0.25">
      <c r="A52" s="38" t="s">
        <v>66</v>
      </c>
      <c r="B52" s="12" t="s">
        <v>57</v>
      </c>
      <c r="C52" s="30">
        <f>48621*0.5</f>
        <v>24310.5</v>
      </c>
      <c r="D52" s="30">
        <v>1</v>
      </c>
      <c r="E52" s="31">
        <f t="shared" ref="E52:E62" si="9">C52*D52</f>
        <v>24310.5</v>
      </c>
      <c r="F52" s="25">
        <v>1</v>
      </c>
      <c r="G52" s="31">
        <f t="shared" ref="G52:G62" si="10">E52*F52</f>
        <v>24310.5</v>
      </c>
      <c r="H52" s="33">
        <f t="shared" si="8"/>
        <v>24310.5</v>
      </c>
      <c r="I52" s="61"/>
      <c r="J52" s="58"/>
      <c r="K52" s="71" t="s">
        <v>97</v>
      </c>
    </row>
    <row r="53" spans="1:12" s="1" customFormat="1" ht="15" x14ac:dyDescent="0.25">
      <c r="A53" s="38" t="s">
        <v>95</v>
      </c>
      <c r="B53" s="12" t="s">
        <v>58</v>
      </c>
      <c r="C53" s="30">
        <f>(9/17)*578</f>
        <v>306</v>
      </c>
      <c r="D53" s="30">
        <v>1</v>
      </c>
      <c r="E53" s="31">
        <f t="shared" si="9"/>
        <v>306</v>
      </c>
      <c r="F53" s="25">
        <v>1</v>
      </c>
      <c r="G53" s="31">
        <f t="shared" si="10"/>
        <v>306</v>
      </c>
      <c r="H53" s="33">
        <f t="shared" si="8"/>
        <v>306</v>
      </c>
      <c r="I53" s="61"/>
      <c r="J53" s="58"/>
      <c r="K53" s="71" t="s">
        <v>97</v>
      </c>
      <c r="L53" s="46"/>
    </row>
    <row r="54" spans="1:12" s="1" customFormat="1" ht="15" x14ac:dyDescent="0.25">
      <c r="A54" s="11" t="s">
        <v>26</v>
      </c>
      <c r="B54" s="12" t="s">
        <v>40</v>
      </c>
      <c r="C54" s="30">
        <v>90</v>
      </c>
      <c r="D54" s="29">
        <v>1</v>
      </c>
      <c r="E54" s="31">
        <f t="shared" si="9"/>
        <v>90</v>
      </c>
      <c r="F54" s="25">
        <v>2</v>
      </c>
      <c r="G54" s="31">
        <f t="shared" si="10"/>
        <v>180</v>
      </c>
      <c r="H54" s="33">
        <f t="shared" si="8"/>
        <v>180</v>
      </c>
      <c r="I54" s="58"/>
      <c r="J54" s="58"/>
      <c r="K54" s="71" t="s">
        <v>97</v>
      </c>
    </row>
    <row r="55" spans="1:12" s="1" customFormat="1" ht="15" x14ac:dyDescent="0.25">
      <c r="A55" s="11" t="s">
        <v>36</v>
      </c>
      <c r="B55" s="12" t="s">
        <v>38</v>
      </c>
      <c r="C55" s="30">
        <v>90</v>
      </c>
      <c r="D55" s="30">
        <f>(48621/90)*0.05</f>
        <v>27.01166666666667</v>
      </c>
      <c r="E55" s="31">
        <f t="shared" si="9"/>
        <v>2431.0500000000002</v>
      </c>
      <c r="F55" s="25">
        <v>1</v>
      </c>
      <c r="G55" s="31">
        <f t="shared" si="10"/>
        <v>2431.0500000000002</v>
      </c>
      <c r="H55" s="33">
        <f t="shared" si="8"/>
        <v>2431.0500000000002</v>
      </c>
      <c r="I55" s="58"/>
      <c r="J55" s="58"/>
      <c r="K55" s="71" t="s">
        <v>97</v>
      </c>
    </row>
    <row r="56" spans="1:12" s="1" customFormat="1" ht="15" x14ac:dyDescent="0.25">
      <c r="A56" s="11" t="s">
        <v>96</v>
      </c>
      <c r="B56" s="12" t="s">
        <v>35</v>
      </c>
      <c r="C56" s="30">
        <v>90</v>
      </c>
      <c r="D56" s="30">
        <f>(48621/90)*0.05</f>
        <v>27.01166666666667</v>
      </c>
      <c r="E56" s="31">
        <f t="shared" si="9"/>
        <v>2431.0500000000002</v>
      </c>
      <c r="F56" s="25">
        <v>2</v>
      </c>
      <c r="G56" s="31">
        <f t="shared" si="10"/>
        <v>4862.1000000000004</v>
      </c>
      <c r="H56" s="33">
        <f t="shared" si="8"/>
        <v>4862.1000000000004</v>
      </c>
      <c r="I56" s="58"/>
      <c r="J56" s="58"/>
      <c r="K56" s="71" t="s">
        <v>97</v>
      </c>
    </row>
    <row r="57" spans="1:12" s="1" customFormat="1" ht="15" x14ac:dyDescent="0.25">
      <c r="A57" s="11" t="s">
        <v>59</v>
      </c>
      <c r="B57" s="12" t="s">
        <v>60</v>
      </c>
      <c r="C57" s="30">
        <v>90</v>
      </c>
      <c r="D57" s="30">
        <f>2300/90</f>
        <v>25.555555555555557</v>
      </c>
      <c r="E57" s="31">
        <f>C57*D57</f>
        <v>2300</v>
      </c>
      <c r="F57" s="25">
        <v>1</v>
      </c>
      <c r="G57" s="31">
        <f t="shared" si="10"/>
        <v>2300</v>
      </c>
      <c r="H57" s="33">
        <f t="shared" si="8"/>
        <v>2300</v>
      </c>
      <c r="I57" s="58"/>
      <c r="J57" s="58"/>
      <c r="K57" s="71" t="s">
        <v>97</v>
      </c>
    </row>
    <row r="58" spans="1:12" s="1" customFormat="1" ht="15" x14ac:dyDescent="0.25">
      <c r="A58" s="11" t="s">
        <v>37</v>
      </c>
      <c r="B58" s="12" t="s">
        <v>39</v>
      </c>
      <c r="C58" s="30">
        <v>90</v>
      </c>
      <c r="D58" s="29">
        <v>1</v>
      </c>
      <c r="E58" s="31">
        <f t="shared" si="9"/>
        <v>90</v>
      </c>
      <c r="F58" s="25">
        <v>5</v>
      </c>
      <c r="G58" s="31">
        <f t="shared" si="10"/>
        <v>450</v>
      </c>
      <c r="H58" s="33">
        <f t="shared" si="8"/>
        <v>450</v>
      </c>
      <c r="I58" s="58"/>
      <c r="J58" s="58"/>
      <c r="K58" s="71" t="s">
        <v>97</v>
      </c>
    </row>
    <row r="59" spans="1:12" s="1" customFormat="1" ht="15" x14ac:dyDescent="0.25">
      <c r="A59" s="11" t="s">
        <v>27</v>
      </c>
      <c r="B59" s="12" t="s">
        <v>28</v>
      </c>
      <c r="C59" s="30">
        <f>90+1839</f>
        <v>1929</v>
      </c>
      <c r="D59" s="30">
        <v>12</v>
      </c>
      <c r="E59" s="31">
        <f t="shared" si="9"/>
        <v>23148</v>
      </c>
      <c r="F59" s="25">
        <v>2</v>
      </c>
      <c r="G59" s="31">
        <f t="shared" si="10"/>
        <v>46296</v>
      </c>
      <c r="H59" s="33">
        <f t="shared" si="8"/>
        <v>46296</v>
      </c>
      <c r="I59" s="58"/>
      <c r="J59" s="58"/>
      <c r="K59" s="71" t="s">
        <v>97</v>
      </c>
    </row>
    <row r="60" spans="1:12" s="1" customFormat="1" ht="56.25" customHeight="1" x14ac:dyDescent="0.25">
      <c r="A60" s="11" t="s">
        <v>27</v>
      </c>
      <c r="B60" s="14" t="s">
        <v>41</v>
      </c>
      <c r="C60" s="30">
        <v>1839</v>
      </c>
      <c r="D60" s="29">
        <f>((2096872+2102680)/1839)*4</f>
        <v>9134.4252311038599</v>
      </c>
      <c r="E60" s="31">
        <f t="shared" si="9"/>
        <v>16798208</v>
      </c>
      <c r="F60" s="25">
        <v>1.7000000000000001E-2</v>
      </c>
      <c r="G60" s="31">
        <f t="shared" si="10"/>
        <v>285569.53600000002</v>
      </c>
      <c r="H60" s="33">
        <f t="shared" si="8"/>
        <v>285569.53600000002</v>
      </c>
      <c r="I60" s="86"/>
      <c r="J60" s="58"/>
      <c r="K60" s="71" t="s">
        <v>97</v>
      </c>
      <c r="L60" s="53"/>
    </row>
    <row r="61" spans="1:12" s="1" customFormat="1" ht="15" x14ac:dyDescent="0.25">
      <c r="A61" s="11" t="s">
        <v>27</v>
      </c>
      <c r="B61" s="14" t="s">
        <v>29</v>
      </c>
      <c r="C61" s="30">
        <v>1839</v>
      </c>
      <c r="D61" s="29">
        <f>(4761034/1839)*4</f>
        <v>10355.702011963023</v>
      </c>
      <c r="E61" s="31">
        <f t="shared" si="9"/>
        <v>19044136</v>
      </c>
      <c r="F61" s="25">
        <v>1.7000000000000001E-2</v>
      </c>
      <c r="G61" s="31">
        <f t="shared" si="10"/>
        <v>323750.31200000003</v>
      </c>
      <c r="H61" s="33">
        <f t="shared" si="8"/>
        <v>323750.31200000003</v>
      </c>
      <c r="I61" s="86"/>
      <c r="J61" s="58"/>
      <c r="K61" s="71" t="s">
        <v>97</v>
      </c>
      <c r="L61" s="53"/>
    </row>
    <row r="62" spans="1:12" s="1" customFormat="1" ht="32.25" customHeight="1" thickBot="1" x14ac:dyDescent="0.3">
      <c r="A62" s="11" t="s">
        <v>27</v>
      </c>
      <c r="B62" s="12" t="s">
        <v>30</v>
      </c>
      <c r="C62" s="30">
        <f>90+1839</f>
        <v>1929</v>
      </c>
      <c r="D62" s="29">
        <v>1</v>
      </c>
      <c r="E62" s="31">
        <f t="shared" si="9"/>
        <v>1929</v>
      </c>
      <c r="F62" s="25">
        <v>0.25</v>
      </c>
      <c r="G62" s="31">
        <f t="shared" si="10"/>
        <v>482.25</v>
      </c>
      <c r="H62" s="33">
        <f t="shared" si="8"/>
        <v>482.25</v>
      </c>
      <c r="I62" s="58"/>
      <c r="J62" s="58"/>
      <c r="K62" s="71" t="s">
        <v>97</v>
      </c>
    </row>
    <row r="63" spans="1:12" s="1" customFormat="1" ht="15.75" thickBot="1" x14ac:dyDescent="0.3">
      <c r="A63" s="112" t="s">
        <v>83</v>
      </c>
      <c r="B63" s="115"/>
      <c r="C63" s="19">
        <f>10000+1839+90</f>
        <v>11929</v>
      </c>
      <c r="D63" s="83">
        <f>+E63/C63</f>
        <v>3011.1048369519658</v>
      </c>
      <c r="E63" s="19">
        <f t="shared" ref="E63:I63" si="11">SUM(E50:E62)</f>
        <v>35919469.600000001</v>
      </c>
      <c r="F63" s="83">
        <f>+G63/E63</f>
        <v>1.9369933792118134E-2</v>
      </c>
      <c r="G63" s="19">
        <f t="shared" si="11"/>
        <v>695757.74800000002</v>
      </c>
      <c r="H63" s="19">
        <f t="shared" si="11"/>
        <v>695757.74800000002</v>
      </c>
      <c r="I63" s="85">
        <f t="shared" si="11"/>
        <v>0</v>
      </c>
      <c r="J63" s="19">
        <f>SUM(J50:J62)</f>
        <v>0</v>
      </c>
      <c r="K63" s="70"/>
    </row>
    <row r="64" spans="1:12" s="1" customFormat="1" ht="34.5" customHeight="1" thickBot="1" x14ac:dyDescent="0.3">
      <c r="A64" s="134" t="s">
        <v>84</v>
      </c>
      <c r="B64" s="135"/>
      <c r="C64" s="22">
        <f>SUM(C47,C63)</f>
        <v>9023066</v>
      </c>
      <c r="D64" s="43">
        <f t="shared" ref="D64:J64" si="12">SUM(D47,D63)</f>
        <v>3013.8838512378434</v>
      </c>
      <c r="E64" s="22">
        <f>SUM(E47,E63)</f>
        <v>60961548.055</v>
      </c>
      <c r="F64" s="43">
        <f t="shared" si="12"/>
        <v>0.15213605954619547</v>
      </c>
      <c r="G64" s="22">
        <f t="shared" si="12"/>
        <v>4020497.4853000008</v>
      </c>
      <c r="H64" s="23">
        <f>SUM(H47,H63)</f>
        <v>4024697.0373000009</v>
      </c>
      <c r="I64" s="43">
        <f t="shared" si="12"/>
        <v>-4199.5519999999997</v>
      </c>
      <c r="J64" s="22">
        <f t="shared" si="12"/>
        <v>0</v>
      </c>
      <c r="K64" s="69"/>
    </row>
    <row r="65" spans="1:11" ht="15" thickBot="1" x14ac:dyDescent="0.25">
      <c r="A65" s="15"/>
      <c r="B65" s="15"/>
      <c r="C65" s="15"/>
      <c r="D65" s="15"/>
      <c r="E65" s="15"/>
      <c r="F65" s="15"/>
      <c r="G65" s="15"/>
      <c r="H65" s="15"/>
      <c r="I65" s="87"/>
      <c r="J65" s="15"/>
      <c r="K65" s="13"/>
    </row>
    <row r="66" spans="1:11" ht="15.75" thickBot="1" x14ac:dyDescent="0.3">
      <c r="A66" s="104" t="s">
        <v>99</v>
      </c>
      <c r="B66" s="105"/>
      <c r="C66" s="105"/>
      <c r="D66" s="106"/>
      <c r="E66" s="15"/>
      <c r="F66" s="15"/>
      <c r="G66" s="15"/>
      <c r="H66" s="15"/>
      <c r="I66" s="87"/>
      <c r="J66" s="15"/>
      <c r="K66" s="13"/>
    </row>
    <row r="67" spans="1:11" ht="17.25" thickBot="1" x14ac:dyDescent="0.35">
      <c r="A67" s="95" t="s">
        <v>47</v>
      </c>
      <c r="B67" s="99"/>
      <c r="C67" s="100">
        <f>+C47</f>
        <v>9011137</v>
      </c>
      <c r="D67" s="101"/>
      <c r="E67" s="73"/>
      <c r="F67" s="15"/>
      <c r="G67" s="15"/>
      <c r="H67" s="15"/>
      <c r="I67" s="87"/>
      <c r="J67" s="15"/>
      <c r="K67" s="13"/>
    </row>
    <row r="68" spans="1:11" ht="16.5" thickBot="1" x14ac:dyDescent="0.35">
      <c r="A68" s="108" t="s">
        <v>48</v>
      </c>
      <c r="B68" s="109"/>
      <c r="C68" s="110">
        <f>+C69/C67</f>
        <v>2.7790142858775755</v>
      </c>
      <c r="D68" s="111"/>
      <c r="E68" s="15"/>
      <c r="F68" s="15"/>
      <c r="G68" s="15"/>
      <c r="H68" s="15"/>
      <c r="I68" s="87"/>
      <c r="J68" s="15"/>
      <c r="K68" s="13"/>
    </row>
    <row r="69" spans="1:11" ht="16.5" thickBot="1" x14ac:dyDescent="0.35">
      <c r="A69" s="95" t="s">
        <v>49</v>
      </c>
      <c r="B69" s="96"/>
      <c r="C69" s="100">
        <f>+E47</f>
        <v>25042078.454999998</v>
      </c>
      <c r="D69" s="101"/>
      <c r="E69" s="15"/>
      <c r="F69" s="50"/>
      <c r="G69" s="15"/>
      <c r="H69" s="15"/>
      <c r="I69" s="87"/>
      <c r="J69" s="15"/>
      <c r="K69" s="13"/>
    </row>
    <row r="70" spans="1:11" ht="16.5" thickBot="1" x14ac:dyDescent="0.35">
      <c r="A70" s="95" t="s">
        <v>50</v>
      </c>
      <c r="B70" s="96"/>
      <c r="C70" s="102">
        <f>+C71/C69</f>
        <v>0.13276612575407734</v>
      </c>
      <c r="D70" s="103"/>
      <c r="E70" s="15"/>
      <c r="F70" s="50"/>
      <c r="G70" s="15"/>
      <c r="H70" s="15"/>
      <c r="I70" s="87"/>
      <c r="J70" s="15"/>
      <c r="K70" s="13"/>
    </row>
    <row r="71" spans="1:11" ht="17.25" thickBot="1" x14ac:dyDescent="0.35">
      <c r="A71" s="95" t="s">
        <v>51</v>
      </c>
      <c r="B71" s="107"/>
      <c r="C71" s="100">
        <f>+G47</f>
        <v>3324739.7373000006</v>
      </c>
      <c r="D71" s="101"/>
      <c r="E71" s="15"/>
      <c r="F71" s="51"/>
      <c r="G71" s="15"/>
      <c r="H71" s="15"/>
      <c r="I71" s="87"/>
      <c r="J71" s="15"/>
      <c r="K71" s="13"/>
    </row>
    <row r="72" spans="1:11" ht="16.5" thickBot="1" x14ac:dyDescent="0.35">
      <c r="A72" s="95" t="s">
        <v>52</v>
      </c>
      <c r="B72" s="96"/>
      <c r="C72" s="97">
        <f>+H47</f>
        <v>3328939.2893000008</v>
      </c>
      <c r="D72" s="98"/>
      <c r="E72" s="65"/>
      <c r="F72" s="15"/>
      <c r="G72" s="15"/>
      <c r="H72" s="15"/>
      <c r="I72" s="87"/>
      <c r="J72" s="15"/>
      <c r="K72" s="13"/>
    </row>
    <row r="73" spans="1:11" ht="15" thickBot="1" x14ac:dyDescent="0.25">
      <c r="A73" s="91" t="s">
        <v>53</v>
      </c>
      <c r="B73" s="92"/>
      <c r="C73" s="93">
        <f>C71-C72</f>
        <v>-4199.5520000001416</v>
      </c>
      <c r="D73" s="94"/>
      <c r="E73" s="15"/>
      <c r="F73" s="15"/>
      <c r="G73" s="15"/>
      <c r="H73" s="15"/>
      <c r="I73" s="87"/>
      <c r="J73" s="15"/>
      <c r="K73" s="13"/>
    </row>
    <row r="74" spans="1:11" ht="13.5" thickBot="1" x14ac:dyDescent="0.25">
      <c r="A74" s="13"/>
      <c r="B74" s="13"/>
      <c r="C74" s="13"/>
      <c r="D74" s="13"/>
      <c r="E74" s="13"/>
      <c r="F74" s="13"/>
      <c r="G74" s="13"/>
      <c r="H74" s="13"/>
      <c r="I74" s="88"/>
      <c r="J74" s="13"/>
      <c r="K74" s="13"/>
    </row>
    <row r="75" spans="1:11" ht="15.75" thickBot="1" x14ac:dyDescent="0.3">
      <c r="A75" s="104" t="s">
        <v>100</v>
      </c>
      <c r="B75" s="105"/>
      <c r="C75" s="105"/>
      <c r="D75" s="106"/>
    </row>
    <row r="76" spans="1:11" ht="17.25" thickBot="1" x14ac:dyDescent="0.35">
      <c r="A76" s="95" t="s">
        <v>101</v>
      </c>
      <c r="B76" s="99"/>
      <c r="C76" s="100">
        <f>+C63</f>
        <v>11929</v>
      </c>
      <c r="D76" s="101"/>
    </row>
    <row r="77" spans="1:11" ht="16.5" thickBot="1" x14ac:dyDescent="0.35">
      <c r="A77" s="108" t="s">
        <v>48</v>
      </c>
      <c r="B77" s="109"/>
      <c r="C77" s="110">
        <f>+C78/C76</f>
        <v>3011.1048369519658</v>
      </c>
      <c r="D77" s="111"/>
    </row>
    <row r="78" spans="1:11" ht="16.5" thickBot="1" x14ac:dyDescent="0.35">
      <c r="A78" s="95" t="s">
        <v>49</v>
      </c>
      <c r="B78" s="96"/>
      <c r="C78" s="100">
        <f>+E63</f>
        <v>35919469.600000001</v>
      </c>
      <c r="D78" s="101"/>
    </row>
    <row r="79" spans="1:11" ht="16.5" thickBot="1" x14ac:dyDescent="0.35">
      <c r="A79" s="95" t="s">
        <v>50</v>
      </c>
      <c r="B79" s="96"/>
      <c r="C79" s="102">
        <f>+C80/C78</f>
        <v>1.9369933792118134E-2</v>
      </c>
      <c r="D79" s="103"/>
    </row>
    <row r="80" spans="1:11" ht="17.25" thickBot="1" x14ac:dyDescent="0.35">
      <c r="A80" s="95" t="s">
        <v>51</v>
      </c>
      <c r="B80" s="107"/>
      <c r="C80" s="100">
        <f>+G63</f>
        <v>695757.74800000002</v>
      </c>
      <c r="D80" s="101"/>
    </row>
    <row r="81" spans="1:4" ht="16.5" thickBot="1" x14ac:dyDescent="0.35">
      <c r="A81" s="95" t="s">
        <v>52</v>
      </c>
      <c r="B81" s="96"/>
      <c r="C81" s="97">
        <f>+H63</f>
        <v>695757.74800000002</v>
      </c>
      <c r="D81" s="98"/>
    </row>
    <row r="82" spans="1:4" ht="15" thickBot="1" x14ac:dyDescent="0.25">
      <c r="A82" s="91" t="s">
        <v>53</v>
      </c>
      <c r="B82" s="92"/>
      <c r="C82" s="93">
        <f>C80-C81</f>
        <v>0</v>
      </c>
      <c r="D82" s="94"/>
    </row>
    <row r="83" spans="1:4" ht="13.5" thickBot="1" x14ac:dyDescent="0.25"/>
    <row r="84" spans="1:4" ht="15.75" thickBot="1" x14ac:dyDescent="0.3">
      <c r="A84" s="104" t="s">
        <v>102</v>
      </c>
      <c r="B84" s="105"/>
      <c r="C84" s="105"/>
      <c r="D84" s="106"/>
    </row>
    <row r="85" spans="1:4" ht="17.25" customHeight="1" thickBot="1" x14ac:dyDescent="0.35">
      <c r="A85" s="95" t="s">
        <v>108</v>
      </c>
      <c r="B85" s="99"/>
      <c r="C85" s="100">
        <f>+C69+C78</f>
        <v>60961548.055</v>
      </c>
      <c r="D85" s="101"/>
    </row>
    <row r="86" spans="1:4" ht="17.25" customHeight="1" thickBot="1" x14ac:dyDescent="0.35">
      <c r="A86" s="95" t="s">
        <v>103</v>
      </c>
      <c r="B86" s="99"/>
      <c r="C86" s="55"/>
      <c r="D86" s="57">
        <f>+C71+C80</f>
        <v>4020497.4853000008</v>
      </c>
    </row>
    <row r="87" spans="1:4" ht="16.5" thickBot="1" x14ac:dyDescent="0.35">
      <c r="A87" s="95" t="s">
        <v>52</v>
      </c>
      <c r="B87" s="96"/>
      <c r="C87" s="97">
        <v>4024697</v>
      </c>
      <c r="D87" s="98"/>
    </row>
    <row r="88" spans="1:4" ht="15" thickBot="1" x14ac:dyDescent="0.25">
      <c r="A88" s="91" t="s">
        <v>53</v>
      </c>
      <c r="B88" s="92"/>
      <c r="C88" s="93">
        <f>+D86-C87</f>
        <v>-4199.514699999243</v>
      </c>
      <c r="D88" s="94"/>
    </row>
  </sheetData>
  <mergeCells count="51">
    <mergeCell ref="A64:B64"/>
    <mergeCell ref="C67:D67"/>
    <mergeCell ref="A68:B68"/>
    <mergeCell ref="A66:D66"/>
    <mergeCell ref="A67:B67"/>
    <mergeCell ref="C68:D68"/>
    <mergeCell ref="A1:K1"/>
    <mergeCell ref="A3:K3"/>
    <mergeCell ref="A4:K4"/>
    <mergeCell ref="A33:K33"/>
    <mergeCell ref="A41:K41"/>
    <mergeCell ref="A40:B40"/>
    <mergeCell ref="A46:B46"/>
    <mergeCell ref="A47:B47"/>
    <mergeCell ref="A63:B63"/>
    <mergeCell ref="A32:B32"/>
    <mergeCell ref="A48:K48"/>
    <mergeCell ref="A49:K49"/>
    <mergeCell ref="A69:B69"/>
    <mergeCell ref="A77:B77"/>
    <mergeCell ref="C77:D77"/>
    <mergeCell ref="C69:D69"/>
    <mergeCell ref="A76:B76"/>
    <mergeCell ref="C76:D76"/>
    <mergeCell ref="A70:B70"/>
    <mergeCell ref="C70:D70"/>
    <mergeCell ref="A71:B71"/>
    <mergeCell ref="C71:D71"/>
    <mergeCell ref="A73:B73"/>
    <mergeCell ref="C73:D73"/>
    <mergeCell ref="A72:B72"/>
    <mergeCell ref="C72:D72"/>
    <mergeCell ref="A75:D75"/>
    <mergeCell ref="A78:B78"/>
    <mergeCell ref="C78:D78"/>
    <mergeCell ref="A79:B79"/>
    <mergeCell ref="C79:D79"/>
    <mergeCell ref="A84:D84"/>
    <mergeCell ref="A82:B82"/>
    <mergeCell ref="C82:D82"/>
    <mergeCell ref="A80:B80"/>
    <mergeCell ref="C80:D80"/>
    <mergeCell ref="A81:B81"/>
    <mergeCell ref="C81:D81"/>
    <mergeCell ref="A88:B88"/>
    <mergeCell ref="C88:D88"/>
    <mergeCell ref="A87:B87"/>
    <mergeCell ref="C87:D87"/>
    <mergeCell ref="A85:B85"/>
    <mergeCell ref="C85:D85"/>
    <mergeCell ref="A86:B86"/>
  </mergeCells>
  <printOptions gridLines="1"/>
  <pageMargins left="0.7" right="0.7" top="0.75" bottom="0.75" header="0.3" footer="0.3"/>
  <pageSetup scale="54" fitToHeight="3" orientation="landscape" r:id="rId1"/>
  <headerFooter>
    <oddHeader>&amp;A</oddHeader>
    <oddFooter>Page &amp;P of &amp;N</oddFooter>
  </headerFooter>
  <rowBreaks count="2" manualBreakCount="2">
    <brk id="32" max="16383" man="1"/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</vt:lpstr>
    </vt:vector>
  </TitlesOfParts>
  <Company>USDA FSC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CARROLL</dc:creator>
  <cp:lastModifiedBy>LThomas</cp:lastModifiedBy>
  <cp:lastPrinted>2014-02-07T18:15:40Z</cp:lastPrinted>
  <dcterms:created xsi:type="dcterms:W3CDTF">1999-05-24T18:00:59Z</dcterms:created>
  <dcterms:modified xsi:type="dcterms:W3CDTF">2014-02-07T18:15:55Z</dcterms:modified>
</cp:coreProperties>
</file>