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85" yWindow="-15" windowWidth="14430" windowHeight="11760"/>
  </bookViews>
  <sheets>
    <sheet name="Option 4 burden table" sheetId="1" r:id="rId1"/>
    <sheet name="Sheet2" sheetId="2" state="hidden" r:id="rId2"/>
  </sheets>
  <definedNames>
    <definedName name="OLE_LINK3" localSheetId="0">'Option 4 burden table'!#REF!</definedName>
    <definedName name="_xlnm.Print_Area" localSheetId="0">'Option 4 burden table'!$A$1:$T$27</definedName>
  </definedNames>
  <calcPr calcId="125725"/>
</workbook>
</file>

<file path=xl/calcChain.xml><?xml version="1.0" encoding="utf-8"?>
<calcChain xmlns="http://schemas.openxmlformats.org/spreadsheetml/2006/main">
  <c r="M16" i="1"/>
  <c r="G16" l="1"/>
  <c r="H16" l="1"/>
  <c r="P13" l="1"/>
  <c r="P11"/>
  <c r="P10"/>
  <c r="J20" l="1"/>
  <c r="K17"/>
  <c r="K20"/>
  <c r="P20" s="1"/>
  <c r="Q20" s="1"/>
  <c r="N20"/>
  <c r="O20" s="1"/>
  <c r="J21"/>
  <c r="L21" s="1"/>
  <c r="M21"/>
  <c r="N21"/>
  <c r="O21" s="1"/>
  <c r="Q21" s="1"/>
  <c r="P21"/>
  <c r="J22"/>
  <c r="L22" s="1"/>
  <c r="M22"/>
  <c r="N22"/>
  <c r="P22"/>
  <c r="J17"/>
  <c r="L17" s="1"/>
  <c r="L19" s="1"/>
  <c r="P17"/>
  <c r="O17"/>
  <c r="J18"/>
  <c r="L18" s="1"/>
  <c r="M18"/>
  <c r="N18"/>
  <c r="P18"/>
  <c r="J5"/>
  <c r="L5" s="1"/>
  <c r="M5"/>
  <c r="O5" s="1"/>
  <c r="Q5" s="1"/>
  <c r="J25"/>
  <c r="L25" s="1"/>
  <c r="M25"/>
  <c r="N25"/>
  <c r="O25"/>
  <c r="O26" s="1"/>
  <c r="P25"/>
  <c r="M14"/>
  <c r="N14"/>
  <c r="P2"/>
  <c r="M2"/>
  <c r="N2"/>
  <c r="O2" s="1"/>
  <c r="Q2" s="1"/>
  <c r="P3"/>
  <c r="M3"/>
  <c r="N3"/>
  <c r="M4"/>
  <c r="N4"/>
  <c r="M6"/>
  <c r="N6"/>
  <c r="M7"/>
  <c r="N7"/>
  <c r="M8"/>
  <c r="N8"/>
  <c r="H9"/>
  <c r="N9"/>
  <c r="P9"/>
  <c r="M10"/>
  <c r="N10"/>
  <c r="M11"/>
  <c r="N11"/>
  <c r="M12"/>
  <c r="N12"/>
  <c r="M13"/>
  <c r="N13"/>
  <c r="M15"/>
  <c r="N15"/>
  <c r="P15"/>
  <c r="J2"/>
  <c r="L2" s="1"/>
  <c r="J3"/>
  <c r="L3" s="1"/>
  <c r="J4"/>
  <c r="L4" s="1"/>
  <c r="J6"/>
  <c r="L6" s="1"/>
  <c r="J7"/>
  <c r="L7" s="1"/>
  <c r="J8"/>
  <c r="L8" s="1"/>
  <c r="J10"/>
  <c r="L10" s="1"/>
  <c r="J11"/>
  <c r="L11" s="1"/>
  <c r="J12"/>
  <c r="L12" s="1"/>
  <c r="J13"/>
  <c r="L13" s="1"/>
  <c r="J14"/>
  <c r="L14" s="1"/>
  <c r="J15"/>
  <c r="L15" s="1"/>
  <c r="G19"/>
  <c r="G24" s="1"/>
  <c r="G26"/>
  <c r="J19"/>
  <c r="H26"/>
  <c r="H19"/>
  <c r="M23"/>
  <c r="D8" i="2"/>
  <c r="C17"/>
  <c r="D16" s="1"/>
  <c r="C6"/>
  <c r="C3"/>
  <c r="C5"/>
  <c r="C4"/>
  <c r="C12"/>
  <c r="C14"/>
  <c r="C15"/>
  <c r="C13"/>
  <c r="C10"/>
  <c r="C7"/>
  <c r="C11"/>
  <c r="O14" i="1" l="1"/>
  <c r="Q14" s="1"/>
  <c r="Q25"/>
  <c r="Q26" s="1"/>
  <c r="H24"/>
  <c r="M9"/>
  <c r="O9" s="1"/>
  <c r="Q9" s="1"/>
  <c r="M26"/>
  <c r="O18"/>
  <c r="O19" s="1"/>
  <c r="Q17"/>
  <c r="J9"/>
  <c r="L9" s="1"/>
  <c r="L16" s="1"/>
  <c r="O15"/>
  <c r="Q15" s="1"/>
  <c r="R15" s="1"/>
  <c r="T15" s="1"/>
  <c r="O13"/>
  <c r="Q13" s="1"/>
  <c r="R13" s="1"/>
  <c r="T13" s="1"/>
  <c r="O12"/>
  <c r="Q12" s="1"/>
  <c r="R12" s="1"/>
  <c r="T12" s="1"/>
  <c r="O11"/>
  <c r="Q11" s="1"/>
  <c r="R11" s="1"/>
  <c r="T11" s="1"/>
  <c r="O10"/>
  <c r="Q10" s="1"/>
  <c r="R10" s="1"/>
  <c r="T10" s="1"/>
  <c r="O8"/>
  <c r="Q8" s="1"/>
  <c r="R8" s="1"/>
  <c r="T8" s="1"/>
  <c r="O7"/>
  <c r="Q7" s="1"/>
  <c r="R7" s="1"/>
  <c r="T7" s="1"/>
  <c r="O6"/>
  <c r="Q6" s="1"/>
  <c r="R6" s="1"/>
  <c r="T6" s="1"/>
  <c r="O4"/>
  <c r="Q4" s="1"/>
  <c r="R4" s="1"/>
  <c r="T4" s="1"/>
  <c r="O3"/>
  <c r="Q3" s="1"/>
  <c r="O22"/>
  <c r="Q22" s="1"/>
  <c r="R22" s="1"/>
  <c r="T22" s="1"/>
  <c r="R3"/>
  <c r="T3" s="1"/>
  <c r="R14"/>
  <c r="T14" s="1"/>
  <c r="R21"/>
  <c r="T21" s="1"/>
  <c r="L20"/>
  <c r="L26"/>
  <c r="R25"/>
  <c r="R5"/>
  <c r="T5" s="1"/>
  <c r="H27"/>
  <c r="G27"/>
  <c r="M24"/>
  <c r="R17"/>
  <c r="T17" s="1"/>
  <c r="R20"/>
  <c r="T20" s="1"/>
  <c r="L23"/>
  <c r="R2"/>
  <c r="T2" s="1"/>
  <c r="M19"/>
  <c r="O16"/>
  <c r="J26"/>
  <c r="J23"/>
  <c r="J24" s="1"/>
  <c r="J16"/>
  <c r="R23" l="1"/>
  <c r="Q23"/>
  <c r="T23"/>
  <c r="M27"/>
  <c r="O23"/>
  <c r="Q16"/>
  <c r="Q27" s="1"/>
  <c r="Q18"/>
  <c r="R9"/>
  <c r="T9" s="1"/>
  <c r="T16" s="1"/>
  <c r="O24"/>
  <c r="O27" s="1"/>
  <c r="J27"/>
  <c r="L24"/>
  <c r="R26"/>
  <c r="T25"/>
  <c r="T26" s="1"/>
  <c r="R16" l="1"/>
  <c r="Q19"/>
  <c r="R18"/>
  <c r="T18" s="1"/>
  <c r="T19" s="1"/>
  <c r="T24" s="1"/>
  <c r="L27"/>
  <c r="R27" s="1"/>
  <c r="T27" l="1"/>
  <c r="Q24"/>
  <c r="R24" s="1"/>
  <c r="R19"/>
</calcChain>
</file>

<file path=xl/sharedStrings.xml><?xml version="1.0" encoding="utf-8"?>
<sst xmlns="http://schemas.openxmlformats.org/spreadsheetml/2006/main" count="116" uniqueCount="106">
  <si>
    <t>Type of Survey Instrument</t>
  </si>
  <si>
    <t>Number of Respondents</t>
  </si>
  <si>
    <t>Frequency of Response (annual)</t>
  </si>
  <si>
    <t>Total Annual Responses</t>
  </si>
  <si>
    <t>Average Hours per Response</t>
  </si>
  <si>
    <t>Average Hours per response</t>
  </si>
  <si>
    <t>Total Burden Hours</t>
  </si>
  <si>
    <t>Subtotal</t>
  </si>
  <si>
    <t>Hospital record data manager</t>
  </si>
  <si>
    <t>Respondent Description</t>
  </si>
  <si>
    <t>Individuals and Households</t>
  </si>
  <si>
    <t>State &amp; Local Government</t>
  </si>
  <si>
    <t>Number of non -respondents</t>
  </si>
  <si>
    <t>Table A.3.1. Paper and electronic instruments by annual responses</t>
  </si>
  <si>
    <t>Paper Instruments</t>
  </si>
  <si>
    <t>Completed by</t>
  </si>
  <si>
    <t xml:space="preserve">Appendix C:  Participant Referral Form </t>
  </si>
  <si>
    <t>WIC Participant</t>
  </si>
  <si>
    <t>WIC Service Site staff</t>
  </si>
  <si>
    <t>Appendix FF:  State/local Key Informant Interview</t>
  </si>
  <si>
    <t>State/Local WIC personnel</t>
  </si>
  <si>
    <t xml:space="preserve">Appendix V:  Note sheet </t>
  </si>
  <si>
    <t>Daycare providers</t>
  </si>
  <si>
    <t>Appendix BB:  Home Health Care Provider Length/Weight</t>
  </si>
  <si>
    <t>Home health care providers (Westat staff)</t>
  </si>
  <si>
    <t>Subtotal paper instruments</t>
  </si>
  <si>
    <t>Electronic Instruments</t>
  </si>
  <si>
    <t>Appendices E:  Screening &amp; Enrollment Participant Interviews</t>
  </si>
  <si>
    <t>Westat recruiters</t>
  </si>
  <si>
    <t>Appendices I-S:  Participant Interviews</t>
  </si>
  <si>
    <t>Westat interviewers</t>
  </si>
  <si>
    <t>Appendix EE:  Local WIC Staff Online Survey</t>
  </si>
  <si>
    <t>Appendix Y:  WIC Administrative Data Request</t>
  </si>
  <si>
    <t>State/local WIC personnel</t>
  </si>
  <si>
    <t>Appendix Z:  Hospital Data Request</t>
  </si>
  <si>
    <t xml:space="preserve">Appendix AA:  Provider Data Request </t>
  </si>
  <si>
    <t>Health care provider data manager</t>
  </si>
  <si>
    <t>Subtotal electronic instruments</t>
  </si>
  <si>
    <t>Total</t>
  </si>
  <si>
    <t>Respondent Type</t>
  </si>
  <si>
    <t>Provider data manager</t>
  </si>
  <si>
    <t>WIC site staff</t>
  </si>
  <si>
    <t>State WIC data manager</t>
  </si>
  <si>
    <t xml:space="preserve">WIC participants </t>
  </si>
  <si>
    <t>Pretest telephone survey</t>
  </si>
  <si>
    <t>Sub- Annual Burden</t>
  </si>
  <si>
    <t>Sub-Total Annual Burden</t>
  </si>
  <si>
    <t>Hourly Rate</t>
  </si>
  <si>
    <t>Total Annualized Cost</t>
  </si>
  <si>
    <t xml:space="preserve"> </t>
  </si>
  <si>
    <t xml:space="preserve">Profit/Non-Profit Business </t>
  </si>
  <si>
    <t>Individuals and Households Subtotal</t>
  </si>
  <si>
    <t>State/Local Government Subtotal</t>
  </si>
  <si>
    <t>Profit/Non-Profit Business Subtotal</t>
  </si>
  <si>
    <t>GRAND TOTAL</t>
  </si>
  <si>
    <t>Participant reminder scripts (e)</t>
  </si>
  <si>
    <t>Sample size (a)</t>
  </si>
  <si>
    <t>Advance materials: flyer (b)</t>
  </si>
  <si>
    <t>(b) Assume 80% will read flyer and 77% will sign consent form</t>
  </si>
  <si>
    <t>(c) Of base study total live birth cohort -- assume about 67% will complete 24-month survey, 64% will complete 30-month survey, 60% will complete 36-month survey</t>
  </si>
  <si>
    <t>(d) Assume study attrition from current cohort will be 10% per year x 2 years = 4,046*.9*.9 = 3,277 at end of 24-months.  Assume 70% will complete the contact information form and 85% will read the advance letter.</t>
  </si>
  <si>
    <t>(e) Assume 50% of cohort at 24-months will require reminders (e.g., telephone, email, text).  Assume average of 3 contacts each</t>
  </si>
  <si>
    <t>(f) Assume study attrition @ 33-month will be 5%.  4046*.9*.9*.95 = 3113.  Assume 70% will return contact information form and 85% will read advance letter.</t>
  </si>
  <si>
    <t xml:space="preserve"> (g) Assume 10% of respondents to 36-month interview will no longer be on WIC and will need HIPAA to collect H/W measurements from provider.  Of those, about 80% will sign and return the form.</t>
  </si>
  <si>
    <t>(m) Assume H/W data for participants who returned HIPAA form will be provided by 80% of providers.</t>
  </si>
  <si>
    <t xml:space="preserve">Birthday card </t>
  </si>
  <si>
    <t>Request for contact information (k)</t>
  </si>
  <si>
    <t>Provider Data Request Form (m)</t>
  </si>
  <si>
    <t>Advance materials: Consent form &amp; contact info (b)</t>
  </si>
  <si>
    <t>Appendices</t>
  </si>
  <si>
    <t>B</t>
  </si>
  <si>
    <t>C</t>
  </si>
  <si>
    <t>E</t>
  </si>
  <si>
    <t>F</t>
  </si>
  <si>
    <t>G</t>
  </si>
  <si>
    <t>H</t>
  </si>
  <si>
    <t>I</t>
  </si>
  <si>
    <t>J</t>
  </si>
  <si>
    <t>V</t>
  </si>
  <si>
    <t>U</t>
  </si>
  <si>
    <t>K</t>
  </si>
  <si>
    <t>M-P</t>
  </si>
  <si>
    <t>O</t>
  </si>
  <si>
    <t>Communication materials (i)</t>
  </si>
  <si>
    <t>Q-T</t>
  </si>
  <si>
    <t>L</t>
  </si>
  <si>
    <t>W</t>
  </si>
  <si>
    <t xml:space="preserve">A  </t>
  </si>
  <si>
    <t>D</t>
  </si>
  <si>
    <t xml:space="preserve">24-mo survey: contact information module </t>
  </si>
  <si>
    <t>27-mo contact information form (c)</t>
  </si>
  <si>
    <t>30-mo advance letter (c)</t>
  </si>
  <si>
    <t>30-mo telephone survey(d)</t>
  </si>
  <si>
    <t>33 mo contact information form (f)</t>
  </si>
  <si>
    <t>36-mo advance letter (f)</t>
  </si>
  <si>
    <t>36-mo telephone survey (g)</t>
  </si>
  <si>
    <t>HT/WT Admin data form (j)</t>
  </si>
  <si>
    <t>HT/WT measurement card (h)</t>
  </si>
  <si>
    <t>HT/WT measurement (l)</t>
  </si>
  <si>
    <t>(h) Assume 40% of respondents to the 36-month interview will no longer be on WIC but will be able to visit their WIC site for H/W measurement; of those, 70% will be measured.  Assume 1 hour for reading letter, travel to/from WIC site, and measuring child.</t>
  </si>
  <si>
    <t>(l) Assume that for the 40% participants no longer on WIC and returning to WIC site for measurements, about 9 children will be weighed and measured per site.  Assume 10 minutes for measurements and 3 minutes for data transfer, for a total of 13 minutes per child.</t>
  </si>
  <si>
    <r>
      <t xml:space="preserve">(a)  </t>
    </r>
    <r>
      <rPr>
        <sz val="8"/>
        <rFont val="Calibri"/>
        <family val="2"/>
        <scheme val="minor"/>
      </rPr>
      <t>4046 = base study total live birth cohort</t>
    </r>
  </si>
  <si>
    <t xml:space="preserve"> (i) Includes reviewing one email (5 minutes) and participating in a conference call (30 minutes)</t>
  </si>
  <si>
    <t>(j) Assume administrative H/W records will be provided by State WIC office 1 time.</t>
  </si>
  <si>
    <t>(k) Assume will request participant contact information from WIC sites about once a month over the data collection period.</t>
  </si>
  <si>
    <t>HIPAA form (g)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</si>
</sst>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0.0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7">
    <xf numFmtId="0" fontId="0" fillId="0" borderId="0" xfId="0"/>
    <xf numFmtId="0" fontId="0" fillId="0" borderId="4" xfId="0" applyBorder="1"/>
    <xf numFmtId="0" fontId="4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3" fontId="6" fillId="5" borderId="23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6" fillId="5" borderId="23" xfId="0" applyNumberFormat="1" applyFont="1" applyFill="1" applyBorder="1" applyAlignment="1">
      <alignment horizontal="right" vertical="center"/>
    </xf>
    <xf numFmtId="0" fontId="7" fillId="5" borderId="25" xfId="0" applyFont="1" applyFill="1" applyBorder="1" applyAlignment="1">
      <alignment vertical="center"/>
    </xf>
    <xf numFmtId="0" fontId="7" fillId="5" borderId="2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vertical="center"/>
    </xf>
    <xf numFmtId="3" fontId="3" fillId="0" borderId="19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9" fontId="7" fillId="5" borderId="1" xfId="1" applyFont="1" applyFill="1" applyBorder="1" applyAlignment="1">
      <alignment horizontal="center" vertical="center" wrapText="1"/>
    </xf>
    <xf numFmtId="9" fontId="7" fillId="5" borderId="26" xfId="1" applyFont="1" applyFill="1" applyBorder="1" applyAlignment="1">
      <alignment horizontal="center" vertical="center" wrapText="1"/>
    </xf>
    <xf numFmtId="4" fontId="6" fillId="5" borderId="23" xfId="0" applyNumberFormat="1" applyFont="1" applyFill="1" applyBorder="1" applyAlignment="1">
      <alignment horizontal="right" vertical="center"/>
    </xf>
    <xf numFmtId="4" fontId="7" fillId="5" borderId="23" xfId="0" applyNumberFormat="1" applyFont="1" applyFill="1" applyBorder="1" applyAlignment="1">
      <alignment horizontal="right" vertical="center"/>
    </xf>
    <xf numFmtId="0" fontId="3" fillId="0" borderId="0" xfId="0" applyFont="1"/>
    <xf numFmtId="166" fontId="2" fillId="0" borderId="5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right" wrapText="1"/>
    </xf>
    <xf numFmtId="2" fontId="2" fillId="0" borderId="4" xfId="0" applyNumberFormat="1" applyFont="1" applyFill="1" applyBorder="1" applyAlignment="1">
      <alignment horizontal="right" wrapText="1"/>
    </xf>
    <xf numFmtId="166" fontId="2" fillId="0" borderId="4" xfId="0" applyNumberFormat="1" applyFont="1" applyFill="1" applyBorder="1" applyAlignment="1">
      <alignment horizontal="right" wrapText="1"/>
    </xf>
    <xf numFmtId="1" fontId="2" fillId="0" borderId="4" xfId="0" applyNumberFormat="1" applyFont="1" applyFill="1" applyBorder="1" applyAlignment="1">
      <alignment horizontal="right" wrapText="1"/>
    </xf>
    <xf numFmtId="166" fontId="2" fillId="0" borderId="5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8" fillId="7" borderId="4" xfId="0" applyNumberFormat="1" applyFont="1" applyFill="1" applyBorder="1" applyAlignment="1">
      <alignment horizontal="right" wrapText="1"/>
    </xf>
    <xf numFmtId="164" fontId="8" fillId="4" borderId="33" xfId="0" applyNumberFormat="1" applyFont="1" applyFill="1" applyBorder="1" applyAlignment="1">
      <alignment horizontal="right" wrapText="1"/>
    </xf>
    <xf numFmtId="164" fontId="10" fillId="6" borderId="9" xfId="0" applyNumberFormat="1" applyFont="1" applyFill="1" applyBorder="1" applyAlignment="1">
      <alignment horizontal="right"/>
    </xf>
    <xf numFmtId="164" fontId="8" fillId="6" borderId="9" xfId="0" applyNumberFormat="1" applyFont="1" applyFill="1" applyBorder="1" applyAlignment="1">
      <alignment horizontal="right" wrapText="1"/>
    </xf>
    <xf numFmtId="165" fontId="8" fillId="6" borderId="16" xfId="0" applyNumberFormat="1" applyFont="1" applyFill="1" applyBorder="1" applyAlignment="1">
      <alignment horizontal="right" wrapText="1"/>
    </xf>
    <xf numFmtId="164" fontId="8" fillId="4" borderId="4" xfId="0" applyNumberFormat="1" applyFont="1" applyFill="1" applyBorder="1" applyAlignment="1">
      <alignment horizontal="right"/>
    </xf>
    <xf numFmtId="164" fontId="8" fillId="4" borderId="33" xfId="0" applyNumberFormat="1" applyFont="1" applyFill="1" applyBorder="1" applyAlignment="1">
      <alignment horizontal="right"/>
    </xf>
    <xf numFmtId="164" fontId="8" fillId="6" borderId="16" xfId="0" applyNumberFormat="1" applyFont="1" applyFill="1" applyBorder="1" applyAlignment="1">
      <alignment horizontal="right" wrapText="1"/>
    </xf>
    <xf numFmtId="1" fontId="2" fillId="8" borderId="40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 wrapText="1"/>
    </xf>
    <xf numFmtId="1" fontId="8" fillId="7" borderId="19" xfId="0" applyNumberFormat="1" applyFont="1" applyFill="1" applyBorder="1" applyAlignment="1">
      <alignment horizontal="right" wrapText="1"/>
    </xf>
    <xf numFmtId="1" fontId="2" fillId="8" borderId="19" xfId="0" applyNumberFormat="1" applyFont="1" applyFill="1" applyBorder="1" applyAlignment="1">
      <alignment horizontal="right" wrapText="1"/>
    </xf>
    <xf numFmtId="1" fontId="8" fillId="4" borderId="29" xfId="0" applyNumberFormat="1" applyFont="1" applyFill="1" applyBorder="1" applyAlignment="1">
      <alignment horizontal="right" wrapText="1"/>
    </xf>
    <xf numFmtId="1" fontId="8" fillId="6" borderId="17" xfId="0" applyNumberFormat="1" applyFont="1" applyFill="1" applyBorder="1" applyAlignment="1">
      <alignment horizontal="right" wrapText="1"/>
    </xf>
    <xf numFmtId="2" fontId="2" fillId="0" borderId="19" xfId="0" applyNumberFormat="1" applyFont="1" applyFill="1" applyBorder="1" applyAlignment="1">
      <alignment horizontal="right" vertical="center" wrapText="1"/>
    </xf>
    <xf numFmtId="2" fontId="8" fillId="6" borderId="17" xfId="0" applyNumberFormat="1" applyFont="1" applyFill="1" applyBorder="1" applyAlignment="1">
      <alignment horizontal="right" wrapText="1"/>
    </xf>
    <xf numFmtId="2" fontId="8" fillId="6" borderId="21" xfId="0" applyNumberFormat="1" applyFont="1" applyFill="1" applyBorder="1" applyAlignment="1">
      <alignment horizontal="right" wrapText="1"/>
    </xf>
    <xf numFmtId="2" fontId="2" fillId="8" borderId="4" xfId="0" applyNumberFormat="1" applyFont="1" applyFill="1" applyBorder="1" applyAlignment="1">
      <alignment horizontal="right" wrapText="1"/>
    </xf>
    <xf numFmtId="2" fontId="2" fillId="8" borderId="32" xfId="0" applyNumberFormat="1" applyFont="1" applyFill="1" applyBorder="1" applyAlignment="1">
      <alignment horizontal="right"/>
    </xf>
    <xf numFmtId="2" fontId="2" fillId="8" borderId="4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 wrapText="1"/>
    </xf>
    <xf numFmtId="3" fontId="2" fillId="0" borderId="6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 wrapText="1"/>
    </xf>
    <xf numFmtId="3" fontId="2" fillId="0" borderId="38" xfId="0" applyNumberFormat="1" applyFont="1" applyFill="1" applyBorder="1" applyAlignment="1">
      <alignment horizontal="right"/>
    </xf>
    <xf numFmtId="1" fontId="2" fillId="0" borderId="33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8" fillId="6" borderId="3" xfId="0" applyNumberFormat="1" applyFont="1" applyFill="1" applyBorder="1" applyAlignment="1">
      <alignment horizontal="right" wrapText="1"/>
    </xf>
    <xf numFmtId="3" fontId="8" fillId="6" borderId="8" xfId="0" applyNumberFormat="1" applyFont="1" applyFill="1" applyBorder="1" applyAlignment="1">
      <alignment horizontal="right" wrapText="1"/>
    </xf>
    <xf numFmtId="1" fontId="8" fillId="6" borderId="9" xfId="0" applyNumberFormat="1" applyFont="1" applyFill="1" applyBorder="1" applyAlignment="1">
      <alignment horizontal="right"/>
    </xf>
    <xf numFmtId="3" fontId="2" fillId="8" borderId="25" xfId="0" applyNumberFormat="1" applyFont="1" applyFill="1" applyBorder="1" applyAlignment="1">
      <alignment horizontal="right" wrapText="1"/>
    </xf>
    <xf numFmtId="3" fontId="2" fillId="8" borderId="41" xfId="0" applyNumberFormat="1" applyFont="1" applyFill="1" applyBorder="1" applyAlignment="1">
      <alignment horizontal="right" wrapText="1"/>
    </xf>
    <xf numFmtId="1" fontId="2" fillId="8" borderId="32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 wrapText="1"/>
    </xf>
    <xf numFmtId="3" fontId="8" fillId="7" borderId="14" xfId="0" applyNumberFormat="1" applyFont="1" applyFill="1" applyBorder="1" applyAlignment="1">
      <alignment horizontal="right" wrapText="1"/>
    </xf>
    <xf numFmtId="1" fontId="8" fillId="4" borderId="7" xfId="0" applyNumberFormat="1" applyFont="1" applyFill="1" applyBorder="1" applyAlignment="1">
      <alignment horizontal="right" wrapText="1"/>
    </xf>
    <xf numFmtId="1" fontId="8" fillId="4" borderId="4" xfId="0" applyNumberFormat="1" applyFont="1" applyFill="1" applyBorder="1" applyAlignment="1">
      <alignment horizontal="right"/>
    </xf>
    <xf numFmtId="1" fontId="8" fillId="7" borderId="4" xfId="0" applyNumberFormat="1" applyFont="1" applyFill="1" applyBorder="1" applyAlignment="1">
      <alignment horizontal="right"/>
    </xf>
    <xf numFmtId="1" fontId="8" fillId="7" borderId="4" xfId="0" applyNumberFormat="1" applyFont="1" applyFill="1" applyBorder="1" applyAlignment="1">
      <alignment horizontal="right" wrapText="1"/>
    </xf>
    <xf numFmtId="3" fontId="2" fillId="8" borderId="14" xfId="0" applyNumberFormat="1" applyFont="1" applyFill="1" applyBorder="1" applyAlignment="1">
      <alignment horizontal="right" wrapText="1"/>
    </xf>
    <xf numFmtId="1" fontId="2" fillId="8" borderId="7" xfId="0" applyNumberFormat="1" applyFont="1" applyFill="1" applyBorder="1" applyAlignment="1">
      <alignment horizontal="right" wrapText="1"/>
    </xf>
    <xf numFmtId="1" fontId="2" fillId="8" borderId="4" xfId="0" applyNumberFormat="1" applyFont="1" applyFill="1" applyBorder="1" applyAlignment="1">
      <alignment horizontal="right"/>
    </xf>
    <xf numFmtId="1" fontId="2" fillId="8" borderId="4" xfId="0" applyNumberFormat="1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35" xfId="0" applyFont="1" applyFill="1" applyBorder="1" applyAlignment="1">
      <alignment horizontal="right" wrapText="1"/>
    </xf>
    <xf numFmtId="0" fontId="2" fillId="0" borderId="36" xfId="0" applyFont="1" applyFill="1" applyBorder="1" applyAlignment="1">
      <alignment horizontal="right" wrapText="1"/>
    </xf>
    <xf numFmtId="0" fontId="8" fillId="7" borderId="35" xfId="0" applyFont="1" applyFill="1" applyBorder="1" applyAlignment="1">
      <alignment horizontal="right" wrapText="1"/>
    </xf>
    <xf numFmtId="0" fontId="8" fillId="4" borderId="35" xfId="0" applyFont="1" applyFill="1" applyBorder="1" applyAlignment="1">
      <alignment horizontal="right" wrapText="1"/>
    </xf>
    <xf numFmtId="1" fontId="8" fillId="4" borderId="33" xfId="0" applyNumberFormat="1" applyFont="1" applyFill="1" applyBorder="1" applyAlignment="1">
      <alignment horizontal="right"/>
    </xf>
    <xf numFmtId="1" fontId="8" fillId="4" borderId="4" xfId="0" applyNumberFormat="1" applyFont="1" applyFill="1" applyBorder="1" applyAlignment="1">
      <alignment horizontal="right" wrapText="1"/>
    </xf>
    <xf numFmtId="1" fontId="10" fillId="6" borderId="9" xfId="0" applyNumberFormat="1" applyFont="1" applyFill="1" applyBorder="1" applyAlignment="1">
      <alignment horizontal="right"/>
    </xf>
    <xf numFmtId="1" fontId="8" fillId="6" borderId="9" xfId="0" applyNumberFormat="1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 wrapText="1"/>
    </xf>
    <xf numFmtId="3" fontId="8" fillId="6" borderId="2" xfId="0" applyNumberFormat="1" applyFont="1" applyFill="1" applyBorder="1" applyAlignment="1">
      <alignment horizontal="right" wrapText="1"/>
    </xf>
    <xf numFmtId="3" fontId="8" fillId="6" borderId="15" xfId="0" applyNumberFormat="1" applyFont="1" applyFill="1" applyBorder="1" applyAlignment="1">
      <alignment horizontal="right" wrapText="1"/>
    </xf>
    <xf numFmtId="1" fontId="8" fillId="6" borderId="16" xfId="0" applyNumberFormat="1" applyFont="1" applyFill="1" applyBorder="1" applyAlignment="1">
      <alignment horizontal="right" wrapText="1"/>
    </xf>
    <xf numFmtId="167" fontId="8" fillId="6" borderId="16" xfId="2" applyNumberFormat="1" applyFont="1" applyFill="1" applyBorder="1" applyAlignment="1">
      <alignment horizontal="right" wrapText="1"/>
    </xf>
    <xf numFmtId="167" fontId="2" fillId="0" borderId="4" xfId="2" applyNumberFormat="1" applyFont="1" applyFill="1" applyBorder="1" applyAlignment="1">
      <alignment horizontal="right"/>
    </xf>
    <xf numFmtId="167" fontId="2" fillId="0" borderId="4" xfId="2" applyNumberFormat="1" applyFont="1" applyFill="1" applyBorder="1" applyAlignment="1">
      <alignment horizontal="right" wrapText="1"/>
    </xf>
    <xf numFmtId="1" fontId="2" fillId="0" borderId="45" xfId="0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 wrapText="1"/>
    </xf>
    <xf numFmtId="167" fontId="2" fillId="0" borderId="11" xfId="2" applyNumberFormat="1" applyFont="1" applyFill="1" applyBorder="1" applyAlignment="1">
      <alignment horizontal="right" wrapText="1"/>
    </xf>
    <xf numFmtId="1" fontId="2" fillId="8" borderId="39" xfId="0" applyNumberFormat="1" applyFont="1" applyFill="1" applyBorder="1" applyAlignment="1">
      <alignment horizontal="right"/>
    </xf>
    <xf numFmtId="1" fontId="8" fillId="4" borderId="11" xfId="0" applyNumberFormat="1" applyFont="1" applyFill="1" applyBorder="1" applyAlignment="1">
      <alignment horizontal="right" wrapText="1"/>
    </xf>
    <xf numFmtId="1" fontId="2" fillId="8" borderId="11" xfId="0" applyNumberFormat="1" applyFont="1" applyFill="1" applyBorder="1" applyAlignment="1">
      <alignment horizontal="right" wrapText="1"/>
    </xf>
    <xf numFmtId="1" fontId="8" fillId="4" borderId="47" xfId="0" applyNumberFormat="1" applyFont="1" applyFill="1" applyBorder="1" applyAlignment="1">
      <alignment horizontal="right" wrapText="1"/>
    </xf>
    <xf numFmtId="1" fontId="8" fillId="6" borderId="22" xfId="0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 vertical="center" wrapText="1"/>
    </xf>
    <xf numFmtId="1" fontId="8" fillId="6" borderId="46" xfId="0" applyNumberFormat="1" applyFont="1" applyFill="1" applyBorder="1" applyAlignment="1">
      <alignment horizontal="right" wrapText="1"/>
    </xf>
    <xf numFmtId="1" fontId="8" fillId="6" borderId="42" xfId="0" applyNumberFormat="1" applyFont="1" applyFill="1" applyBorder="1" applyAlignment="1">
      <alignment horizontal="right" wrapText="1"/>
    </xf>
    <xf numFmtId="1" fontId="2" fillId="0" borderId="48" xfId="0" applyNumberFormat="1" applyFont="1" applyFill="1" applyBorder="1" applyAlignment="1">
      <alignment horizontal="right"/>
    </xf>
    <xf numFmtId="2" fontId="2" fillId="0" borderId="49" xfId="0" applyNumberFormat="1" applyFont="1" applyFill="1" applyBorder="1" applyAlignment="1">
      <alignment horizontal="right"/>
    </xf>
    <xf numFmtId="166" fontId="2" fillId="0" borderId="49" xfId="0" applyNumberFormat="1" applyFont="1" applyFill="1" applyBorder="1" applyAlignment="1">
      <alignment horizontal="right"/>
    </xf>
    <xf numFmtId="167" fontId="2" fillId="0" borderId="49" xfId="2" applyNumberFormat="1" applyFont="1" applyFill="1" applyBorder="1" applyAlignment="1">
      <alignment horizontal="right"/>
    </xf>
    <xf numFmtId="2" fontId="2" fillId="8" borderId="51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1" fontId="2" fillId="8" borderId="49" xfId="0" applyNumberFormat="1" applyFont="1" applyFill="1" applyBorder="1" applyAlignment="1">
      <alignment horizontal="right"/>
    </xf>
    <xf numFmtId="2" fontId="8" fillId="4" borderId="52" xfId="0" applyNumberFormat="1" applyFont="1" applyFill="1" applyBorder="1" applyAlignment="1">
      <alignment horizontal="right"/>
    </xf>
    <xf numFmtId="2" fontId="8" fillId="6" borderId="53" xfId="0" applyNumberFormat="1" applyFont="1" applyFill="1" applyBorder="1" applyAlignment="1">
      <alignment horizontal="right" wrapText="1"/>
    </xf>
    <xf numFmtId="2" fontId="2" fillId="0" borderId="49" xfId="0" applyNumberFormat="1" applyFont="1" applyBorder="1" applyAlignment="1">
      <alignment horizontal="right" vertical="center"/>
    </xf>
    <xf numFmtId="2" fontId="8" fillId="6" borderId="50" xfId="0" applyNumberFormat="1" applyFont="1" applyFill="1" applyBorder="1" applyAlignment="1">
      <alignment horizontal="right" wrapText="1"/>
    </xf>
    <xf numFmtId="1" fontId="2" fillId="0" borderId="18" xfId="0" applyNumberFormat="1" applyFont="1" applyFill="1" applyBorder="1" applyAlignment="1">
      <alignment horizontal="right" wrapText="1"/>
    </xf>
    <xf numFmtId="2" fontId="2" fillId="0" borderId="19" xfId="0" applyNumberFormat="1" applyFont="1" applyFill="1" applyBorder="1" applyAlignment="1">
      <alignment horizontal="right" wrapText="1"/>
    </xf>
    <xf numFmtId="166" fontId="2" fillId="0" borderId="19" xfId="0" applyNumberFormat="1" applyFont="1" applyFill="1" applyBorder="1" applyAlignment="1">
      <alignment horizontal="right" wrapText="1"/>
    </xf>
    <xf numFmtId="166" fontId="2" fillId="0" borderId="56" xfId="0" applyNumberFormat="1" applyFont="1" applyFill="1" applyBorder="1" applyAlignment="1">
      <alignment horizontal="right" wrapText="1"/>
    </xf>
    <xf numFmtId="1" fontId="2" fillId="8" borderId="56" xfId="0" applyNumberFormat="1" applyFont="1" applyFill="1" applyBorder="1" applyAlignment="1">
      <alignment horizontal="right" wrapText="1"/>
    </xf>
    <xf numFmtId="2" fontId="2" fillId="0" borderId="57" xfId="0" applyNumberFormat="1" applyFont="1" applyFill="1" applyBorder="1" applyAlignment="1">
      <alignment horizontal="right" wrapText="1"/>
    </xf>
    <xf numFmtId="2" fontId="8" fillId="6" borderId="24" xfId="0" applyNumberFormat="1" applyFont="1" applyFill="1" applyBorder="1" applyAlignment="1">
      <alignment horizontal="right" wrapText="1"/>
    </xf>
    <xf numFmtId="2" fontId="2" fillId="0" borderId="58" xfId="0" applyNumberFormat="1" applyFont="1" applyFill="1" applyBorder="1" applyAlignment="1">
      <alignment horizontal="right" vertical="center" wrapText="1"/>
    </xf>
    <xf numFmtId="43" fontId="8" fillId="6" borderId="54" xfId="2" applyFont="1" applyFill="1" applyBorder="1" applyAlignment="1">
      <alignment horizontal="right" wrapText="1"/>
    </xf>
    <xf numFmtId="43" fontId="8" fillId="6" borderId="24" xfId="2" applyNumberFormat="1" applyFont="1" applyFill="1" applyBorder="1" applyAlignment="1">
      <alignment horizontal="right" wrapText="1"/>
    </xf>
    <xf numFmtId="2" fontId="2" fillId="6" borderId="56" xfId="0" applyNumberFormat="1" applyFont="1" applyFill="1" applyBorder="1" applyAlignment="1">
      <alignment horizontal="right" wrapText="1"/>
    </xf>
    <xf numFmtId="0" fontId="2" fillId="0" borderId="31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wrapText="1"/>
    </xf>
    <xf numFmtId="0" fontId="9" fillId="8" borderId="26" xfId="0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8" borderId="37" xfId="0" applyFont="1" applyFill="1" applyBorder="1" applyAlignment="1">
      <alignment horizont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1" fontId="2" fillId="0" borderId="4" xfId="0" applyNumberFormat="1" applyFont="1" applyFill="1" applyBorder="1" applyAlignment="1">
      <alignment horizontal="right" vertical="center"/>
    </xf>
    <xf numFmtId="1" fontId="2" fillId="0" borderId="4" xfId="0" applyNumberFormat="1" applyFont="1" applyFill="1" applyBorder="1" applyAlignment="1">
      <alignment horizontal="right" vertical="center" wrapText="1"/>
    </xf>
    <xf numFmtId="166" fontId="2" fillId="0" borderId="4" xfId="0" applyNumberFormat="1" applyFont="1" applyFill="1" applyBorder="1" applyAlignment="1">
      <alignment horizontal="right" vertical="center"/>
    </xf>
    <xf numFmtId="166" fontId="2" fillId="0" borderId="49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 wrapText="1"/>
    </xf>
    <xf numFmtId="1" fontId="2" fillId="0" borderId="19" xfId="0" applyNumberFormat="1" applyFont="1" applyFill="1" applyBorder="1" applyAlignment="1">
      <alignment horizontal="right" vertical="center" wrapText="1"/>
    </xf>
    <xf numFmtId="166" fontId="2" fillId="0" borderId="56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/>
    </xf>
    <xf numFmtId="1" fontId="2" fillId="0" borderId="49" xfId="0" applyNumberFormat="1" applyFont="1" applyFill="1" applyBorder="1" applyAlignment="1">
      <alignment horizontal="right" vertical="center"/>
    </xf>
    <xf numFmtId="0" fontId="8" fillId="7" borderId="28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43" fontId="8" fillId="6" borderId="9" xfId="2" applyFont="1" applyFill="1" applyBorder="1" applyAlignment="1">
      <alignment horizontal="right"/>
    </xf>
    <xf numFmtId="43" fontId="8" fillId="6" borderId="50" xfId="2" applyFont="1" applyFill="1" applyBorder="1" applyAlignment="1">
      <alignment horizontal="right"/>
    </xf>
    <xf numFmtId="43" fontId="8" fillId="6" borderId="46" xfId="2" applyFont="1" applyFill="1" applyBorder="1" applyAlignment="1">
      <alignment horizontal="right"/>
    </xf>
    <xf numFmtId="43" fontId="8" fillId="6" borderId="17" xfId="2" applyFont="1" applyFill="1" applyBorder="1" applyAlignment="1">
      <alignment horizontal="right"/>
    </xf>
    <xf numFmtId="43" fontId="2" fillId="6" borderId="24" xfId="2" applyFont="1" applyFill="1" applyBorder="1" applyAlignment="1">
      <alignment horizontal="right" wrapText="1"/>
    </xf>
    <xf numFmtId="43" fontId="8" fillId="6" borderId="16" xfId="2" applyFont="1" applyFill="1" applyBorder="1" applyAlignment="1">
      <alignment horizontal="right" wrapText="1"/>
    </xf>
    <xf numFmtId="167" fontId="8" fillId="4" borderId="33" xfId="2" applyNumberFormat="1" applyFont="1" applyFill="1" applyBorder="1" applyAlignment="1">
      <alignment horizontal="right" wrapText="1"/>
    </xf>
    <xf numFmtId="167" fontId="8" fillId="6" borderId="3" xfId="2" applyNumberFormat="1" applyFont="1" applyFill="1" applyBorder="1" applyAlignment="1">
      <alignment horizontal="right" wrapText="1"/>
    </xf>
    <xf numFmtId="167" fontId="2" fillId="0" borderId="4" xfId="2" applyNumberFormat="1" applyFont="1" applyBorder="1" applyAlignment="1">
      <alignment horizontal="right" vertical="center" wrapText="1"/>
    </xf>
    <xf numFmtId="167" fontId="8" fillId="6" borderId="9" xfId="2" applyNumberFormat="1" applyFont="1" applyFill="1" applyBorder="1" applyAlignment="1">
      <alignment horizontal="right" wrapText="1"/>
    </xf>
    <xf numFmtId="167" fontId="8" fillId="6" borderId="9" xfId="2" applyNumberFormat="1" applyFont="1" applyFill="1" applyBorder="1" applyAlignment="1">
      <alignment horizontal="right"/>
    </xf>
    <xf numFmtId="44" fontId="2" fillId="0" borderId="4" xfId="3" applyFont="1" applyFill="1" applyBorder="1" applyAlignment="1">
      <alignment horizontal="center" wrapText="1"/>
    </xf>
    <xf numFmtId="44" fontId="2" fillId="0" borderId="4" xfId="3" applyFont="1" applyFill="1" applyBorder="1" applyAlignment="1">
      <alignment horizontal="center" vertical="center" wrapText="1"/>
    </xf>
    <xf numFmtId="44" fontId="2" fillId="6" borderId="4" xfId="3" applyFont="1" applyFill="1" applyBorder="1" applyAlignment="1">
      <alignment horizontal="center" wrapText="1"/>
    </xf>
    <xf numFmtId="0" fontId="2" fillId="0" borderId="59" xfId="0" applyFont="1" applyFill="1" applyBorder="1" applyAlignment="1">
      <alignment horizontal="center" wrapText="1"/>
    </xf>
    <xf numFmtId="3" fontId="2" fillId="0" borderId="61" xfId="0" applyNumberFormat="1" applyFont="1" applyFill="1" applyBorder="1" applyAlignment="1">
      <alignment horizontal="right" wrapText="1"/>
    </xf>
    <xf numFmtId="3" fontId="2" fillId="0" borderId="62" xfId="0" applyNumberFormat="1" applyFont="1" applyFill="1" applyBorder="1" applyAlignment="1">
      <alignment horizontal="right"/>
    </xf>
    <xf numFmtId="1" fontId="2" fillId="0" borderId="60" xfId="0" applyNumberFormat="1" applyFont="1" applyFill="1" applyBorder="1" applyAlignment="1">
      <alignment horizontal="right"/>
    </xf>
    <xf numFmtId="167" fontId="2" fillId="0" borderId="60" xfId="2" applyNumberFormat="1" applyFont="1" applyFill="1" applyBorder="1" applyAlignment="1">
      <alignment horizontal="right"/>
    </xf>
    <xf numFmtId="164" fontId="2" fillId="0" borderId="60" xfId="0" applyNumberFormat="1" applyFont="1" applyFill="1" applyBorder="1" applyAlignment="1">
      <alignment horizontal="right"/>
    </xf>
    <xf numFmtId="2" fontId="2" fillId="0" borderId="63" xfId="0" applyNumberFormat="1" applyFont="1" applyFill="1" applyBorder="1" applyAlignment="1">
      <alignment horizontal="right"/>
    </xf>
    <xf numFmtId="1" fontId="2" fillId="0" borderId="64" xfId="0" applyNumberFormat="1" applyFont="1" applyFill="1" applyBorder="1" applyAlignment="1">
      <alignment horizontal="right" wrapText="1"/>
    </xf>
    <xf numFmtId="1" fontId="2" fillId="0" borderId="60" xfId="0" applyNumberFormat="1" applyFont="1" applyFill="1" applyBorder="1" applyAlignment="1">
      <alignment horizontal="right" wrapText="1"/>
    </xf>
    <xf numFmtId="164" fontId="2" fillId="0" borderId="60" xfId="0" applyNumberFormat="1" applyFont="1" applyFill="1" applyBorder="1" applyAlignment="1">
      <alignment horizontal="right" wrapText="1"/>
    </xf>
    <xf numFmtId="2" fontId="2" fillId="0" borderId="60" xfId="0" applyNumberFormat="1" applyFont="1" applyFill="1" applyBorder="1" applyAlignment="1">
      <alignment horizontal="right" wrapText="1"/>
    </xf>
    <xf numFmtId="2" fontId="2" fillId="0" borderId="65" xfId="0" applyNumberFormat="1" applyFont="1" applyFill="1" applyBorder="1" applyAlignment="1">
      <alignment horizontal="right" wrapText="1"/>
    </xf>
    <xf numFmtId="44" fontId="2" fillId="0" borderId="60" xfId="3" applyFont="1" applyFill="1" applyBorder="1" applyAlignment="1">
      <alignment horizontal="center" wrapText="1"/>
    </xf>
    <xf numFmtId="2" fontId="2" fillId="8" borderId="36" xfId="0" applyNumberFormat="1" applyFont="1" applyFill="1" applyBorder="1" applyAlignment="1">
      <alignment horizontal="right" wrapText="1"/>
    </xf>
    <xf numFmtId="44" fontId="2" fillId="0" borderId="33" xfId="3" applyFont="1" applyFill="1" applyBorder="1" applyAlignment="1">
      <alignment horizontal="center" wrapText="1"/>
    </xf>
    <xf numFmtId="44" fontId="2" fillId="6" borderId="9" xfId="3" applyFont="1" applyFill="1" applyBorder="1" applyAlignment="1">
      <alignment horizontal="center" wrapText="1"/>
    </xf>
    <xf numFmtId="44" fontId="2" fillId="6" borderId="10" xfId="3" applyFont="1" applyFill="1" applyBorder="1" applyAlignment="1">
      <alignment horizontal="center" wrapText="1"/>
    </xf>
    <xf numFmtId="2" fontId="8" fillId="4" borderId="66" xfId="0" applyNumberFormat="1" applyFont="1" applyFill="1" applyBorder="1" applyAlignment="1">
      <alignment horizontal="right" wrapText="1"/>
    </xf>
    <xf numFmtId="44" fontId="8" fillId="4" borderId="60" xfId="3" applyFont="1" applyFill="1" applyBorder="1" applyAlignment="1">
      <alignment horizontal="center" wrapText="1"/>
    </xf>
    <xf numFmtId="44" fontId="8" fillId="6" borderId="10" xfId="3" applyFont="1" applyFill="1" applyBorder="1" applyAlignment="1">
      <alignment horizontal="center" wrapText="1"/>
    </xf>
    <xf numFmtId="44" fontId="2" fillId="0" borderId="32" xfId="3" applyFont="1" applyFill="1" applyBorder="1" applyAlignment="1">
      <alignment horizontal="center" vertical="center" wrapText="1"/>
    </xf>
    <xf numFmtId="44" fontId="8" fillId="6" borderId="33" xfId="3" applyFont="1" applyFill="1" applyBorder="1" applyAlignment="1">
      <alignment horizontal="center" wrapText="1"/>
    </xf>
    <xf numFmtId="44" fontId="8" fillId="6" borderId="8" xfId="3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55" xfId="0" applyFont="1" applyFill="1" applyBorder="1" applyAlignment="1">
      <alignment horizontal="center" textRotation="90" wrapText="1"/>
    </xf>
    <xf numFmtId="0" fontId="8" fillId="2" borderId="3" xfId="0" applyFont="1" applyFill="1" applyBorder="1" applyAlignment="1">
      <alignment horizontal="center" textRotation="90" wrapText="1"/>
    </xf>
    <xf numFmtId="0" fontId="8" fillId="2" borderId="8" xfId="0" applyFont="1" applyFill="1" applyBorder="1" applyAlignment="1">
      <alignment horizontal="center" textRotation="90" wrapText="1"/>
    </xf>
    <xf numFmtId="0" fontId="8" fillId="2" borderId="9" xfId="0" applyFont="1" applyFill="1" applyBorder="1" applyAlignment="1">
      <alignment horizontal="center" textRotation="90" wrapText="1"/>
    </xf>
    <xf numFmtId="0" fontId="8" fillId="2" borderId="10" xfId="0" applyFont="1" applyFill="1" applyBorder="1" applyAlignment="1">
      <alignment horizontal="center" textRotation="90" wrapText="1"/>
    </xf>
    <xf numFmtId="0" fontId="8" fillId="2" borderId="17" xfId="0" applyFont="1" applyFill="1" applyBorder="1" applyAlignment="1">
      <alignment horizontal="center" textRotation="90" wrapText="1"/>
    </xf>
    <xf numFmtId="0" fontId="8" fillId="2" borderId="2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1" fillId="0" borderId="0" xfId="0" applyFont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  <xf numFmtId="0" fontId="8" fillId="6" borderId="22" xfId="0" applyFont="1" applyFill="1" applyBorder="1" applyAlignment="1">
      <alignment horizontal="center" wrapText="1"/>
    </xf>
    <xf numFmtId="0" fontId="12" fillId="0" borderId="0" xfId="0" applyFont="1"/>
    <xf numFmtId="0" fontId="9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 indent="1"/>
    </xf>
    <xf numFmtId="3" fontId="9" fillId="0" borderId="0" xfId="0" applyNumberFormat="1" applyFont="1" applyAlignment="1">
      <alignment horizontal="left" vertical="center" indent="1"/>
    </xf>
    <xf numFmtId="0" fontId="8" fillId="2" borderId="3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60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9" fillId="8" borderId="29" xfId="0" applyFont="1" applyFill="1" applyBorder="1" applyAlignment="1">
      <alignment horizontal="left" wrapText="1"/>
    </xf>
    <xf numFmtId="0" fontId="9" fillId="8" borderId="31" xfId="0" applyFont="1" applyFill="1" applyBorder="1" applyAlignment="1">
      <alignment horizontal="left" wrapText="1"/>
    </xf>
    <xf numFmtId="0" fontId="9" fillId="8" borderId="47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left" wrapText="1"/>
    </xf>
    <xf numFmtId="0" fontId="8" fillId="6" borderId="43" xfId="0" applyFont="1" applyFill="1" applyBorder="1" applyAlignment="1">
      <alignment horizontal="left" wrapText="1"/>
    </xf>
    <xf numFmtId="0" fontId="8" fillId="6" borderId="22" xfId="0" applyFont="1" applyFill="1" applyBorder="1" applyAlignment="1">
      <alignment horizontal="left" wrapText="1"/>
    </xf>
    <xf numFmtId="0" fontId="2" fillId="8" borderId="19" xfId="0" applyFont="1" applyFill="1" applyBorder="1" applyAlignment="1">
      <alignment horizontal="left" wrapText="1"/>
    </xf>
    <xf numFmtId="0" fontId="2" fillId="8" borderId="28" xfId="0" applyFont="1" applyFill="1" applyBorder="1" applyAlignment="1">
      <alignment horizontal="left" wrapText="1"/>
    </xf>
    <xf numFmtId="0" fontId="2" fillId="8" borderId="37" xfId="0" applyFont="1" applyFill="1" applyBorder="1" applyAlignment="1">
      <alignment horizontal="left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wrapText="1"/>
    </xf>
    <xf numFmtId="0" fontId="8" fillId="7" borderId="28" xfId="0" applyFont="1" applyFill="1" applyBorder="1" applyAlignment="1">
      <alignment horizontal="center" wrapText="1"/>
    </xf>
    <xf numFmtId="0" fontId="8" fillId="7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8" fillId="4" borderId="29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"/>
  <sheetViews>
    <sheetView tabSelected="1" view="pageBreakPreview" topLeftCell="B1" zoomScaleNormal="100" zoomScaleSheetLayoutView="100" workbookViewId="0">
      <pane ySplit="1" topLeftCell="A16" activePane="bottomLeft" state="frozen"/>
      <selection pane="bottomLeft" activeCell="U14" sqref="U14"/>
    </sheetView>
  </sheetViews>
  <sheetFormatPr defaultRowHeight="15"/>
  <cols>
    <col min="1" max="1" width="11.85546875" style="204" customWidth="1"/>
    <col min="2" max="2" width="9" style="216" customWidth="1"/>
    <col min="3" max="3" width="12.28515625" style="204" customWidth="1"/>
    <col min="4" max="4" width="9.42578125" style="204" hidden="1" customWidth="1"/>
    <col min="5" max="5" width="13.42578125" style="204" customWidth="1"/>
    <col min="6" max="6" width="5" style="216" customWidth="1"/>
    <col min="7" max="8" width="6.28515625" style="204" customWidth="1"/>
    <col min="9" max="9" width="6" style="204" customWidth="1"/>
    <col min="10" max="10" width="8.85546875" style="204" customWidth="1"/>
    <col min="11" max="11" width="8.42578125" style="204" customWidth="1"/>
    <col min="12" max="12" width="7.7109375" style="204" customWidth="1"/>
    <col min="13" max="13" width="7" style="204" customWidth="1"/>
    <col min="14" max="14" width="6.28515625" style="204" customWidth="1"/>
    <col min="15" max="15" width="8" style="204" customWidth="1"/>
    <col min="16" max="16" width="6.42578125" style="204" customWidth="1"/>
    <col min="17" max="17" width="8" style="204" customWidth="1"/>
    <col min="18" max="18" width="7.42578125" style="204" customWidth="1"/>
    <col min="19" max="20" width="10" style="204" customWidth="1"/>
    <col min="21" max="21" width="9.140625" style="204"/>
  </cols>
  <sheetData>
    <row r="1" spans="1:21" ht="66.75" customHeight="1" thickBot="1">
      <c r="A1" s="194" t="s">
        <v>39</v>
      </c>
      <c r="B1" s="195" t="s">
        <v>9</v>
      </c>
      <c r="C1" s="219" t="s">
        <v>0</v>
      </c>
      <c r="D1" s="219"/>
      <c r="E1" s="219"/>
      <c r="F1" s="196" t="s">
        <v>69</v>
      </c>
      <c r="G1" s="197" t="s">
        <v>56</v>
      </c>
      <c r="H1" s="198" t="s">
        <v>1</v>
      </c>
      <c r="I1" s="199" t="s">
        <v>2</v>
      </c>
      <c r="J1" s="199" t="s">
        <v>3</v>
      </c>
      <c r="K1" s="199" t="s">
        <v>4</v>
      </c>
      <c r="L1" s="200" t="s">
        <v>45</v>
      </c>
      <c r="M1" s="198" t="s">
        <v>12</v>
      </c>
      <c r="N1" s="199" t="s">
        <v>2</v>
      </c>
      <c r="O1" s="199" t="s">
        <v>3</v>
      </c>
      <c r="P1" s="199" t="s">
        <v>5</v>
      </c>
      <c r="Q1" s="201" t="s">
        <v>46</v>
      </c>
      <c r="R1" s="202" t="s">
        <v>6</v>
      </c>
      <c r="S1" s="203" t="s">
        <v>47</v>
      </c>
      <c r="T1" s="203" t="s">
        <v>48</v>
      </c>
    </row>
    <row r="2" spans="1:21" ht="15.75" customHeight="1">
      <c r="A2" s="242" t="s">
        <v>10</v>
      </c>
      <c r="B2" s="225" t="s">
        <v>43</v>
      </c>
      <c r="C2" s="224" t="s">
        <v>44</v>
      </c>
      <c r="D2" s="224"/>
      <c r="E2" s="224"/>
      <c r="F2" s="132" t="s">
        <v>87</v>
      </c>
      <c r="G2" s="57">
        <v>4</v>
      </c>
      <c r="H2" s="58">
        <v>4</v>
      </c>
      <c r="I2" s="30">
        <v>1</v>
      </c>
      <c r="J2" s="30">
        <f>+I2*H2</f>
        <v>4</v>
      </c>
      <c r="K2" s="26">
        <v>0.5</v>
      </c>
      <c r="L2" s="110">
        <f>(J2*K2)</f>
        <v>2</v>
      </c>
      <c r="M2" s="99">
        <f>(G2-H2)</f>
        <v>0</v>
      </c>
      <c r="N2" s="30">
        <f t="shared" ref="N2:N15" si="0">(I2)</f>
        <v>1</v>
      </c>
      <c r="O2" s="31">
        <f>+M2*N2</f>
        <v>0</v>
      </c>
      <c r="P2" s="35">
        <f>(K2)</f>
        <v>0.5</v>
      </c>
      <c r="Q2" s="31">
        <f>+P2*O2</f>
        <v>0</v>
      </c>
      <c r="R2" s="121">
        <f>(L2+Q2)</f>
        <v>2</v>
      </c>
      <c r="S2" s="168">
        <v>7.25</v>
      </c>
      <c r="T2" s="168">
        <f>(R2*S2)</f>
        <v>14.5</v>
      </c>
    </row>
    <row r="3" spans="1:21" ht="15.75" customHeight="1">
      <c r="A3" s="243"/>
      <c r="B3" s="226"/>
      <c r="C3" s="233" t="s">
        <v>57</v>
      </c>
      <c r="D3" s="234"/>
      <c r="E3" s="235"/>
      <c r="F3" s="133" t="s">
        <v>70</v>
      </c>
      <c r="G3" s="59">
        <v>4046</v>
      </c>
      <c r="H3" s="60">
        <v>3237</v>
      </c>
      <c r="I3" s="61">
        <v>1</v>
      </c>
      <c r="J3" s="97">
        <f t="shared" ref="J3:J4" si="1">+I3*H3</f>
        <v>3237</v>
      </c>
      <c r="K3" s="27">
        <v>8.0000000000000002E-3</v>
      </c>
      <c r="L3" s="111">
        <f t="shared" ref="L3:L4" si="2">(J3*K3)</f>
        <v>25.896000000000001</v>
      </c>
      <c r="M3" s="100">
        <f t="shared" ref="M3:M4" si="3">(G3-H3)</f>
        <v>809</v>
      </c>
      <c r="N3" s="29">
        <f t="shared" si="0"/>
        <v>1</v>
      </c>
      <c r="O3" s="34">
        <f t="shared" ref="O3:O4" si="4">+M3*N3</f>
        <v>809</v>
      </c>
      <c r="P3" s="36">
        <f>(K3)</f>
        <v>8.0000000000000002E-3</v>
      </c>
      <c r="Q3" s="32">
        <f t="shared" ref="Q3:Q4" si="5">+P3*O3</f>
        <v>6.4720000000000004</v>
      </c>
      <c r="R3" s="122">
        <f t="shared" ref="R3:R4" si="6">(L3+Q3)</f>
        <v>32.368000000000002</v>
      </c>
      <c r="S3" s="168">
        <v>7.25</v>
      </c>
      <c r="T3" s="168">
        <f t="shared" ref="T3:T5" si="7">(R3*S3)</f>
        <v>234.66800000000001</v>
      </c>
    </row>
    <row r="4" spans="1:21" ht="24.95" customHeight="1">
      <c r="A4" s="243"/>
      <c r="B4" s="226"/>
      <c r="C4" s="233" t="s">
        <v>68</v>
      </c>
      <c r="D4" s="234"/>
      <c r="E4" s="235"/>
      <c r="F4" s="133" t="s">
        <v>71</v>
      </c>
      <c r="G4" s="59">
        <v>4046</v>
      </c>
      <c r="H4" s="60">
        <v>3115</v>
      </c>
      <c r="I4" s="61">
        <v>1</v>
      </c>
      <c r="J4" s="97">
        <f t="shared" si="1"/>
        <v>3115</v>
      </c>
      <c r="K4" s="205">
        <v>0.1336</v>
      </c>
      <c r="L4" s="111">
        <f t="shared" si="2"/>
        <v>416.16399999999999</v>
      </c>
      <c r="M4" s="100">
        <f t="shared" si="3"/>
        <v>931</v>
      </c>
      <c r="N4" s="29">
        <f t="shared" si="0"/>
        <v>1</v>
      </c>
      <c r="O4" s="34">
        <f t="shared" si="4"/>
        <v>931</v>
      </c>
      <c r="P4" s="206">
        <v>0.1336</v>
      </c>
      <c r="Q4" s="32">
        <f t="shared" si="5"/>
        <v>124.38159999999999</v>
      </c>
      <c r="R4" s="122">
        <f t="shared" si="6"/>
        <v>540.54559999999992</v>
      </c>
      <c r="S4" s="168">
        <v>7.25</v>
      </c>
      <c r="T4" s="168">
        <f t="shared" si="7"/>
        <v>3918.9555999999993</v>
      </c>
    </row>
    <row r="5" spans="1:21" ht="24.95" customHeight="1">
      <c r="A5" s="243"/>
      <c r="B5" s="226"/>
      <c r="C5" s="233" t="s">
        <v>89</v>
      </c>
      <c r="D5" s="234"/>
      <c r="E5" s="235"/>
      <c r="F5" s="133" t="s">
        <v>88</v>
      </c>
      <c r="G5" s="59">
        <v>4046</v>
      </c>
      <c r="H5" s="60">
        <v>2716</v>
      </c>
      <c r="I5" s="61">
        <v>1</v>
      </c>
      <c r="J5" s="97">
        <f>+I5*H5</f>
        <v>2716</v>
      </c>
      <c r="K5" s="205">
        <v>5.0099999999999999E-2</v>
      </c>
      <c r="L5" s="112">
        <f>(J5*K5)</f>
        <v>136.07159999999999</v>
      </c>
      <c r="M5" s="101">
        <f>(G5-H5)</f>
        <v>1330</v>
      </c>
      <c r="N5" s="29">
        <v>1</v>
      </c>
      <c r="O5" s="98">
        <f>+M5*N5</f>
        <v>1330</v>
      </c>
      <c r="P5" s="34">
        <v>0</v>
      </c>
      <c r="Q5" s="34">
        <f>+P5*O5</f>
        <v>0</v>
      </c>
      <c r="R5" s="123">
        <f>(L5+Q5)</f>
        <v>136.07159999999999</v>
      </c>
      <c r="S5" s="168">
        <v>7.25</v>
      </c>
      <c r="T5" s="168">
        <f t="shared" si="7"/>
        <v>986.51909999999998</v>
      </c>
    </row>
    <row r="6" spans="1:21" ht="15" customHeight="1">
      <c r="A6" s="243"/>
      <c r="B6" s="226"/>
      <c r="C6" s="224" t="s">
        <v>90</v>
      </c>
      <c r="D6" s="224"/>
      <c r="E6" s="224"/>
      <c r="F6" s="132" t="s">
        <v>72</v>
      </c>
      <c r="G6" s="59">
        <v>3277</v>
      </c>
      <c r="H6" s="60">
        <v>2294</v>
      </c>
      <c r="I6" s="61">
        <v>1</v>
      </c>
      <c r="J6" s="97">
        <f>+I6*H6</f>
        <v>2294</v>
      </c>
      <c r="K6" s="205">
        <v>0.1002</v>
      </c>
      <c r="L6" s="112">
        <f>(J6*K6)</f>
        <v>229.8588</v>
      </c>
      <c r="M6" s="101">
        <f>(G6-H6)</f>
        <v>983</v>
      </c>
      <c r="N6" s="29">
        <f>(I6)</f>
        <v>1</v>
      </c>
      <c r="O6" s="98">
        <f>+M6*N6</f>
        <v>983</v>
      </c>
      <c r="P6" s="206">
        <v>0.1002</v>
      </c>
      <c r="Q6" s="33">
        <f>+P6*O6</f>
        <v>98.496600000000001</v>
      </c>
      <c r="R6" s="123">
        <f>(L6+Q6)</f>
        <v>328.35540000000003</v>
      </c>
      <c r="S6" s="168">
        <v>7.25</v>
      </c>
      <c r="T6" s="168">
        <f>(R6*S6)</f>
        <v>2380.5766500000004</v>
      </c>
    </row>
    <row r="7" spans="1:21" ht="15" customHeight="1">
      <c r="A7" s="243"/>
      <c r="B7" s="226"/>
      <c r="C7" s="220" t="s">
        <v>91</v>
      </c>
      <c r="D7" s="220"/>
      <c r="E7" s="220"/>
      <c r="F7" s="134" t="s">
        <v>73</v>
      </c>
      <c r="G7" s="62">
        <v>3277</v>
      </c>
      <c r="H7" s="63">
        <v>2785</v>
      </c>
      <c r="I7" s="29">
        <v>1</v>
      </c>
      <c r="J7" s="97">
        <f>+I7*H7</f>
        <v>2785</v>
      </c>
      <c r="K7" s="205">
        <v>3.3399999999999999E-2</v>
      </c>
      <c r="L7" s="112">
        <f t="shared" ref="L7:L15" si="8">(J7*K7)</f>
        <v>93.018999999999991</v>
      </c>
      <c r="M7" s="100">
        <f>G7-H7</f>
        <v>492</v>
      </c>
      <c r="N7" s="29">
        <f t="shared" si="0"/>
        <v>1</v>
      </c>
      <c r="O7" s="34">
        <f t="shared" ref="O7:O15" si="9">+M7*N7</f>
        <v>492</v>
      </c>
      <c r="P7" s="206">
        <v>3.3399999999999999E-2</v>
      </c>
      <c r="Q7" s="32">
        <f t="shared" ref="Q7:Q15" si="10">+O7*P7</f>
        <v>16.4328</v>
      </c>
      <c r="R7" s="122">
        <f>L7+Q7</f>
        <v>109.45179999999999</v>
      </c>
      <c r="S7" s="168">
        <v>7.25</v>
      </c>
      <c r="T7" s="168">
        <f t="shared" ref="T7:T25" si="11">(R7*S7)</f>
        <v>793.52554999999995</v>
      </c>
    </row>
    <row r="8" spans="1:21" ht="15.75" customHeight="1">
      <c r="A8" s="243"/>
      <c r="B8" s="226"/>
      <c r="C8" s="229" t="s">
        <v>92</v>
      </c>
      <c r="D8" s="229"/>
      <c r="E8" s="229"/>
      <c r="F8" s="135" t="s">
        <v>74</v>
      </c>
      <c r="G8" s="62">
        <v>4046</v>
      </c>
      <c r="H8" s="63">
        <v>2580</v>
      </c>
      <c r="I8" s="29">
        <v>1</v>
      </c>
      <c r="J8" s="97">
        <f>+H8*I8</f>
        <v>2580</v>
      </c>
      <c r="K8" s="28">
        <v>0.5</v>
      </c>
      <c r="L8" s="113">
        <f t="shared" si="8"/>
        <v>1290</v>
      </c>
      <c r="M8" s="100">
        <f>G8-H8</f>
        <v>1466</v>
      </c>
      <c r="N8" s="29">
        <f t="shared" si="0"/>
        <v>1</v>
      </c>
      <c r="O8" s="34">
        <f>+M8*N8</f>
        <v>1466</v>
      </c>
      <c r="P8" s="34">
        <v>0</v>
      </c>
      <c r="Q8" s="34">
        <f>+O8*P8</f>
        <v>0</v>
      </c>
      <c r="R8" s="46">
        <f>(L8+Q8)</f>
        <v>1290</v>
      </c>
      <c r="S8" s="168">
        <v>7.25</v>
      </c>
      <c r="T8" s="168">
        <f t="shared" si="11"/>
        <v>9352.5</v>
      </c>
    </row>
    <row r="9" spans="1:21">
      <c r="A9" s="243"/>
      <c r="B9" s="226"/>
      <c r="C9" s="230" t="s">
        <v>55</v>
      </c>
      <c r="D9" s="231"/>
      <c r="E9" s="232"/>
      <c r="F9" s="135" t="s">
        <v>75</v>
      </c>
      <c r="G9" s="62">
        <v>1638</v>
      </c>
      <c r="H9" s="63">
        <f>(G9)</f>
        <v>1638</v>
      </c>
      <c r="I9" s="29">
        <v>3</v>
      </c>
      <c r="J9" s="97">
        <f>+H9*I9</f>
        <v>4914</v>
      </c>
      <c r="K9" s="205">
        <v>5.0099999999999999E-2</v>
      </c>
      <c r="L9" s="112">
        <f t="shared" si="8"/>
        <v>246.19139999999999</v>
      </c>
      <c r="M9" s="100">
        <f>G9-H9</f>
        <v>0</v>
      </c>
      <c r="N9" s="29">
        <f t="shared" si="0"/>
        <v>3</v>
      </c>
      <c r="O9" s="34">
        <f t="shared" ref="O9:O10" si="12">+M9*N9</f>
        <v>0</v>
      </c>
      <c r="P9" s="206">
        <f t="shared" ref="P9:P15" si="13">(K9)</f>
        <v>5.0099999999999999E-2</v>
      </c>
      <c r="Q9" s="34">
        <f t="shared" ref="Q9:Q10" si="14">+O9*P9</f>
        <v>0</v>
      </c>
      <c r="R9" s="123">
        <f>(L9+Q9)</f>
        <v>246.19139999999999</v>
      </c>
      <c r="S9" s="168">
        <v>7.25</v>
      </c>
      <c r="T9" s="168">
        <f t="shared" si="11"/>
        <v>1784.8876499999999</v>
      </c>
    </row>
    <row r="10" spans="1:21" ht="15" customHeight="1">
      <c r="A10" s="243"/>
      <c r="B10" s="226"/>
      <c r="C10" s="230" t="s">
        <v>93</v>
      </c>
      <c r="D10" s="231"/>
      <c r="E10" s="232"/>
      <c r="F10" s="135" t="s">
        <v>72</v>
      </c>
      <c r="G10" s="62">
        <v>3113</v>
      </c>
      <c r="H10" s="63">
        <v>2179</v>
      </c>
      <c r="I10" s="29">
        <v>1</v>
      </c>
      <c r="J10" s="97">
        <f>+H10*I10</f>
        <v>2179</v>
      </c>
      <c r="K10" s="205">
        <v>0.1002</v>
      </c>
      <c r="L10" s="112">
        <f t="shared" si="8"/>
        <v>218.33580000000001</v>
      </c>
      <c r="M10" s="101">
        <f>G10-H10</f>
        <v>934</v>
      </c>
      <c r="N10" s="29">
        <f t="shared" si="0"/>
        <v>1</v>
      </c>
      <c r="O10" s="98">
        <f t="shared" si="12"/>
        <v>934</v>
      </c>
      <c r="P10" s="206">
        <f t="shared" si="13"/>
        <v>0.1002</v>
      </c>
      <c r="Q10" s="33">
        <f t="shared" si="14"/>
        <v>93.586799999999997</v>
      </c>
      <c r="R10" s="123">
        <f t="shared" ref="R10:R25" si="15">(L10+Q10)</f>
        <v>311.92259999999999</v>
      </c>
      <c r="S10" s="168">
        <v>7.25</v>
      </c>
      <c r="T10" s="168">
        <f t="shared" si="11"/>
        <v>2261.43885</v>
      </c>
    </row>
    <row r="11" spans="1:21">
      <c r="A11" s="243"/>
      <c r="B11" s="226"/>
      <c r="C11" s="227" t="s">
        <v>94</v>
      </c>
      <c r="D11" s="227"/>
      <c r="E11" s="227"/>
      <c r="F11" s="136" t="s">
        <v>76</v>
      </c>
      <c r="G11" s="62">
        <v>3113</v>
      </c>
      <c r="H11" s="63">
        <v>2646</v>
      </c>
      <c r="I11" s="29">
        <v>1</v>
      </c>
      <c r="J11" s="97">
        <f t="shared" ref="J11:J15" si="16">+H11*I11</f>
        <v>2646</v>
      </c>
      <c r="K11" s="205">
        <v>3.3399999999999999E-2</v>
      </c>
      <c r="L11" s="111">
        <f t="shared" si="8"/>
        <v>88.376400000000004</v>
      </c>
      <c r="M11" s="100">
        <f>(G11-H11)</f>
        <v>467</v>
      </c>
      <c r="N11" s="29">
        <f t="shared" si="0"/>
        <v>1</v>
      </c>
      <c r="O11" s="34">
        <f t="shared" si="9"/>
        <v>467</v>
      </c>
      <c r="P11" s="206">
        <f t="shared" si="13"/>
        <v>3.3399999999999999E-2</v>
      </c>
      <c r="Q11" s="32">
        <f t="shared" si="10"/>
        <v>15.597799999999999</v>
      </c>
      <c r="R11" s="122">
        <f t="shared" si="15"/>
        <v>103.9742</v>
      </c>
      <c r="S11" s="168">
        <v>7.25</v>
      </c>
      <c r="T11" s="168">
        <f t="shared" si="11"/>
        <v>753.81295</v>
      </c>
    </row>
    <row r="12" spans="1:21">
      <c r="A12" s="243"/>
      <c r="B12" s="226"/>
      <c r="C12" s="227" t="s">
        <v>95</v>
      </c>
      <c r="D12" s="227"/>
      <c r="E12" s="227"/>
      <c r="F12" s="136" t="s">
        <v>77</v>
      </c>
      <c r="G12" s="62">
        <v>4046</v>
      </c>
      <c r="H12" s="63">
        <v>2444</v>
      </c>
      <c r="I12" s="29">
        <v>1</v>
      </c>
      <c r="J12" s="97">
        <f t="shared" si="16"/>
        <v>2444</v>
      </c>
      <c r="K12" s="28">
        <v>0.5</v>
      </c>
      <c r="L12" s="113">
        <f t="shared" si="8"/>
        <v>1222</v>
      </c>
      <c r="M12" s="100">
        <f t="shared" ref="M12:M15" si="17">G12-H12</f>
        <v>1602</v>
      </c>
      <c r="N12" s="29">
        <f t="shared" si="0"/>
        <v>1</v>
      </c>
      <c r="O12" s="34">
        <f t="shared" si="9"/>
        <v>1602</v>
      </c>
      <c r="P12" s="34">
        <v>0</v>
      </c>
      <c r="Q12" s="34">
        <f t="shared" si="10"/>
        <v>0</v>
      </c>
      <c r="R12" s="46">
        <f t="shared" si="15"/>
        <v>1222</v>
      </c>
      <c r="S12" s="168">
        <v>7.25</v>
      </c>
      <c r="T12" s="168">
        <f t="shared" si="11"/>
        <v>8859.5</v>
      </c>
    </row>
    <row r="13" spans="1:21">
      <c r="A13" s="243"/>
      <c r="B13" s="226"/>
      <c r="C13" s="227" t="s">
        <v>105</v>
      </c>
      <c r="D13" s="227"/>
      <c r="E13" s="227"/>
      <c r="F13" s="136" t="s">
        <v>78</v>
      </c>
      <c r="G13" s="62">
        <v>244</v>
      </c>
      <c r="H13" s="63">
        <v>196</v>
      </c>
      <c r="I13" s="29">
        <v>1</v>
      </c>
      <c r="J13" s="29">
        <f t="shared" si="16"/>
        <v>196</v>
      </c>
      <c r="K13" s="205">
        <v>5.0099999999999999E-2</v>
      </c>
      <c r="L13" s="111">
        <f t="shared" si="8"/>
        <v>9.8195999999999994</v>
      </c>
      <c r="M13" s="100">
        <f t="shared" si="17"/>
        <v>48</v>
      </c>
      <c r="N13" s="29">
        <f t="shared" si="0"/>
        <v>1</v>
      </c>
      <c r="O13" s="34">
        <f t="shared" si="9"/>
        <v>48</v>
      </c>
      <c r="P13" s="206">
        <f>(K13)</f>
        <v>5.0099999999999999E-2</v>
      </c>
      <c r="Q13" s="32">
        <f t="shared" si="10"/>
        <v>2.4047999999999998</v>
      </c>
      <c r="R13" s="122">
        <f t="shared" si="15"/>
        <v>12.224399999999999</v>
      </c>
      <c r="S13" s="168">
        <v>7.25</v>
      </c>
      <c r="T13" s="168">
        <f t="shared" si="11"/>
        <v>88.626899999999992</v>
      </c>
    </row>
    <row r="14" spans="1:21" s="150" customFormat="1" ht="17.25" customHeight="1">
      <c r="A14" s="243"/>
      <c r="B14" s="226"/>
      <c r="C14" s="239" t="s">
        <v>97</v>
      </c>
      <c r="D14" s="240"/>
      <c r="E14" s="241"/>
      <c r="F14" s="151" t="s">
        <v>79</v>
      </c>
      <c r="G14" s="152">
        <v>978</v>
      </c>
      <c r="H14" s="153">
        <v>685</v>
      </c>
      <c r="I14" s="143">
        <v>1</v>
      </c>
      <c r="J14" s="143">
        <f t="shared" si="16"/>
        <v>685</v>
      </c>
      <c r="K14" s="143">
        <v>1</v>
      </c>
      <c r="L14" s="154">
        <f t="shared" si="8"/>
        <v>685</v>
      </c>
      <c r="M14" s="107">
        <f t="shared" si="17"/>
        <v>293</v>
      </c>
      <c r="N14" s="143">
        <f t="shared" si="0"/>
        <v>1</v>
      </c>
      <c r="O14" s="144">
        <f t="shared" si="9"/>
        <v>293</v>
      </c>
      <c r="P14" s="144">
        <v>0</v>
      </c>
      <c r="Q14" s="144">
        <f t="shared" si="10"/>
        <v>0</v>
      </c>
      <c r="R14" s="148">
        <f t="shared" si="15"/>
        <v>685</v>
      </c>
      <c r="S14" s="169">
        <v>7.25</v>
      </c>
      <c r="T14" s="169">
        <f t="shared" si="11"/>
        <v>4966.25</v>
      </c>
      <c r="U14" s="207"/>
    </row>
    <row r="15" spans="1:21" ht="17.25" customHeight="1" thickBot="1">
      <c r="A15" s="243"/>
      <c r="B15" s="226"/>
      <c r="C15" s="228" t="s">
        <v>65</v>
      </c>
      <c r="D15" s="228"/>
      <c r="E15" s="228"/>
      <c r="F15" s="171" t="s">
        <v>80</v>
      </c>
      <c r="G15" s="172">
        <v>3277</v>
      </c>
      <c r="H15" s="173">
        <v>3277</v>
      </c>
      <c r="I15" s="174">
        <v>1</v>
      </c>
      <c r="J15" s="175">
        <f t="shared" si="16"/>
        <v>3277</v>
      </c>
      <c r="K15" s="176">
        <v>3.0000000000000001E-3</v>
      </c>
      <c r="L15" s="177">
        <f t="shared" si="8"/>
        <v>9.8309999999999995</v>
      </c>
      <c r="M15" s="178">
        <f t="shared" si="17"/>
        <v>0</v>
      </c>
      <c r="N15" s="174">
        <f t="shared" si="0"/>
        <v>1</v>
      </c>
      <c r="O15" s="179">
        <f t="shared" si="9"/>
        <v>0</v>
      </c>
      <c r="P15" s="180">
        <f t="shared" si="13"/>
        <v>3.0000000000000001E-3</v>
      </c>
      <c r="Q15" s="181">
        <f t="shared" si="10"/>
        <v>0</v>
      </c>
      <c r="R15" s="182">
        <f t="shared" si="15"/>
        <v>9.8309999999999995</v>
      </c>
      <c r="S15" s="183">
        <v>7.25</v>
      </c>
      <c r="T15" s="183">
        <f t="shared" si="11"/>
        <v>71.274749999999997</v>
      </c>
    </row>
    <row r="16" spans="1:21" ht="15.75" customHeight="1" thickBot="1">
      <c r="A16" s="244" t="s">
        <v>51</v>
      </c>
      <c r="B16" s="245"/>
      <c r="C16" s="245"/>
      <c r="D16" s="245"/>
      <c r="E16" s="246"/>
      <c r="F16" s="208"/>
      <c r="G16" s="64">
        <f>G2+G3</f>
        <v>4050</v>
      </c>
      <c r="H16" s="65">
        <f>H2+H15</f>
        <v>3281</v>
      </c>
      <c r="I16" s="66"/>
      <c r="J16" s="167">
        <f>SUM(J2:J15)</f>
        <v>33072</v>
      </c>
      <c r="K16" s="157"/>
      <c r="L16" s="158">
        <f>SUM(L2:L15)</f>
        <v>4672.5635999999995</v>
      </c>
      <c r="M16" s="159">
        <f>G16-H16</f>
        <v>769</v>
      </c>
      <c r="N16" s="157"/>
      <c r="O16" s="167">
        <f>SUM(O2:O15)</f>
        <v>9355</v>
      </c>
      <c r="P16" s="157"/>
      <c r="Q16" s="160">
        <f>SUM(Q2:Q15)</f>
        <v>357.37240000000003</v>
      </c>
      <c r="R16" s="161">
        <f t="shared" si="15"/>
        <v>5029.9359999999997</v>
      </c>
      <c r="S16" s="186"/>
      <c r="T16" s="187">
        <f>SUM(T2:T15)</f>
        <v>36467.035999999993</v>
      </c>
    </row>
    <row r="17" spans="1:21" ht="15" customHeight="1">
      <c r="A17" s="255" t="s">
        <v>11</v>
      </c>
      <c r="B17" s="250" t="s">
        <v>42</v>
      </c>
      <c r="C17" s="236" t="s">
        <v>83</v>
      </c>
      <c r="D17" s="237"/>
      <c r="E17" s="238"/>
      <c r="F17" s="137" t="s">
        <v>81</v>
      </c>
      <c r="G17" s="67">
        <v>27</v>
      </c>
      <c r="H17" s="68">
        <v>27</v>
      </c>
      <c r="I17" s="69">
        <v>1</v>
      </c>
      <c r="J17" s="69">
        <f>(I17*H17)</f>
        <v>27</v>
      </c>
      <c r="K17" s="55">
        <f>(33/60)</f>
        <v>0.55000000000000004</v>
      </c>
      <c r="L17" s="114">
        <f>J17*K17</f>
        <v>14.850000000000001</v>
      </c>
      <c r="M17" s="102">
        <v>0</v>
      </c>
      <c r="N17" s="69">
        <v>1</v>
      </c>
      <c r="O17" s="69">
        <f>(M17*N17)</f>
        <v>0</v>
      </c>
      <c r="P17" s="55">
        <f>(K17)</f>
        <v>0.55000000000000004</v>
      </c>
      <c r="Q17" s="45">
        <f>(P17*O17)</f>
        <v>0</v>
      </c>
      <c r="R17" s="184">
        <f>(L17+Q17)</f>
        <v>14.850000000000001</v>
      </c>
      <c r="S17" s="185">
        <v>53.15</v>
      </c>
      <c r="T17" s="185">
        <f t="shared" si="11"/>
        <v>789.27750000000003</v>
      </c>
    </row>
    <row r="18" spans="1:21" s="150" customFormat="1" ht="15" customHeight="1">
      <c r="A18" s="255"/>
      <c r="B18" s="250"/>
      <c r="C18" s="221" t="s">
        <v>96</v>
      </c>
      <c r="D18" s="222"/>
      <c r="E18" s="223"/>
      <c r="F18" s="141" t="s">
        <v>82</v>
      </c>
      <c r="G18" s="142">
        <v>27</v>
      </c>
      <c r="H18" s="90">
        <v>27</v>
      </c>
      <c r="I18" s="143">
        <v>1</v>
      </c>
      <c r="J18" s="144">
        <f t="shared" ref="J18" si="18">+H18*I18</f>
        <v>27</v>
      </c>
      <c r="K18" s="145">
        <v>0.5</v>
      </c>
      <c r="L18" s="146">
        <f t="shared" ref="L18" si="19">+J18*K18</f>
        <v>13.5</v>
      </c>
      <c r="M18" s="107">
        <f t="shared" ref="M18" si="20">G18-H18</f>
        <v>0</v>
      </c>
      <c r="N18" s="144">
        <f>(I18)</f>
        <v>1</v>
      </c>
      <c r="O18" s="144">
        <f t="shared" ref="O18" si="21">+M18*N18</f>
        <v>0</v>
      </c>
      <c r="P18" s="147">
        <f>(K18)</f>
        <v>0.5</v>
      </c>
      <c r="Q18" s="148">
        <f>(O18*P18)</f>
        <v>0</v>
      </c>
      <c r="R18" s="149">
        <f t="shared" si="15"/>
        <v>13.5</v>
      </c>
      <c r="S18" s="169">
        <v>53.15</v>
      </c>
      <c r="T18" s="169">
        <f t="shared" si="11"/>
        <v>717.52499999999998</v>
      </c>
      <c r="U18" s="207"/>
    </row>
    <row r="19" spans="1:21" ht="17.25" customHeight="1">
      <c r="A19" s="255"/>
      <c r="B19" s="264"/>
      <c r="C19" s="257" t="s">
        <v>7</v>
      </c>
      <c r="D19" s="258"/>
      <c r="E19" s="259"/>
      <c r="F19" s="155"/>
      <c r="G19" s="71">
        <f>(G18)</f>
        <v>27</v>
      </c>
      <c r="H19" s="72">
        <f>H18</f>
        <v>27</v>
      </c>
      <c r="I19" s="73"/>
      <c r="J19" s="74">
        <f>(J17+J18)</f>
        <v>54</v>
      </c>
      <c r="K19" s="42"/>
      <c r="L19" s="115">
        <f>SUM(L17:L18)</f>
        <v>28.35</v>
      </c>
      <c r="M19" s="103">
        <f>(G19-H19)</f>
        <v>0</v>
      </c>
      <c r="N19" s="73"/>
      <c r="O19" s="75">
        <f>SUM(O17:O18)</f>
        <v>0</v>
      </c>
      <c r="P19" s="37"/>
      <c r="Q19" s="47">
        <f>SUM(Q17:Q18)</f>
        <v>0</v>
      </c>
      <c r="R19" s="131">
        <f t="shared" si="15"/>
        <v>28.35</v>
      </c>
      <c r="S19" s="170"/>
      <c r="T19" s="170">
        <f>SUM(T17:T18)</f>
        <v>1506.8025</v>
      </c>
    </row>
    <row r="20" spans="1:21" ht="15" customHeight="1">
      <c r="A20" s="255"/>
      <c r="B20" s="250" t="s">
        <v>41</v>
      </c>
      <c r="C20" s="247" t="s">
        <v>83</v>
      </c>
      <c r="D20" s="248"/>
      <c r="E20" s="249"/>
      <c r="F20" s="139" t="s">
        <v>84</v>
      </c>
      <c r="G20" s="76">
        <v>80</v>
      </c>
      <c r="H20" s="77">
        <v>80</v>
      </c>
      <c r="I20" s="78">
        <v>1</v>
      </c>
      <c r="J20" s="78">
        <f>(H20*I20)</f>
        <v>80</v>
      </c>
      <c r="K20" s="56">
        <f>(K17)</f>
        <v>0.55000000000000004</v>
      </c>
      <c r="L20" s="116">
        <f>(J20*K20)</f>
        <v>44</v>
      </c>
      <c r="M20" s="104">
        <v>0</v>
      </c>
      <c r="N20" s="78">
        <f>(I20)</f>
        <v>1</v>
      </c>
      <c r="O20" s="79">
        <f>(M20*N20)</f>
        <v>0</v>
      </c>
      <c r="P20" s="54">
        <f>(K20)</f>
        <v>0.55000000000000004</v>
      </c>
      <c r="Q20" s="48">
        <f>(P20*O20)</f>
        <v>0</v>
      </c>
      <c r="R20" s="125">
        <f>(L20+Q20)</f>
        <v>44</v>
      </c>
      <c r="S20" s="168">
        <v>13.61</v>
      </c>
      <c r="T20" s="168">
        <f t="shared" si="11"/>
        <v>598.83999999999992</v>
      </c>
    </row>
    <row r="21" spans="1:21" ht="15" customHeight="1">
      <c r="A21" s="255"/>
      <c r="B21" s="250"/>
      <c r="C21" s="233" t="s">
        <v>66</v>
      </c>
      <c r="D21" s="234"/>
      <c r="E21" s="260"/>
      <c r="F21" s="138" t="s">
        <v>85</v>
      </c>
      <c r="G21" s="80">
        <v>80</v>
      </c>
      <c r="H21" s="70">
        <v>80</v>
      </c>
      <c r="I21" s="29">
        <v>20</v>
      </c>
      <c r="J21" s="98">
        <f>+H21*I21</f>
        <v>1600</v>
      </c>
      <c r="K21" s="205">
        <v>8.3500000000000005E-2</v>
      </c>
      <c r="L21" s="112">
        <f t="shared" ref="L21" si="22">+J21*K21</f>
        <v>133.6</v>
      </c>
      <c r="M21" s="100">
        <f>G21-H21</f>
        <v>0</v>
      </c>
      <c r="N21" s="34">
        <f>(I21)</f>
        <v>20</v>
      </c>
      <c r="O21" s="34">
        <f t="shared" ref="O21" si="23">+M21*N21</f>
        <v>0</v>
      </c>
      <c r="P21" s="206">
        <f>(K21)</f>
        <v>8.3500000000000005E-2</v>
      </c>
      <c r="Q21" s="46">
        <f>(O21*P21)</f>
        <v>0</v>
      </c>
      <c r="R21" s="124">
        <f t="shared" si="15"/>
        <v>133.6</v>
      </c>
      <c r="S21" s="168">
        <v>13.61</v>
      </c>
      <c r="T21" s="168">
        <f t="shared" si="11"/>
        <v>1818.2959999999998</v>
      </c>
    </row>
    <row r="22" spans="1:21" ht="15" customHeight="1" thickBot="1">
      <c r="A22" s="255"/>
      <c r="B22" s="250"/>
      <c r="C22" s="233" t="s">
        <v>98</v>
      </c>
      <c r="D22" s="234"/>
      <c r="E22" s="260"/>
      <c r="F22" s="132" t="s">
        <v>78</v>
      </c>
      <c r="G22" s="81">
        <v>80</v>
      </c>
      <c r="H22" s="82">
        <v>80</v>
      </c>
      <c r="I22" s="29">
        <v>9</v>
      </c>
      <c r="J22" s="98">
        <f>+H22*I22</f>
        <v>720</v>
      </c>
      <c r="K22" s="205">
        <v>0.21709999999999999</v>
      </c>
      <c r="L22" s="111">
        <f>+J22*K22</f>
        <v>156.31199999999998</v>
      </c>
      <c r="M22" s="100">
        <f>G22-H22</f>
        <v>0</v>
      </c>
      <c r="N22" s="34">
        <f>(I22)</f>
        <v>9</v>
      </c>
      <c r="O22" s="34">
        <f>+M22*N22</f>
        <v>0</v>
      </c>
      <c r="P22" s="206">
        <f>(K22)</f>
        <v>0.21709999999999999</v>
      </c>
      <c r="Q22" s="46">
        <f>(O22*P22)</f>
        <v>0</v>
      </c>
      <c r="R22" s="126">
        <f t="shared" si="15"/>
        <v>156.31199999999998</v>
      </c>
      <c r="S22" s="168">
        <v>13.61</v>
      </c>
      <c r="T22" s="168">
        <f t="shared" si="11"/>
        <v>2127.4063199999996</v>
      </c>
    </row>
    <row r="23" spans="1:21" s="25" customFormat="1" ht="15" customHeight="1" thickBot="1">
      <c r="A23" s="256"/>
      <c r="B23" s="251"/>
      <c r="C23" s="261" t="s">
        <v>7</v>
      </c>
      <c r="D23" s="262"/>
      <c r="E23" s="263"/>
      <c r="F23" s="156"/>
      <c r="G23" s="83">
        <v>80</v>
      </c>
      <c r="H23" s="84">
        <v>80</v>
      </c>
      <c r="I23" s="85"/>
      <c r="J23" s="163">
        <f>SUM(J20:J22)</f>
        <v>2400</v>
      </c>
      <c r="K23" s="43"/>
      <c r="L23" s="117">
        <f>SUM(L20:L22)</f>
        <v>333.91199999999998</v>
      </c>
      <c r="M23" s="105">
        <f>(G23-H23)</f>
        <v>0</v>
      </c>
      <c r="N23" s="86" t="s">
        <v>49</v>
      </c>
      <c r="O23" s="86">
        <f>SUM(O20:O22)</f>
        <v>0</v>
      </c>
      <c r="P23" s="38"/>
      <c r="Q23" s="49">
        <f>SUM(Q20:Q22)</f>
        <v>0</v>
      </c>
      <c r="R23" s="188">
        <f>(L23+Q23)</f>
        <v>333.91199999999998</v>
      </c>
      <c r="S23" s="189"/>
      <c r="T23" s="189">
        <f>SUM(T20:T22)</f>
        <v>4544.5423199999987</v>
      </c>
      <c r="U23" s="209"/>
    </row>
    <row r="24" spans="1:21" ht="15.75" customHeight="1" thickBot="1">
      <c r="A24" s="244" t="s">
        <v>52</v>
      </c>
      <c r="B24" s="245"/>
      <c r="C24" s="245"/>
      <c r="D24" s="245"/>
      <c r="E24" s="246"/>
      <c r="F24" s="208"/>
      <c r="G24" s="64">
        <f>(G19+G23)</f>
        <v>107</v>
      </c>
      <c r="H24" s="64">
        <f>(H19+H23)</f>
        <v>107</v>
      </c>
      <c r="I24" s="87"/>
      <c r="J24" s="164">
        <f>(J19+J23)</f>
        <v>2454</v>
      </c>
      <c r="K24" s="39"/>
      <c r="L24" s="118">
        <f>(L19+L23)</f>
        <v>362.262</v>
      </c>
      <c r="M24" s="106">
        <f>G24-H24</f>
        <v>0</v>
      </c>
      <c r="N24" s="87"/>
      <c r="O24" s="88">
        <f>SUM(O19+O23)</f>
        <v>0</v>
      </c>
      <c r="P24" s="39"/>
      <c r="Q24" s="50">
        <f>SUM(Q19+Q23)</f>
        <v>0</v>
      </c>
      <c r="R24" s="127">
        <f>SUM(L24+Q24)</f>
        <v>362.262</v>
      </c>
      <c r="S24" s="186"/>
      <c r="T24" s="190">
        <f>(T19+T23)</f>
        <v>6051.3448199999984</v>
      </c>
    </row>
    <row r="25" spans="1:21" ht="35.25" thickBot="1">
      <c r="A25" s="210" t="s">
        <v>50</v>
      </c>
      <c r="B25" s="211" t="s">
        <v>40</v>
      </c>
      <c r="C25" s="252" t="s">
        <v>67</v>
      </c>
      <c r="D25" s="253"/>
      <c r="E25" s="254"/>
      <c r="F25" s="140" t="s">
        <v>86</v>
      </c>
      <c r="G25" s="89">
        <v>196</v>
      </c>
      <c r="H25" s="90">
        <v>157</v>
      </c>
      <c r="I25" s="91">
        <v>1</v>
      </c>
      <c r="J25" s="165">
        <f t="shared" ref="J25" si="24">+H25*I25</f>
        <v>157</v>
      </c>
      <c r="K25" s="212">
        <v>8.3500000000000005E-2</v>
      </c>
      <c r="L25" s="119">
        <f t="shared" ref="L25" si="25">+J25*K25</f>
        <v>13.109500000000001</v>
      </c>
      <c r="M25" s="107">
        <f>G25-H25</f>
        <v>39</v>
      </c>
      <c r="N25" s="92">
        <f>(I25)</f>
        <v>1</v>
      </c>
      <c r="O25" s="92">
        <f>(M25*N25)</f>
        <v>39</v>
      </c>
      <c r="P25" s="213">
        <f>(K25)</f>
        <v>8.3500000000000005E-2</v>
      </c>
      <c r="Q25" s="51">
        <f t="shared" ref="Q25" si="26">+O25*P25</f>
        <v>3.2565000000000004</v>
      </c>
      <c r="R25" s="128">
        <f t="shared" si="15"/>
        <v>16.366</v>
      </c>
      <c r="S25" s="191">
        <v>13.61</v>
      </c>
      <c r="T25" s="191">
        <f t="shared" si="11"/>
        <v>222.74125999999998</v>
      </c>
    </row>
    <row r="26" spans="1:21" ht="20.100000000000001" customHeight="1" thickBot="1">
      <c r="A26" s="244" t="s">
        <v>53</v>
      </c>
      <c r="B26" s="245"/>
      <c r="C26" s="245"/>
      <c r="D26" s="245"/>
      <c r="E26" s="246"/>
      <c r="F26" s="208"/>
      <c r="G26" s="64">
        <f>SUM(G25:G25)</f>
        <v>196</v>
      </c>
      <c r="H26" s="65">
        <f>H25</f>
        <v>157</v>
      </c>
      <c r="I26" s="88"/>
      <c r="J26" s="166">
        <f>(J25)</f>
        <v>157</v>
      </c>
      <c r="K26" s="40"/>
      <c r="L26" s="120">
        <f>(L25)</f>
        <v>13.109500000000001</v>
      </c>
      <c r="M26" s="108">
        <f>SUM(M25:M25)</f>
        <v>39</v>
      </c>
      <c r="N26" s="88"/>
      <c r="O26" s="88">
        <f>O25</f>
        <v>39</v>
      </c>
      <c r="P26" s="40"/>
      <c r="Q26" s="52">
        <f>Q25</f>
        <v>3.2565000000000004</v>
      </c>
      <c r="R26" s="127">
        <f>R25</f>
        <v>16.366</v>
      </c>
      <c r="S26" s="193"/>
      <c r="T26" s="190">
        <f>(T25)</f>
        <v>222.74125999999998</v>
      </c>
    </row>
    <row r="27" spans="1:21" ht="15.75" thickBot="1">
      <c r="A27" s="244" t="s">
        <v>54</v>
      </c>
      <c r="B27" s="245"/>
      <c r="C27" s="245"/>
      <c r="D27" s="245"/>
      <c r="E27" s="246"/>
      <c r="F27" s="214"/>
      <c r="G27" s="93">
        <f>SUM(G16,G24,G26)</f>
        <v>4353</v>
      </c>
      <c r="H27" s="94">
        <f>SUM(H26,H24,H16)</f>
        <v>3545</v>
      </c>
      <c r="I27" s="95"/>
      <c r="J27" s="96">
        <f>(J16+J24+J26)</f>
        <v>35683</v>
      </c>
      <c r="K27" s="44"/>
      <c r="L27" s="129">
        <f>(L16+L24+L26)</f>
        <v>5047.9350999999988</v>
      </c>
      <c r="M27" s="109">
        <f>SUM(M26,M24,M16)</f>
        <v>808</v>
      </c>
      <c r="N27" s="95"/>
      <c r="O27" s="162">
        <f>(O16+O24+O26)</f>
        <v>9394</v>
      </c>
      <c r="P27" s="41"/>
      <c r="Q27" s="53">
        <f>SUM(Q16+Q23+Q26)</f>
        <v>360.62890000000004</v>
      </c>
      <c r="R27" s="130">
        <f>SUM(L27+Q27)</f>
        <v>5408.5639999999985</v>
      </c>
      <c r="S27" s="192"/>
      <c r="T27" s="192">
        <f>(T16+T19+T23+T26)</f>
        <v>42741.122079999994</v>
      </c>
    </row>
    <row r="29" spans="1:21">
      <c r="A29" s="215" t="s">
        <v>101</v>
      </c>
      <c r="B29" s="204"/>
      <c r="L29" s="217"/>
      <c r="M29" s="218"/>
      <c r="N29" s="218"/>
    </row>
    <row r="30" spans="1:21">
      <c r="A30" s="217" t="s">
        <v>58</v>
      </c>
      <c r="B30" s="204"/>
    </row>
    <row r="31" spans="1:21">
      <c r="A31" s="217" t="s">
        <v>59</v>
      </c>
      <c r="B31" s="204"/>
      <c r="K31" s="217"/>
      <c r="L31" s="217"/>
      <c r="M31" s="217"/>
    </row>
    <row r="32" spans="1:21">
      <c r="A32" s="217" t="s">
        <v>60</v>
      </c>
      <c r="B32" s="204"/>
    </row>
    <row r="33" spans="1:2">
      <c r="A33" s="217" t="s">
        <v>61</v>
      </c>
      <c r="B33" s="204"/>
    </row>
    <row r="34" spans="1:2">
      <c r="A34" s="217" t="s">
        <v>62</v>
      </c>
      <c r="B34" s="204"/>
    </row>
    <row r="35" spans="1:2">
      <c r="A35" s="217" t="s">
        <v>63</v>
      </c>
      <c r="B35" s="204"/>
    </row>
    <row r="36" spans="1:2">
      <c r="A36" s="217" t="s">
        <v>99</v>
      </c>
      <c r="B36" s="204"/>
    </row>
    <row r="37" spans="1:2">
      <c r="A37" s="217" t="s">
        <v>102</v>
      </c>
      <c r="B37" s="204"/>
    </row>
    <row r="38" spans="1:2">
      <c r="A38" s="217" t="s">
        <v>103</v>
      </c>
      <c r="B38" s="204"/>
    </row>
    <row r="39" spans="1:2">
      <c r="A39" s="217" t="s">
        <v>104</v>
      </c>
      <c r="B39" s="204"/>
    </row>
    <row r="40" spans="1:2">
      <c r="A40" s="217" t="s">
        <v>100</v>
      </c>
      <c r="B40" s="204"/>
    </row>
    <row r="41" spans="1:2">
      <c r="A41" s="217" t="s">
        <v>64</v>
      </c>
      <c r="B41" s="204"/>
    </row>
  </sheetData>
  <mergeCells count="32">
    <mergeCell ref="A27:E27"/>
    <mergeCell ref="C19:E19"/>
    <mergeCell ref="C21:E21"/>
    <mergeCell ref="C23:E23"/>
    <mergeCell ref="C22:E22"/>
    <mergeCell ref="B17:B19"/>
    <mergeCell ref="A2:A15"/>
    <mergeCell ref="C6:E6"/>
    <mergeCell ref="C3:E3"/>
    <mergeCell ref="C4:E4"/>
    <mergeCell ref="A26:E26"/>
    <mergeCell ref="A16:E16"/>
    <mergeCell ref="C20:E20"/>
    <mergeCell ref="B20:B23"/>
    <mergeCell ref="C25:E25"/>
    <mergeCell ref="A17:A23"/>
    <mergeCell ref="A24:E24"/>
    <mergeCell ref="C1:E1"/>
    <mergeCell ref="C7:E7"/>
    <mergeCell ref="C18:E18"/>
    <mergeCell ref="C2:E2"/>
    <mergeCell ref="B2:B15"/>
    <mergeCell ref="C11:E11"/>
    <mergeCell ref="C12:E12"/>
    <mergeCell ref="C13:E13"/>
    <mergeCell ref="C15:E15"/>
    <mergeCell ref="C8:E8"/>
    <mergeCell ref="C9:E9"/>
    <mergeCell ref="C10:E10"/>
    <mergeCell ref="C5:E5"/>
    <mergeCell ref="C17:E17"/>
    <mergeCell ref="C14:E14"/>
  </mergeCells>
  <pageMargins left="0.25" right="0.25" top="0.75" bottom="0.75" header="0.3" footer="0.3"/>
  <pageSetup paperSize="5" scale="90" fitToHeight="2" orientation="landscape" horizontalDpi="300" verticalDpi="300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C8" sqref="C8"/>
    </sheetView>
  </sheetViews>
  <sheetFormatPr defaultRowHeight="15"/>
  <cols>
    <col min="1" max="1" width="54.7109375" customWidth="1"/>
    <col min="2" max="2" width="37.7109375" customWidth="1"/>
    <col min="3" max="3" width="11.5703125" customWidth="1"/>
    <col min="4" max="4" width="8.85546875" customWidth="1"/>
  </cols>
  <sheetData>
    <row r="1" spans="1:4" ht="16.5" thickBot="1">
      <c r="A1" s="2" t="s">
        <v>13</v>
      </c>
    </row>
    <row r="2" spans="1:4" ht="15.75" thickBot="1">
      <c r="A2" s="3" t="s">
        <v>14</v>
      </c>
      <c r="B2" s="4" t="s">
        <v>15</v>
      </c>
      <c r="C2" s="265" t="s">
        <v>3</v>
      </c>
      <c r="D2" s="266"/>
    </row>
    <row r="3" spans="1:4" ht="15.75" thickBot="1">
      <c r="A3" s="5" t="s">
        <v>16</v>
      </c>
      <c r="B3" s="6" t="s">
        <v>17</v>
      </c>
      <c r="C3" s="7" t="e">
        <f>'Option 4 burden table'!#REF!</f>
        <v>#REF!</v>
      </c>
      <c r="D3" s="8"/>
    </row>
    <row r="4" spans="1:4" ht="15.75" thickBot="1">
      <c r="A4" s="9" t="s">
        <v>16</v>
      </c>
      <c r="B4" s="6" t="s">
        <v>18</v>
      </c>
      <c r="C4" s="14" t="e">
        <f>SUM('Option 4 burden table'!#REF!+'Option 4 burden table'!J21)</f>
        <v>#REF!</v>
      </c>
      <c r="D4" s="8"/>
    </row>
    <row r="5" spans="1:4" ht="15.75" thickBot="1">
      <c r="A5" s="9" t="s">
        <v>19</v>
      </c>
      <c r="B5" s="6" t="s">
        <v>20</v>
      </c>
      <c r="C5" s="14" t="e">
        <f>'Option 4 burden table'!#REF!</f>
        <v>#REF!</v>
      </c>
      <c r="D5" s="8"/>
    </row>
    <row r="6" spans="1:4" ht="15.75" thickBot="1">
      <c r="A6" s="5" t="s">
        <v>21</v>
      </c>
      <c r="B6" s="6" t="s">
        <v>22</v>
      </c>
      <c r="C6" s="14" t="e">
        <f>'Option 4 burden table'!#REF!</f>
        <v>#REF!</v>
      </c>
      <c r="D6" s="8"/>
    </row>
    <row r="7" spans="1:4" ht="30.75" thickBot="1">
      <c r="A7" s="5" t="s">
        <v>23</v>
      </c>
      <c r="B7" s="6" t="s">
        <v>24</v>
      </c>
      <c r="C7" s="14" t="e">
        <f>'Option 4 burden table'!#REF!</f>
        <v>#REF!</v>
      </c>
      <c r="D7" s="8"/>
    </row>
    <row r="8" spans="1:4" ht="15.75" thickBot="1">
      <c r="A8" s="10" t="s">
        <v>25</v>
      </c>
      <c r="B8" s="11"/>
      <c r="C8" s="24">
        <v>2680</v>
      </c>
      <c r="D8" s="21">
        <f>C8/C17</f>
        <v>0.19869513641755635</v>
      </c>
    </row>
    <row r="9" spans="1:4" ht="15.75" thickBot="1">
      <c r="A9" s="12" t="s">
        <v>26</v>
      </c>
      <c r="B9" s="13"/>
      <c r="C9" s="265" t="s">
        <v>3</v>
      </c>
      <c r="D9" s="266"/>
    </row>
    <row r="10" spans="1:4" ht="15.75" thickBot="1">
      <c r="A10" s="5" t="s">
        <v>27</v>
      </c>
      <c r="B10" s="6" t="s">
        <v>28</v>
      </c>
      <c r="C10" s="23" t="e">
        <f>'Option 4 burden table'!#REF!</f>
        <v>#REF!</v>
      </c>
      <c r="D10" s="8"/>
    </row>
    <row r="11" spans="1:4" ht="15.75" thickBot="1">
      <c r="A11" s="5" t="s">
        <v>29</v>
      </c>
      <c r="B11" s="6" t="s">
        <v>30</v>
      </c>
      <c r="C11" s="23" t="e">
        <f>'Option 4 burden table'!#REF!+'Option 4 burden table'!#REF!</f>
        <v>#REF!</v>
      </c>
      <c r="D11" s="8"/>
    </row>
    <row r="12" spans="1:4" ht="15.75" thickBot="1">
      <c r="A12" s="5" t="s">
        <v>31</v>
      </c>
      <c r="B12" s="6" t="s">
        <v>18</v>
      </c>
      <c r="C12" s="14" t="e">
        <f>'Option 4 burden table'!#REF!</f>
        <v>#REF!</v>
      </c>
      <c r="D12" s="8"/>
    </row>
    <row r="13" spans="1:4" ht="15.75" thickBot="1">
      <c r="A13" s="5" t="s">
        <v>32</v>
      </c>
      <c r="B13" s="6" t="s">
        <v>33</v>
      </c>
      <c r="C13" s="14" t="e">
        <f>'Option 4 burden table'!#REF!</f>
        <v>#REF!</v>
      </c>
      <c r="D13" s="8"/>
    </row>
    <row r="14" spans="1:4" ht="15.75" thickBot="1">
      <c r="A14" s="5" t="s">
        <v>34</v>
      </c>
      <c r="B14" s="6" t="s">
        <v>8</v>
      </c>
      <c r="C14" s="14" t="e">
        <f>'Option 4 burden table'!#REF!</f>
        <v>#REF!</v>
      </c>
      <c r="D14" s="8"/>
    </row>
    <row r="15" spans="1:4" ht="15.75" thickBot="1">
      <c r="A15" s="5" t="s">
        <v>35</v>
      </c>
      <c r="B15" s="6" t="s">
        <v>36</v>
      </c>
      <c r="C15" s="14">
        <f>SUM('Option 4 burden table'!J25:J25)</f>
        <v>157</v>
      </c>
      <c r="D15" s="8"/>
    </row>
    <row r="16" spans="1:4">
      <c r="A16" s="15" t="s">
        <v>37</v>
      </c>
      <c r="B16" s="16"/>
      <c r="C16" s="18">
        <v>10808</v>
      </c>
      <c r="D16" s="22">
        <f>C16/C17</f>
        <v>0.80130486358244368</v>
      </c>
    </row>
    <row r="17" spans="1:4">
      <c r="A17" s="17" t="s">
        <v>38</v>
      </c>
      <c r="B17" s="1"/>
      <c r="C17" s="19">
        <f>SUM(C8+C16)</f>
        <v>13488</v>
      </c>
      <c r="D17" s="20"/>
    </row>
  </sheetData>
  <mergeCells count="2">
    <mergeCell ref="C2:D2"/>
    <mergeCell ref="C9:D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Option 4 burden table</vt:lpstr>
      <vt:lpstr>Sheet2</vt:lpstr>
      <vt:lpstr>'Option 4 burden table'!Print_Area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Windows User</cp:lastModifiedBy>
  <cp:lastPrinted>2014-09-30T21:29:15Z</cp:lastPrinted>
  <dcterms:created xsi:type="dcterms:W3CDTF">2012-11-27T19:01:45Z</dcterms:created>
  <dcterms:modified xsi:type="dcterms:W3CDTF">2014-12-24T16:39:52Z</dcterms:modified>
</cp:coreProperties>
</file>