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615" yWindow="210" windowWidth="18480" windowHeight="10920" tabRatio="875" activeTab="2"/>
  </bookViews>
  <sheets>
    <sheet name="Responses" sheetId="109" r:id="rId1"/>
    <sheet name="Capital vs. O&amp;M" sheetId="108" r:id="rId2"/>
    <sheet name="ICRAS Summary" sheetId="107" r:id="rId3"/>
    <sheet name="Base Data" sheetId="49" r:id="rId4"/>
    <sheet name="Fac-ExistLrgSolid-Yr1" sheetId="10" r:id="rId5"/>
    <sheet name="Fac-ExistLrgSolid-Yr2" sheetId="83" r:id="rId6"/>
    <sheet name="Fac-ExistLrgSolid-Yr3" sheetId="84" r:id="rId7"/>
    <sheet name="Fac-ExistLrgLiquid-Yr1" sheetId="85" r:id="rId8"/>
    <sheet name="Fac-ExistLrgLiquid-Yr2" sheetId="86" r:id="rId9"/>
    <sheet name="Fac-ExistLrgLiquid-Yr3" sheetId="87" r:id="rId10"/>
    <sheet name="Fac-NewLrgSolid-Yr1" sheetId="8" r:id="rId11"/>
    <sheet name="Fac-NewLrgSolid-Yr2" sheetId="93" r:id="rId12"/>
    <sheet name="Fac-NewLrgSolid-Yr3" sheetId="94" r:id="rId13"/>
    <sheet name="Fac-NewLrgLiquid-Yr1" sheetId="95" r:id="rId14"/>
    <sheet name="Fac-NewLrgLiquid-Yr2" sheetId="96" r:id="rId15"/>
    <sheet name="Fac-NewLrgLiquid-Yr3" sheetId="97" r:id="rId16"/>
    <sheet name="Fac - ExistSmlSolid-Yr1" sheetId="51" r:id="rId17"/>
    <sheet name="Fac - ExistSmlSolid-Yr2" sheetId="88" r:id="rId18"/>
    <sheet name="Fac - ExistSmlSolid-Yr3" sheetId="89" r:id="rId19"/>
    <sheet name="Fac - ExistSmlLiquid-Yr1" sheetId="90" r:id="rId20"/>
    <sheet name="Fac - ExistSmlLiquid-Yr2" sheetId="91" r:id="rId21"/>
    <sheet name="Fac - ExistSmlLiquid-Yr3" sheetId="92" r:id="rId22"/>
    <sheet name="Fac-NewSmlSolid-Yr1" sheetId="36" r:id="rId23"/>
    <sheet name="Fac-NewSmlSolid-Yr2" sheetId="98" r:id="rId24"/>
    <sheet name="Fac-NewSmlSolid-Yr3" sheetId="99" r:id="rId25"/>
    <sheet name="Fac-NewSmlLiquid-Yr1" sheetId="100" r:id="rId26"/>
    <sheet name="Fac-NewSmlLiquid-Yr2" sheetId="101" r:id="rId27"/>
    <sheet name="Fac-NewSmlLiquid-Yr3" sheetId="102" r:id="rId28"/>
    <sheet name="AgencyYR1" sheetId="104" r:id="rId29"/>
    <sheet name="AgencyYR2" sheetId="105" r:id="rId30"/>
    <sheet name="AgencyYR3" sheetId="106" r:id="rId31"/>
  </sheets>
  <externalReferences>
    <externalReference r:id="rId32"/>
  </externalReferences>
  <definedNames>
    <definedName name="cler">[1]basis!$C$26</definedName>
    <definedName name="comptime" localSheetId="28">AgencyYR1!#REF!</definedName>
    <definedName name="excd">[1]basis!$C$19</definedName>
    <definedName name="lit">[1]basis!$C$13</definedName>
    <definedName name="mang">[1]basis!$C$25</definedName>
    <definedName name="new_respondents">[1]basis!$C$17</definedName>
    <definedName name="noexcd">[1]basis!$C$20</definedName>
    <definedName name="_xlnm.Print_Area" localSheetId="28">AgencyYR1!$A$1:$N$36</definedName>
    <definedName name="_xlnm.Print_Area" localSheetId="29">AgencyYR2!$A$1:$N$34</definedName>
    <definedName name="_xlnm.Print_Area" localSheetId="30">AgencyYR3!$A$1:$N$42</definedName>
    <definedName name="_xlnm.Print_Area" localSheetId="16">'Fac - ExistSmlSolid-Yr1'!$A$1:$N$31</definedName>
    <definedName name="_xlnm.Print_Area" localSheetId="17">'Fac - ExistSmlSolid-Yr2'!$A$1:$N$31</definedName>
    <definedName name="_xlnm.Print_Area" localSheetId="18">'Fac - ExistSmlSolid-Yr3'!$A$1:$N$31</definedName>
    <definedName name="_xlnm.Print_Area" localSheetId="8">'Fac-ExistLrgLiquid-Yr2'!$A$1:$O$36</definedName>
    <definedName name="_xlnm.Print_Area" localSheetId="9">'Fac-ExistLrgLiquid-Yr3'!$A$1:$O$36</definedName>
    <definedName name="_xlnm.Print_Area" localSheetId="5">'Fac-ExistLrgSolid-Yr2'!$A$1:$Q$57</definedName>
    <definedName name="_xlnm.Print_Area" localSheetId="6">'Fac-ExistLrgSolid-Yr3'!$A$1:$Q$57</definedName>
    <definedName name="_xlnm.Print_Area" localSheetId="13">'Fac-NewLrgLiquid-Yr1'!$A$1:$N$45</definedName>
    <definedName name="_xlnm.Print_Area" localSheetId="14">'Fac-NewLrgLiquid-Yr2'!$A$1:$N$46</definedName>
    <definedName name="_xlnm.Print_Area" localSheetId="15">'Fac-NewLrgLiquid-Yr3'!$A$1:$N$45</definedName>
    <definedName name="_xlnm.Print_Area" localSheetId="10">'Fac-NewLrgSolid-Yr1'!$A$1:$N$54</definedName>
    <definedName name="_xlnm.Print_Area" localSheetId="11">'Fac-NewLrgSolid-Yr2'!$A$1:$N$53</definedName>
    <definedName name="_xlnm.Print_Area" localSheetId="12">'Fac-NewLrgSolid-Yr3'!$A$1:$N$53</definedName>
    <definedName name="_xlnm.Print_Area" localSheetId="25">'Fac-NewSmlLiquid-Yr1'!$A$1:$N$31</definedName>
    <definedName name="_xlnm.Print_Area" localSheetId="26">'Fac-NewSmlLiquid-Yr2'!$A$1:$N$31</definedName>
    <definedName name="_xlnm.Print_Area" localSheetId="27">'Fac-NewSmlLiquid-Yr3'!$A$1:$N$31</definedName>
    <definedName name="_xlnm.Print_Titles" localSheetId="19">'Fac - ExistSmlLiquid-Yr1'!$1:$3</definedName>
    <definedName name="_xlnm.Print_Titles" localSheetId="20">'Fac - ExistSmlLiquid-Yr2'!$1:$3</definedName>
    <definedName name="_xlnm.Print_Titles" localSheetId="21">'Fac - ExistSmlLiquid-Yr3'!$1:$3</definedName>
    <definedName name="_xlnm.Print_Titles" localSheetId="16">'Fac - ExistSmlSolid-Yr1'!$1:$3</definedName>
    <definedName name="_xlnm.Print_Titles" localSheetId="17">'Fac - ExistSmlSolid-Yr2'!$1:$3</definedName>
    <definedName name="_xlnm.Print_Titles" localSheetId="18">'Fac - ExistSmlSolid-Yr3'!$1:$3</definedName>
    <definedName name="_xlnm.Print_Titles" localSheetId="7">'Fac-ExistLrgLiquid-Yr1'!$1:$3</definedName>
    <definedName name="_xlnm.Print_Titles" localSheetId="8">'Fac-ExistLrgLiquid-Yr2'!$1:$3</definedName>
    <definedName name="_xlnm.Print_Titles" localSheetId="9">'Fac-ExistLrgLiquid-Yr3'!$1:$3</definedName>
    <definedName name="_xlnm.Print_Titles" localSheetId="4">'Fac-ExistLrgSolid-Yr1'!$1:$3</definedName>
    <definedName name="_xlnm.Print_Titles" localSheetId="5">'Fac-ExistLrgSolid-Yr2'!$1:$3</definedName>
    <definedName name="_xlnm.Print_Titles" localSheetId="6">'Fac-ExistLrgSolid-Yr3'!$1:$3</definedName>
    <definedName name="_xlnm.Print_Titles" localSheetId="13">'Fac-NewLrgLiquid-Yr1'!$1:$2</definedName>
    <definedName name="_xlnm.Print_Titles" localSheetId="14">'Fac-NewLrgLiquid-Yr2'!$1:$2</definedName>
    <definedName name="_xlnm.Print_Titles" localSheetId="15">'Fac-NewLrgLiquid-Yr3'!$1:$2</definedName>
    <definedName name="_xlnm.Print_Titles" localSheetId="10">'Fac-NewLrgSolid-Yr1'!$1:$2</definedName>
    <definedName name="_xlnm.Print_Titles" localSheetId="11">'Fac-NewLrgSolid-Yr2'!$1:$2</definedName>
    <definedName name="_xlnm.Print_Titles" localSheetId="12">'Fac-NewLrgSolid-Yr3'!$1:$2</definedName>
    <definedName name="read1">#REF!</definedName>
    <definedName name="respondents" localSheetId="28">AgencyYR1!#REF!</definedName>
    <definedName name="retest" localSheetId="28">AgencyYR1!$Q$13</definedName>
    <definedName name="sperfac" localSheetId="28">AgencyYR1!$Q$12</definedName>
    <definedName name="ssmalf">[1]basis!$C$21</definedName>
    <definedName name="tech">[1]basis!$C$24</definedName>
  </definedNames>
  <calcPr calcId="125725"/>
</workbook>
</file>

<file path=xl/calcChain.xml><?xml version="1.0" encoding="utf-8"?>
<calcChain xmlns="http://schemas.openxmlformats.org/spreadsheetml/2006/main">
  <c r="H8" i="107"/>
  <c r="E8"/>
  <c r="E11" i="49"/>
  <c r="H9" i="106"/>
  <c r="H8"/>
  <c r="H9" i="105"/>
  <c r="H8"/>
  <c r="H9" i="104"/>
  <c r="H8"/>
  <c r="D29" i="107" l="1"/>
  <c r="E29"/>
  <c r="F3"/>
  <c r="E3"/>
  <c r="C7" i="109"/>
  <c r="M15" i="92"/>
  <c r="L25" i="97"/>
  <c r="L25" i="96"/>
  <c r="L25" i="95"/>
  <c r="L31" i="94"/>
  <c r="L31" i="93"/>
  <c r="M19" i="87"/>
  <c r="M19" i="86"/>
  <c r="O32" i="84"/>
  <c r="O32" i="83"/>
  <c r="D3" i="107"/>
  <c r="C5"/>
  <c r="C3" l="1"/>
  <c r="B3"/>
  <c r="C10" i="108"/>
  <c r="C9"/>
  <c r="D8"/>
  <c r="C8"/>
  <c r="C6"/>
  <c r="D4"/>
  <c r="C4"/>
  <c r="D3"/>
  <c r="C10" i="109" l="1"/>
  <c r="C6"/>
  <c r="L31" i="49"/>
  <c r="H20" i="105"/>
  <c r="H20" i="106"/>
  <c r="H20" i="104"/>
  <c r="H19" i="105"/>
  <c r="H19" i="104"/>
  <c r="H18" i="105"/>
  <c r="H18" i="106"/>
  <c r="H18" i="104"/>
  <c r="H16" i="105"/>
  <c r="H16" i="104"/>
  <c r="H15" i="106"/>
  <c r="H15" i="105"/>
  <c r="H15" i="104"/>
  <c r="H12" i="106"/>
  <c r="H12" i="105"/>
  <c r="H12" i="104"/>
  <c r="H11" i="105"/>
  <c r="H11" i="106"/>
  <c r="H11" i="104"/>
  <c r="H10" i="105" l="1"/>
  <c r="H10" i="106"/>
  <c r="H10" i="104"/>
  <c r="H6" i="106"/>
  <c r="H6" i="105"/>
  <c r="H6" i="104"/>
  <c r="N47" i="84" l="1"/>
  <c r="J46"/>
  <c r="J32"/>
  <c r="K31" i="8"/>
  <c r="M45"/>
  <c r="L45"/>
  <c r="K45"/>
  <c r="J45"/>
  <c r="I45"/>
  <c r="H45"/>
  <c r="M45" i="93"/>
  <c r="L45"/>
  <c r="K45"/>
  <c r="J45"/>
  <c r="I45"/>
  <c r="H45"/>
  <c r="I45" i="94"/>
  <c r="J45"/>
  <c r="K45"/>
  <c r="L45"/>
  <c r="M45"/>
  <c r="H45"/>
  <c r="H31"/>
  <c r="L9"/>
  <c r="L18" i="96"/>
  <c r="L17"/>
  <c r="L14"/>
  <c r="L7"/>
  <c r="L15"/>
  <c r="M39" i="95"/>
  <c r="L39"/>
  <c r="K39"/>
  <c r="J39"/>
  <c r="I39"/>
  <c r="H39"/>
  <c r="M39" i="96"/>
  <c r="L39"/>
  <c r="K39"/>
  <c r="J39"/>
  <c r="I39"/>
  <c r="H39"/>
  <c r="M25" i="95"/>
  <c r="K25"/>
  <c r="J25"/>
  <c r="I25"/>
  <c r="H25"/>
  <c r="M25" i="96"/>
  <c r="K25"/>
  <c r="J25"/>
  <c r="I25"/>
  <c r="H25"/>
  <c r="L9" i="97"/>
  <c r="L9" i="95"/>
  <c r="L10"/>
  <c r="L10" i="94"/>
  <c r="L11"/>
  <c r="L10" i="93"/>
  <c r="L11"/>
  <c r="L39" i="97"/>
  <c r="K39"/>
  <c r="I39"/>
  <c r="J39"/>
  <c r="H39"/>
  <c r="G23" i="102"/>
  <c r="G22"/>
  <c r="G15"/>
  <c r="G14"/>
  <c r="G13"/>
  <c r="G9"/>
  <c r="G23" i="101"/>
  <c r="G22"/>
  <c r="G15"/>
  <c r="G9"/>
  <c r="K26" i="100"/>
  <c r="H16"/>
  <c r="G9"/>
  <c r="G7" i="102"/>
  <c r="G7" i="101"/>
  <c r="G7" i="100"/>
  <c r="M26" i="102"/>
  <c r="L26"/>
  <c r="F23"/>
  <c r="F22"/>
  <c r="F15"/>
  <c r="F14"/>
  <c r="F13"/>
  <c r="F9"/>
  <c r="H9" s="1"/>
  <c r="M15"/>
  <c r="F7"/>
  <c r="H7" s="1"/>
  <c r="L26" i="101"/>
  <c r="F23"/>
  <c r="F22"/>
  <c r="F15"/>
  <c r="F14"/>
  <c r="F13"/>
  <c r="F9"/>
  <c r="H9" s="1"/>
  <c r="M15"/>
  <c r="F7"/>
  <c r="H7" s="1"/>
  <c r="L26" i="100"/>
  <c r="F23"/>
  <c r="F22"/>
  <c r="F15"/>
  <c r="F14"/>
  <c r="F13"/>
  <c r="G23"/>
  <c r="F9"/>
  <c r="H9" s="1"/>
  <c r="G15"/>
  <c r="M15" s="1"/>
  <c r="F7"/>
  <c r="H7" s="1"/>
  <c r="G9" i="99"/>
  <c r="G7"/>
  <c r="G23"/>
  <c r="G22"/>
  <c r="G15"/>
  <c r="G14"/>
  <c r="G13"/>
  <c r="G23" i="98"/>
  <c r="G22"/>
  <c r="G15"/>
  <c r="G14"/>
  <c r="G13"/>
  <c r="G23" i="36"/>
  <c r="G22"/>
  <c r="G15"/>
  <c r="G14"/>
  <c r="G13"/>
  <c r="G9" i="98"/>
  <c r="G9" i="36"/>
  <c r="G7"/>
  <c r="G7" i="98"/>
  <c r="M26" i="99"/>
  <c r="L26"/>
  <c r="F23"/>
  <c r="H23" s="1"/>
  <c r="F22"/>
  <c r="H22" s="1"/>
  <c r="M15"/>
  <c r="F15"/>
  <c r="H15" s="1"/>
  <c r="M14"/>
  <c r="F14"/>
  <c r="H14" s="1"/>
  <c r="M13"/>
  <c r="M16" s="1"/>
  <c r="M27" s="1"/>
  <c r="F13"/>
  <c r="H13" s="1"/>
  <c r="L9"/>
  <c r="L16" s="1"/>
  <c r="L27" s="1"/>
  <c r="F9"/>
  <c r="H9" s="1"/>
  <c r="F7"/>
  <c r="H7" s="1"/>
  <c r="L26" i="98"/>
  <c r="F23"/>
  <c r="H23" s="1"/>
  <c r="M26"/>
  <c r="F22"/>
  <c r="H22" s="1"/>
  <c r="M15"/>
  <c r="F15"/>
  <c r="H15" s="1"/>
  <c r="M14"/>
  <c r="F14"/>
  <c r="H14" s="1"/>
  <c r="M13"/>
  <c r="M16" s="1"/>
  <c r="M27" s="1"/>
  <c r="F13"/>
  <c r="H13" s="1"/>
  <c r="L9"/>
  <c r="F9"/>
  <c r="H9" s="1"/>
  <c r="F7"/>
  <c r="H7" s="1"/>
  <c r="L26" i="36"/>
  <c r="F23"/>
  <c r="H23" s="1"/>
  <c r="M26"/>
  <c r="F22"/>
  <c r="H22" s="1"/>
  <c r="M15"/>
  <c r="F15"/>
  <c r="H15" s="1"/>
  <c r="M14"/>
  <c r="F14"/>
  <c r="H14" s="1"/>
  <c r="M13"/>
  <c r="M16" s="1"/>
  <c r="M27" s="1"/>
  <c r="F13"/>
  <c r="H13" s="1"/>
  <c r="L9"/>
  <c r="L16" s="1"/>
  <c r="F9"/>
  <c r="H9" s="1"/>
  <c r="F7"/>
  <c r="H7" s="1"/>
  <c r="F7" i="90"/>
  <c r="M13" i="92"/>
  <c r="M26"/>
  <c r="M23" i="91"/>
  <c r="M22"/>
  <c r="M26" s="1"/>
  <c r="M15"/>
  <c r="M14"/>
  <c r="M13"/>
  <c r="M16" s="1"/>
  <c r="M27" s="1"/>
  <c r="M13" i="89"/>
  <c r="M23" i="88"/>
  <c r="M22"/>
  <c r="M15"/>
  <c r="M14"/>
  <c r="M13"/>
  <c r="M16" s="1"/>
  <c r="G35" i="97"/>
  <c r="G17"/>
  <c r="G14"/>
  <c r="G17" i="96"/>
  <c r="G14"/>
  <c r="G35" i="95"/>
  <c r="F23"/>
  <c r="G23"/>
  <c r="M23" s="1"/>
  <c r="H23"/>
  <c r="I23"/>
  <c r="J23"/>
  <c r="K23"/>
  <c r="G18"/>
  <c r="G17"/>
  <c r="G15"/>
  <c r="G14"/>
  <c r="I50" i="49"/>
  <c r="K32" i="84"/>
  <c r="L32"/>
  <c r="M32"/>
  <c r="N32"/>
  <c r="O47" i="83"/>
  <c r="K32"/>
  <c r="L32"/>
  <c r="M32"/>
  <c r="N32"/>
  <c r="J32"/>
  <c r="M26" i="88" l="1"/>
  <c r="M27"/>
  <c r="D4" i="107" s="1"/>
  <c r="C3" i="108"/>
  <c r="G15" i="96"/>
  <c r="G15" i="97" s="1"/>
  <c r="G18" i="96"/>
  <c r="J7" i="102"/>
  <c r="I7"/>
  <c r="J9"/>
  <c r="I9"/>
  <c r="K9" s="1"/>
  <c r="H15"/>
  <c r="H23"/>
  <c r="L9"/>
  <c r="L16" s="1"/>
  <c r="L27" s="1"/>
  <c r="M13"/>
  <c r="M14"/>
  <c r="H22"/>
  <c r="J7" i="101"/>
  <c r="I7"/>
  <c r="J9"/>
  <c r="I9"/>
  <c r="K9" s="1"/>
  <c r="H15"/>
  <c r="H23"/>
  <c r="L9"/>
  <c r="L16" s="1"/>
  <c r="L27" s="1"/>
  <c r="G13"/>
  <c r="M13" s="1"/>
  <c r="G14"/>
  <c r="M14" s="1"/>
  <c r="M26"/>
  <c r="J7" i="100"/>
  <c r="I7"/>
  <c r="J9"/>
  <c r="I9"/>
  <c r="K9" s="1"/>
  <c r="H15"/>
  <c r="H23"/>
  <c r="L9"/>
  <c r="L16" s="1"/>
  <c r="L27" s="1"/>
  <c r="G13"/>
  <c r="M13" s="1"/>
  <c r="G14"/>
  <c r="M14" s="1"/>
  <c r="G22"/>
  <c r="M26" s="1"/>
  <c r="H16" i="99"/>
  <c r="J7"/>
  <c r="I7"/>
  <c r="J9"/>
  <c r="I9"/>
  <c r="K9" s="1"/>
  <c r="J13"/>
  <c r="I13"/>
  <c r="K13" s="1"/>
  <c r="J14"/>
  <c r="I14"/>
  <c r="K14" s="1"/>
  <c r="J15"/>
  <c r="I15"/>
  <c r="K15" s="1"/>
  <c r="H26"/>
  <c r="J22"/>
  <c r="I22"/>
  <c r="J23"/>
  <c r="I23"/>
  <c r="K23" s="1"/>
  <c r="H16" i="98"/>
  <c r="J7"/>
  <c r="I7"/>
  <c r="J9"/>
  <c r="I9"/>
  <c r="K9" s="1"/>
  <c r="L16"/>
  <c r="L27" s="1"/>
  <c r="J13"/>
  <c r="I13"/>
  <c r="K13" s="1"/>
  <c r="J14"/>
  <c r="I14"/>
  <c r="K14" s="1"/>
  <c r="J15"/>
  <c r="I15"/>
  <c r="K15" s="1"/>
  <c r="H26"/>
  <c r="J22"/>
  <c r="I22"/>
  <c r="J23"/>
  <c r="I23"/>
  <c r="K23" s="1"/>
  <c r="H16" i="36"/>
  <c r="J7"/>
  <c r="I7"/>
  <c r="J9"/>
  <c r="I9"/>
  <c r="K9" s="1"/>
  <c r="L27"/>
  <c r="J13"/>
  <c r="I13"/>
  <c r="K13" s="1"/>
  <c r="J14"/>
  <c r="I14"/>
  <c r="K14" s="1"/>
  <c r="J15"/>
  <c r="I15"/>
  <c r="K15" s="1"/>
  <c r="H26"/>
  <c r="J22"/>
  <c r="I22"/>
  <c r="J23"/>
  <c r="I23"/>
  <c r="K23" s="1"/>
  <c r="G18" i="97"/>
  <c r="H26" i="102" l="1"/>
  <c r="J22"/>
  <c r="I22"/>
  <c r="J23"/>
  <c r="I23"/>
  <c r="K23" s="1"/>
  <c r="J15"/>
  <c r="I15"/>
  <c r="K15" s="1"/>
  <c r="M16"/>
  <c r="M27" s="1"/>
  <c r="H14"/>
  <c r="H13"/>
  <c r="K7"/>
  <c r="J23" i="101"/>
  <c r="I23"/>
  <c r="K23" s="1"/>
  <c r="J15"/>
  <c r="I15"/>
  <c r="K15" s="1"/>
  <c r="M16"/>
  <c r="M27" s="1"/>
  <c r="H22"/>
  <c r="H14"/>
  <c r="H13"/>
  <c r="K7"/>
  <c r="J23" i="100"/>
  <c r="I23"/>
  <c r="K23" s="1"/>
  <c r="J15"/>
  <c r="I15"/>
  <c r="K15" s="1"/>
  <c r="M16"/>
  <c r="M27" s="1"/>
  <c r="H22"/>
  <c r="H14"/>
  <c r="H13"/>
  <c r="K7"/>
  <c r="I26" i="99"/>
  <c r="J26"/>
  <c r="K22"/>
  <c r="K26" s="1"/>
  <c r="I16"/>
  <c r="I27" s="1"/>
  <c r="J16"/>
  <c r="J27" s="1"/>
  <c r="K7"/>
  <c r="K16" s="1"/>
  <c r="K27" s="1"/>
  <c r="H27"/>
  <c r="I26" i="98"/>
  <c r="J26"/>
  <c r="K22"/>
  <c r="K26" s="1"/>
  <c r="I16"/>
  <c r="I27" s="1"/>
  <c r="J16"/>
  <c r="J27" s="1"/>
  <c r="K7"/>
  <c r="K16" s="1"/>
  <c r="K27" s="1"/>
  <c r="H27"/>
  <c r="I26" i="36"/>
  <c r="J26"/>
  <c r="K22"/>
  <c r="K26" s="1"/>
  <c r="I16"/>
  <c r="I27" s="1"/>
  <c r="J16"/>
  <c r="J27" s="1"/>
  <c r="K7"/>
  <c r="K16" s="1"/>
  <c r="K27" s="1"/>
  <c r="H27"/>
  <c r="J13" i="102" l="1"/>
  <c r="I13"/>
  <c r="H16"/>
  <c r="H27" s="1"/>
  <c r="J14"/>
  <c r="I14"/>
  <c r="K14" s="1"/>
  <c r="I26"/>
  <c r="J26"/>
  <c r="K22"/>
  <c r="K26" s="1"/>
  <c r="J13" i="101"/>
  <c r="I13"/>
  <c r="H16"/>
  <c r="J14"/>
  <c r="I14"/>
  <c r="K14" s="1"/>
  <c r="H26"/>
  <c r="J22"/>
  <c r="J26" s="1"/>
  <c r="I22"/>
  <c r="I26" s="1"/>
  <c r="J13" i="100"/>
  <c r="I13"/>
  <c r="J14"/>
  <c r="I14"/>
  <c r="K14" s="1"/>
  <c r="H26"/>
  <c r="J22"/>
  <c r="J26" s="1"/>
  <c r="I22"/>
  <c r="I26" s="1"/>
  <c r="I16" i="102" l="1"/>
  <c r="I27" s="1"/>
  <c r="J16"/>
  <c r="J27" s="1"/>
  <c r="K13"/>
  <c r="K16" s="1"/>
  <c r="K27" s="1"/>
  <c r="K22" i="101"/>
  <c r="K26" s="1"/>
  <c r="H27"/>
  <c r="I16"/>
  <c r="I27" s="1"/>
  <c r="J16"/>
  <c r="J27" s="1"/>
  <c r="K13"/>
  <c r="K16" s="1"/>
  <c r="K27" s="1"/>
  <c r="K22" i="100"/>
  <c r="H27"/>
  <c r="I16"/>
  <c r="I27" s="1"/>
  <c r="J16"/>
  <c r="J27" s="1"/>
  <c r="K13"/>
  <c r="K16" s="1"/>
  <c r="K27" s="1"/>
  <c r="I29" i="87" l="1"/>
  <c r="G40" i="94"/>
  <c r="G42" i="8"/>
  <c r="G42" i="93" s="1"/>
  <c r="G41" i="8"/>
  <c r="G41" i="93" s="1"/>
  <c r="G40" i="8"/>
  <c r="G40" i="93" s="1"/>
  <c r="G39" i="8"/>
  <c r="G39" i="93" s="1"/>
  <c r="G38" i="8"/>
  <c r="G38" i="93" s="1"/>
  <c r="G37" i="8"/>
  <c r="G37" i="93" s="1"/>
  <c r="G18"/>
  <c r="G30" i="8"/>
  <c r="G29"/>
  <c r="G18"/>
  <c r="G9" i="94"/>
  <c r="G21" s="1"/>
  <c r="Q10" i="86"/>
  <c r="G9" i="92"/>
  <c r="L9" s="1"/>
  <c r="G9" i="91"/>
  <c r="G23" i="89"/>
  <c r="G22"/>
  <c r="M26" s="1"/>
  <c r="G9"/>
  <c r="G15"/>
  <c r="G14"/>
  <c r="L9"/>
  <c r="E15" i="49"/>
  <c r="I15"/>
  <c r="G9" i="88"/>
  <c r="G13" i="51"/>
  <c r="G7"/>
  <c r="L26" i="89"/>
  <c r="F23"/>
  <c r="H23" s="1"/>
  <c r="F22"/>
  <c r="H22" s="1"/>
  <c r="F15"/>
  <c r="H15" s="1"/>
  <c r="F14"/>
  <c r="H14" s="1"/>
  <c r="F13"/>
  <c r="H13" s="1"/>
  <c r="F9"/>
  <c r="F7"/>
  <c r="H7" s="1"/>
  <c r="L26" i="88"/>
  <c r="F23"/>
  <c r="H23" s="1"/>
  <c r="F22"/>
  <c r="H22" s="1"/>
  <c r="F15"/>
  <c r="H15" s="1"/>
  <c r="F14"/>
  <c r="H14" s="1"/>
  <c r="F13"/>
  <c r="H13" s="1"/>
  <c r="F9"/>
  <c r="H9" s="1"/>
  <c r="F7"/>
  <c r="H7" s="1"/>
  <c r="M14" i="89" l="1"/>
  <c r="H16" i="106"/>
  <c r="M15" i="89"/>
  <c r="H19" i="106"/>
  <c r="L9" i="88"/>
  <c r="C4" i="107"/>
  <c r="G18" i="94"/>
  <c r="G20"/>
  <c r="H9" i="89"/>
  <c r="I9" s="1"/>
  <c r="I15"/>
  <c r="J15"/>
  <c r="H26"/>
  <c r="J22"/>
  <c r="I22"/>
  <c r="H16"/>
  <c r="I7"/>
  <c r="J7"/>
  <c r="J9"/>
  <c r="I13"/>
  <c r="J13"/>
  <c r="J14"/>
  <c r="I14"/>
  <c r="I23"/>
  <c r="J23"/>
  <c r="L16"/>
  <c r="L27" s="1"/>
  <c r="H16" i="88"/>
  <c r="J7"/>
  <c r="I7"/>
  <c r="I9"/>
  <c r="J9"/>
  <c r="I13"/>
  <c r="J13"/>
  <c r="K13" s="1"/>
  <c r="I14"/>
  <c r="J14"/>
  <c r="I15"/>
  <c r="J15"/>
  <c r="K15" s="1"/>
  <c r="H26"/>
  <c r="I22"/>
  <c r="J22"/>
  <c r="I23"/>
  <c r="J23"/>
  <c r="L16"/>
  <c r="L27" s="1"/>
  <c r="L26" i="51"/>
  <c r="M23"/>
  <c r="F23"/>
  <c r="H23" s="1"/>
  <c r="M22"/>
  <c r="M26" s="1"/>
  <c r="F22"/>
  <c r="H22" s="1"/>
  <c r="M15"/>
  <c r="F15"/>
  <c r="H15" s="1"/>
  <c r="M14"/>
  <c r="F14"/>
  <c r="H14" s="1"/>
  <c r="M13"/>
  <c r="M16" s="1"/>
  <c r="M27" s="1"/>
  <c r="F13"/>
  <c r="H13" s="1"/>
  <c r="L9"/>
  <c r="F9"/>
  <c r="H9" s="1"/>
  <c r="J9" s="1"/>
  <c r="L16"/>
  <c r="L27" s="1"/>
  <c r="F7"/>
  <c r="H7" s="1"/>
  <c r="H16" s="1"/>
  <c r="H26" i="87"/>
  <c r="H25"/>
  <c r="I22" i="49"/>
  <c r="H18" i="87"/>
  <c r="H17"/>
  <c r="H11"/>
  <c r="H12"/>
  <c r="M12" s="1"/>
  <c r="H16" i="85"/>
  <c r="N16" s="1"/>
  <c r="H7"/>
  <c r="M29"/>
  <c r="N26"/>
  <c r="G26"/>
  <c r="I26" s="1"/>
  <c r="N25"/>
  <c r="N29" s="1"/>
  <c r="I25"/>
  <c r="G25"/>
  <c r="N18"/>
  <c r="G18"/>
  <c r="I18" s="1"/>
  <c r="N17"/>
  <c r="G17"/>
  <c r="I17" s="1"/>
  <c r="G16"/>
  <c r="M12"/>
  <c r="G12"/>
  <c r="I12" s="1"/>
  <c r="M11"/>
  <c r="G11"/>
  <c r="I11" s="1"/>
  <c r="G10"/>
  <c r="I10" s="1"/>
  <c r="G7"/>
  <c r="I7" s="1"/>
  <c r="J7" s="1"/>
  <c r="M29" i="87"/>
  <c r="G26"/>
  <c r="I26" s="1"/>
  <c r="N29"/>
  <c r="G25"/>
  <c r="I25" s="1"/>
  <c r="N18"/>
  <c r="G18"/>
  <c r="I18" s="1"/>
  <c r="N17"/>
  <c r="G17"/>
  <c r="I17" s="1"/>
  <c r="N16"/>
  <c r="N19" s="1"/>
  <c r="N30" s="1"/>
  <c r="G16"/>
  <c r="I16" s="1"/>
  <c r="G12"/>
  <c r="M11"/>
  <c r="G11"/>
  <c r="I11" s="1"/>
  <c r="H10"/>
  <c r="Q10" s="1"/>
  <c r="R10" s="1"/>
  <c r="G10"/>
  <c r="G7"/>
  <c r="I7" s="1"/>
  <c r="J7" s="1"/>
  <c r="N26" i="86"/>
  <c r="N29" s="1"/>
  <c r="N25"/>
  <c r="M29"/>
  <c r="H11"/>
  <c r="H12"/>
  <c r="H42" i="49"/>
  <c r="H44"/>
  <c r="H43"/>
  <c r="H41"/>
  <c r="H40"/>
  <c r="I45"/>
  <c r="H18"/>
  <c r="I23"/>
  <c r="H22"/>
  <c r="H19"/>
  <c r="I19" i="83" s="1"/>
  <c r="O19" s="1"/>
  <c r="I19" i="84"/>
  <c r="H10" i="86"/>
  <c r="E22" i="49"/>
  <c r="G26" i="86"/>
  <c r="I26" s="1"/>
  <c r="G25"/>
  <c r="I25" s="1"/>
  <c r="G18"/>
  <c r="G17"/>
  <c r="G16"/>
  <c r="G12"/>
  <c r="G11"/>
  <c r="G10"/>
  <c r="G7"/>
  <c r="K46" i="84"/>
  <c r="L46"/>
  <c r="M46"/>
  <c r="N46"/>
  <c r="O46"/>
  <c r="P46"/>
  <c r="I42"/>
  <c r="I43"/>
  <c r="I41"/>
  <c r="I40"/>
  <c r="I39"/>
  <c r="I38"/>
  <c r="I31"/>
  <c r="I30"/>
  <c r="P30" s="1"/>
  <c r="I28"/>
  <c r="I23"/>
  <c r="P31"/>
  <c r="H31"/>
  <c r="J31" s="1"/>
  <c r="P31" i="10"/>
  <c r="H31"/>
  <c r="J31" s="1"/>
  <c r="P31" i="83"/>
  <c r="H31"/>
  <c r="J31" s="1"/>
  <c r="L13" i="49"/>
  <c r="O46" i="83"/>
  <c r="I23"/>
  <c r="L19" i="49"/>
  <c r="I12" i="83"/>
  <c r="O23" i="84"/>
  <c r="J17" i="49"/>
  <c r="I17"/>
  <c r="O23" i="10"/>
  <c r="H23" i="84"/>
  <c r="J23" s="1"/>
  <c r="O23" i="83"/>
  <c r="H23"/>
  <c r="H23" i="10"/>
  <c r="J23" s="1"/>
  <c r="H27" i="89" l="1"/>
  <c r="E5" i="107"/>
  <c r="E31"/>
  <c r="K9" i="89"/>
  <c r="K22"/>
  <c r="M16"/>
  <c r="E4" i="107"/>
  <c r="B13" s="1"/>
  <c r="E30"/>
  <c r="E32" s="1"/>
  <c r="C5" i="108"/>
  <c r="K7" i="88"/>
  <c r="I16"/>
  <c r="B4" i="107" s="1"/>
  <c r="K23" i="88"/>
  <c r="J26"/>
  <c r="K14"/>
  <c r="K9"/>
  <c r="K23" i="89"/>
  <c r="K26" s="1"/>
  <c r="K13"/>
  <c r="K7"/>
  <c r="K15"/>
  <c r="K14"/>
  <c r="K16" i="88"/>
  <c r="K16" i="89"/>
  <c r="J16"/>
  <c r="I26"/>
  <c r="F5" i="107" s="1"/>
  <c r="J26" i="89"/>
  <c r="I16"/>
  <c r="I27" s="1"/>
  <c r="I26" i="88"/>
  <c r="F4" i="107" s="1"/>
  <c r="H27" i="88"/>
  <c r="K22"/>
  <c r="K26" s="1"/>
  <c r="J16"/>
  <c r="J27" s="1"/>
  <c r="I13" i="51"/>
  <c r="J13"/>
  <c r="I14"/>
  <c r="J14"/>
  <c r="K14" s="1"/>
  <c r="I15"/>
  <c r="J15"/>
  <c r="H26"/>
  <c r="I22"/>
  <c r="J22"/>
  <c r="I23"/>
  <c r="J23"/>
  <c r="I7"/>
  <c r="J7"/>
  <c r="J16" s="1"/>
  <c r="I9"/>
  <c r="K9"/>
  <c r="I10" i="87"/>
  <c r="I29" i="86"/>
  <c r="N19" i="85"/>
  <c r="N30" s="1"/>
  <c r="I12" i="87"/>
  <c r="J12" s="1"/>
  <c r="I16" i="85"/>
  <c r="J16" s="1"/>
  <c r="K10"/>
  <c r="J10"/>
  <c r="K12"/>
  <c r="J12"/>
  <c r="J18"/>
  <c r="L18" s="1"/>
  <c r="K18"/>
  <c r="I29"/>
  <c r="K11"/>
  <c r="J11"/>
  <c r="K26"/>
  <c r="J26"/>
  <c r="K7"/>
  <c r="L7" s="1"/>
  <c r="M10"/>
  <c r="M19" s="1"/>
  <c r="M30" s="1"/>
  <c r="J17"/>
  <c r="I19"/>
  <c r="K25"/>
  <c r="K17"/>
  <c r="J25"/>
  <c r="J29" s="1"/>
  <c r="K10" i="87"/>
  <c r="J10"/>
  <c r="K12"/>
  <c r="J16"/>
  <c r="K16"/>
  <c r="J18"/>
  <c r="K18"/>
  <c r="K11"/>
  <c r="J11"/>
  <c r="K26"/>
  <c r="J26"/>
  <c r="K7"/>
  <c r="L7" s="1"/>
  <c r="M10"/>
  <c r="M30" s="1"/>
  <c r="C7" i="108" s="1"/>
  <c r="J17" i="87"/>
  <c r="L17" s="1"/>
  <c r="I19"/>
  <c r="K25"/>
  <c r="K29" s="1"/>
  <c r="K17"/>
  <c r="J25"/>
  <c r="R10" i="86"/>
  <c r="J25"/>
  <c r="L25" s="1"/>
  <c r="K25"/>
  <c r="J26"/>
  <c r="K26"/>
  <c r="I12"/>
  <c r="J12" s="1"/>
  <c r="M12"/>
  <c r="L31" i="83"/>
  <c r="N31"/>
  <c r="K31"/>
  <c r="K31" i="84"/>
  <c r="L31"/>
  <c r="L31" i="10"/>
  <c r="K31"/>
  <c r="J23" i="83"/>
  <c r="L23" i="84"/>
  <c r="K23"/>
  <c r="L23" i="10"/>
  <c r="K23"/>
  <c r="C5" i="109" l="1"/>
  <c r="C11" s="1"/>
  <c r="M27" i="89"/>
  <c r="B5" i="107"/>
  <c r="B12" s="1"/>
  <c r="K27" i="89"/>
  <c r="D31" i="107" s="1"/>
  <c r="J27" i="89"/>
  <c r="I27" i="88"/>
  <c r="K27"/>
  <c r="D30" i="107" s="1"/>
  <c r="K23" i="51"/>
  <c r="K15"/>
  <c r="K13"/>
  <c r="I26"/>
  <c r="K7"/>
  <c r="I16"/>
  <c r="I27" s="1"/>
  <c r="H27"/>
  <c r="J26"/>
  <c r="K22"/>
  <c r="K26" s="1"/>
  <c r="J27"/>
  <c r="L16" i="87"/>
  <c r="L12"/>
  <c r="L26"/>
  <c r="L18"/>
  <c r="L10"/>
  <c r="K12" i="86"/>
  <c r="L12" i="85"/>
  <c r="L10"/>
  <c r="K16"/>
  <c r="L16"/>
  <c r="K29"/>
  <c r="L17"/>
  <c r="L26"/>
  <c r="I30"/>
  <c r="J29" i="87"/>
  <c r="I30"/>
  <c r="J19"/>
  <c r="J30" s="1"/>
  <c r="J19" i="85"/>
  <c r="J30" s="1"/>
  <c r="K19"/>
  <c r="K30" s="1"/>
  <c r="L25"/>
  <c r="L29" s="1"/>
  <c r="L11"/>
  <c r="L19" s="1"/>
  <c r="L25" i="87"/>
  <c r="K19"/>
  <c r="K30" s="1"/>
  <c r="L11"/>
  <c r="L26" i="86"/>
  <c r="L29" s="1"/>
  <c r="K29"/>
  <c r="J29"/>
  <c r="L12"/>
  <c r="L23" i="83"/>
  <c r="N31" i="84"/>
  <c r="N23"/>
  <c r="N31" i="10"/>
  <c r="K23" i="83"/>
  <c r="N23" i="10"/>
  <c r="B14" i="107" l="1"/>
  <c r="B15" s="1"/>
  <c r="G23" s="1"/>
  <c r="D32"/>
  <c r="K16" i="51"/>
  <c r="K27"/>
  <c r="L29" i="87"/>
  <c r="L19"/>
  <c r="L30" i="85"/>
  <c r="N23" i="83"/>
  <c r="L30" i="87" l="1"/>
  <c r="I11" i="84"/>
  <c r="E19" i="49"/>
  <c r="I11" i="83"/>
  <c r="I10"/>
  <c r="E23" i="49"/>
  <c r="I22" i="83"/>
  <c r="I22" i="84"/>
  <c r="I21"/>
  <c r="I21" i="83"/>
  <c r="I13" i="84"/>
  <c r="I13" i="83"/>
  <c r="K23" i="49"/>
  <c r="I12" i="84"/>
  <c r="O10" i="83" l="1"/>
  <c r="J16" i="49"/>
  <c r="U9" i="83"/>
  <c r="G50" i="49" l="1"/>
  <c r="H15"/>
  <c r="H16"/>
  <c r="H17"/>
  <c r="H20"/>
  <c r="H21"/>
  <c r="G13" i="90"/>
  <c r="M13" s="1"/>
  <c r="G14" i="92"/>
  <c r="M14" s="1"/>
  <c r="G15"/>
  <c r="E41" i="49"/>
  <c r="G21" i="8"/>
  <c r="L21"/>
  <c r="L15" i="95"/>
  <c r="L18"/>
  <c r="O11" i="83"/>
  <c r="O22"/>
  <c r="O12"/>
  <c r="O13"/>
  <c r="M10" i="86"/>
  <c r="M11"/>
  <c r="G9" i="8"/>
  <c r="G12" i="93"/>
  <c r="L12" s="1"/>
  <c r="G14"/>
  <c r="L14"/>
  <c r="G20" i="8"/>
  <c r="G21" i="93"/>
  <c r="L21"/>
  <c r="G13"/>
  <c r="L13"/>
  <c r="G24"/>
  <c r="L24"/>
  <c r="G9" i="95"/>
  <c r="G10" i="96"/>
  <c r="L9" i="91"/>
  <c r="I10" i="84"/>
  <c r="O10" s="1"/>
  <c r="O11"/>
  <c r="O22"/>
  <c r="O12"/>
  <c r="O13"/>
  <c r="I14"/>
  <c r="O14" s="1"/>
  <c r="I15"/>
  <c r="O15" s="1"/>
  <c r="I17"/>
  <c r="O17" s="1"/>
  <c r="G9" i="93"/>
  <c r="L9" s="1"/>
  <c r="G12" i="94"/>
  <c r="L12"/>
  <c r="G14"/>
  <c r="L14"/>
  <c r="L21"/>
  <c r="G13"/>
  <c r="L13"/>
  <c r="G24"/>
  <c r="L24"/>
  <c r="G9" i="96"/>
  <c r="G10" i="97"/>
  <c r="L10"/>
  <c r="L15"/>
  <c r="L18"/>
  <c r="I27" i="10"/>
  <c r="G28" i="8"/>
  <c r="G22" i="95"/>
  <c r="M22" s="1"/>
  <c r="H39" i="49"/>
  <c r="G30" i="93"/>
  <c r="M30" s="1"/>
  <c r="G24" i="95"/>
  <c r="M24" s="1"/>
  <c r="G24" i="96"/>
  <c r="G24" i="97" s="1"/>
  <c r="M24" s="1"/>
  <c r="G30" i="94"/>
  <c r="M30" s="1"/>
  <c r="I8" i="104"/>
  <c r="J8" s="1"/>
  <c r="I9"/>
  <c r="J9"/>
  <c r="L9" s="1"/>
  <c r="G31" i="95"/>
  <c r="I11" i="104"/>
  <c r="J11" s="1"/>
  <c r="I16"/>
  <c r="J16" s="1"/>
  <c r="I20"/>
  <c r="J20" s="1"/>
  <c r="I5"/>
  <c r="J5" s="1"/>
  <c r="J12"/>
  <c r="L12" s="1"/>
  <c r="M12" s="1"/>
  <c r="I17"/>
  <c r="J17"/>
  <c r="K17" s="1"/>
  <c r="I19"/>
  <c r="J19" s="1"/>
  <c r="K12"/>
  <c r="L17"/>
  <c r="G28" i="93"/>
  <c r="M28" s="1"/>
  <c r="G22" i="96"/>
  <c r="I16" i="105"/>
  <c r="J16" s="1"/>
  <c r="I8"/>
  <c r="J8" s="1"/>
  <c r="I9"/>
  <c r="J9" s="1"/>
  <c r="I10"/>
  <c r="J10" s="1"/>
  <c r="G31" i="96"/>
  <c r="I11" i="105"/>
  <c r="J11" s="1"/>
  <c r="I17"/>
  <c r="J17" s="1"/>
  <c r="I19"/>
  <c r="J19" s="1"/>
  <c r="I20"/>
  <c r="J20" s="1"/>
  <c r="I5"/>
  <c r="J5"/>
  <c r="J12"/>
  <c r="K5"/>
  <c r="K12"/>
  <c r="L5"/>
  <c r="L12"/>
  <c r="G28" i="94"/>
  <c r="M28" s="1"/>
  <c r="G22" i="97"/>
  <c r="M22" s="1"/>
  <c r="I6" i="106"/>
  <c r="J6" s="1"/>
  <c r="G9" i="97"/>
  <c r="I8" i="106"/>
  <c r="J8" s="1"/>
  <c r="I9"/>
  <c r="J9" s="1"/>
  <c r="I10"/>
  <c r="J10" s="1"/>
  <c r="G37" i="94"/>
  <c r="G31" i="97"/>
  <c r="I15" i="106"/>
  <c r="J15" s="1"/>
  <c r="I16"/>
  <c r="J16" s="1"/>
  <c r="I17"/>
  <c r="J17" s="1"/>
  <c r="G23" i="92"/>
  <c r="I19" i="106" s="1"/>
  <c r="J19" s="1"/>
  <c r="I29" i="84"/>
  <c r="I20" i="106"/>
  <c r="J20" s="1"/>
  <c r="I5"/>
  <c r="J5"/>
  <c r="J12"/>
  <c r="K5"/>
  <c r="K12"/>
  <c r="L5"/>
  <c r="L12"/>
  <c r="M21" i="104"/>
  <c r="M5" i="105"/>
  <c r="M12"/>
  <c r="M21"/>
  <c r="M5" i="106"/>
  <c r="M12"/>
  <c r="M21"/>
  <c r="P27" i="10"/>
  <c r="P28"/>
  <c r="P29"/>
  <c r="P30"/>
  <c r="M28" i="8"/>
  <c r="M29"/>
  <c r="M30"/>
  <c r="G29" i="93"/>
  <c r="M29" s="1"/>
  <c r="M22" i="96"/>
  <c r="G23"/>
  <c r="M23"/>
  <c r="M24"/>
  <c r="P27" i="83"/>
  <c r="P28"/>
  <c r="P29"/>
  <c r="P30"/>
  <c r="P32" s="1"/>
  <c r="N16" i="86"/>
  <c r="N17"/>
  <c r="N18"/>
  <c r="P28" i="84"/>
  <c r="P32" s="1"/>
  <c r="P29"/>
  <c r="P27"/>
  <c r="G29" i="94"/>
  <c r="M29" s="1"/>
  <c r="G23" i="97"/>
  <c r="M23" s="1"/>
  <c r="I7" i="10"/>
  <c r="H7"/>
  <c r="J7"/>
  <c r="K7" s="1"/>
  <c r="H27"/>
  <c r="J27"/>
  <c r="K27" s="1"/>
  <c r="H10"/>
  <c r="J10"/>
  <c r="H11"/>
  <c r="J11"/>
  <c r="H12"/>
  <c r="J12"/>
  <c r="H13"/>
  <c r="J13"/>
  <c r="H14"/>
  <c r="J14"/>
  <c r="H15"/>
  <c r="J15"/>
  <c r="H16"/>
  <c r="J16"/>
  <c r="H17"/>
  <c r="J17"/>
  <c r="H28"/>
  <c r="J28"/>
  <c r="H29"/>
  <c r="J29"/>
  <c r="H30"/>
  <c r="J30"/>
  <c r="K10"/>
  <c r="K11"/>
  <c r="K12"/>
  <c r="K13"/>
  <c r="K14"/>
  <c r="K15"/>
  <c r="K16"/>
  <c r="K17"/>
  <c r="K28"/>
  <c r="K29"/>
  <c r="K30"/>
  <c r="L27"/>
  <c r="L10"/>
  <c r="L11"/>
  <c r="L12"/>
  <c r="L13"/>
  <c r="L14"/>
  <c r="L15"/>
  <c r="L16"/>
  <c r="L17"/>
  <c r="L28"/>
  <c r="L29"/>
  <c r="L30"/>
  <c r="G7" i="8"/>
  <c r="G7" i="95"/>
  <c r="G7" i="90"/>
  <c r="G12" i="95"/>
  <c r="G32"/>
  <c r="G33"/>
  <c r="G34"/>
  <c r="G36"/>
  <c r="H19" i="10"/>
  <c r="J19" s="1"/>
  <c r="H21"/>
  <c r="J21" s="1"/>
  <c r="H22"/>
  <c r="J22" s="1"/>
  <c r="H38"/>
  <c r="J38" s="1"/>
  <c r="H39"/>
  <c r="J39" s="1"/>
  <c r="H40"/>
  <c r="J40" s="1"/>
  <c r="H41"/>
  <c r="J41" s="1"/>
  <c r="H42"/>
  <c r="J42" s="1"/>
  <c r="H43"/>
  <c r="J43" s="1"/>
  <c r="H10" i="83"/>
  <c r="J10" s="1"/>
  <c r="K10" s="1"/>
  <c r="H11"/>
  <c r="J11" s="1"/>
  <c r="H12"/>
  <c r="J12" s="1"/>
  <c r="H13"/>
  <c r="J13" s="1"/>
  <c r="H7"/>
  <c r="J7" s="1"/>
  <c r="H14"/>
  <c r="J14" s="1"/>
  <c r="H15"/>
  <c r="J15" s="1"/>
  <c r="H16"/>
  <c r="J16" s="1"/>
  <c r="H17"/>
  <c r="J17" s="1"/>
  <c r="H27"/>
  <c r="J27" s="1"/>
  <c r="H28"/>
  <c r="J28" s="1"/>
  <c r="H29"/>
  <c r="J29" s="1"/>
  <c r="H30"/>
  <c r="J30" s="1"/>
  <c r="I10" i="86"/>
  <c r="I11"/>
  <c r="I7"/>
  <c r="I16"/>
  <c r="I17"/>
  <c r="I18"/>
  <c r="G7" i="93"/>
  <c r="G7" i="96"/>
  <c r="H19" i="83"/>
  <c r="J19" s="1"/>
  <c r="H21"/>
  <c r="J21" s="1"/>
  <c r="K21" s="1"/>
  <c r="H22"/>
  <c r="J22" s="1"/>
  <c r="H38"/>
  <c r="J38" s="1"/>
  <c r="H39"/>
  <c r="J39" s="1"/>
  <c r="H40"/>
  <c r="J40" s="1"/>
  <c r="K40" s="1"/>
  <c r="H41"/>
  <c r="J41" s="1"/>
  <c r="H42"/>
  <c r="J42" s="1"/>
  <c r="K42" s="1"/>
  <c r="H43"/>
  <c r="J43" s="1"/>
  <c r="G20" i="93"/>
  <c r="G12" i="96"/>
  <c r="G32"/>
  <c r="G33"/>
  <c r="G34"/>
  <c r="G35"/>
  <c r="G36"/>
  <c r="H10" i="84"/>
  <c r="J10" s="1"/>
  <c r="H11"/>
  <c r="J11" s="1"/>
  <c r="H12"/>
  <c r="J12" s="1"/>
  <c r="H13"/>
  <c r="J13" s="1"/>
  <c r="H14"/>
  <c r="J14" s="1"/>
  <c r="H15"/>
  <c r="J15" s="1"/>
  <c r="K15" s="1"/>
  <c r="H28"/>
  <c r="J28" s="1"/>
  <c r="H29"/>
  <c r="J29" s="1"/>
  <c r="H30"/>
  <c r="J30" s="1"/>
  <c r="H7"/>
  <c r="J7" s="1"/>
  <c r="H16"/>
  <c r="J16" s="1"/>
  <c r="H17"/>
  <c r="J17" s="1"/>
  <c r="K17" s="1"/>
  <c r="H27"/>
  <c r="J27" s="1"/>
  <c r="G7" i="94"/>
  <c r="G7" i="97"/>
  <c r="H19" i="84"/>
  <c r="J19" s="1"/>
  <c r="H21"/>
  <c r="J21" s="1"/>
  <c r="H22"/>
  <c r="J22" s="1"/>
  <c r="H38"/>
  <c r="J38" s="1"/>
  <c r="H39"/>
  <c r="J39"/>
  <c r="K39" s="1"/>
  <c r="H40"/>
  <c r="J40" s="1"/>
  <c r="H41"/>
  <c r="J41"/>
  <c r="K41" s="1"/>
  <c r="H42"/>
  <c r="H43"/>
  <c r="J43"/>
  <c r="K43" s="1"/>
  <c r="L41"/>
  <c r="L43"/>
  <c r="G38" i="94"/>
  <c r="G39"/>
  <c r="G41"/>
  <c r="G42"/>
  <c r="G12" i="97"/>
  <c r="G32"/>
  <c r="G33"/>
  <c r="G34"/>
  <c r="G36"/>
  <c r="G22" i="92"/>
  <c r="O10" i="10"/>
  <c r="O11"/>
  <c r="O22"/>
  <c r="O12"/>
  <c r="O13"/>
  <c r="O14"/>
  <c r="O15"/>
  <c r="O16"/>
  <c r="O17"/>
  <c r="O14" i="83"/>
  <c r="O15"/>
  <c r="O16"/>
  <c r="O17"/>
  <c r="O16" i="84"/>
  <c r="R32"/>
  <c r="B3" i="108"/>
  <c r="B4"/>
  <c r="B5"/>
  <c r="B6"/>
  <c r="B7"/>
  <c r="B8"/>
  <c r="B11" s="1"/>
  <c r="B9"/>
  <c r="B10"/>
  <c r="B3" i="109"/>
  <c r="B4"/>
  <c r="B5"/>
  <c r="B6"/>
  <c r="B7"/>
  <c r="B8"/>
  <c r="B9"/>
  <c r="B10"/>
  <c r="E7" i="108"/>
  <c r="O21" i="83"/>
  <c r="S32"/>
  <c r="O21" i="84"/>
  <c r="S32"/>
  <c r="L20" i="8"/>
  <c r="L20" i="93"/>
  <c r="L20" i="94"/>
  <c r="L17" i="95"/>
  <c r="L14"/>
  <c r="L17" i="97"/>
  <c r="L14"/>
  <c r="L23" i="93"/>
  <c r="P31"/>
  <c r="L16"/>
  <c r="O31"/>
  <c r="N10" i="10"/>
  <c r="N11"/>
  <c r="N12"/>
  <c r="N13"/>
  <c r="N14"/>
  <c r="N15"/>
  <c r="N16"/>
  <c r="N17"/>
  <c r="N28"/>
  <c r="N29"/>
  <c r="N30"/>
  <c r="L9" i="90"/>
  <c r="F9"/>
  <c r="H9"/>
  <c r="I9" s="1"/>
  <c r="F15"/>
  <c r="H15"/>
  <c r="I15"/>
  <c r="J15"/>
  <c r="F7" i="8"/>
  <c r="H7"/>
  <c r="F9"/>
  <c r="H9"/>
  <c r="F10"/>
  <c r="H10"/>
  <c r="F11"/>
  <c r="H11"/>
  <c r="F28"/>
  <c r="H28"/>
  <c r="F29"/>
  <c r="H29"/>
  <c r="F30"/>
  <c r="H30"/>
  <c r="F12"/>
  <c r="H12"/>
  <c r="F13"/>
  <c r="H13"/>
  <c r="F14"/>
  <c r="H14"/>
  <c r="F15"/>
  <c r="H15"/>
  <c r="F16"/>
  <c r="H16"/>
  <c r="I10"/>
  <c r="I12"/>
  <c r="I13"/>
  <c r="I14"/>
  <c r="I15"/>
  <c r="I16"/>
  <c r="J10"/>
  <c r="J12"/>
  <c r="J13"/>
  <c r="J14"/>
  <c r="J15"/>
  <c r="J16"/>
  <c r="F7" i="95"/>
  <c r="H7"/>
  <c r="F9"/>
  <c r="H9"/>
  <c r="F22"/>
  <c r="H22"/>
  <c r="F24"/>
  <c r="H24"/>
  <c r="F10"/>
  <c r="H10"/>
  <c r="I10"/>
  <c r="J10"/>
  <c r="F9" i="91"/>
  <c r="H9"/>
  <c r="F15"/>
  <c r="H15"/>
  <c r="I15" s="1"/>
  <c r="J15"/>
  <c r="F7" i="96"/>
  <c r="H7"/>
  <c r="F9"/>
  <c r="H9"/>
  <c r="F10"/>
  <c r="H10"/>
  <c r="F22"/>
  <c r="H22"/>
  <c r="F23"/>
  <c r="H23"/>
  <c r="F24"/>
  <c r="H24"/>
  <c r="F9" i="92"/>
  <c r="H9" s="1"/>
  <c r="F15"/>
  <c r="H15" s="1"/>
  <c r="F7" i="97"/>
  <c r="H7"/>
  <c r="F9"/>
  <c r="H9"/>
  <c r="F10"/>
  <c r="H10"/>
  <c r="F22"/>
  <c r="H22"/>
  <c r="F23"/>
  <c r="H23"/>
  <c r="F24"/>
  <c r="F12" i="96"/>
  <c r="H12"/>
  <c r="F17"/>
  <c r="H17"/>
  <c r="F18"/>
  <c r="H18"/>
  <c r="F31"/>
  <c r="H31"/>
  <c r="F32"/>
  <c r="H32"/>
  <c r="F33"/>
  <c r="H33"/>
  <c r="F34"/>
  <c r="H34"/>
  <c r="F35"/>
  <c r="H35"/>
  <c r="F36"/>
  <c r="H36"/>
  <c r="F14"/>
  <c r="H14"/>
  <c r="F15"/>
  <c r="H15"/>
  <c r="F23" i="91"/>
  <c r="H23" s="1"/>
  <c r="F22"/>
  <c r="H22" s="1"/>
  <c r="F12" i="97"/>
  <c r="H12"/>
  <c r="F17"/>
  <c r="H17"/>
  <c r="F18"/>
  <c r="H18"/>
  <c r="F31"/>
  <c r="H31"/>
  <c r="F32"/>
  <c r="H32"/>
  <c r="F33"/>
  <c r="H33"/>
  <c r="F34"/>
  <c r="H34"/>
  <c r="F35"/>
  <c r="F36"/>
  <c r="H36"/>
  <c r="F14"/>
  <c r="H14"/>
  <c r="F15"/>
  <c r="H15"/>
  <c r="F22" i="92"/>
  <c r="H22" s="1"/>
  <c r="F23"/>
  <c r="H23" s="1"/>
  <c r="F18" i="8"/>
  <c r="H18"/>
  <c r="F23"/>
  <c r="H23"/>
  <c r="F24"/>
  <c r="H24"/>
  <c r="F37"/>
  <c r="H37"/>
  <c r="F38"/>
  <c r="H38"/>
  <c r="F39"/>
  <c r="H39"/>
  <c r="F40"/>
  <c r="H40"/>
  <c r="F41"/>
  <c r="H41"/>
  <c r="F42"/>
  <c r="H42"/>
  <c r="F20"/>
  <c r="H20"/>
  <c r="F21"/>
  <c r="H21"/>
  <c r="I23"/>
  <c r="I24"/>
  <c r="J23"/>
  <c r="J24"/>
  <c r="F12" i="95"/>
  <c r="H12"/>
  <c r="F17"/>
  <c r="H17"/>
  <c r="F18"/>
  <c r="H18"/>
  <c r="F31"/>
  <c r="H31"/>
  <c r="F32"/>
  <c r="H32"/>
  <c r="F33"/>
  <c r="H33"/>
  <c r="F34"/>
  <c r="H34"/>
  <c r="F35"/>
  <c r="H35"/>
  <c r="F36"/>
  <c r="H36"/>
  <c r="F14"/>
  <c r="H14"/>
  <c r="F15"/>
  <c r="H15"/>
  <c r="F23" i="90"/>
  <c r="H23" s="1"/>
  <c r="F22"/>
  <c r="H22" s="1"/>
  <c r="O25" i="96"/>
  <c r="O25" i="97"/>
  <c r="L24" i="8"/>
  <c r="L12"/>
  <c r="L13"/>
  <c r="L14"/>
  <c r="L16"/>
  <c r="M15" i="90"/>
  <c r="M14"/>
  <c r="H23" i="49"/>
  <c r="H7" i="90"/>
  <c r="F13"/>
  <c r="H13"/>
  <c r="F14"/>
  <c r="H14"/>
  <c r="I14" s="1"/>
  <c r="J14"/>
  <c r="F7" i="91"/>
  <c r="H7" s="1"/>
  <c r="F13"/>
  <c r="H13" s="1"/>
  <c r="F14"/>
  <c r="H14" s="1"/>
  <c r="F7" i="92"/>
  <c r="H7" s="1"/>
  <c r="F13"/>
  <c r="H13" s="1"/>
  <c r="I13" s="1"/>
  <c r="F14"/>
  <c r="H14" s="1"/>
  <c r="M7" i="10"/>
  <c r="M27"/>
  <c r="M10"/>
  <c r="M11"/>
  <c r="M28"/>
  <c r="M29"/>
  <c r="M30"/>
  <c r="M10" i="83"/>
  <c r="M11"/>
  <c r="M7"/>
  <c r="M27"/>
  <c r="M28"/>
  <c r="M29"/>
  <c r="M30"/>
  <c r="M10" i="84"/>
  <c r="M11"/>
  <c r="M28"/>
  <c r="M29"/>
  <c r="M30"/>
  <c r="M7"/>
  <c r="M27"/>
  <c r="P25" i="97"/>
  <c r="P25" i="96"/>
  <c r="P25" i="95"/>
  <c r="L23" i="94"/>
  <c r="P31"/>
  <c r="L23" i="8"/>
  <c r="P31"/>
  <c r="D11" i="108"/>
  <c r="L9" i="96"/>
  <c r="L10"/>
  <c r="O46" i="10"/>
  <c r="L40" i="95"/>
  <c r="L26" i="92"/>
  <c r="L26" i="91"/>
  <c r="M23" i="90"/>
  <c r="M22"/>
  <c r="M26"/>
  <c r="L26"/>
  <c r="L16" i="94"/>
  <c r="O31"/>
  <c r="M39" i="84"/>
  <c r="M42"/>
  <c r="P38" i="83"/>
  <c r="P39"/>
  <c r="P40"/>
  <c r="P41"/>
  <c r="P42"/>
  <c r="P43"/>
  <c r="M39"/>
  <c r="M46" s="1"/>
  <c r="M42"/>
  <c r="M39" i="10"/>
  <c r="M42"/>
  <c r="M46"/>
  <c r="P38"/>
  <c r="P39"/>
  <c r="P46" s="1"/>
  <c r="P40"/>
  <c r="P41"/>
  <c r="P42"/>
  <c r="P43"/>
  <c r="F42" i="94"/>
  <c r="H42"/>
  <c r="F41"/>
  <c r="H41"/>
  <c r="F40"/>
  <c r="H40"/>
  <c r="F39"/>
  <c r="H39"/>
  <c r="F38"/>
  <c r="H38"/>
  <c r="F37"/>
  <c r="H37"/>
  <c r="F30"/>
  <c r="H30"/>
  <c r="F29"/>
  <c r="H29"/>
  <c r="F28"/>
  <c r="H28"/>
  <c r="F24"/>
  <c r="H24"/>
  <c r="F23"/>
  <c r="H23"/>
  <c r="F21"/>
  <c r="H21"/>
  <c r="F20"/>
  <c r="H20"/>
  <c r="F18"/>
  <c r="H18"/>
  <c r="F16"/>
  <c r="H16"/>
  <c r="F15"/>
  <c r="H15"/>
  <c r="F14"/>
  <c r="H14"/>
  <c r="F13"/>
  <c r="H13"/>
  <c r="F12"/>
  <c r="H12"/>
  <c r="F11"/>
  <c r="H11"/>
  <c r="F10"/>
  <c r="H10"/>
  <c r="F9"/>
  <c r="H9"/>
  <c r="F7"/>
  <c r="H7"/>
  <c r="F42" i="93"/>
  <c r="H42"/>
  <c r="F41"/>
  <c r="H41"/>
  <c r="F40"/>
  <c r="H40"/>
  <c r="F39"/>
  <c r="H39"/>
  <c r="F38"/>
  <c r="H38"/>
  <c r="F37"/>
  <c r="H37"/>
  <c r="F30"/>
  <c r="H30"/>
  <c r="F29"/>
  <c r="H29"/>
  <c r="F28"/>
  <c r="H28"/>
  <c r="F24"/>
  <c r="H24"/>
  <c r="F23"/>
  <c r="H23"/>
  <c r="F21"/>
  <c r="H21"/>
  <c r="F20"/>
  <c r="H20"/>
  <c r="F18"/>
  <c r="H18"/>
  <c r="F16"/>
  <c r="H16"/>
  <c r="F15"/>
  <c r="H15"/>
  <c r="F14"/>
  <c r="H14"/>
  <c r="F13"/>
  <c r="H13"/>
  <c r="F12"/>
  <c r="H12"/>
  <c r="F11"/>
  <c r="H11"/>
  <c r="F10"/>
  <c r="H10"/>
  <c r="F9"/>
  <c r="H9"/>
  <c r="F7"/>
  <c r="H7"/>
  <c r="H31" s="1"/>
  <c r="H45" i="49"/>
  <c r="D45"/>
  <c r="D23"/>
  <c r="I10" i="93"/>
  <c r="J10"/>
  <c r="K10" s="1"/>
  <c r="I15"/>
  <c r="J15"/>
  <c r="K15" s="1"/>
  <c r="I16"/>
  <c r="J16"/>
  <c r="K16" s="1"/>
  <c r="I23"/>
  <c r="J23"/>
  <c r="K23" s="1"/>
  <c r="I10" i="94"/>
  <c r="J10"/>
  <c r="K10" s="1"/>
  <c r="I15"/>
  <c r="J15"/>
  <c r="K15" s="1"/>
  <c r="I16"/>
  <c r="J16"/>
  <c r="K16" s="1"/>
  <c r="I18"/>
  <c r="J18"/>
  <c r="I20"/>
  <c r="J20"/>
  <c r="K20"/>
  <c r="I21"/>
  <c r="J21"/>
  <c r="K21"/>
  <c r="I23"/>
  <c r="J23"/>
  <c r="K23" s="1"/>
  <c r="I24"/>
  <c r="J24"/>
  <c r="K24"/>
  <c r="I37"/>
  <c r="J37"/>
  <c r="K37"/>
  <c r="I38"/>
  <c r="J38"/>
  <c r="K38"/>
  <c r="I39"/>
  <c r="J39"/>
  <c r="K39"/>
  <c r="I40"/>
  <c r="J40"/>
  <c r="K40"/>
  <c r="I41"/>
  <c r="J41"/>
  <c r="K41"/>
  <c r="I42"/>
  <c r="J42"/>
  <c r="K42"/>
  <c r="I15" i="97"/>
  <c r="J15"/>
  <c r="K15"/>
  <c r="I14"/>
  <c r="J14"/>
  <c r="K14"/>
  <c r="I36"/>
  <c r="J36"/>
  <c r="K36"/>
  <c r="I34"/>
  <c r="J34"/>
  <c r="K34"/>
  <c r="I33"/>
  <c r="J33"/>
  <c r="K33"/>
  <c r="I32"/>
  <c r="J32"/>
  <c r="K32"/>
  <c r="I31"/>
  <c r="J31"/>
  <c r="K31"/>
  <c r="I18"/>
  <c r="J18"/>
  <c r="K18"/>
  <c r="I17"/>
  <c r="J17"/>
  <c r="K17"/>
  <c r="I12"/>
  <c r="J12"/>
  <c r="K12"/>
  <c r="I7" i="93"/>
  <c r="J7"/>
  <c r="I9"/>
  <c r="J9"/>
  <c r="I11"/>
  <c r="J11"/>
  <c r="I12"/>
  <c r="J12"/>
  <c r="I13"/>
  <c r="J13"/>
  <c r="I14"/>
  <c r="J14"/>
  <c r="I18"/>
  <c r="J18"/>
  <c r="I20"/>
  <c r="J20"/>
  <c r="I21"/>
  <c r="J21"/>
  <c r="I24"/>
  <c r="J24"/>
  <c r="I28"/>
  <c r="J28"/>
  <c r="I29"/>
  <c r="J29"/>
  <c r="I30"/>
  <c r="J30"/>
  <c r="I37"/>
  <c r="J37"/>
  <c r="I38"/>
  <c r="J38"/>
  <c r="I39"/>
  <c r="J39"/>
  <c r="I40"/>
  <c r="J40"/>
  <c r="I41"/>
  <c r="J41"/>
  <c r="I42"/>
  <c r="J42"/>
  <c r="I7" i="94"/>
  <c r="J7"/>
  <c r="I9"/>
  <c r="J9"/>
  <c r="I11"/>
  <c r="J11"/>
  <c r="I12"/>
  <c r="J12"/>
  <c r="I13"/>
  <c r="J13"/>
  <c r="I14"/>
  <c r="J14"/>
  <c r="I28"/>
  <c r="J28"/>
  <c r="I29"/>
  <c r="J29"/>
  <c r="I30"/>
  <c r="J30"/>
  <c r="I13" i="90"/>
  <c r="J13"/>
  <c r="H16"/>
  <c r="I7"/>
  <c r="J7"/>
  <c r="I15" i="95"/>
  <c r="J15"/>
  <c r="I14"/>
  <c r="J14"/>
  <c r="I36"/>
  <c r="J36"/>
  <c r="I35"/>
  <c r="J35"/>
  <c r="I34"/>
  <c r="J34"/>
  <c r="I33"/>
  <c r="J33"/>
  <c r="I32"/>
  <c r="J32"/>
  <c r="I31"/>
  <c r="J31"/>
  <c r="I18"/>
  <c r="J18"/>
  <c r="I17"/>
  <c r="J17"/>
  <c r="I12"/>
  <c r="J12"/>
  <c r="I21" i="8"/>
  <c r="J21"/>
  <c r="I20"/>
  <c r="J20"/>
  <c r="I42"/>
  <c r="J42"/>
  <c r="I41"/>
  <c r="J41"/>
  <c r="I40"/>
  <c r="J40"/>
  <c r="I39"/>
  <c r="J39"/>
  <c r="I38"/>
  <c r="J38"/>
  <c r="I37"/>
  <c r="J37"/>
  <c r="I18"/>
  <c r="J18"/>
  <c r="I15" i="96"/>
  <c r="J15"/>
  <c r="I14"/>
  <c r="J14"/>
  <c r="I36"/>
  <c r="J36"/>
  <c r="I35"/>
  <c r="J35"/>
  <c r="I34"/>
  <c r="J34"/>
  <c r="I33"/>
  <c r="J33"/>
  <c r="I32"/>
  <c r="J32"/>
  <c r="I31"/>
  <c r="J31"/>
  <c r="I18"/>
  <c r="J18"/>
  <c r="I17"/>
  <c r="J17"/>
  <c r="I12"/>
  <c r="J12"/>
  <c r="I23" i="97"/>
  <c r="J23"/>
  <c r="I22"/>
  <c r="J22"/>
  <c r="I10"/>
  <c r="J10"/>
  <c r="I9"/>
  <c r="J9"/>
  <c r="I7"/>
  <c r="J7"/>
  <c r="I24" i="96"/>
  <c r="J24"/>
  <c r="I23"/>
  <c r="J23"/>
  <c r="I22"/>
  <c r="J22"/>
  <c r="I10"/>
  <c r="J10"/>
  <c r="I9"/>
  <c r="J9"/>
  <c r="I7"/>
  <c r="I40"/>
  <c r="J7"/>
  <c r="I9" i="91"/>
  <c r="J9"/>
  <c r="I24" i="95"/>
  <c r="J24"/>
  <c r="I22"/>
  <c r="J22"/>
  <c r="I9"/>
  <c r="J9"/>
  <c r="I7"/>
  <c r="J7"/>
  <c r="J40"/>
  <c r="I30" i="8"/>
  <c r="J30"/>
  <c r="I29"/>
  <c r="J29"/>
  <c r="I28"/>
  <c r="J28"/>
  <c r="I11"/>
  <c r="J11"/>
  <c r="I9"/>
  <c r="J9"/>
  <c r="I7"/>
  <c r="I31" s="1"/>
  <c r="I46"/>
  <c r="J7"/>
  <c r="L16" i="90"/>
  <c r="L27" s="1"/>
  <c r="E6" i="108"/>
  <c r="O25" i="95"/>
  <c r="E8" i="108"/>
  <c r="O31" i="8"/>
  <c r="E4" i="108"/>
  <c r="K9" i="91"/>
  <c r="K13" i="90"/>
  <c r="K7"/>
  <c r="K23" i="97"/>
  <c r="K22"/>
  <c r="K10"/>
  <c r="K9"/>
  <c r="K7"/>
  <c r="K36" i="96"/>
  <c r="K35"/>
  <c r="K34"/>
  <c r="K33"/>
  <c r="K32"/>
  <c r="K31"/>
  <c r="K18"/>
  <c r="K17"/>
  <c r="K15"/>
  <c r="K14"/>
  <c r="K12"/>
  <c r="K24"/>
  <c r="K23"/>
  <c r="K22"/>
  <c r="K10"/>
  <c r="K9"/>
  <c r="K7"/>
  <c r="K36" i="95"/>
  <c r="K35"/>
  <c r="K34"/>
  <c r="K33"/>
  <c r="K32"/>
  <c r="K31"/>
  <c r="K18"/>
  <c r="K17"/>
  <c r="K15"/>
  <c r="K14"/>
  <c r="K12"/>
  <c r="K24"/>
  <c r="K22"/>
  <c r="K9"/>
  <c r="K7"/>
  <c r="K30" i="94"/>
  <c r="K29"/>
  <c r="K28"/>
  <c r="K14"/>
  <c r="K13"/>
  <c r="K12"/>
  <c r="K11"/>
  <c r="K9"/>
  <c r="K7"/>
  <c r="K42" i="93"/>
  <c r="K41"/>
  <c r="K40"/>
  <c r="K39"/>
  <c r="K38"/>
  <c r="K37"/>
  <c r="K24"/>
  <c r="K21"/>
  <c r="K20"/>
  <c r="K18"/>
  <c r="K30"/>
  <c r="K29"/>
  <c r="K28"/>
  <c r="K14"/>
  <c r="K13"/>
  <c r="K12"/>
  <c r="K11"/>
  <c r="K9"/>
  <c r="K7"/>
  <c r="K31" s="1"/>
  <c r="K42" i="8"/>
  <c r="K41"/>
  <c r="K40"/>
  <c r="K39"/>
  <c r="K38"/>
  <c r="K37"/>
  <c r="K21"/>
  <c r="K20"/>
  <c r="K18"/>
  <c r="K30"/>
  <c r="K29"/>
  <c r="K28"/>
  <c r="K11"/>
  <c r="K9"/>
  <c r="K7"/>
  <c r="R32" i="83"/>
  <c r="R32" i="10"/>
  <c r="E3" i="108" s="1"/>
  <c r="H46" i="94"/>
  <c r="H46" i="93"/>
  <c r="I10" i="104"/>
  <c r="J10" s="1"/>
  <c r="I15"/>
  <c r="J15" s="1"/>
  <c r="L5" l="1"/>
  <c r="K5"/>
  <c r="M5" s="1"/>
  <c r="M17"/>
  <c r="K9"/>
  <c r="M9" s="1"/>
  <c r="K8"/>
  <c r="L8"/>
  <c r="J31" i="8"/>
  <c r="J46" s="1"/>
  <c r="L31"/>
  <c r="L46" s="1"/>
  <c r="H31"/>
  <c r="J31" i="93"/>
  <c r="J46" s="1"/>
  <c r="I31"/>
  <c r="I46" s="1"/>
  <c r="M31"/>
  <c r="M46" s="1"/>
  <c r="L46"/>
  <c r="K18" i="94"/>
  <c r="K31"/>
  <c r="J31"/>
  <c r="J46" s="1"/>
  <c r="I31"/>
  <c r="M31"/>
  <c r="M46" s="1"/>
  <c r="L46"/>
  <c r="I40" i="95"/>
  <c r="H40"/>
  <c r="M40"/>
  <c r="M39" i="97"/>
  <c r="M25"/>
  <c r="M40" s="1"/>
  <c r="E10" i="108"/>
  <c r="M16" i="92"/>
  <c r="M27" s="1"/>
  <c r="K15" i="91"/>
  <c r="K14" i="90"/>
  <c r="M16"/>
  <c r="M27" s="1"/>
  <c r="L40" i="96"/>
  <c r="H40"/>
  <c r="L40" i="97"/>
  <c r="I11" i="106"/>
  <c r="J11" s="1"/>
  <c r="K11" s="1"/>
  <c r="M31" i="8"/>
  <c r="H16" i="92"/>
  <c r="I14"/>
  <c r="J14"/>
  <c r="I9"/>
  <c r="J9"/>
  <c r="L16"/>
  <c r="L27" s="1"/>
  <c r="J5" i="107"/>
  <c r="I15" i="92"/>
  <c r="J15"/>
  <c r="J13"/>
  <c r="K13" s="1"/>
  <c r="I22"/>
  <c r="J22"/>
  <c r="H26"/>
  <c r="J7"/>
  <c r="J16" s="1"/>
  <c r="I7"/>
  <c r="K7" s="1"/>
  <c r="I23"/>
  <c r="J23"/>
  <c r="J13" i="91"/>
  <c r="I13"/>
  <c r="K13" s="1"/>
  <c r="I23"/>
  <c r="J23"/>
  <c r="L16"/>
  <c r="L27" s="1"/>
  <c r="J14"/>
  <c r="I14"/>
  <c r="K14" s="1"/>
  <c r="J7"/>
  <c r="J16" s="1"/>
  <c r="H16"/>
  <c r="I7"/>
  <c r="K7"/>
  <c r="I22"/>
  <c r="J22"/>
  <c r="J26" s="1"/>
  <c r="H26"/>
  <c r="E9" i="108"/>
  <c r="I16" i="90"/>
  <c r="I23"/>
  <c r="J23"/>
  <c r="H26"/>
  <c r="H27" s="1"/>
  <c r="I22"/>
  <c r="J22"/>
  <c r="J26" s="1"/>
  <c r="K15"/>
  <c r="J9"/>
  <c r="J16" s="1"/>
  <c r="J27" s="1"/>
  <c r="K19" i="104"/>
  <c r="L19"/>
  <c r="I19" i="86"/>
  <c r="I30" s="1"/>
  <c r="I18" i="105"/>
  <c r="J18" s="1"/>
  <c r="L18" s="1"/>
  <c r="I18" i="104"/>
  <c r="J18" s="1"/>
  <c r="K18" s="1"/>
  <c r="M40" i="96"/>
  <c r="H24" i="97"/>
  <c r="H25" s="1"/>
  <c r="H40" s="1"/>
  <c r="K40" i="96"/>
  <c r="B11" i="109"/>
  <c r="I6" i="105"/>
  <c r="J6" s="1"/>
  <c r="L6" s="1"/>
  <c r="J40" i="96"/>
  <c r="M46" i="8"/>
  <c r="H14" i="106"/>
  <c r="I14" s="1"/>
  <c r="J14" s="1"/>
  <c r="K14" s="1"/>
  <c r="H46" i="8"/>
  <c r="L7" i="10"/>
  <c r="N7" s="1"/>
  <c r="K19" i="83"/>
  <c r="J4" i="107"/>
  <c r="M30" i="86"/>
  <c r="N19"/>
  <c r="L39" i="84"/>
  <c r="N39" s="1"/>
  <c r="J42"/>
  <c r="J47"/>
  <c r="M32" i="10"/>
  <c r="P32"/>
  <c r="C3" i="109" s="1"/>
  <c r="D3" s="1"/>
  <c r="M47" i="10"/>
  <c r="O32"/>
  <c r="O47" s="1"/>
  <c r="P47" i="84"/>
  <c r="D5" i="107" s="1"/>
  <c r="N41" i="84"/>
  <c r="N43"/>
  <c r="J32" i="10"/>
  <c r="K43" i="83"/>
  <c r="L43"/>
  <c r="N43"/>
  <c r="K41"/>
  <c r="L41"/>
  <c r="N41" s="1"/>
  <c r="K39"/>
  <c r="L39"/>
  <c r="N39"/>
  <c r="K22"/>
  <c r="L22"/>
  <c r="K38"/>
  <c r="J46"/>
  <c r="M47"/>
  <c r="P46"/>
  <c r="P47" s="1"/>
  <c r="L19"/>
  <c r="J18" i="86"/>
  <c r="K18"/>
  <c r="J16"/>
  <c r="K16"/>
  <c r="J10"/>
  <c r="K10"/>
  <c r="J17"/>
  <c r="K17"/>
  <c r="J7"/>
  <c r="K7"/>
  <c r="J11"/>
  <c r="K11"/>
  <c r="D7" i="109"/>
  <c r="N30" i="86"/>
  <c r="L40" i="84"/>
  <c r="K40"/>
  <c r="K22"/>
  <c r="N22" s="1"/>
  <c r="L22"/>
  <c r="K19"/>
  <c r="L19"/>
  <c r="L7"/>
  <c r="K7"/>
  <c r="N7"/>
  <c r="L29"/>
  <c r="K29"/>
  <c r="K13"/>
  <c r="L13"/>
  <c r="N13" s="1"/>
  <c r="K11"/>
  <c r="L11"/>
  <c r="L17" i="106"/>
  <c r="K17"/>
  <c r="L42" i="84"/>
  <c r="K42"/>
  <c r="L38"/>
  <c r="K38"/>
  <c r="L21"/>
  <c r="K21"/>
  <c r="N21" s="1"/>
  <c r="L27"/>
  <c r="K27"/>
  <c r="N27" s="1"/>
  <c r="K16"/>
  <c r="L16"/>
  <c r="N16" s="1"/>
  <c r="K30"/>
  <c r="L30"/>
  <c r="K28"/>
  <c r="L28"/>
  <c r="L14"/>
  <c r="K14"/>
  <c r="L12"/>
  <c r="K12"/>
  <c r="N12" s="1"/>
  <c r="L10"/>
  <c r="K10"/>
  <c r="N10" s="1"/>
  <c r="M47"/>
  <c r="K42" i="10"/>
  <c r="L42"/>
  <c r="K40"/>
  <c r="L40"/>
  <c r="N40" s="1"/>
  <c r="K38"/>
  <c r="L38"/>
  <c r="K21"/>
  <c r="L21"/>
  <c r="N21" s="1"/>
  <c r="H3" i="107"/>
  <c r="P47" i="10"/>
  <c r="K43"/>
  <c r="L43"/>
  <c r="N43"/>
  <c r="K41"/>
  <c r="L41"/>
  <c r="N41" s="1"/>
  <c r="K39"/>
  <c r="L39"/>
  <c r="N39" s="1"/>
  <c r="K22"/>
  <c r="L22"/>
  <c r="K19"/>
  <c r="K46" s="1"/>
  <c r="L19"/>
  <c r="L32" s="1"/>
  <c r="J46"/>
  <c r="N27"/>
  <c r="K30" i="83"/>
  <c r="L30"/>
  <c r="K28"/>
  <c r="L28"/>
  <c r="N28"/>
  <c r="K17"/>
  <c r="L17"/>
  <c r="N17" s="1"/>
  <c r="K15"/>
  <c r="L15"/>
  <c r="N15" s="1"/>
  <c r="K7"/>
  <c r="L7"/>
  <c r="N7"/>
  <c r="K12"/>
  <c r="L12"/>
  <c r="L10"/>
  <c r="K17" i="105"/>
  <c r="L17"/>
  <c r="N42" i="83"/>
  <c r="K29"/>
  <c r="L29"/>
  <c r="K27"/>
  <c r="L27"/>
  <c r="N27"/>
  <c r="K16"/>
  <c r="L16"/>
  <c r="N16" s="1"/>
  <c r="K14"/>
  <c r="L14"/>
  <c r="N14" s="1"/>
  <c r="K13"/>
  <c r="L13"/>
  <c r="K11"/>
  <c r="L11"/>
  <c r="N11" s="1"/>
  <c r="L42"/>
  <c r="L40"/>
  <c r="N40" s="1"/>
  <c r="L38"/>
  <c r="I15" i="105"/>
  <c r="J15" s="1"/>
  <c r="K15" s="1"/>
  <c r="K16" i="106"/>
  <c r="L16"/>
  <c r="K15"/>
  <c r="L15"/>
  <c r="K9"/>
  <c r="L9"/>
  <c r="K8"/>
  <c r="L8"/>
  <c r="K6"/>
  <c r="L6"/>
  <c r="K20"/>
  <c r="L20"/>
  <c r="K19"/>
  <c r="L19"/>
  <c r="L11"/>
  <c r="K10"/>
  <c r="L10"/>
  <c r="O47" i="84"/>
  <c r="K20" i="105"/>
  <c r="L20"/>
  <c r="L16"/>
  <c r="K16"/>
  <c r="L10"/>
  <c r="K10"/>
  <c r="K9"/>
  <c r="L9"/>
  <c r="L19"/>
  <c r="K19"/>
  <c r="K18"/>
  <c r="K11"/>
  <c r="L11"/>
  <c r="L8"/>
  <c r="K8"/>
  <c r="L18" i="104"/>
  <c r="L17" i="84"/>
  <c r="N17" s="1"/>
  <c r="L15"/>
  <c r="L21" i="83"/>
  <c r="N21" s="1"/>
  <c r="L15" i="104"/>
  <c r="K15"/>
  <c r="L11"/>
  <c r="K11"/>
  <c r="K10"/>
  <c r="L10"/>
  <c r="L20"/>
  <c r="K20"/>
  <c r="L16"/>
  <c r="K16"/>
  <c r="K10" i="95"/>
  <c r="K40" s="1"/>
  <c r="K24" i="8"/>
  <c r="K23"/>
  <c r="K16"/>
  <c r="K15"/>
  <c r="K14"/>
  <c r="K13"/>
  <c r="K12"/>
  <c r="K10"/>
  <c r="F9" i="109"/>
  <c r="G9" s="1"/>
  <c r="C9"/>
  <c r="D9" s="1"/>
  <c r="K46" i="94"/>
  <c r="K46" i="93"/>
  <c r="M8" i="104" l="1"/>
  <c r="M19"/>
  <c r="K6" i="105"/>
  <c r="M6" s="1"/>
  <c r="I46" i="94"/>
  <c r="H27" i="91"/>
  <c r="C4" i="109"/>
  <c r="D4" s="1"/>
  <c r="K23" i="92"/>
  <c r="I26"/>
  <c r="K15"/>
  <c r="K9"/>
  <c r="I16"/>
  <c r="K14"/>
  <c r="K22"/>
  <c r="K26" s="1"/>
  <c r="K16"/>
  <c r="K27" s="1"/>
  <c r="H27"/>
  <c r="J26"/>
  <c r="J27" s="1"/>
  <c r="K22" i="91"/>
  <c r="I26"/>
  <c r="I16"/>
  <c r="J27"/>
  <c r="K23"/>
  <c r="K16"/>
  <c r="K22" i="90"/>
  <c r="I26"/>
  <c r="I27" s="1"/>
  <c r="K9"/>
  <c r="K16" s="1"/>
  <c r="K23"/>
  <c r="L14" i="106"/>
  <c r="M14" s="1"/>
  <c r="C6" i="107"/>
  <c r="D16" s="1"/>
  <c r="H14" i="105"/>
  <c r="I14" s="1"/>
  <c r="J14" s="1"/>
  <c r="K14" s="1"/>
  <c r="J19" i="86"/>
  <c r="K19"/>
  <c r="D6" i="109"/>
  <c r="I18" i="106"/>
  <c r="J18" s="1"/>
  <c r="J22" s="1"/>
  <c r="H5" i="107"/>
  <c r="H35" i="97"/>
  <c r="C8" i="109"/>
  <c r="D8" s="1"/>
  <c r="D10"/>
  <c r="J24" i="97"/>
  <c r="I24"/>
  <c r="K46" i="8"/>
  <c r="N19" i="83"/>
  <c r="J47" i="10"/>
  <c r="N30" i="84"/>
  <c r="N29"/>
  <c r="N19"/>
  <c r="M17" i="105"/>
  <c r="L7" i="86"/>
  <c r="L18"/>
  <c r="L11"/>
  <c r="L10"/>
  <c r="L16"/>
  <c r="M15" i="106"/>
  <c r="M17"/>
  <c r="L15" i="105"/>
  <c r="L17" i="86"/>
  <c r="N38" i="84"/>
  <c r="N22" i="10"/>
  <c r="N38"/>
  <c r="N42"/>
  <c r="K32"/>
  <c r="N28" i="84"/>
  <c r="N42"/>
  <c r="N11"/>
  <c r="N40"/>
  <c r="L46" i="83"/>
  <c r="N29"/>
  <c r="N38"/>
  <c r="N30"/>
  <c r="J47"/>
  <c r="K46"/>
  <c r="N22"/>
  <c r="N10"/>
  <c r="M16" i="105"/>
  <c r="M20"/>
  <c r="N13" i="83"/>
  <c r="N46"/>
  <c r="N12"/>
  <c r="M20" i="106"/>
  <c r="M18" i="104"/>
  <c r="M9" i="105"/>
  <c r="M10"/>
  <c r="N14" i="84"/>
  <c r="M10" i="104"/>
  <c r="M11"/>
  <c r="M10" i="106"/>
  <c r="M11"/>
  <c r="M8"/>
  <c r="M18" i="105"/>
  <c r="M19"/>
  <c r="M16" i="104"/>
  <c r="M20"/>
  <c r="M15"/>
  <c r="M19" i="106"/>
  <c r="M9"/>
  <c r="M16"/>
  <c r="L47" i="84"/>
  <c r="K47" i="10"/>
  <c r="N19"/>
  <c r="N32" s="1"/>
  <c r="L46"/>
  <c r="L47" s="1"/>
  <c r="M15" i="105"/>
  <c r="L47" i="83"/>
  <c r="M8" i="105"/>
  <c r="M11"/>
  <c r="M6" i="106"/>
  <c r="N15" i="84"/>
  <c r="K22" i="105"/>
  <c r="I6" i="104"/>
  <c r="J6" s="1"/>
  <c r="H14"/>
  <c r="I14" s="1"/>
  <c r="J14" s="1"/>
  <c r="J3" i="107"/>
  <c r="J6" s="1"/>
  <c r="E6"/>
  <c r="E5" i="108"/>
  <c r="E11" s="1"/>
  <c r="C11"/>
  <c r="D5" i="109"/>
  <c r="D11" s="1"/>
  <c r="H4" i="107"/>
  <c r="H6" s="1"/>
  <c r="D6"/>
  <c r="J22" i="105" l="1"/>
  <c r="D17" i="107"/>
  <c r="I25" i="97"/>
  <c r="J25"/>
  <c r="K24"/>
  <c r="I27" i="92"/>
  <c r="I27" i="91"/>
  <c r="K26"/>
  <c r="K27" s="1"/>
  <c r="K26" i="90"/>
  <c r="K27" s="1"/>
  <c r="E16" i="107"/>
  <c r="E17"/>
  <c r="L14" i="105"/>
  <c r="L19" i="86"/>
  <c r="K18" i="106"/>
  <c r="L18"/>
  <c r="L22" s="1"/>
  <c r="J35" i="97"/>
  <c r="I35"/>
  <c r="K35"/>
  <c r="L30" i="86"/>
  <c r="J30"/>
  <c r="N46" i="10"/>
  <c r="N47" s="1"/>
  <c r="N47" i="83"/>
  <c r="K30" i="86"/>
  <c r="F6" i="107"/>
  <c r="K47" i="84"/>
  <c r="K47" i="83"/>
  <c r="K14" i="104"/>
  <c r="L14"/>
  <c r="K6"/>
  <c r="L6"/>
  <c r="L22" s="1"/>
  <c r="J22"/>
  <c r="C13" i="107"/>
  <c r="C15"/>
  <c r="H23" s="1"/>
  <c r="E7"/>
  <c r="M14" i="105" l="1"/>
  <c r="M22" s="1"/>
  <c r="C22" i="107" s="1"/>
  <c r="L22" i="105"/>
  <c r="L23"/>
  <c r="B22" i="107" s="1"/>
  <c r="L23" i="106"/>
  <c r="B23" i="107" s="1"/>
  <c r="K22" i="106"/>
  <c r="J40" i="97"/>
  <c r="I40"/>
  <c r="K25"/>
  <c r="K40" s="1"/>
  <c r="M18" i="106"/>
  <c r="M22" s="1"/>
  <c r="C23" i="107" s="1"/>
  <c r="I4"/>
  <c r="B6"/>
  <c r="B8" s="1"/>
  <c r="M14" i="104"/>
  <c r="I3" i="107"/>
  <c r="C12"/>
  <c r="K22" i="104"/>
  <c r="M6"/>
  <c r="M22" s="1"/>
  <c r="C21" i="107" s="1"/>
  <c r="L23" i="104"/>
  <c r="B21" i="107" s="1"/>
  <c r="D15"/>
  <c r="E15"/>
  <c r="E13"/>
  <c r="D13"/>
  <c r="B24" l="1"/>
  <c r="B25" s="1"/>
  <c r="C24"/>
  <c r="C25" s="1"/>
  <c r="I5"/>
  <c r="I6" s="1"/>
  <c r="C14"/>
  <c r="E14" s="1"/>
  <c r="E12"/>
  <c r="D12"/>
  <c r="D14" l="1"/>
</calcChain>
</file>

<file path=xl/sharedStrings.xml><?xml version="1.0" encoding="utf-8"?>
<sst xmlns="http://schemas.openxmlformats.org/spreadsheetml/2006/main" count="2248" uniqueCount="382">
  <si>
    <t>&gt;10 to 100</t>
  </si>
  <si>
    <t>&gt; 100</t>
  </si>
  <si>
    <t>*All new units &gt;100 will install a CO monitor</t>
  </si>
  <si>
    <t xml:space="preserve">                  Bag Leak Detection System Operation 
                  (all sources that have fabric filters)</t>
  </si>
  <si>
    <t>General Contractor</t>
  </si>
  <si>
    <t>Certfied Energy Audit Contractor</t>
  </si>
  <si>
    <t>(F) Technical Hours per Respondent Per Year
 (A X E)</t>
  </si>
  <si>
    <t>(G) Number of Respondents Per Year</t>
  </si>
  <si>
    <t xml:space="preserve">                for Hazardous Air Pollutants (NESHAP) for Industrial, Commercial, and Institutional Boilers and Process Heaters - Year 2, New Small Liquid Fuel Units</t>
  </si>
  <si>
    <t xml:space="preserve">                for Hazardous Air Pollutants (NESHAP) for Industrial, Commercial, and Institutional Boilers and Process Heaters - Year 3, New Small Liquid Fuel Units</t>
  </si>
  <si>
    <t>(J)       Management Hours per Year @ $114.49 (H X .05)</t>
  </si>
  <si>
    <t>(H) Technical Hours per Year @ $98.20 (F X G)</t>
  </si>
  <si>
    <t>(I)         Clerical Hours per Year @ $48.53 (H X 0.1)</t>
  </si>
  <si>
    <t>(G) Technical Hours per Year @ $98.20 (F X G)</t>
  </si>
  <si>
    <t>(H)         Clerical Hours per Year @ $48.53 (H X 0.1)</t>
  </si>
  <si>
    <t>(I)       Management Hours per Year @ $114.49 (H X .05)</t>
  </si>
  <si>
    <t>c Since existing units have three years after the publication date of the final rule to submit initial notification of compliance status, conduct compliance activities, or meet recordkeeping or reporting requirements, it is assumed that half the affected units will conduct an audit, testing and monitoring plan development in year 2 and half will conduct them in year 3 in order to be in compliance by the third year after promulgation.  Initial Notification of Compliance Reports and recordkeeping requirements will not begin until year 3 of this ICR.</t>
  </si>
  <si>
    <t>Sum of Number of Facilities Represented by Model</t>
  </si>
  <si>
    <t>Sum of Number of Facility Represented by Model</t>
  </si>
  <si>
    <t>a  Number of respondents based on number of existing large solid fuel boilers which includes biomass and coal units greater than 10 mmBtu/hr (assumption of 2 units per facility).</t>
  </si>
  <si>
    <t>Units per Facility</t>
  </si>
  <si>
    <t>(B) Certified Energy Audit Cost per Occurrence</t>
  </si>
  <si>
    <t>(D) Other Non-Labor Costs Per Occurrence</t>
  </si>
  <si>
    <t>(C) Stack Testing and Fuel Analysis Cost Per Occurrence</t>
  </si>
  <si>
    <t>Reporting Subtotal</t>
  </si>
  <si>
    <t>(K)  Total Labor Costs Per Year</t>
  </si>
  <si>
    <t>Recordkeeping Subtotal</t>
  </si>
  <si>
    <t>c,g</t>
  </si>
  <si>
    <t xml:space="preserve">b Cost includes taking an inventory of facility equipment including age, operating schedules, square feet of the facility and other details necessary for preparing for the audit pre-screening, attending the energy audit, and reviewing audit report from the audit professional.  </t>
  </si>
  <si>
    <t>a  Number of respondents based on number of existing small liquid fuel boilers which includes biomass and coal units less than 10 mmBtu/hr (assumption of 2 units per facility).</t>
  </si>
  <si>
    <t>(B)           Stack Testing and Fuel Analysis Cost Per Occurrence</t>
  </si>
  <si>
    <t xml:space="preserve">           8.  Monthly Fuel Analysis for Mercury Content</t>
  </si>
  <si>
    <t>.</t>
  </si>
  <si>
    <t>Subtotal Recordkeeping</t>
  </si>
  <si>
    <t xml:space="preserve">a  The total number of new large solid fuel boilers estimated in the first 3 years of this rule is 60.  In order to calculate a per year estimate of the number of boilers required to meet these rule requirements, the number of projected boilers is divided by 3, or 20 boilers per year. Assuming 2 unit per facility, 10 new facilities will be subject per year. </t>
  </si>
  <si>
    <t xml:space="preserve">                        a) Industrial</t>
  </si>
  <si>
    <t>h</t>
  </si>
  <si>
    <t xml:space="preserve">                for Hazardous Air Pollutants (NESHAP) for Industrial, Commercial, and Institutional Boilers and Process Heaters - Year 3, New Large Liquid Fuel Units</t>
  </si>
  <si>
    <t xml:space="preserve">                for Hazardous Air Pollutants (NESHAP) for Industrial, Commercial, and Institutional Boilers and Process Heaters - Year 2, New Large Liquid Fuel Units</t>
  </si>
  <si>
    <t xml:space="preserve">                for Hazardous Air Pollutants (NESHAP) for Industrial, Commercial, and Institutional Boilers and Process Heaters - Year 1, New Large Liquid Fuel Units</t>
  </si>
  <si>
    <t>Paperwork Preamble SUMMARY- Industry</t>
  </si>
  <si>
    <t>d Cost per occurrence for energy audit professionals including an phone screening to discuss the facility prior to a visit, a 2 to 4 hour site visit, and an additional 2-4 hours to prepare a follow-up report on recommendations and findings. Cost depends on whether the source is industrial or commercial.  It is assumed that 10% will be industrial and 90% will be commercial sources.  These site visits are assumed to be conducted by certified energy professionals.</t>
  </si>
  <si>
    <t xml:space="preserve">                        b) Commercial</t>
  </si>
  <si>
    <t xml:space="preserve">a  The total number of new large liquid fuel boilers estimated in the first 3 years of this rule is 487.  In order to calculate a per year estimate of the number of boilers required to meet these rule requirements, the number of projected boilers is divided by 3, or 162.3 rounded to 162 boilers per year.  162 boilers will be accounted for in year 1 and 2 and 163 in year 3. Assuming 2 unit per facility, 81 new facilities will be subject in year 1 and 2 and 82 facilities in year 3. </t>
  </si>
  <si>
    <t>a Number of occurrences is the number of states where affected sources will exist and each EPA Region (50 states + 10 EPA regions = 60 respondents).</t>
  </si>
  <si>
    <t>b Number of occurrences is based on the total number of affected facilities in year 1 that are required to submit initial notifications stated they are subject to the standard (all new boilers in the large and small solid and liquid subcategories, plus all existing large and small solid and liquid subcategories).  For initial notifications of compliance status, the number of occurrences is based on all new boilers in the large and small solid and liquid subcategories, existing large and small solid and liquid units have until year 3 to submit this notification.</t>
  </si>
  <si>
    <t>c Number of occurrences is based on the assumption that EPA personnel will observe 20% of the initial performance tests that occur in year 1 (in year 1 only boilers in new large and small solid and liquid subcategories test).</t>
  </si>
  <si>
    <t>d Number of occurrences is based on the assumption that of the units that test in year 1, 10% will have to retest and EPA personnel will observe all these retests.</t>
  </si>
  <si>
    <t>e Number of occurrences is based on the number of units that will test and set/submit operating limits in year 1 (in year 1 only new boilers in new large and small solid and liquid subcategories).</t>
  </si>
  <si>
    <t>f Number of occurrences begins in year 3 for existing units and in year 1 for new units and is based on the number of units maintaining records of control device parameters.</t>
  </si>
  <si>
    <t>g Number of occurrences is based on the assumption that of the new units in year 1 that test, 10% of them will have exceedances and  need enforcement.</t>
  </si>
  <si>
    <t>h Number of occurrences is the number of projected new units in years 1, 2, and 3 that will submit these semi-annual compliance reports (new units in the large and small solid and liquid subcategories) as well as existing large solid and liquid units that will begin to submit compliance reports in year 3.</t>
  </si>
  <si>
    <t>i Number of occurrences is the number of  units in year 1 that will submit these biennial compliance reports (existing small solid and liquid subcategories).</t>
  </si>
  <si>
    <t>i Number of occurrences is the number of  units in year 2 that will submit these biennial compliance reports (existing small solid and liquid subcategories).</t>
  </si>
  <si>
    <t xml:space="preserve">a Number of occurrences is zero, as this burden was a one time requirement and it was assigned to year 1. </t>
  </si>
  <si>
    <t>b Number of occurrences is based on the total number of affected facilities in year 3 that are required to submit initial notifications (all new boilers in the large and small solid and liquid subcategories).</t>
  </si>
  <si>
    <t>c Number of occurrences is based on the assumption that EPA personnel will observe 20% of the initial performance tests that occur in year 3 (in year 3 only boilers in new large and small solid and liquid subcategories test).</t>
  </si>
  <si>
    <t>d Number of occurrences is based on the assumption that of the units that test in year 3, 10% will have to retest and EPA personnel will observe all these retests.</t>
  </si>
  <si>
    <t>e Number of occurrences is based on the number of units that will test and set/submit operating limits in year 3 (in year 3 only boilers in new large and small solid and liquid and half of existing large solid and liquid subcategories).</t>
  </si>
  <si>
    <t>g Number of occurrences is based on the assumption that of the new units in year 3 that test, 10% of them will have exceedances and need enforcement.</t>
  </si>
  <si>
    <t>i Number of occurrences is the number of  units in year 3 that will submit these biennial compliance reports (existing small solid and liquid subcategories).</t>
  </si>
  <si>
    <t xml:space="preserve">                for Hazardous Air Pollutants (NESHAP) for Industrial, Commercial, and Institutional Boilers and Process Heaters - Year 3, New Small Solid Fuel Units</t>
  </si>
  <si>
    <t>Table 1.A.  Annual Respondent Burden and Cost of Recordkeeping and Reporting Requirements for the National Emission Standards</t>
  </si>
  <si>
    <t>Table 1.C.  Annual Respondent Burden and Cost of Recordkeeping and Reporting Requirements for the National Emission Standards</t>
  </si>
  <si>
    <t>Table 2.A.  Annual Respondent Burden and Cost of Recordkeeping and Reporting Requirements for the National Emission Standards</t>
  </si>
  <si>
    <t>Table 2.B.  Annual Respondent Burden and Cost of Recordkeeping and Reporting Requirements for the National Emission Standards</t>
  </si>
  <si>
    <t>Table 2.C.  Annual Respondent Burden and Cost of Recordkeeping and Reporting Requirements for the National Emission Standards</t>
  </si>
  <si>
    <t>Table 3.A.  Annual Respondent Burden and Cost of Recordkeeping and Reporting Requirements for the National Emission Standards</t>
  </si>
  <si>
    <t>Table 3.B.  Annual Respondent Burden and Cost of Recordkeeping and Reporting Requirements for the National Emission Standards</t>
  </si>
  <si>
    <t>Table 3.C.  Annual Respondent Burden and Cost of Recordkeeping and Reporting Requirements for the National Emission Standards</t>
  </si>
  <si>
    <t>Table 4.B.  Annual Respondent Burden and Cost of Recordkeeping and Reporting Requirements for the National Emission Standards</t>
  </si>
  <si>
    <t>Table 4.C.  Annual Respondent Burden and Cost of Recordkeeping and Reporting Requirements for the National Emission Standards</t>
  </si>
  <si>
    <t>Table 5.A.  Annual Respondent Burden and Cost of Recordkeeping and Reporting Requirements for the National Emission Standards</t>
  </si>
  <si>
    <t>Table 5.B.  Annual Respondent Burden and Cost of Recordkeeping and Reporting Requirements for the National Emission Standards</t>
  </si>
  <si>
    <t>k</t>
  </si>
  <si>
    <t>Table 5.C.  Annual Respondent Burden and Cost of Recordkeeping and Reporting Requirements for the National Emission Standards</t>
  </si>
  <si>
    <t>Table 6.A.  Annual Respondent Burden and Cost of Recordkeeping and Reporting Requirements for the National Emission Standards</t>
  </si>
  <si>
    <t>Table 6.B.  Annual Respondent Burden and Cost of Recordkeeping and Reporting Requirements for the National Emission Standards</t>
  </si>
  <si>
    <t>Table 6.C.  Annual Respondent Burden and Cost of Recordkeeping and Reporting Requirements for the National Emission Standards</t>
  </si>
  <si>
    <t>Table 7.B.  Annual Respondent Burden and Cost of Recordkeeping and Reporting Requirements for the National Emission Standards</t>
  </si>
  <si>
    <t>Table 7.C.  Annual Respondent Burden and Cost of Recordkeeping and Reporting Requirements for the National Emission Standards</t>
  </si>
  <si>
    <t>Table 8.A.  Annual Respondent Burden and Cost of Recordkeeping and Reporting Requirements for the National Emission Standards</t>
  </si>
  <si>
    <t>Table 8.B.  Annual Respondent Burden and Cost of Recordkeeping and Reporting Requirements for the National Emission Standards</t>
  </si>
  <si>
    <t>Table 8.C.  Annual Respondent Burden and Cost of Recordkeeping and Reporting Requirements for the National Emission Standards</t>
  </si>
  <si>
    <t>i</t>
  </si>
  <si>
    <t>(J)                      Total Labor Costs Per Year</t>
  </si>
  <si>
    <t>Annualized Capital/start-up O&amp;M</t>
  </si>
  <si>
    <t xml:space="preserve"> for the Industrial, Commercial, and Institutional Boilers Area Source NESHAP Subpart JJJJJJ- Year 1 - First Year After Promulgation</t>
  </si>
  <si>
    <t>EPA hours per occurrence (A)</t>
  </si>
  <si>
    <t>Number of occurrences per year (B)</t>
  </si>
  <si>
    <t>EPA hours per occurrence per year (C=AxB)</t>
  </si>
  <si>
    <t>Technical hours per year (D=C)</t>
  </si>
  <si>
    <t>Clerical hours per year (F=Dx0.1)</t>
  </si>
  <si>
    <t>1.</t>
  </si>
  <si>
    <t>Read and understand rule requirements</t>
  </si>
  <si>
    <t>2.</t>
  </si>
  <si>
    <t>Enter and update information into agency recordkeeping system</t>
  </si>
  <si>
    <t>b</t>
  </si>
  <si>
    <t>3.</t>
  </si>
  <si>
    <t>Required activities</t>
  </si>
  <si>
    <t>A.</t>
  </si>
  <si>
    <t>Observe initial stack/performance test</t>
  </si>
  <si>
    <t>B.</t>
  </si>
  <si>
    <t>Observe repeat performance test</t>
  </si>
  <si>
    <t>C.</t>
  </si>
  <si>
    <t>Review operating parameters</t>
  </si>
  <si>
    <t>D.</t>
  </si>
  <si>
    <t>Review continuous parameter monitoring</t>
  </si>
  <si>
    <t>4</t>
  </si>
  <si>
    <t>Excess Emissions Enforcement Activities and Inspections</t>
  </si>
  <si>
    <t>5</t>
  </si>
  <si>
    <t>Notification requirements</t>
  </si>
  <si>
    <t xml:space="preserve">Review initial notification that sources are subject to the standard </t>
  </si>
  <si>
    <t>Review notification of initial performance tests and review test plan</t>
  </si>
  <si>
    <t>Review notification of compliance status</t>
  </si>
  <si>
    <t>6.</t>
  </si>
  <si>
    <t>Reporting requirements</t>
  </si>
  <si>
    <t>Review initial report on results of energy audit</t>
  </si>
  <si>
    <t>7.</t>
  </si>
  <si>
    <t>Travel Expenses for Tests Attended</t>
  </si>
  <si>
    <t>3 days * ($110 hotel + $58 meals/incidentals) + ($600 round trip) = $1104 per trip</t>
  </si>
  <si>
    <t>TOTAL BURDEN AND COST (SALARY)</t>
  </si>
  <si>
    <t>TOTAL ANNUAL HOURS</t>
  </si>
  <si>
    <t xml:space="preserve"> for the Industrial, Commercial, and Institutional Boilers Area Source NESHAP Subpart JJJJJJ- Year 2 - Second Year After Promulgation</t>
  </si>
  <si>
    <t>ICRAS SUMMARY</t>
  </si>
  <si>
    <t>Overall Average Annual Estimates</t>
  </si>
  <si>
    <t>Total HOURS</t>
  </si>
  <si>
    <t>TOTAL COSTS (non-labor)</t>
  </si>
  <si>
    <t>Total LABOR COSTS</t>
  </si>
  <si>
    <t>TOTAL LABOR AND NON-Labor COSTS</t>
  </si>
  <si>
    <t>Hours</t>
  </si>
  <si>
    <t>Costs (labor + travel)</t>
  </si>
  <si>
    <t>Recordkeeping</t>
  </si>
  <si>
    <t>Annual Burden Hours</t>
  </si>
  <si>
    <t>Number of Respondents (Facilities)</t>
  </si>
  <si>
    <t>Number of Responses</t>
  </si>
  <si>
    <t>Annualized Capital/Start-up and O&amp;M</t>
  </si>
  <si>
    <t>Reporting</t>
  </si>
  <si>
    <t>3-year total</t>
  </si>
  <si>
    <t>annual average</t>
  </si>
  <si>
    <t xml:space="preserve"> for the Industrial, Commercial, and Institutional Boilers Area Source NESHAP Subpart JJJJJJ- Year 3 - Third Year After Promulgation</t>
  </si>
  <si>
    <t>j</t>
  </si>
  <si>
    <t>*All biomass and distillate liquid units will install an opacity monitor since they are not expected to install a FF to meet PM limits.</t>
  </si>
  <si>
    <t xml:space="preserve">           4.  Annual Stack Test and Report (for Hg)</t>
  </si>
  <si>
    <t xml:space="preserve">           6.  Initial Fuel Analysis for Mercury Content</t>
  </si>
  <si>
    <t xml:space="preserve">           7.  Monthly Fuel Analysis for Mercury Content</t>
  </si>
  <si>
    <t xml:space="preserve">           8.  Continuous Parameter Monitoring</t>
  </si>
  <si>
    <t xml:space="preserve">           2. Biennial Tune-Up</t>
  </si>
  <si>
    <t>3) Biennial Compliance Report</t>
  </si>
  <si>
    <t>Number of boilers &gt;30</t>
  </si>
  <si>
    <t>Number Greater than 30 that will have PM costs covered by NSPS</t>
  </si>
  <si>
    <t>c, j</t>
  </si>
  <si>
    <t xml:space="preserve">C. </t>
  </si>
  <si>
    <t>Review biennial compliance report</t>
  </si>
  <si>
    <t>L These rates are from the Office of Personnel Management (OPM), 2010 General Schedule, which excludes locality rates of pay.  The rates have been increased by 60 percent to account for the benefit packages available to government employees. These rates can be obtained from the OPM web site, http//www.opm.gov/oca/payrates/index/htm.</t>
  </si>
  <si>
    <t>k Total cost is based on the number of trips taken by EPA to observe performance tests in year 1 (4.A. &amp; 4.B.) multiplied by $1104 per trip.  The source for hotel and meals/incidental costs is based on FY' 10 per diem rates, averaged across all locations in the United States.  Airfares are estimated based on experience from other rulemakings. See: http://www.gsa.gov/Portal/gsa/ep/contentView.do?contentId=17943&amp;contentType=GSA_BASIC</t>
  </si>
  <si>
    <t>j Energy audits only occur at existing facilities with large units.</t>
  </si>
  <si>
    <t>Avg. Cost per Response</t>
  </si>
  <si>
    <t>Avg. Burden Hours per Response</t>
  </si>
  <si>
    <t>Table 9.A.  Annual Federal Government Burden and Cost of Recordkeeping and Reporting</t>
  </si>
  <si>
    <t>Table 9.B.  Annual Federal Government Burden and Cost of Recordkeeping and Reporting</t>
  </si>
  <si>
    <t>Table 9.C.  Annual Federal Government Burden and Cost of Recordkeeping and Reporting</t>
  </si>
  <si>
    <t>Public Sector</t>
  </si>
  <si>
    <t>Private Sector</t>
  </si>
  <si>
    <t>Total Capital (Monitor Purchase)</t>
  </si>
  <si>
    <t>(A)</t>
  </si>
  <si>
    <t>Boiler Type</t>
  </si>
  <si>
    <t>(B)</t>
  </si>
  <si>
    <t>(C)</t>
  </si>
  <si>
    <t>(D)</t>
  </si>
  <si>
    <t>Existing Large Solid Units</t>
  </si>
  <si>
    <t>New Large Solid Units</t>
  </si>
  <si>
    <t>Existing Small Solid Units</t>
  </si>
  <si>
    <t>New Small Solid Units</t>
  </si>
  <si>
    <t>Existing Large Liquid Units</t>
  </si>
  <si>
    <t>New Large Liquid Units</t>
  </si>
  <si>
    <t>Existing Small Liquid Units</t>
  </si>
  <si>
    <t>New Small Liquid Units</t>
  </si>
  <si>
    <t>Total Annualized Capital and O&amp;M over 3 years</t>
  </si>
  <si>
    <t>Total Capital/Startup Cost over 3 years</t>
  </si>
  <si>
    <t>Average Annual O&amp;M and Annualized Capital Costs per year</t>
  </si>
  <si>
    <t>(E)</t>
  </si>
  <si>
    <t>TOTAL</t>
  </si>
  <si>
    <t>Number of Respondents (facilities)</t>
  </si>
  <si>
    <t>(D)*</t>
  </si>
  <si>
    <t>Total Number Responses for 3-year Period</t>
  </si>
  <si>
    <t>Average Annual Number of Responses</t>
  </si>
  <si>
    <t>Small Entity Respondents per year</t>
  </si>
  <si>
    <t>Total Respondents per year</t>
  </si>
  <si>
    <t>Total Recordkeeping and Reporting Costs</t>
  </si>
  <si>
    <t>Annual Average</t>
  </si>
  <si>
    <t>AGENCY Burden</t>
  </si>
  <si>
    <t>ALL SECTORS</t>
  </si>
  <si>
    <t>Agency Labor Rates</t>
  </si>
  <si>
    <t>Per Diem Info</t>
  </si>
  <si>
    <t>Hotel</t>
  </si>
  <si>
    <t>Meals</t>
  </si>
  <si>
    <t>Airfare</t>
  </si>
  <si>
    <t>Trip Length</t>
  </si>
  <si>
    <t>Other Data</t>
  </si>
  <si>
    <t>Percent of Stack Tests Observed</t>
  </si>
  <si>
    <t>Estimated Percent Retesting</t>
  </si>
  <si>
    <t>Estimated Percent Emission Exceedences</t>
  </si>
  <si>
    <t xml:space="preserve">                for Hazardous Air Pollutants (NESHAP) for Industrial, Commercial, and Institutional Boilers and Process Heaters - Year 2, New Large Solid Fuel Units</t>
  </si>
  <si>
    <t xml:space="preserve">                for Hazardous Air Pollutants (NESHAP) for Industrial, Commercial, and Institutional Boilers and Process Heaters - Year 3, New Large Solid Fuel Units</t>
  </si>
  <si>
    <t>d</t>
  </si>
  <si>
    <t>*All new coal and residual liquid units will have Fabric filter installed and will be assumed to use bag leak detection monitors.</t>
  </si>
  <si>
    <t xml:space="preserve">                for Hazardous Air Pollutants (NESHAP) for Industrial, Commercial, and Institutional Boilers and Process Heaters - Year 1, New Small Liquid Fuel Units</t>
  </si>
  <si>
    <t>2) Notification of Compliance Status</t>
  </si>
  <si>
    <t>3) Initial Report on results of Energy Audit</t>
  </si>
  <si>
    <t>b A one-time requirement.</t>
  </si>
  <si>
    <t>b, c</t>
  </si>
  <si>
    <t>Table 4.A.  Annual Respondent Burden and Cost of Recordkeeping and Reporting Requirements for the National Emission Standards</t>
  </si>
  <si>
    <t xml:space="preserve">           9.  Continuous Parameter Monitoring</t>
  </si>
  <si>
    <t>a</t>
  </si>
  <si>
    <t>c</t>
  </si>
  <si>
    <t>e</t>
  </si>
  <si>
    <t>f</t>
  </si>
  <si>
    <t>g</t>
  </si>
  <si>
    <t>a  The burden on existing sources to read and understand rule requirements, and submit an initial notification were assumed to all occur in year 1.</t>
  </si>
  <si>
    <t>a, b</t>
  </si>
  <si>
    <t xml:space="preserve">           7.  Initial Fuel Analysis for Mercury Content</t>
  </si>
  <si>
    <t>see 3.A</t>
  </si>
  <si>
    <t xml:space="preserve">           1.  Initial Stack Test and Report (for PM)</t>
  </si>
  <si>
    <t xml:space="preserve">           2.  Initial Stack Test and Report (for Hg)</t>
  </si>
  <si>
    <t xml:space="preserve">           4.  Annual Stack Test and Report (for PM)</t>
  </si>
  <si>
    <t xml:space="preserve">           5.  Annual Stack Test and Report (for Hg)</t>
  </si>
  <si>
    <t xml:space="preserve">                for Hazardous Air Pollutants (NESHAP) for Industrial, Commercial, and Institutional Boilers and Process Heaters - Year 1, New Large Solid Fuel Units</t>
  </si>
  <si>
    <t>(J) Emission Testing Contractor Hours per Year @ $80 (BxDxF)</t>
  </si>
  <si>
    <t>Burden Item</t>
  </si>
  <si>
    <t>(A) Respondent Hours per Occurrence (Technical hours)</t>
  </si>
  <si>
    <t>Footnotes</t>
  </si>
  <si>
    <t>Table 1.B.  Annual Respondent Burden and Cost of Recordkeeping and Reporting Requirements for the National Emission Standards</t>
  </si>
  <si>
    <t>Year 1</t>
  </si>
  <si>
    <t>Year 2</t>
  </si>
  <si>
    <t>Year 3</t>
  </si>
  <si>
    <t>Totals</t>
  </si>
  <si>
    <t>1. Applications</t>
  </si>
  <si>
    <t>2. Surveys and Studies</t>
  </si>
  <si>
    <t>3. Reporting Requirements</t>
  </si>
  <si>
    <t xml:space="preserve">    A.  Read and Understand Rule Requirements</t>
  </si>
  <si>
    <t xml:space="preserve">    B.  Required Activities</t>
  </si>
  <si>
    <t xml:space="preserve">                 Opacity</t>
  </si>
  <si>
    <t xml:space="preserve">                        a) initial</t>
  </si>
  <si>
    <t xml:space="preserve">                        b) annual</t>
  </si>
  <si>
    <t xml:space="preserve">    C.  Create Information </t>
  </si>
  <si>
    <t xml:space="preserve">    D.  Gather Information</t>
  </si>
  <si>
    <t xml:space="preserve">    E.  Report Preparation</t>
  </si>
  <si>
    <t xml:space="preserve">     A.  Read Instructions</t>
  </si>
  <si>
    <t xml:space="preserve">     B.  Implement Activities</t>
  </si>
  <si>
    <t xml:space="preserve">     C.  Develop Record System</t>
  </si>
  <si>
    <t xml:space="preserve">     D.  Record Information</t>
  </si>
  <si>
    <t>Included in 3a</t>
  </si>
  <si>
    <t xml:space="preserve">           1.  Conduct Energy Audit</t>
  </si>
  <si>
    <t xml:space="preserve">           3)  Records of Stack Tests</t>
  </si>
  <si>
    <t xml:space="preserve">     E.  Personnel Training</t>
  </si>
  <si>
    <t xml:space="preserve">     F.  Time for Audits</t>
  </si>
  <si>
    <t xml:space="preserve">           1)  Records of Operating Parameter Values</t>
  </si>
  <si>
    <t>(B)           Emission Test Contractor Hours Per Occurrence</t>
  </si>
  <si>
    <t>(C)              Non-Labor Costs Per Occurrence</t>
  </si>
  <si>
    <t>(D)                Number of Occurrences Per Respondent Per Year</t>
  </si>
  <si>
    <t>4.  Recordkeeping Requirements</t>
  </si>
  <si>
    <t xml:space="preserve">                 Establish Site-specific monitoring plan (all)</t>
  </si>
  <si>
    <t>(E)          Technical Hours per Respondent Per Year (A X D)</t>
  </si>
  <si>
    <t>na</t>
  </si>
  <si>
    <t>(F)           Number of Respondents Per Year</t>
  </si>
  <si>
    <t>1) Initial Notification that Source is Subject</t>
  </si>
  <si>
    <t>Table 7.A.  Annual Respondent Burden and Cost of Recordkeeping and Reporting Requirements for the National Emission Standards</t>
  </si>
  <si>
    <t xml:space="preserve">                for Hazardous Air Pollutants (NESHAP) for Industrial, Commercial, and Institutional Boilers and Process Heaters - Year 1, New Small Solid Fuel Units</t>
  </si>
  <si>
    <t xml:space="preserve">           4)  Records of Monitoring Device Calibrations</t>
  </si>
  <si>
    <t xml:space="preserve">           5) Records of All Compliance Reports Submitted</t>
  </si>
  <si>
    <t xml:space="preserve">           6) Records of Monthly Fuel Use</t>
  </si>
  <si>
    <t xml:space="preserve">                for Hazardous Air Pollutants (NESHAP) for Industrial, Commercial, and Institutional Boilers and Process Heaters - Year 2, New Small Solid Fuel Units</t>
  </si>
  <si>
    <t>b, c, d</t>
  </si>
  <si>
    <t>e Assumes facility must already maintain records on boiler insurance and/or maintenance schedule.  No new record system would be required.</t>
  </si>
  <si>
    <t>Managerial</t>
  </si>
  <si>
    <t>Technical</t>
  </si>
  <si>
    <t>Clerical</t>
  </si>
  <si>
    <t>Labor Rates</t>
  </si>
  <si>
    <t>Rate</t>
  </si>
  <si>
    <t>Category</t>
  </si>
  <si>
    <t>Sum of Number of Boilers Represented by Model</t>
  </si>
  <si>
    <t>Fuel Category</t>
  </si>
  <si>
    <t>Size Category</t>
  </si>
  <si>
    <t>Total</t>
  </si>
  <si>
    <t>Biomass</t>
  </si>
  <si>
    <t>&lt; 10</t>
  </si>
  <si>
    <t>&gt;= 10 to 100</t>
  </si>
  <si>
    <t>&gt;100</t>
  </si>
  <si>
    <t>Coal</t>
  </si>
  <si>
    <t>Liquid</t>
  </si>
  <si>
    <t>Grand Total</t>
  </si>
  <si>
    <t>Assume units with bag leak detection will have a bag leak detection monitor</t>
  </si>
  <si>
    <t>Otherwise, all units will have an opacity monitor</t>
  </si>
  <si>
    <t>Existing Boiler Data</t>
  </si>
  <si>
    <t>New Boiler Data</t>
  </si>
  <si>
    <t>new biomass &gt;10</t>
  </si>
  <si>
    <t>new oil &gt;10</t>
  </si>
  <si>
    <t>BLD Monitors</t>
  </si>
  <si>
    <t>Coal &gt;10</t>
  </si>
  <si>
    <t>Opacity monitors</t>
  </si>
  <si>
    <t>total large</t>
  </si>
  <si>
    <t xml:space="preserve">           5.  Annual Stack Test and Report (for CO)</t>
  </si>
  <si>
    <t xml:space="preserve">           9. Biennial Tune-Up</t>
  </si>
  <si>
    <t xml:space="preserve">           3.  Initial Stack Test and Report (for CO)</t>
  </si>
  <si>
    <t>coal and biomass</t>
  </si>
  <si>
    <t>coal</t>
  </si>
  <si>
    <t>biomass</t>
  </si>
  <si>
    <t>(L) Total Non-Labor Annual Costs</t>
  </si>
  <si>
    <t>(M) Total Number of Responses per Year (E X G)</t>
  </si>
  <si>
    <t>b, c, d, f</t>
  </si>
  <si>
    <t>f All existing large solid units must conduct energy audits.</t>
  </si>
  <si>
    <t>g Existing large coal units are expected to determine compliance through stack testing and not fuel analysis</t>
  </si>
  <si>
    <t>h Only existing large coal units have mercury and CO limits.</t>
  </si>
  <si>
    <t>c, h</t>
  </si>
  <si>
    <t>unit</t>
  </si>
  <si>
    <t>facility</t>
  </si>
  <si>
    <t>5) Bi-annual Compliance Report</t>
  </si>
  <si>
    <t xml:space="preserve">           2)  Records of Deviations</t>
  </si>
  <si>
    <t>i Existing large biomass units are subject to the biennial tune-up</t>
  </si>
  <si>
    <t>both</t>
  </si>
  <si>
    <t>(C) Tune-Up Cost per Occurrence</t>
  </si>
  <si>
    <t>2) Records of Biennial Tune-Up</t>
  </si>
  <si>
    <t>1) Records of All Compliance Reports Submitted</t>
  </si>
  <si>
    <t>for Hazardous Air Pollutants (NESHAP) for Industrial, Commercial, and Institutional Boilers  - Year 1, Existing Large Liquid Fuel Units</t>
  </si>
  <si>
    <t>for Hazardous Air Pollutants (NESHAP) for Industrial, Commercial, and Institutional Boilers  - Year 2, Existing Large Liquid Fuel Units</t>
  </si>
  <si>
    <t>for Hazardous Air Pollutants (NESHAP) for Industrial, Commercial, and Institutional Boilers  - Year 3, Existing Large Liquid Fuel Units</t>
  </si>
  <si>
    <t>for Hazardous Air Pollutants (NESHAP) for Industrial, Commercial, and Institutional Boilers  - Year 1, Existing Small Solid Fuel Units</t>
  </si>
  <si>
    <t>for Hazardous Air Pollutants (NESHAP) for Industrial, Commercial, and Institutional Boilers  - Year 1, Existing Large Solid Fuel Units</t>
  </si>
  <si>
    <t>for Hazardous Air Pollutants (NESHAP) for Industrial, Commercial, and Institutional Boilers  - Year 2, Existing Large Solid Fuel Units</t>
  </si>
  <si>
    <t>for Hazardous Air Pollutants (NESHAP) for Industrial, Commercial, and Institutional Boilers  - Year 3, Existing Large Solid Fuel Units</t>
  </si>
  <si>
    <t>for Hazardous Air Pollutants (NESHAP) for Industrial, Commercial, and Institutional Boilers  - Year 2, Existing Small Solid Fuel Units</t>
  </si>
  <si>
    <t>for Hazardous Air Pollutants (NESHAP) for Industrial, Commercial, and Institutional Boilers  - Year 3, Existing Small Solid Fuel Units</t>
  </si>
  <si>
    <t>for Hazardous Air Pollutants (NESHAP) for Industrial, Commercial, and Institutional Boilers  - Year 1, Existing Small Liquid Fuel Units</t>
  </si>
  <si>
    <t>for Hazardous Air Pollutants (NESHAP) for Industrial, Commercial, and Institutional Boilers  - Year 2, Existing Small Liquid Fuel Units</t>
  </si>
  <si>
    <t>for Hazardous Air Pollutants (NESHAP) for Industrial, Commercial, and Institutional Boilers  - Year 3, Existing Small Liquid Fuel Units</t>
  </si>
  <si>
    <t>(E) Number of Occurrences Per Respondent Per Year</t>
  </si>
  <si>
    <t>c All projected large solid fuel units expected to comply through stack testing instead of the fuel testing compliance option. Only units less than 30 mmBtu/hr that are not subject to PM limits under the NSPS (40 CFR part 60 subparts Db, Dc) will incur additional testing, monitoring, recordkeeping and reporting costs under this rule.</t>
  </si>
  <si>
    <t>4) Annual Compliance Report</t>
  </si>
  <si>
    <t>3) Annual Compliance Report</t>
  </si>
  <si>
    <t>a, c</t>
  </si>
  <si>
    <t>d No annual test and reporting burden is shown in year 1 as this is the same year as the initial test and report.</t>
  </si>
  <si>
    <t>c, d</t>
  </si>
  <si>
    <t>e If you demonstrate compliance with any applicable emission limit through stack testing, you must develop a site-specific monitoring plan.  All new large solid fuel units are expected to develop this plan.</t>
  </si>
  <si>
    <t>f All new coal units greater than 10 mmBtu/hr are expected to install fabric filters and equipped with bag leak detection (BLD) systems instead of opacity monitors. Since biomass units are expected to meet PM limits with an ESP, an opacity monitor is required instead of a BLD. There are no new large coal units projected to be installed.</t>
  </si>
  <si>
    <t>g Only coal boilers are subject to numerical mercury and CO limits and are required to test. No new large coal units are projected.</t>
  </si>
  <si>
    <t>b, c, g</t>
  </si>
  <si>
    <t>b, g</t>
  </si>
  <si>
    <t>d, g</t>
  </si>
  <si>
    <t>d Subsequent annual testing in year 2 are based on the number of sources that had an initial test in year 1 of this ICR.   Subsequent semi-annual compliance reporting and recordkeeping requirements are based on the number of new sources in years 1 and 2 of this ICR.</t>
  </si>
  <si>
    <t xml:space="preserve">           2.  Annual Stack Test and Report (for PM)</t>
  </si>
  <si>
    <t xml:space="preserve">           3.  Continuous Parameter Monitoring</t>
  </si>
  <si>
    <t>e If you demonstrate compliance with any applicable emission limit through stack testing, you must develop a site-specific monitoring plan.  All new large liquid fuel units are expected to develop this plan.</t>
  </si>
  <si>
    <t xml:space="preserve">c All projected large liquid fuel units are expected to comply with mercury limits through the fuel testing compliance option instead of stack testing, see note a for the derivation of the number of units per year. </t>
  </si>
  <si>
    <t xml:space="preserve">           1. Biennial Tune-Up</t>
  </si>
  <si>
    <t>(B) Tune-Up Cost per Occurrence</t>
  </si>
  <si>
    <t>(C) Other Non-Labor Costs Per Occurrence</t>
  </si>
  <si>
    <t>(D) Number of Occurrences Per Respondent Per Year</t>
  </si>
  <si>
    <t>(E) Technical Hours per Respondent Per Year
 (A X D)</t>
  </si>
  <si>
    <t>(F) Number of Respondents Per Year</t>
  </si>
  <si>
    <t>(G) Technical Hours per Year @ $98.20 (E X F)</t>
  </si>
  <si>
    <t>(H)         Clerical Hours per Year @ $48.53 (G X 0.1)</t>
  </si>
  <si>
    <t>(I)       Management Hours per Year @ $114.49 (G X .05)</t>
  </si>
  <si>
    <t>(J)  Total Labor Costs Per Year</t>
  </si>
  <si>
    <t>(K) Total Non-Labor Annual Costs</t>
  </si>
  <si>
    <t>(L) Total Number of Responses per Year (D X F)</t>
  </si>
  <si>
    <t>a  Number of respondents based on number of new small solid fuel boilers which includes biomass and coal units less than 10 mmBtu/hr (assumption of 2 units per facility).  One-third of the units will comply each year.</t>
  </si>
  <si>
    <t>b Since existing units have three years after the publication date of the final rule to submit initial notification of compliance status, conduct compliance activities, or meet recordkeeping or reporting requirements, no burden is assumed in year 1.</t>
  </si>
  <si>
    <t xml:space="preserve">d Subsequent annual testing in year 2 are based on the number of sources that had an initial test in year 1 of this ICR.   Subsequent semi-annual compliance reporting and recordkeeping requirements are based on the number of new sources in years 1 and 2 of this ICR. </t>
  </si>
  <si>
    <t>b Compliance activities will start the year the boiler complies.</t>
  </si>
  <si>
    <t>c Assumes facility must already maintain records on boiler insurance and/or maintenance schedule.  No new record system would be required.</t>
  </si>
  <si>
    <t>a  Number of respondents based on number of new small liquid fuel boilers less than 10 mmBtu/hr (assumption of 2 units per facility).  One-third of the units will comply each year.</t>
  </si>
  <si>
    <t>Review annual compliance report</t>
  </si>
  <si>
    <t>b Since existing units have three years after the publication date of the final rule to submit initial notification of compliance status, conduct compliance activities, or meet recordkeeping or reporting requirements, it is assumed that half the affected units will conduct a tune-up in year 2 and half will conduct them in year 3 in order to be in compliance by the third year after promulgation.  Initial Notification of Compliance Reports and recordkeeping requirements will not begin until year 3 of this ICR.</t>
  </si>
  <si>
    <t>(K)                Total Non-Labor Annual Cost</t>
  </si>
  <si>
    <t xml:space="preserve">           6. Annual Stack Test and Report (for CO)</t>
  </si>
  <si>
    <t>(K)
Total Non-Labor Annual Cost</t>
  </si>
  <si>
    <t>labor</t>
  </si>
  <si>
    <t>nonlabor</t>
  </si>
  <si>
    <t>total costs</t>
  </si>
  <si>
    <t>Management hours per year (E=Dx0.05)</t>
  </si>
  <si>
    <r>
      <t>Costs, $</t>
    </r>
    <r>
      <rPr>
        <vertAlign val="superscript"/>
        <sz val="10"/>
        <rFont val="Arial"/>
        <family val="2"/>
      </rPr>
      <t xml:space="preserve">L
</t>
    </r>
    <r>
      <rPr>
        <sz val="10"/>
        <rFont val="Arial"/>
        <family val="2"/>
      </rPr>
      <t>(H)</t>
    </r>
  </si>
</sst>
</file>

<file path=xl/styles.xml><?xml version="1.0" encoding="utf-8"?>
<styleSheet xmlns="http://schemas.openxmlformats.org/spreadsheetml/2006/main">
  <numFmts count="11">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_(&quot;$&quot;* #,##0_);_(&quot;$&quot;* \(#,##0\);_(&quot;$&quot;* &quot;-&quot;??_);_(@_)"/>
    <numFmt numFmtId="168" formatCode="_(* #,##0.0000_);_(* \(#,##0.0000\);_(* &quot;-&quot;??_);_(@_)"/>
    <numFmt numFmtId="169" formatCode="#,##0.00000"/>
    <numFmt numFmtId="170" formatCode="#,##0.0"/>
    <numFmt numFmtId="171" formatCode="0.000"/>
    <numFmt numFmtId="172" formatCode="#,##0.0000"/>
  </numFmts>
  <fonts count="20">
    <font>
      <sz val="10"/>
      <name val="Arial"/>
    </font>
    <font>
      <sz val="10"/>
      <name val="Arial"/>
    </font>
    <font>
      <sz val="8"/>
      <name val="Arial"/>
      <family val="2"/>
    </font>
    <font>
      <b/>
      <sz val="8"/>
      <name val="Arial"/>
      <family val="2"/>
    </font>
    <font>
      <sz val="7"/>
      <name val="Arial"/>
      <family val="2"/>
    </font>
    <font>
      <b/>
      <sz val="7"/>
      <name val="Arial"/>
      <family val="2"/>
    </font>
    <font>
      <sz val="6.5"/>
      <name val="Arial"/>
      <family val="2"/>
    </font>
    <font>
      <sz val="8"/>
      <name val="Arial"/>
    </font>
    <font>
      <sz val="10"/>
      <name val="Arial"/>
      <family val="2"/>
    </font>
    <font>
      <b/>
      <sz val="10"/>
      <name val="Arial"/>
      <family val="2"/>
    </font>
    <font>
      <b/>
      <u/>
      <sz val="10"/>
      <name val="Arial"/>
      <family val="2"/>
    </font>
    <font>
      <b/>
      <sz val="7"/>
      <color indexed="10"/>
      <name val="Arial"/>
      <family val="2"/>
    </font>
    <font>
      <i/>
      <sz val="7"/>
      <name val="Arial"/>
      <family val="2"/>
    </font>
    <font>
      <vertAlign val="superscript"/>
      <sz val="10"/>
      <name val="Arial"/>
      <family val="2"/>
    </font>
    <font>
      <b/>
      <sz val="10"/>
      <name val="Arial"/>
    </font>
    <font>
      <i/>
      <sz val="10"/>
      <name val="Arial"/>
    </font>
    <font>
      <sz val="10"/>
      <name val="Times New Roman"/>
      <family val="1"/>
    </font>
    <font>
      <sz val="10"/>
      <color indexed="8"/>
      <name val="Times New Roman"/>
      <family val="1"/>
    </font>
    <font>
      <sz val="8"/>
      <color indexed="10"/>
      <name val="Arial"/>
    </font>
    <font>
      <sz val="7"/>
      <color rgb="FFFF0000"/>
      <name val="Arial"/>
      <family val="2"/>
    </font>
  </fonts>
  <fills count="5">
    <fill>
      <patternFill patternType="none"/>
    </fill>
    <fill>
      <patternFill patternType="gray125"/>
    </fill>
    <fill>
      <patternFill patternType="solid">
        <fgColor indexed="22"/>
        <bgColor indexed="64"/>
      </patternFill>
    </fill>
    <fill>
      <patternFill patternType="solid">
        <fgColor indexed="14"/>
        <bgColor indexed="64"/>
      </patternFill>
    </fill>
    <fill>
      <patternFill patternType="solid">
        <fgColor rgb="FFFF0000"/>
        <bgColor indexed="64"/>
      </patternFill>
    </fill>
  </fills>
  <borders count="75">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top style="hair">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hair">
        <color indexed="64"/>
      </right>
      <top style="hair">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medium">
        <color indexed="64"/>
      </right>
      <top/>
      <bottom style="medium">
        <color indexed="64"/>
      </bottom>
      <diagonal/>
    </border>
    <border>
      <left style="medium">
        <color indexed="64"/>
      </left>
      <right/>
      <top style="hair">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hair">
        <color indexed="64"/>
      </right>
      <top style="hair">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style="hair">
        <color indexed="64"/>
      </top>
      <bottom/>
      <diagonal/>
    </border>
    <border>
      <left/>
      <right style="hair">
        <color indexed="64"/>
      </right>
      <top style="medium">
        <color indexed="64"/>
      </top>
      <bottom style="hair">
        <color indexed="64"/>
      </bottom>
      <diagonal/>
    </border>
    <border>
      <left/>
      <right style="hair">
        <color indexed="64"/>
      </right>
      <top style="hair">
        <color indexed="64"/>
      </top>
      <bottom/>
      <diagonal/>
    </border>
    <border>
      <left style="hair">
        <color indexed="64"/>
      </left>
      <right/>
      <top style="medium">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diagonal/>
    </border>
    <border>
      <left/>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431">
    <xf numFmtId="0" fontId="0" fillId="0" borderId="0" xfId="0"/>
    <xf numFmtId="0" fontId="2" fillId="0" borderId="0" xfId="0" applyFont="1"/>
    <xf numFmtId="0" fontId="3" fillId="0" borderId="0" xfId="0" applyFont="1"/>
    <xf numFmtId="0" fontId="4" fillId="0" borderId="0" xfId="0" applyFont="1" applyAlignment="1">
      <alignment wrapText="1"/>
    </xf>
    <xf numFmtId="0" fontId="4" fillId="0" borderId="0" xfId="0" applyFont="1"/>
    <xf numFmtId="0" fontId="2" fillId="0" borderId="0" xfId="0" applyFont="1" applyAlignment="1">
      <alignment horizontal="center"/>
    </xf>
    <xf numFmtId="3" fontId="2" fillId="0" borderId="0" xfId="0" applyNumberFormat="1" applyFont="1" applyAlignment="1">
      <alignment horizontal="center"/>
    </xf>
    <xf numFmtId="0" fontId="5" fillId="0" borderId="0" xfId="0" applyFont="1"/>
    <xf numFmtId="1" fontId="2" fillId="0" borderId="0" xfId="0" applyNumberFormat="1" applyFont="1" applyAlignment="1">
      <alignment horizontal="center"/>
    </xf>
    <xf numFmtId="0" fontId="6" fillId="0" borderId="0" xfId="0" applyFont="1"/>
    <xf numFmtId="0" fontId="6" fillId="0" borderId="0" xfId="0" applyFont="1" applyAlignment="1">
      <alignment horizontal="center"/>
    </xf>
    <xf numFmtId="1" fontId="6" fillId="0" borderId="0" xfId="0" applyNumberFormat="1" applyFont="1" applyAlignment="1">
      <alignment horizontal="center"/>
    </xf>
    <xf numFmtId="3" fontId="6" fillId="0" borderId="0" xfId="0" applyNumberFormat="1" applyFont="1" applyAlignment="1">
      <alignment horizontal="center"/>
    </xf>
    <xf numFmtId="0" fontId="4" fillId="0" borderId="1" xfId="0" applyFont="1" applyBorder="1" applyAlignment="1">
      <alignment horizontal="center"/>
    </xf>
    <xf numFmtId="3" fontId="4" fillId="0" borderId="1" xfId="0" applyNumberFormat="1" applyFont="1" applyBorder="1" applyAlignment="1">
      <alignment horizontal="center"/>
    </xf>
    <xf numFmtId="165" fontId="4" fillId="0" borderId="0" xfId="0" applyNumberFormat="1" applyFont="1"/>
    <xf numFmtId="0" fontId="8" fillId="0" borderId="3" xfId="0" applyFont="1" applyBorder="1"/>
    <xf numFmtId="165" fontId="8" fillId="0" borderId="3" xfId="0" applyNumberFormat="1" applyFont="1" applyBorder="1"/>
    <xf numFmtId="0" fontId="9" fillId="2" borderId="3" xfId="0" applyFont="1" applyFill="1" applyBorder="1"/>
    <xf numFmtId="0" fontId="10" fillId="0" borderId="0" xfId="0" applyFont="1"/>
    <xf numFmtId="0" fontId="0" fillId="0" borderId="3" xfId="0" applyBorder="1"/>
    <xf numFmtId="0" fontId="0" fillId="0" borderId="3" xfId="0" applyBorder="1" applyAlignment="1">
      <alignment horizontal="center"/>
    </xf>
    <xf numFmtId="166" fontId="4" fillId="0" borderId="1" xfId="0" applyNumberFormat="1" applyFont="1" applyBorder="1" applyAlignment="1">
      <alignment horizontal="center"/>
    </xf>
    <xf numFmtId="166" fontId="4" fillId="0" borderId="2" xfId="0" applyNumberFormat="1" applyFont="1" applyBorder="1" applyAlignment="1">
      <alignment horizontal="center"/>
    </xf>
    <xf numFmtId="165" fontId="0" fillId="0" borderId="3" xfId="0" applyNumberFormat="1" applyBorder="1"/>
    <xf numFmtId="0" fontId="0" fillId="0" borderId="0" xfId="0" applyBorder="1"/>
    <xf numFmtId="0" fontId="0" fillId="0" borderId="0" xfId="0" applyFill="1" applyBorder="1"/>
    <xf numFmtId="0" fontId="9" fillId="0" borderId="0" xfId="0" applyFont="1" applyFill="1" applyBorder="1"/>
    <xf numFmtId="0" fontId="4" fillId="0" borderId="1" xfId="0" applyFont="1" applyFill="1" applyBorder="1" applyAlignment="1">
      <alignment horizontal="center"/>
    </xf>
    <xf numFmtId="0" fontId="0" fillId="0" borderId="3" xfId="0" applyBorder="1" applyAlignment="1">
      <alignment vertical="center" wrapText="1"/>
    </xf>
    <xf numFmtId="165" fontId="0" fillId="0" borderId="3" xfId="0" applyNumberFormat="1" applyBorder="1" applyAlignment="1">
      <alignment vertical="center"/>
    </xf>
    <xf numFmtId="3" fontId="4" fillId="0" borderId="1" xfId="1" applyNumberFormat="1" applyFont="1" applyBorder="1" applyAlignment="1">
      <alignment horizontal="center"/>
    </xf>
    <xf numFmtId="166" fontId="4" fillId="0" borderId="1" xfId="0" applyNumberFormat="1" applyFont="1" applyFill="1" applyBorder="1" applyAlignment="1">
      <alignment horizontal="center"/>
    </xf>
    <xf numFmtId="0" fontId="6" fillId="0" borderId="0" xfId="0" applyFont="1" applyFill="1"/>
    <xf numFmtId="0" fontId="2" fillId="0" borderId="0" xfId="0" applyFont="1" applyFill="1" applyAlignment="1">
      <alignment horizontal="center"/>
    </xf>
    <xf numFmtId="1" fontId="2" fillId="0" borderId="0" xfId="0" applyNumberFormat="1" applyFont="1" applyFill="1" applyAlignment="1">
      <alignment horizontal="center"/>
    </xf>
    <xf numFmtId="0" fontId="6" fillId="0" borderId="0" xfId="0" applyFont="1" applyFill="1" applyAlignment="1">
      <alignment horizontal="center"/>
    </xf>
    <xf numFmtId="1" fontId="6" fillId="0" borderId="0" xfId="0" applyNumberFormat="1" applyFont="1" applyFill="1" applyAlignment="1">
      <alignment horizontal="center"/>
    </xf>
    <xf numFmtId="0" fontId="9" fillId="0" borderId="3" xfId="0" applyFont="1" applyBorder="1"/>
    <xf numFmtId="1" fontId="0" fillId="0" borderId="3" xfId="0" applyNumberFormat="1" applyBorder="1"/>
    <xf numFmtId="166" fontId="11" fillId="0" borderId="1" xfId="0" applyNumberFormat="1" applyFont="1" applyBorder="1" applyAlignment="1">
      <alignment horizontal="center"/>
    </xf>
    <xf numFmtId="0" fontId="6" fillId="0" borderId="0" xfId="0" applyFont="1" applyAlignment="1">
      <alignment horizontal="left" wrapText="1"/>
    </xf>
    <xf numFmtId="3" fontId="4" fillId="0" borderId="1" xfId="1" applyNumberFormat="1" applyFont="1" applyFill="1" applyBorder="1" applyAlignment="1">
      <alignment horizontal="center"/>
    </xf>
    <xf numFmtId="3" fontId="4" fillId="0" borderId="1" xfId="0" applyNumberFormat="1" applyFont="1" applyFill="1" applyBorder="1" applyAlignment="1">
      <alignment horizontal="center"/>
    </xf>
    <xf numFmtId="0" fontId="8" fillId="0" borderId="0" xfId="0" applyFont="1" applyFill="1" applyBorder="1"/>
    <xf numFmtId="0" fontId="0" fillId="0" borderId="3" xfId="0" applyFill="1" applyBorder="1"/>
    <xf numFmtId="0" fontId="4" fillId="0" borderId="0" xfId="0" applyFont="1" applyFill="1"/>
    <xf numFmtId="3" fontId="11" fillId="0" borderId="1" xfId="0" applyNumberFormat="1" applyFont="1" applyFill="1" applyBorder="1" applyAlignment="1">
      <alignment horizontal="center"/>
    </xf>
    <xf numFmtId="166" fontId="4" fillId="0" borderId="4" xfId="0" applyNumberFormat="1" applyFont="1" applyBorder="1" applyAlignment="1">
      <alignment horizontal="center"/>
    </xf>
    <xf numFmtId="9" fontId="2" fillId="0" borderId="0" xfId="3" applyFont="1" applyAlignment="1">
      <alignment horizontal="center"/>
    </xf>
    <xf numFmtId="9" fontId="6" fillId="0" borderId="0" xfId="3" applyFont="1" applyAlignment="1">
      <alignment horizontal="center"/>
    </xf>
    <xf numFmtId="9" fontId="6" fillId="0" borderId="0" xfId="3" applyFont="1" applyAlignment="1">
      <alignment horizontal="left" wrapText="1"/>
    </xf>
    <xf numFmtId="0" fontId="7" fillId="0" borderId="0" xfId="0" applyFont="1"/>
    <xf numFmtId="0" fontId="9" fillId="0" borderId="0" xfId="0" applyFont="1"/>
    <xf numFmtId="166" fontId="4" fillId="3" borderId="0" xfId="0" applyNumberFormat="1" applyFont="1" applyFill="1" applyAlignment="1">
      <alignment horizontal="right"/>
    </xf>
    <xf numFmtId="0" fontId="0" fillId="0" borderId="0" xfId="0" applyAlignment="1">
      <alignment horizontal="center" wrapText="1"/>
    </xf>
    <xf numFmtId="3" fontId="0" fillId="0" borderId="0" xfId="0" applyNumberFormat="1" applyAlignment="1">
      <alignment horizontal="center" wrapText="1"/>
    </xf>
    <xf numFmtId="0" fontId="0" fillId="0" borderId="0" xfId="0" applyAlignment="1">
      <alignment horizontal="center"/>
    </xf>
    <xf numFmtId="0" fontId="14" fillId="0" borderId="0" xfId="0" applyFont="1" applyBorder="1" applyAlignment="1">
      <alignment horizontal="left" vertical="center"/>
    </xf>
    <xf numFmtId="0" fontId="0" fillId="0" borderId="0" xfId="0" applyBorder="1" applyAlignment="1">
      <alignment horizontal="left"/>
    </xf>
    <xf numFmtId="0" fontId="0" fillId="0" borderId="0" xfId="0" applyBorder="1" applyAlignment="1">
      <alignment horizontal="center" vertical="top" wrapText="1"/>
    </xf>
    <xf numFmtId="49" fontId="8" fillId="0" borderId="6" xfId="0" applyNumberFormat="1" applyFont="1" applyBorder="1" applyAlignment="1">
      <alignment vertical="top"/>
    </xf>
    <xf numFmtId="0" fontId="14" fillId="0" borderId="0" xfId="0" applyFont="1" applyBorder="1" applyAlignment="1">
      <alignment horizontal="center" vertical="top" wrapText="1"/>
    </xf>
    <xf numFmtId="49" fontId="8" fillId="0" borderId="5" xfId="0" applyNumberFormat="1" applyFont="1" applyBorder="1" applyAlignment="1">
      <alignment vertical="top"/>
    </xf>
    <xf numFmtId="0" fontId="1" fillId="0" borderId="0" xfId="0" applyFont="1" applyBorder="1" applyAlignment="1">
      <alignment horizontal="center" vertical="top" wrapText="1"/>
    </xf>
    <xf numFmtId="0" fontId="14" fillId="0" borderId="0" xfId="0" applyFont="1" applyBorder="1" applyAlignment="1">
      <alignment horizontal="centerContinuous" vertical="center"/>
    </xf>
    <xf numFmtId="0" fontId="0" fillId="0" borderId="0" xfId="0" applyBorder="1" applyAlignment="1">
      <alignment horizontal="centerContinuous"/>
    </xf>
    <xf numFmtId="0" fontId="0" fillId="0" borderId="0" xfId="0" applyBorder="1" applyAlignment="1">
      <alignment horizontal="centerContinuous" vertical="top" wrapText="1"/>
    </xf>
    <xf numFmtId="0" fontId="14" fillId="0" borderId="0" xfId="0" applyFont="1" applyBorder="1" applyAlignment="1">
      <alignment horizontal="centerContinuous" vertical="center" wrapText="1"/>
    </xf>
    <xf numFmtId="0" fontId="8" fillId="0" borderId="0" xfId="0" applyFont="1" applyBorder="1" applyAlignment="1">
      <alignment horizontal="center" vertical="top" wrapText="1"/>
    </xf>
    <xf numFmtId="0" fontId="15" fillId="0" borderId="0" xfId="0" applyFont="1" applyBorder="1" applyAlignment="1">
      <alignment horizontal="center" vertical="top" wrapText="1"/>
    </xf>
    <xf numFmtId="0" fontId="2" fillId="0" borderId="0" xfId="0" applyFont="1" applyAlignment="1">
      <alignment horizontal="center" wrapText="1"/>
    </xf>
    <xf numFmtId="3" fontId="2" fillId="0" borderId="0" xfId="0" applyNumberFormat="1" applyFont="1" applyAlignment="1">
      <alignment horizontal="center" wrapText="1"/>
    </xf>
    <xf numFmtId="0" fontId="2" fillId="0" borderId="0" xfId="0" applyFont="1" applyFill="1"/>
    <xf numFmtId="0" fontId="2" fillId="0" borderId="0" xfId="0" applyFont="1" applyFill="1" applyAlignment="1">
      <alignment horizontal="center" wrapText="1"/>
    </xf>
    <xf numFmtId="3" fontId="2" fillId="0" borderId="0" xfId="0" applyNumberFormat="1" applyFont="1" applyFill="1" applyAlignment="1">
      <alignment horizontal="center" wrapText="1"/>
    </xf>
    <xf numFmtId="166" fontId="0" fillId="0" borderId="3" xfId="0" applyNumberFormat="1" applyBorder="1"/>
    <xf numFmtId="9" fontId="0" fillId="0" borderId="3" xfId="0" applyNumberFormat="1" applyBorder="1"/>
    <xf numFmtId="0" fontId="4" fillId="0" borderId="0" xfId="0" applyFont="1" applyFill="1" applyAlignment="1">
      <alignment horizontal="right"/>
    </xf>
    <xf numFmtId="166" fontId="4" fillId="0" borderId="0" xfId="0" applyNumberFormat="1" applyFont="1" applyFill="1" applyAlignment="1">
      <alignment horizontal="right"/>
    </xf>
    <xf numFmtId="0" fontId="7" fillId="0" borderId="0" xfId="0" applyFont="1" applyFill="1"/>
    <xf numFmtId="0" fontId="2" fillId="0" borderId="0" xfId="0" applyFont="1" applyFill="1" applyBorder="1"/>
    <xf numFmtId="0" fontId="0" fillId="0" borderId="0" xfId="0" applyFill="1"/>
    <xf numFmtId="0" fontId="9" fillId="0" borderId="0" xfId="0" applyFont="1" applyFill="1"/>
    <xf numFmtId="0" fontId="0" fillId="0" borderId="0" xfId="0" applyAlignment="1">
      <alignment horizontal="left"/>
    </xf>
    <xf numFmtId="166" fontId="4" fillId="0" borderId="0" xfId="0" applyNumberFormat="1" applyFont="1"/>
    <xf numFmtId="166" fontId="4" fillId="0" borderId="0" xfId="0" applyNumberFormat="1" applyFont="1" applyFill="1"/>
    <xf numFmtId="0" fontId="17" fillId="0" borderId="23" xfId="0" applyFont="1" applyBorder="1" applyAlignment="1">
      <alignment horizontal="center" wrapText="1"/>
    </xf>
    <xf numFmtId="0" fontId="17" fillId="0" borderId="24" xfId="0" applyFont="1" applyBorder="1" applyAlignment="1">
      <alignment horizontal="center" wrapText="1"/>
    </xf>
    <xf numFmtId="0" fontId="16" fillId="0" borderId="24" xfId="0" applyFont="1" applyBorder="1" applyAlignment="1">
      <alignment horizontal="center" wrapText="1"/>
    </xf>
    <xf numFmtId="0" fontId="17" fillId="0" borderId="25" xfId="0" applyFont="1" applyBorder="1" applyAlignment="1">
      <alignment horizontal="center" wrapText="1"/>
    </xf>
    <xf numFmtId="3" fontId="17" fillId="0" borderId="25" xfId="0" applyNumberFormat="1" applyFont="1" applyBorder="1" applyAlignment="1">
      <alignment horizontal="center" wrapText="1"/>
    </xf>
    <xf numFmtId="3" fontId="16" fillId="0" borderId="25" xfId="0" applyNumberFormat="1" applyFont="1" applyBorder="1" applyAlignment="1">
      <alignment horizontal="center" wrapText="1"/>
    </xf>
    <xf numFmtId="0" fontId="17" fillId="0" borderId="26" xfId="0" applyFont="1" applyBorder="1" applyAlignment="1">
      <alignment horizontal="center" wrapText="1"/>
    </xf>
    <xf numFmtId="3" fontId="16" fillId="0" borderId="26" xfId="0" applyNumberFormat="1" applyFont="1" applyBorder="1" applyAlignment="1">
      <alignment horizontal="center" wrapText="1"/>
    </xf>
    <xf numFmtId="167" fontId="16" fillId="0" borderId="25" xfId="2" applyNumberFormat="1" applyFont="1" applyBorder="1"/>
    <xf numFmtId="167" fontId="16" fillId="0" borderId="26" xfId="2" applyNumberFormat="1" applyFont="1" applyBorder="1"/>
    <xf numFmtId="0" fontId="17" fillId="0" borderId="15" xfId="0" applyFont="1" applyFill="1" applyBorder="1" applyAlignment="1">
      <alignment horizontal="center" wrapText="1"/>
    </xf>
    <xf numFmtId="167" fontId="16" fillId="0" borderId="15" xfId="2" applyNumberFormat="1" applyFont="1" applyBorder="1"/>
    <xf numFmtId="1" fontId="17" fillId="0" borderId="25" xfId="0" applyNumberFormat="1" applyFont="1" applyBorder="1" applyAlignment="1">
      <alignment horizontal="center" wrapText="1"/>
    </xf>
    <xf numFmtId="1" fontId="16" fillId="0" borderId="25" xfId="0" applyNumberFormat="1" applyFont="1" applyBorder="1" applyAlignment="1">
      <alignment horizontal="center" wrapText="1"/>
    </xf>
    <xf numFmtId="0" fontId="17" fillId="0" borderId="27" xfId="0" applyFont="1" applyFill="1" applyBorder="1" applyAlignment="1">
      <alignment horizontal="center" wrapText="1"/>
    </xf>
    <xf numFmtId="164" fontId="7" fillId="0" borderId="32" xfId="1" applyNumberFormat="1" applyFont="1" applyFill="1" applyBorder="1"/>
    <xf numFmtId="0" fontId="10" fillId="0" borderId="19" xfId="0" applyFont="1" applyBorder="1"/>
    <xf numFmtId="0" fontId="0" fillId="0" borderId="19" xfId="0" applyBorder="1"/>
    <xf numFmtId="166" fontId="11" fillId="0" borderId="1" xfId="0" applyNumberFormat="1" applyFont="1" applyFill="1" applyBorder="1" applyAlignment="1">
      <alignment horizontal="center"/>
    </xf>
    <xf numFmtId="164" fontId="4" fillId="0" borderId="1" xfId="1" applyNumberFormat="1" applyFont="1" applyFill="1" applyBorder="1" applyAlignment="1">
      <alignment horizontal="center"/>
    </xf>
    <xf numFmtId="3" fontId="11" fillId="0" borderId="1" xfId="1" applyNumberFormat="1" applyFont="1" applyFill="1" applyBorder="1" applyAlignment="1">
      <alignment horizontal="center"/>
    </xf>
    <xf numFmtId="164" fontId="16" fillId="0" borderId="33" xfId="1" applyNumberFormat="1" applyFont="1" applyBorder="1" applyAlignment="1">
      <alignment horizontal="center"/>
    </xf>
    <xf numFmtId="164" fontId="16" fillId="0" borderId="32" xfId="1" applyNumberFormat="1" applyFont="1" applyBorder="1" applyAlignment="1">
      <alignment horizontal="center"/>
    </xf>
    <xf numFmtId="164" fontId="16" fillId="0" borderId="34" xfId="1" applyNumberFormat="1" applyFont="1" applyBorder="1" applyAlignment="1">
      <alignment horizontal="center"/>
    </xf>
    <xf numFmtId="3" fontId="16" fillId="0" borderId="15" xfId="0" applyNumberFormat="1" applyFont="1" applyBorder="1" applyAlignment="1">
      <alignment horizontal="center"/>
    </xf>
    <xf numFmtId="0" fontId="2" fillId="0" borderId="0" xfId="0" applyFont="1" applyBorder="1"/>
    <xf numFmtId="0" fontId="6" fillId="0" borderId="0" xfId="0" applyFont="1" applyBorder="1"/>
    <xf numFmtId="0" fontId="2" fillId="0" borderId="0" xfId="0" applyFont="1" applyBorder="1" applyAlignment="1">
      <alignment horizontal="center"/>
    </xf>
    <xf numFmtId="0" fontId="6" fillId="0" borderId="0" xfId="0" applyFont="1" applyBorder="1" applyAlignment="1">
      <alignment horizontal="center"/>
    </xf>
    <xf numFmtId="0" fontId="4" fillId="0" borderId="30" xfId="0" applyFont="1" applyFill="1" applyBorder="1" applyAlignment="1">
      <alignment horizontal="center" wrapText="1"/>
    </xf>
    <xf numFmtId="0" fontId="4" fillId="0" borderId="35" xfId="0" applyFont="1" applyBorder="1" applyAlignment="1">
      <alignment horizontal="center" wrapText="1"/>
    </xf>
    <xf numFmtId="1" fontId="4" fillId="0" borderId="35" xfId="0" applyNumberFormat="1" applyFont="1" applyFill="1" applyBorder="1" applyAlignment="1">
      <alignment horizontal="center" wrapText="1"/>
    </xf>
    <xf numFmtId="3" fontId="4" fillId="0" borderId="35" xfId="0" applyNumberFormat="1" applyFont="1" applyBorder="1" applyAlignment="1">
      <alignment horizontal="center" wrapText="1"/>
    </xf>
    <xf numFmtId="0" fontId="4" fillId="0" borderId="36" xfId="0" applyFont="1" applyBorder="1" applyAlignment="1">
      <alignment horizontal="center" textRotation="90" wrapText="1"/>
    </xf>
    <xf numFmtId="0" fontId="4" fillId="0" borderId="41" xfId="0" applyFont="1" applyFill="1" applyBorder="1"/>
    <xf numFmtId="0" fontId="4" fillId="0" borderId="42" xfId="0" applyFont="1" applyFill="1" applyBorder="1" applyAlignment="1">
      <alignment horizontal="center"/>
    </xf>
    <xf numFmtId="0" fontId="4" fillId="0" borderId="41" xfId="0" applyFont="1" applyFill="1" applyBorder="1" applyAlignment="1">
      <alignment wrapText="1"/>
    </xf>
    <xf numFmtId="0" fontId="4" fillId="0" borderId="41" xfId="0" applyFont="1" applyFill="1" applyBorder="1" applyAlignment="1">
      <alignment horizontal="left" wrapText="1" indent="2"/>
    </xf>
    <xf numFmtId="0" fontId="4" fillId="0" borderId="41" xfId="0" applyFont="1" applyFill="1" applyBorder="1" applyAlignment="1">
      <alignment horizontal="left" indent="2"/>
    </xf>
    <xf numFmtId="0" fontId="12" fillId="0" borderId="41" xfId="0" applyFont="1" applyFill="1" applyBorder="1" applyAlignment="1"/>
    <xf numFmtId="3" fontId="4" fillId="0" borderId="43" xfId="0" applyNumberFormat="1" applyFont="1" applyFill="1" applyBorder="1" applyAlignment="1">
      <alignment horizontal="center"/>
    </xf>
    <xf numFmtId="0" fontId="4" fillId="0" borderId="44" xfId="0" applyFont="1" applyFill="1" applyBorder="1" applyAlignment="1">
      <alignment horizontal="center" wrapText="1"/>
    </xf>
    <xf numFmtId="0" fontId="4" fillId="0" borderId="45" xfId="0" applyFont="1" applyBorder="1" applyAlignment="1">
      <alignment horizontal="center" wrapText="1"/>
    </xf>
    <xf numFmtId="1" fontId="4" fillId="0" borderId="45" xfId="0" applyNumberFormat="1" applyFont="1" applyFill="1" applyBorder="1" applyAlignment="1">
      <alignment horizontal="center" wrapText="1"/>
    </xf>
    <xf numFmtId="0" fontId="5" fillId="0" borderId="47" xfId="0" applyFont="1" applyFill="1" applyBorder="1" applyAlignment="1">
      <alignment horizontal="center"/>
    </xf>
    <xf numFmtId="0" fontId="3" fillId="0" borderId="48" xfId="0" applyFont="1" applyFill="1" applyBorder="1" applyAlignment="1">
      <alignment horizontal="center"/>
    </xf>
    <xf numFmtId="166" fontId="3" fillId="0" borderId="48" xfId="0" applyNumberFormat="1" applyFont="1" applyFill="1" applyBorder="1" applyAlignment="1">
      <alignment horizontal="center"/>
    </xf>
    <xf numFmtId="1" fontId="3" fillId="0" borderId="48" xfId="0" applyNumberFormat="1" applyFont="1" applyFill="1" applyBorder="1" applyAlignment="1">
      <alignment horizontal="center"/>
    </xf>
    <xf numFmtId="3" fontId="5" fillId="0" borderId="48" xfId="0" applyNumberFormat="1" applyFont="1" applyFill="1" applyBorder="1" applyAlignment="1">
      <alignment horizontal="center"/>
    </xf>
    <xf numFmtId="166" fontId="5" fillId="0" borderId="48" xfId="0" applyNumberFormat="1" applyFont="1" applyFill="1" applyBorder="1" applyAlignment="1">
      <alignment horizontal="center"/>
    </xf>
    <xf numFmtId="0" fontId="3" fillId="0" borderId="17" xfId="0" applyFont="1" applyFill="1" applyBorder="1" applyAlignment="1">
      <alignment horizontal="center"/>
    </xf>
    <xf numFmtId="3" fontId="4" fillId="0" borderId="49" xfId="0" applyNumberFormat="1" applyFont="1" applyFill="1" applyBorder="1" applyAlignment="1">
      <alignment horizontal="center"/>
    </xf>
    <xf numFmtId="166" fontId="4" fillId="0" borderId="49" xfId="0" applyNumberFormat="1" applyFont="1" applyFill="1" applyBorder="1" applyAlignment="1">
      <alignment horizontal="center"/>
    </xf>
    <xf numFmtId="0" fontId="4" fillId="0" borderId="41" xfId="0" applyFont="1" applyBorder="1"/>
    <xf numFmtId="0" fontId="4" fillId="0" borderId="42" xfId="0" applyFont="1" applyBorder="1" applyAlignment="1">
      <alignment horizontal="center"/>
    </xf>
    <xf numFmtId="166" fontId="4" fillId="0" borderId="43" xfId="0" applyNumberFormat="1" applyFont="1" applyBorder="1" applyAlignment="1">
      <alignment horizontal="center"/>
    </xf>
    <xf numFmtId="0" fontId="4" fillId="0" borderId="31" xfId="0" applyFont="1" applyFill="1" applyBorder="1" applyAlignment="1">
      <alignment horizontal="center" wrapText="1"/>
    </xf>
    <xf numFmtId="0" fontId="4" fillId="0" borderId="52" xfId="0" applyFont="1" applyBorder="1" applyAlignment="1">
      <alignment horizontal="center" wrapText="1"/>
    </xf>
    <xf numFmtId="1" fontId="4" fillId="0" borderId="52" xfId="0" applyNumberFormat="1" applyFont="1" applyFill="1" applyBorder="1" applyAlignment="1">
      <alignment horizontal="center" wrapText="1"/>
    </xf>
    <xf numFmtId="3" fontId="4" fillId="0" borderId="52" xfId="0" applyNumberFormat="1" applyFont="1" applyBorder="1" applyAlignment="1">
      <alignment horizontal="center" wrapText="1"/>
    </xf>
    <xf numFmtId="0" fontId="4" fillId="0" borderId="53" xfId="0" applyFont="1" applyBorder="1" applyAlignment="1">
      <alignment horizontal="center" textRotation="90" wrapText="1"/>
    </xf>
    <xf numFmtId="0" fontId="4" fillId="0" borderId="41" xfId="0" applyFont="1" applyBorder="1" applyAlignment="1">
      <alignment wrapText="1"/>
    </xf>
    <xf numFmtId="0" fontId="5" fillId="0" borderId="47" xfId="0" applyFont="1" applyBorder="1" applyAlignment="1">
      <alignment horizontal="center"/>
    </xf>
    <xf numFmtId="0" fontId="3" fillId="0" borderId="48" xfId="0" applyFont="1" applyBorder="1" applyAlignment="1">
      <alignment horizontal="center"/>
    </xf>
    <xf numFmtId="166" fontId="3" fillId="0" borderId="48" xfId="0" applyNumberFormat="1" applyFont="1" applyBorder="1" applyAlignment="1">
      <alignment horizontal="center"/>
    </xf>
    <xf numFmtId="1" fontId="3" fillId="0" borderId="48" xfId="0" applyNumberFormat="1" applyFont="1" applyBorder="1" applyAlignment="1">
      <alignment horizontal="center"/>
    </xf>
    <xf numFmtId="3" fontId="5" fillId="0" borderId="48" xfId="0" applyNumberFormat="1" applyFont="1" applyBorder="1" applyAlignment="1">
      <alignment horizontal="center"/>
    </xf>
    <xf numFmtId="166" fontId="5" fillId="0" borderId="48" xfId="0" applyNumberFormat="1" applyFont="1" applyBorder="1" applyAlignment="1">
      <alignment horizontal="center"/>
    </xf>
    <xf numFmtId="0" fontId="3" fillId="0" borderId="17" xfId="0" applyFont="1" applyBorder="1" applyAlignment="1">
      <alignment horizontal="center"/>
    </xf>
    <xf numFmtId="0" fontId="4" fillId="0" borderId="54" xfId="0" applyFont="1" applyBorder="1"/>
    <xf numFmtId="0" fontId="4" fillId="0" borderId="55" xfId="0" applyFont="1" applyBorder="1" applyAlignment="1">
      <alignment horizontal="center"/>
    </xf>
    <xf numFmtId="166" fontId="4" fillId="0" borderId="55" xfId="0" applyNumberFormat="1" applyFont="1" applyBorder="1" applyAlignment="1">
      <alignment horizontal="center"/>
    </xf>
    <xf numFmtId="3" fontId="4" fillId="0" borderId="55" xfId="0" applyNumberFormat="1" applyFont="1" applyBorder="1" applyAlignment="1">
      <alignment horizontal="center"/>
    </xf>
    <xf numFmtId="3" fontId="4" fillId="0" borderId="49" xfId="0" applyNumberFormat="1" applyFont="1" applyBorder="1" applyAlignment="1">
      <alignment horizontal="center"/>
    </xf>
    <xf numFmtId="166" fontId="4" fillId="0" borderId="49" xfId="0" applyNumberFormat="1" applyFont="1" applyBorder="1" applyAlignment="1">
      <alignment horizontal="center"/>
    </xf>
    <xf numFmtId="0" fontId="5" fillId="0" borderId="56" xfId="0" applyFont="1" applyBorder="1" applyAlignment="1">
      <alignment horizontal="center"/>
    </xf>
    <xf numFmtId="0" fontId="5" fillId="0" borderId="48" xfId="0" applyFont="1" applyBorder="1" applyAlignment="1">
      <alignment horizontal="center"/>
    </xf>
    <xf numFmtId="0" fontId="4" fillId="0" borderId="54" xfId="0" applyFont="1" applyBorder="1" applyAlignment="1">
      <alignment wrapText="1"/>
    </xf>
    <xf numFmtId="0" fontId="12" fillId="0" borderId="41" xfId="0" applyFont="1" applyFill="1" applyBorder="1" applyAlignment="1">
      <alignment wrapText="1"/>
    </xf>
    <xf numFmtId="0" fontId="8" fillId="0" borderId="52" xfId="0" applyFont="1" applyBorder="1" applyAlignment="1">
      <alignment horizontal="center" wrapText="1"/>
    </xf>
    <xf numFmtId="3" fontId="8" fillId="0" borderId="52" xfId="0" applyNumberFormat="1" applyFont="1" applyBorder="1" applyAlignment="1">
      <alignment horizontal="center" wrapText="1"/>
    </xf>
    <xf numFmtId="3" fontId="0" fillId="0" borderId="0" xfId="0" applyNumberFormat="1" applyBorder="1" applyAlignment="1">
      <alignment horizontal="center"/>
    </xf>
    <xf numFmtId="0" fontId="8" fillId="0" borderId="51" xfId="0" applyFont="1" applyBorder="1"/>
    <xf numFmtId="0" fontId="0" fillId="0" borderId="0" xfId="0" applyBorder="1" applyAlignment="1">
      <alignment horizontal="center"/>
    </xf>
    <xf numFmtId="3" fontId="0" fillId="0" borderId="0" xfId="0" applyNumberFormat="1" applyBorder="1" applyAlignment="1">
      <alignment horizontal="center" wrapText="1"/>
    </xf>
    <xf numFmtId="0" fontId="8" fillId="0" borderId="10" xfId="0" applyFont="1" applyBorder="1"/>
    <xf numFmtId="0" fontId="8" fillId="0" borderId="16" xfId="0" applyFont="1" applyBorder="1" applyAlignment="1">
      <alignment horizontal="center" textRotation="90"/>
    </xf>
    <xf numFmtId="49" fontId="8" fillId="0" borderId="7" xfId="0" applyNumberFormat="1" applyFont="1" applyBorder="1"/>
    <xf numFmtId="49" fontId="8" fillId="0" borderId="57" xfId="0" applyNumberFormat="1" applyFont="1" applyBorder="1" applyAlignment="1">
      <alignment vertical="top"/>
    </xf>
    <xf numFmtId="0" fontId="17" fillId="0" borderId="31" xfId="0" applyFont="1" applyBorder="1" applyAlignment="1">
      <alignment horizontal="center" wrapText="1"/>
    </xf>
    <xf numFmtId="0" fontId="16" fillId="0" borderId="52" xfId="0" applyFont="1" applyBorder="1" applyAlignment="1">
      <alignment horizontal="center" wrapText="1"/>
    </xf>
    <xf numFmtId="0" fontId="16" fillId="0" borderId="53" xfId="0" applyFont="1" applyBorder="1" applyAlignment="1">
      <alignment horizontal="center" wrapText="1"/>
    </xf>
    <xf numFmtId="0" fontId="17" fillId="0" borderId="59" xfId="0" applyFont="1" applyBorder="1" applyAlignment="1">
      <alignment horizontal="center" wrapText="1"/>
    </xf>
    <xf numFmtId="164" fontId="16" fillId="0" borderId="14" xfId="1" applyNumberFormat="1" applyFont="1" applyBorder="1" applyAlignment="1">
      <alignment horizontal="center"/>
    </xf>
    <xf numFmtId="0" fontId="17" fillId="0" borderId="44" xfId="0" applyFont="1" applyBorder="1" applyAlignment="1">
      <alignment horizontal="center" wrapText="1"/>
    </xf>
    <xf numFmtId="0" fontId="16" fillId="0" borderId="45" xfId="0" applyFont="1" applyBorder="1" applyAlignment="1">
      <alignment horizontal="center" wrapText="1"/>
    </xf>
    <xf numFmtId="0" fontId="16" fillId="0" borderId="46" xfId="0" applyFont="1" applyBorder="1" applyAlignment="1">
      <alignment horizontal="center" wrapText="1"/>
    </xf>
    <xf numFmtId="0" fontId="17" fillId="0" borderId="60" xfId="0" applyFont="1" applyBorder="1" applyAlignment="1">
      <alignment horizontal="center" wrapText="1"/>
    </xf>
    <xf numFmtId="3" fontId="17" fillId="0" borderId="60" xfId="0" applyNumberFormat="1" applyFont="1" applyBorder="1" applyAlignment="1">
      <alignment horizontal="center" wrapText="1"/>
    </xf>
    <xf numFmtId="167" fontId="16" fillId="0" borderId="60" xfId="2" applyNumberFormat="1" applyFont="1" applyBorder="1"/>
    <xf numFmtId="0" fontId="17" fillId="0" borderId="15" xfId="0" applyFont="1" applyBorder="1" applyAlignment="1">
      <alignment horizontal="center" wrapText="1"/>
    </xf>
    <xf numFmtId="0" fontId="16" fillId="0" borderId="15" xfId="0" applyFont="1" applyBorder="1" applyAlignment="1">
      <alignment horizontal="center" wrapText="1"/>
    </xf>
    <xf numFmtId="3" fontId="0" fillId="0" borderId="0" xfId="0" applyNumberFormat="1"/>
    <xf numFmtId="164" fontId="4" fillId="0" borderId="0" xfId="1" applyNumberFormat="1" applyFont="1"/>
    <xf numFmtId="0" fontId="6" fillId="0" borderId="0" xfId="0" applyFont="1" applyAlignment="1">
      <alignment horizontal="left" wrapText="1"/>
    </xf>
    <xf numFmtId="1" fontId="0" fillId="0" borderId="0" xfId="0" applyNumberFormat="1"/>
    <xf numFmtId="0" fontId="19" fillId="0" borderId="1" xfId="0" applyFont="1" applyFill="1" applyBorder="1" applyAlignment="1">
      <alignment horizontal="center"/>
    </xf>
    <xf numFmtId="166" fontId="19" fillId="0" borderId="1" xfId="0" applyNumberFormat="1" applyFont="1" applyFill="1" applyBorder="1" applyAlignment="1">
      <alignment horizontal="left"/>
    </xf>
    <xf numFmtId="166" fontId="19" fillId="0" borderId="1" xfId="0" applyNumberFormat="1" applyFont="1" applyFill="1" applyBorder="1" applyAlignment="1">
      <alignment horizontal="center"/>
    </xf>
    <xf numFmtId="0" fontId="6" fillId="0" borderId="0" xfId="0" applyFont="1" applyAlignment="1">
      <alignment horizontal="left" wrapText="1"/>
    </xf>
    <xf numFmtId="170" fontId="4" fillId="0" borderId="1" xfId="1" applyNumberFormat="1" applyFont="1" applyBorder="1" applyAlignment="1">
      <alignment horizontal="center"/>
    </xf>
    <xf numFmtId="4" fontId="4" fillId="0" borderId="1" xfId="1" applyNumberFormat="1" applyFont="1" applyBorder="1" applyAlignment="1">
      <alignment horizontal="center"/>
    </xf>
    <xf numFmtId="171" fontId="4" fillId="0" borderId="0" xfId="0" applyNumberFormat="1" applyFont="1"/>
    <xf numFmtId="3" fontId="4" fillId="0" borderId="0" xfId="0" applyNumberFormat="1" applyFont="1"/>
    <xf numFmtId="0" fontId="4" fillId="0" borderId="63" xfId="0" applyFont="1" applyBorder="1" applyAlignment="1">
      <alignment horizontal="center"/>
    </xf>
    <xf numFmtId="3" fontId="4" fillId="0" borderId="42" xfId="0" applyNumberFormat="1" applyFont="1" applyBorder="1" applyAlignment="1">
      <alignment horizontal="center"/>
    </xf>
    <xf numFmtId="0" fontId="4" fillId="0" borderId="64" xfId="0" applyFont="1" applyBorder="1" applyAlignment="1">
      <alignment horizontal="center"/>
    </xf>
    <xf numFmtId="0" fontId="12" fillId="0" borderId="65" xfId="0" applyFont="1" applyBorder="1"/>
    <xf numFmtId="0" fontId="4" fillId="0" borderId="49" xfId="0" applyFont="1" applyBorder="1" applyAlignment="1">
      <alignment horizontal="center"/>
    </xf>
    <xf numFmtId="0" fontId="4" fillId="0" borderId="66" xfId="0" applyFont="1" applyBorder="1" applyAlignment="1">
      <alignment horizontal="center"/>
    </xf>
    <xf numFmtId="0" fontId="3" fillId="0" borderId="0" xfId="0" applyFont="1" applyAlignment="1"/>
    <xf numFmtId="166" fontId="4" fillId="0" borderId="1" xfId="2" applyNumberFormat="1" applyFont="1" applyFill="1" applyBorder="1" applyAlignment="1">
      <alignment horizontal="center"/>
    </xf>
    <xf numFmtId="0" fontId="3" fillId="0" borderId="0" xfId="0" applyFont="1" applyBorder="1" applyAlignment="1"/>
    <xf numFmtId="1" fontId="4" fillId="0" borderId="49" xfId="0" applyNumberFormat="1" applyFont="1" applyBorder="1" applyAlignment="1">
      <alignment horizontal="center"/>
    </xf>
    <xf numFmtId="1" fontId="5" fillId="0" borderId="48" xfId="0" applyNumberFormat="1" applyFont="1" applyBorder="1" applyAlignment="1">
      <alignment horizontal="center"/>
    </xf>
    <xf numFmtId="0" fontId="4" fillId="0" borderId="31" xfId="0" applyFont="1" applyBorder="1" applyAlignment="1">
      <alignment horizontal="center" wrapText="1"/>
    </xf>
    <xf numFmtId="0" fontId="4" fillId="0" borderId="63" xfId="0" applyFont="1" applyBorder="1"/>
    <xf numFmtId="0" fontId="4" fillId="0" borderId="63" xfId="0" applyFont="1" applyFill="1" applyBorder="1"/>
    <xf numFmtId="166" fontId="4" fillId="0" borderId="63" xfId="0" applyNumberFormat="1" applyFont="1" applyFill="1" applyBorder="1" applyAlignment="1">
      <alignment horizontal="right"/>
    </xf>
    <xf numFmtId="0" fontId="12" fillId="0" borderId="65" xfId="0" applyFont="1" applyFill="1" applyBorder="1" applyAlignment="1">
      <alignment wrapText="1"/>
    </xf>
    <xf numFmtId="0" fontId="0" fillId="4" borderId="0" xfId="0" applyFill="1" applyAlignment="1">
      <alignment wrapText="1"/>
    </xf>
    <xf numFmtId="0" fontId="4" fillId="0" borderId="52" xfId="0" applyFont="1" applyFill="1" applyBorder="1" applyAlignment="1">
      <alignment horizontal="center" wrapText="1"/>
    </xf>
    <xf numFmtId="0" fontId="4" fillId="0" borderId="1" xfId="0" applyFont="1" applyBorder="1"/>
    <xf numFmtId="0" fontId="4" fillId="0" borderId="1" xfId="0" applyFont="1" applyFill="1" applyBorder="1"/>
    <xf numFmtId="166" fontId="4" fillId="0" borderId="1" xfId="0" applyNumberFormat="1" applyFont="1" applyBorder="1"/>
    <xf numFmtId="166" fontId="4" fillId="3" borderId="63" xfId="0" applyNumberFormat="1" applyFont="1" applyFill="1" applyBorder="1" applyAlignment="1">
      <alignment horizontal="right"/>
    </xf>
    <xf numFmtId="0" fontId="12" fillId="0" borderId="65" xfId="0" applyFont="1" applyBorder="1" applyAlignment="1">
      <alignment horizontal="left"/>
    </xf>
    <xf numFmtId="49" fontId="8" fillId="0" borderId="1" xfId="0" applyNumberFormat="1" applyFont="1" applyFill="1" applyBorder="1" applyAlignment="1">
      <alignment vertical="top"/>
    </xf>
    <xf numFmtId="0" fontId="0" fillId="0" borderId="1" xfId="0" applyFill="1" applyBorder="1"/>
    <xf numFmtId="3" fontId="8" fillId="0" borderId="1" xfId="0" applyNumberFormat="1" applyFont="1" applyFill="1" applyBorder="1"/>
    <xf numFmtId="0" fontId="4" fillId="0" borderId="63" xfId="0" applyFont="1" applyBorder="1" applyAlignment="1">
      <alignment horizontal="right"/>
    </xf>
    <xf numFmtId="0" fontId="4" fillId="0" borderId="63" xfId="0" applyFont="1" applyFill="1" applyBorder="1" applyAlignment="1">
      <alignment horizontal="right"/>
    </xf>
    <xf numFmtId="0" fontId="4" fillId="0" borderId="64" xfId="0" applyFont="1" applyFill="1" applyBorder="1" applyAlignment="1">
      <alignment horizontal="center"/>
    </xf>
    <xf numFmtId="0" fontId="12" fillId="0" borderId="65" xfId="0" applyFont="1" applyFill="1" applyBorder="1"/>
    <xf numFmtId="0" fontId="4" fillId="0" borderId="49" xfId="0" applyFont="1" applyFill="1" applyBorder="1" applyAlignment="1">
      <alignment horizontal="center"/>
    </xf>
    <xf numFmtId="0" fontId="4" fillId="0" borderId="66" xfId="0" applyFont="1" applyFill="1" applyBorder="1" applyAlignment="1">
      <alignment horizontal="center"/>
    </xf>
    <xf numFmtId="3" fontId="4" fillId="0" borderId="52" xfId="0" applyNumberFormat="1" applyFont="1" applyFill="1" applyBorder="1" applyAlignment="1">
      <alignment horizontal="center" wrapText="1"/>
    </xf>
    <xf numFmtId="0" fontId="4" fillId="0" borderId="54" xfId="0" applyFont="1" applyFill="1" applyBorder="1"/>
    <xf numFmtId="0" fontId="4" fillId="0" borderId="55" xfId="0" applyFont="1" applyFill="1" applyBorder="1" applyAlignment="1">
      <alignment horizontal="center"/>
    </xf>
    <xf numFmtId="166" fontId="4" fillId="0" borderId="55" xfId="0" applyNumberFormat="1" applyFont="1" applyFill="1" applyBorder="1" applyAlignment="1">
      <alignment horizontal="center"/>
    </xf>
    <xf numFmtId="3" fontId="4" fillId="0" borderId="55" xfId="0" applyNumberFormat="1" applyFont="1" applyFill="1" applyBorder="1" applyAlignment="1">
      <alignment horizontal="center"/>
    </xf>
    <xf numFmtId="49" fontId="8" fillId="0" borderId="1" xfId="0" applyNumberFormat="1" applyFont="1" applyBorder="1"/>
    <xf numFmtId="0" fontId="8" fillId="0" borderId="1" xfId="0" applyFont="1" applyBorder="1"/>
    <xf numFmtId="3" fontId="0" fillId="0" borderId="1" xfId="0" applyNumberFormat="1" applyBorder="1" applyAlignment="1">
      <alignment horizontal="center" wrapText="1"/>
    </xf>
    <xf numFmtId="166" fontId="0" fillId="0" borderId="1" xfId="0" applyNumberFormat="1" applyBorder="1" applyAlignment="1">
      <alignment horizontal="center" wrapText="1"/>
    </xf>
    <xf numFmtId="49" fontId="8" fillId="0" borderId="1" xfId="0" applyNumberFormat="1" applyFont="1" applyBorder="1" applyAlignment="1">
      <alignment vertical="top"/>
    </xf>
    <xf numFmtId="3" fontId="8" fillId="0" borderId="1" xfId="0" applyNumberFormat="1" applyFont="1" applyBorder="1" applyAlignment="1">
      <alignment vertical="top"/>
    </xf>
    <xf numFmtId="0" fontId="0" fillId="0" borderId="1" xfId="0" applyBorder="1"/>
    <xf numFmtId="3" fontId="0" fillId="0" borderId="1" xfId="0" applyNumberFormat="1" applyFill="1" applyBorder="1" applyAlignment="1">
      <alignment horizontal="center" wrapText="1"/>
    </xf>
    <xf numFmtId="3" fontId="8" fillId="0" borderId="1" xfId="0" applyNumberFormat="1" applyFont="1" applyBorder="1"/>
    <xf numFmtId="3" fontId="8" fillId="0" borderId="1" xfId="0" quotePrefix="1" applyNumberFormat="1" applyFont="1" applyBorder="1" applyAlignment="1">
      <alignment vertical="top"/>
    </xf>
    <xf numFmtId="0" fontId="8" fillId="0" borderId="55" xfId="0" applyFont="1" applyBorder="1"/>
    <xf numFmtId="0" fontId="14" fillId="0" borderId="55" xfId="0" applyFont="1" applyBorder="1"/>
    <xf numFmtId="3" fontId="0" fillId="0" borderId="55" xfId="0" applyNumberFormat="1" applyBorder="1" applyAlignment="1">
      <alignment horizontal="center" wrapText="1"/>
    </xf>
    <xf numFmtId="166" fontId="0" fillId="0" borderId="55" xfId="0" applyNumberFormat="1" applyBorder="1" applyAlignment="1">
      <alignment horizontal="center" wrapText="1"/>
    </xf>
    <xf numFmtId="0" fontId="0" fillId="0" borderId="64" xfId="0" applyBorder="1" applyAlignment="1">
      <alignment horizontal="center"/>
    </xf>
    <xf numFmtId="0" fontId="0" fillId="0" borderId="42" xfId="0" applyBorder="1" applyAlignment="1">
      <alignment horizontal="center"/>
    </xf>
    <xf numFmtId="0" fontId="0" fillId="0" borderId="42" xfId="0" applyFill="1" applyBorder="1" applyAlignment="1">
      <alignment horizontal="center"/>
    </xf>
    <xf numFmtId="0" fontId="9" fillId="0" borderId="65" xfId="0" applyFont="1" applyBorder="1"/>
    <xf numFmtId="0" fontId="0" fillId="0" borderId="49" xfId="0" applyBorder="1"/>
    <xf numFmtId="0" fontId="0" fillId="0" borderId="49" xfId="0" applyBorder="1" applyAlignment="1">
      <alignment horizontal="center" wrapText="1"/>
    </xf>
    <xf numFmtId="3" fontId="0" fillId="0" borderId="49" xfId="0" applyNumberFormat="1" applyBorder="1" applyAlignment="1">
      <alignment horizontal="center"/>
    </xf>
    <xf numFmtId="3" fontId="9" fillId="0" borderId="49" xfId="0" applyNumberFormat="1" applyFont="1" applyBorder="1" applyAlignment="1">
      <alignment horizontal="center" wrapText="1"/>
    </xf>
    <xf numFmtId="3" fontId="0" fillId="0" borderId="49" xfId="0" applyNumberFormat="1" applyBorder="1" applyAlignment="1">
      <alignment horizontal="center" wrapText="1"/>
    </xf>
    <xf numFmtId="0" fontId="0" fillId="0" borderId="66" xfId="0" applyBorder="1" applyAlignment="1">
      <alignment horizontal="center"/>
    </xf>
    <xf numFmtId="49" fontId="8" fillId="0" borderId="2" xfId="0" applyNumberFormat="1" applyFont="1" applyBorder="1" applyAlignment="1">
      <alignment vertical="top"/>
    </xf>
    <xf numFmtId="0" fontId="8" fillId="0" borderId="2" xfId="0" applyFont="1" applyBorder="1"/>
    <xf numFmtId="0" fontId="0" fillId="0" borderId="2" xfId="0" applyBorder="1" applyAlignment="1">
      <alignment horizontal="center"/>
    </xf>
    <xf numFmtId="166" fontId="0" fillId="0" borderId="2" xfId="0" applyNumberFormat="1" applyBorder="1" applyAlignment="1">
      <alignment horizontal="center" wrapText="1"/>
    </xf>
    <xf numFmtId="0" fontId="0" fillId="0" borderId="67" xfId="0" applyBorder="1" applyAlignment="1">
      <alignment horizontal="center"/>
    </xf>
    <xf numFmtId="49" fontId="14" fillId="0" borderId="54" xfId="0" applyNumberFormat="1" applyFont="1" applyBorder="1" applyAlignment="1">
      <alignment vertical="top"/>
    </xf>
    <xf numFmtId="3" fontId="14" fillId="0" borderId="55" xfId="0" applyNumberFormat="1" applyFont="1" applyBorder="1" applyAlignment="1">
      <alignment vertical="top"/>
    </xf>
    <xf numFmtId="49" fontId="14" fillId="0" borderId="55" xfId="0" applyNumberFormat="1" applyFont="1" applyBorder="1" applyAlignment="1">
      <alignment vertical="top"/>
    </xf>
    <xf numFmtId="3" fontId="0" fillId="0" borderId="55" xfId="0" applyNumberFormat="1" applyBorder="1"/>
    <xf numFmtId="166" fontId="9" fillId="0" borderId="55" xfId="0" applyNumberFormat="1" applyFont="1" applyBorder="1" applyAlignment="1">
      <alignment horizontal="center" wrapText="1"/>
    </xf>
    <xf numFmtId="0" fontId="8" fillId="0" borderId="68" xfId="0" applyFont="1" applyBorder="1"/>
    <xf numFmtId="49" fontId="8" fillId="0" borderId="63" xfId="0" applyNumberFormat="1" applyFont="1" applyBorder="1" applyAlignment="1">
      <alignment vertical="top"/>
    </xf>
    <xf numFmtId="3" fontId="8" fillId="0" borderId="69" xfId="0" applyNumberFormat="1" applyFont="1" applyBorder="1" applyAlignment="1">
      <alignment vertical="top"/>
    </xf>
    <xf numFmtId="49" fontId="8" fillId="0" borderId="63" xfId="0" applyNumberFormat="1" applyFont="1" applyBorder="1"/>
    <xf numFmtId="49" fontId="8" fillId="0" borderId="63" xfId="0" applyNumberFormat="1" applyFont="1" applyFill="1" applyBorder="1" applyAlignment="1">
      <alignment vertical="top"/>
    </xf>
    <xf numFmtId="0" fontId="0" fillId="0" borderId="70" xfId="0" applyBorder="1"/>
    <xf numFmtId="0" fontId="0" fillId="0" borderId="68" xfId="0" applyBorder="1" applyAlignment="1">
      <alignment horizontal="center" wrapText="1"/>
    </xf>
    <xf numFmtId="0" fontId="0" fillId="0" borderId="72" xfId="0" applyBorder="1" applyAlignment="1">
      <alignment horizontal="center"/>
    </xf>
    <xf numFmtId="0" fontId="0" fillId="0" borderId="71" xfId="0" applyBorder="1"/>
    <xf numFmtId="0" fontId="0" fillId="0" borderId="8" xfId="0" applyBorder="1" applyAlignment="1">
      <alignment horizontal="center" wrapText="1"/>
    </xf>
    <xf numFmtId="0" fontId="0" fillId="0" borderId="9" xfId="0" applyBorder="1" applyAlignment="1">
      <alignment horizontal="center"/>
    </xf>
    <xf numFmtId="39" fontId="0" fillId="0" borderId="9" xfId="0" applyNumberFormat="1" applyBorder="1" applyAlignment="1">
      <alignment horizontal="center" wrapText="1"/>
    </xf>
    <xf numFmtId="3" fontId="0" fillId="0" borderId="72" xfId="0" applyNumberFormat="1" applyBorder="1" applyAlignment="1">
      <alignment horizontal="center"/>
    </xf>
    <xf numFmtId="172" fontId="0" fillId="0" borderId="0" xfId="0" applyNumberFormat="1"/>
    <xf numFmtId="44" fontId="7" fillId="0" borderId="0" xfId="2" applyFont="1" applyFill="1"/>
    <xf numFmtId="3" fontId="7" fillId="0" borderId="0" xfId="0" applyNumberFormat="1" applyFont="1" applyFill="1"/>
    <xf numFmtId="0" fontId="7" fillId="0" borderId="22" xfId="0" applyFont="1" applyFill="1" applyBorder="1" applyAlignment="1">
      <alignment horizontal="center"/>
    </xf>
    <xf numFmtId="44" fontId="7" fillId="0" borderId="0" xfId="0" applyNumberFormat="1" applyFont="1" applyFill="1"/>
    <xf numFmtId="167" fontId="7" fillId="0" borderId="0" xfId="0" applyNumberFormat="1" applyFont="1" applyFill="1"/>
    <xf numFmtId="167" fontId="17" fillId="0" borderId="60" xfId="2" applyNumberFormat="1" applyFont="1" applyFill="1" applyBorder="1" applyAlignment="1">
      <alignment horizontal="center" wrapText="1"/>
    </xf>
    <xf numFmtId="167" fontId="17" fillId="0" borderId="25" xfId="2" applyNumberFormat="1" applyFont="1" applyFill="1" applyBorder="1" applyAlignment="1">
      <alignment horizontal="center" wrapText="1"/>
    </xf>
    <xf numFmtId="167" fontId="16" fillId="0" borderId="25" xfId="2" applyNumberFormat="1" applyFont="1" applyFill="1" applyBorder="1" applyAlignment="1">
      <alignment horizontal="center" wrapText="1"/>
    </xf>
    <xf numFmtId="167" fontId="16" fillId="0" borderId="26" xfId="2" applyNumberFormat="1" applyFont="1" applyFill="1" applyBorder="1" applyAlignment="1">
      <alignment horizontal="center" wrapText="1"/>
    </xf>
    <xf numFmtId="164" fontId="17" fillId="0" borderId="13" xfId="1" applyNumberFormat="1" applyFont="1" applyFill="1" applyBorder="1" applyAlignment="1">
      <alignment horizontal="center" wrapText="1"/>
    </xf>
    <xf numFmtId="164" fontId="16" fillId="0" borderId="13" xfId="1" applyNumberFormat="1" applyFont="1" applyFill="1" applyBorder="1" applyAlignment="1">
      <alignment horizontal="center"/>
    </xf>
    <xf numFmtId="164" fontId="17" fillId="0" borderId="3" xfId="1" applyNumberFormat="1" applyFont="1" applyFill="1" applyBorder="1" applyAlignment="1">
      <alignment horizontal="center" wrapText="1"/>
    </xf>
    <xf numFmtId="164" fontId="16" fillId="0" borderId="3" xfId="1" applyNumberFormat="1" applyFont="1" applyFill="1" applyBorder="1" applyAlignment="1">
      <alignment horizontal="center" wrapText="1"/>
    </xf>
    <xf numFmtId="164" fontId="16" fillId="0" borderId="3" xfId="1" applyNumberFormat="1" applyFont="1" applyFill="1" applyBorder="1" applyAlignment="1">
      <alignment horizontal="center"/>
    </xf>
    <xf numFmtId="0" fontId="7" fillId="0" borderId="15" xfId="0" applyFont="1" applyFill="1" applyBorder="1"/>
    <xf numFmtId="0" fontId="7" fillId="0" borderId="11" xfId="0" applyFont="1" applyFill="1" applyBorder="1"/>
    <xf numFmtId="0" fontId="7" fillId="0" borderId="13" xfId="0" applyFont="1" applyFill="1" applyBorder="1" applyAlignment="1">
      <alignment wrapText="1"/>
    </xf>
    <xf numFmtId="0" fontId="7" fillId="0" borderId="14" xfId="0" applyFont="1" applyFill="1" applyBorder="1" applyAlignment="1">
      <alignment wrapText="1"/>
    </xf>
    <xf numFmtId="0" fontId="7" fillId="0" borderId="40" xfId="0" applyFont="1" applyFill="1" applyBorder="1" applyAlignment="1">
      <alignment wrapText="1"/>
    </xf>
    <xf numFmtId="0" fontId="7" fillId="0" borderId="23" xfId="0" applyFont="1" applyFill="1" applyBorder="1"/>
    <xf numFmtId="3" fontId="7" fillId="0" borderId="0" xfId="0" applyNumberFormat="1" applyFont="1" applyFill="1" applyBorder="1"/>
    <xf numFmtId="3" fontId="2" fillId="0" borderId="18" xfId="0" applyNumberFormat="1" applyFont="1" applyFill="1" applyBorder="1"/>
    <xf numFmtId="3" fontId="2" fillId="0" borderId="11" xfId="0" applyNumberFormat="1" applyFont="1" applyFill="1" applyBorder="1"/>
    <xf numFmtId="164" fontId="7" fillId="0" borderId="3" xfId="1" applyNumberFormat="1" applyFont="1" applyFill="1" applyBorder="1"/>
    <xf numFmtId="167" fontId="7" fillId="0" borderId="33" xfId="2" applyNumberFormat="1" applyFont="1" applyFill="1" applyBorder="1"/>
    <xf numFmtId="3" fontId="7" fillId="0" borderId="11" xfId="0" applyNumberFormat="1" applyFont="1" applyFill="1" applyBorder="1"/>
    <xf numFmtId="0" fontId="7" fillId="0" borderId="27" xfId="0" applyFont="1" applyFill="1" applyBorder="1"/>
    <xf numFmtId="167" fontId="7" fillId="0" borderId="34" xfId="2" applyNumberFormat="1" applyFont="1" applyFill="1" applyBorder="1"/>
    <xf numFmtId="0" fontId="7" fillId="0" borderId="10" xfId="0" applyFont="1" applyFill="1" applyBorder="1"/>
    <xf numFmtId="164" fontId="18" fillId="0" borderId="51" xfId="1" applyNumberFormat="1" applyFont="1" applyFill="1" applyBorder="1"/>
    <xf numFmtId="169" fontId="7" fillId="0" borderId="51" xfId="0" applyNumberFormat="1" applyFont="1" applyFill="1" applyBorder="1"/>
    <xf numFmtId="0" fontId="7" fillId="0" borderId="16" xfId="0" applyFont="1" applyFill="1" applyBorder="1"/>
    <xf numFmtId="167" fontId="7" fillId="0" borderId="24" xfId="2" applyNumberFormat="1" applyFont="1" applyFill="1" applyBorder="1"/>
    <xf numFmtId="0" fontId="7" fillId="0" borderId="0" xfId="0" applyFont="1" applyFill="1" applyBorder="1"/>
    <xf numFmtId="164" fontId="18" fillId="0" borderId="0" xfId="0" applyNumberFormat="1" applyFont="1" applyFill="1"/>
    <xf numFmtId="43" fontId="7" fillId="0" borderId="0" xfId="0" applyNumberFormat="1" applyFont="1" applyFill="1"/>
    <xf numFmtId="0" fontId="7" fillId="0" borderId="12" xfId="0" applyFont="1" applyFill="1" applyBorder="1"/>
    <xf numFmtId="43" fontId="7" fillId="0" borderId="15" xfId="1" applyFont="1" applyFill="1" applyBorder="1"/>
    <xf numFmtId="168" fontId="7" fillId="0" borderId="19" xfId="0" applyNumberFormat="1" applyFont="1" applyFill="1" applyBorder="1"/>
    <xf numFmtId="0" fontId="7" fillId="0" borderId="17" xfId="0" applyFont="1" applyFill="1" applyBorder="1"/>
    <xf numFmtId="43" fontId="7" fillId="0" borderId="0" xfId="1" applyFont="1" applyFill="1" applyBorder="1"/>
    <xf numFmtId="3" fontId="7" fillId="0" borderId="24" xfId="0" applyNumberFormat="1" applyFont="1" applyFill="1" applyBorder="1"/>
    <xf numFmtId="0" fontId="7" fillId="0" borderId="16" xfId="0" applyFont="1" applyFill="1" applyBorder="1" applyAlignment="1">
      <alignment horizontal="center"/>
    </xf>
    <xf numFmtId="0" fontId="7" fillId="0" borderId="20" xfId="0" applyFont="1" applyFill="1" applyBorder="1" applyAlignment="1">
      <alignment horizontal="center"/>
    </xf>
    <xf numFmtId="3" fontId="7" fillId="0" borderId="37" xfId="0" applyNumberFormat="1" applyFont="1" applyFill="1" applyBorder="1" applyAlignment="1">
      <alignment horizontal="center"/>
    </xf>
    <xf numFmtId="3" fontId="7" fillId="0" borderId="30" xfId="0" applyNumberFormat="1" applyFont="1" applyFill="1" applyBorder="1" applyAlignment="1">
      <alignment horizontal="center"/>
    </xf>
    <xf numFmtId="3" fontId="7" fillId="0" borderId="21" xfId="0" applyNumberFormat="1" applyFont="1" applyFill="1" applyBorder="1" applyAlignment="1">
      <alignment horizontal="center"/>
    </xf>
    <xf numFmtId="3" fontId="7" fillId="0" borderId="38" xfId="0" applyNumberFormat="1" applyFont="1" applyFill="1" applyBorder="1"/>
    <xf numFmtId="164" fontId="7" fillId="0" borderId="28" xfId="1" applyNumberFormat="1" applyFont="1" applyFill="1" applyBorder="1"/>
    <xf numFmtId="164" fontId="7" fillId="0" borderId="18" xfId="1" applyNumberFormat="1" applyFont="1" applyFill="1" applyBorder="1"/>
    <xf numFmtId="167" fontId="7" fillId="0" borderId="0" xfId="2" applyNumberFormat="1" applyFont="1" applyFill="1" applyBorder="1"/>
    <xf numFmtId="167" fontId="7" fillId="0" borderId="38" xfId="2" applyNumberFormat="1" applyFont="1" applyFill="1" applyBorder="1"/>
    <xf numFmtId="167" fontId="7" fillId="0" borderId="28" xfId="2" applyNumberFormat="1" applyFont="1" applyFill="1" applyBorder="1"/>
    <xf numFmtId="167" fontId="7" fillId="0" borderId="18" xfId="2" applyNumberFormat="1" applyFont="1" applyFill="1" applyBorder="1"/>
    <xf numFmtId="167" fontId="7" fillId="0" borderId="19" xfId="2" applyNumberFormat="1" applyFont="1" applyFill="1" applyBorder="1"/>
    <xf numFmtId="167" fontId="7" fillId="0" borderId="39" xfId="2" applyNumberFormat="1" applyFont="1" applyFill="1" applyBorder="1"/>
    <xf numFmtId="167" fontId="7" fillId="0" borderId="29" xfId="2" applyNumberFormat="1" applyFont="1" applyFill="1" applyBorder="1"/>
    <xf numFmtId="167" fontId="7" fillId="0" borderId="17" xfId="2" applyNumberFormat="1" applyFont="1" applyFill="1" applyBorder="1"/>
    <xf numFmtId="0" fontId="7" fillId="0" borderId="24" xfId="0" applyFont="1" applyFill="1" applyBorder="1" applyAlignment="1">
      <alignment horizontal="right"/>
    </xf>
    <xf numFmtId="164" fontId="7" fillId="0" borderId="31" xfId="1" applyNumberFormat="1" applyFont="1" applyFill="1" applyBorder="1"/>
    <xf numFmtId="164" fontId="7" fillId="0" borderId="16" xfId="1" applyNumberFormat="1" applyFont="1" applyFill="1" applyBorder="1"/>
    <xf numFmtId="0" fontId="7" fillId="0" borderId="39" xfId="0" applyFont="1" applyFill="1" applyBorder="1" applyAlignment="1">
      <alignment horizontal="right"/>
    </xf>
    <xf numFmtId="164" fontId="7" fillId="0" borderId="29" xfId="1" applyNumberFormat="1" applyFont="1" applyFill="1" applyBorder="1"/>
    <xf numFmtId="164" fontId="7" fillId="0" borderId="17" xfId="1" applyNumberFormat="1" applyFont="1" applyFill="1" applyBorder="1"/>
    <xf numFmtId="0" fontId="7" fillId="0" borderId="30" xfId="0" applyFont="1" applyFill="1" applyBorder="1"/>
    <xf numFmtId="0" fontId="7" fillId="0" borderId="35" xfId="0" applyFont="1" applyFill="1" applyBorder="1"/>
    <xf numFmtId="0" fontId="7" fillId="0" borderId="36" xfId="0" applyFont="1" applyFill="1" applyBorder="1"/>
    <xf numFmtId="3" fontId="7" fillId="0" borderId="3" xfId="0" applyNumberFormat="1" applyFont="1" applyFill="1" applyBorder="1"/>
    <xf numFmtId="0" fontId="4" fillId="0" borderId="53" xfId="0" applyFont="1" applyFill="1" applyBorder="1" applyAlignment="1">
      <alignment horizontal="center" textRotation="90" wrapText="1"/>
    </xf>
    <xf numFmtId="3" fontId="2" fillId="0" borderId="0" xfId="0" applyNumberFormat="1" applyFont="1" applyFill="1" applyAlignment="1">
      <alignment horizontal="center"/>
    </xf>
    <xf numFmtId="3" fontId="6" fillId="0" borderId="0" xfId="0" applyNumberFormat="1" applyFont="1" applyFill="1" applyAlignment="1">
      <alignment horizontal="center"/>
    </xf>
    <xf numFmtId="0" fontId="6" fillId="0" borderId="0" xfId="0" applyFont="1" applyFill="1" applyAlignment="1">
      <alignment horizontal="left" wrapText="1"/>
    </xf>
    <xf numFmtId="0" fontId="4" fillId="0" borderId="45" xfId="0" applyFont="1" applyFill="1" applyBorder="1" applyAlignment="1">
      <alignment horizontal="center" wrapText="1"/>
    </xf>
    <xf numFmtId="3" fontId="4" fillId="0" borderId="45" xfId="0" applyNumberFormat="1" applyFont="1" applyFill="1" applyBorder="1" applyAlignment="1">
      <alignment horizontal="center" wrapText="1"/>
    </xf>
    <xf numFmtId="0" fontId="4" fillId="0" borderId="46" xfId="0" applyFont="1" applyFill="1" applyBorder="1" applyAlignment="1">
      <alignment horizontal="center" textRotation="90" wrapText="1"/>
    </xf>
    <xf numFmtId="166" fontId="4" fillId="0" borderId="2" xfId="0" applyNumberFormat="1" applyFont="1" applyFill="1" applyBorder="1" applyAlignment="1">
      <alignment horizontal="center"/>
    </xf>
    <xf numFmtId="166" fontId="4" fillId="0" borderId="4" xfId="0" applyNumberFormat="1" applyFont="1" applyFill="1" applyBorder="1" applyAlignment="1">
      <alignment horizontal="center"/>
    </xf>
    <xf numFmtId="0" fontId="4" fillId="0" borderId="63" xfId="0" applyFont="1" applyFill="1" applyBorder="1" applyAlignment="1">
      <alignment horizontal="center"/>
    </xf>
    <xf numFmtId="166" fontId="4" fillId="0" borderId="43" xfId="0" applyNumberFormat="1" applyFont="1" applyFill="1" applyBorder="1" applyAlignment="1">
      <alignment horizontal="center"/>
    </xf>
    <xf numFmtId="3" fontId="4" fillId="0" borderId="42" xfId="0" applyNumberFormat="1" applyFont="1" applyFill="1" applyBorder="1" applyAlignment="1">
      <alignment horizontal="center"/>
    </xf>
    <xf numFmtId="0" fontId="12" fillId="0" borderId="65" xfId="0" applyFont="1" applyFill="1" applyBorder="1" applyAlignment="1">
      <alignment horizontal="left"/>
    </xf>
    <xf numFmtId="166" fontId="4" fillId="0" borderId="49" xfId="2" applyNumberFormat="1" applyFont="1" applyFill="1" applyBorder="1" applyAlignment="1">
      <alignment horizontal="center"/>
    </xf>
    <xf numFmtId="0" fontId="5" fillId="0" borderId="48" xfId="0" applyFont="1" applyFill="1" applyBorder="1" applyAlignment="1">
      <alignment horizontal="center"/>
    </xf>
    <xf numFmtId="0" fontId="5" fillId="0" borderId="56" xfId="0" applyFont="1" applyFill="1" applyBorder="1" applyAlignment="1">
      <alignment horizontal="center"/>
    </xf>
    <xf numFmtId="1" fontId="4" fillId="0" borderId="1" xfId="2" applyNumberFormat="1" applyFont="1" applyFill="1" applyBorder="1" applyAlignment="1">
      <alignment horizontal="center"/>
    </xf>
    <xf numFmtId="1" fontId="4" fillId="0" borderId="1" xfId="0" applyNumberFormat="1" applyFont="1" applyFill="1" applyBorder="1" applyAlignment="1">
      <alignment horizontal="center"/>
    </xf>
    <xf numFmtId="9" fontId="2" fillId="0" borderId="0" xfId="3" applyFont="1" applyFill="1" applyAlignment="1">
      <alignment horizontal="center"/>
    </xf>
    <xf numFmtId="3" fontId="4" fillId="0" borderId="63" xfId="1" applyNumberFormat="1" applyFont="1" applyFill="1" applyBorder="1" applyAlignment="1">
      <alignment horizontal="center"/>
    </xf>
    <xf numFmtId="166" fontId="4" fillId="0" borderId="1" xfId="1" applyNumberFormat="1" applyFont="1" applyFill="1" applyBorder="1" applyAlignment="1">
      <alignment horizontal="center"/>
    </xf>
    <xf numFmtId="0" fontId="4" fillId="0" borderId="54" xfId="0" applyFont="1" applyFill="1" applyBorder="1" applyAlignment="1">
      <alignment wrapText="1"/>
    </xf>
    <xf numFmtId="0" fontId="0" fillId="0" borderId="0" xfId="0" applyFill="1" applyAlignment="1">
      <alignment horizontal="center" wrapText="1"/>
    </xf>
    <xf numFmtId="0" fontId="8" fillId="0" borderId="52" xfId="0" applyFont="1" applyFill="1" applyBorder="1" applyAlignment="1">
      <alignment horizontal="center" wrapText="1"/>
    </xf>
    <xf numFmtId="3" fontId="0" fillId="0" borderId="55" xfId="0" applyNumberFormat="1" applyFill="1" applyBorder="1" applyAlignment="1">
      <alignment horizontal="center" wrapText="1"/>
    </xf>
    <xf numFmtId="166" fontId="0" fillId="0" borderId="55" xfId="0" applyNumberFormat="1" applyFill="1" applyBorder="1" applyAlignment="1">
      <alignment horizontal="center" wrapText="1"/>
    </xf>
    <xf numFmtId="166" fontId="0" fillId="0" borderId="1" xfId="0" applyNumberFormat="1" applyFill="1" applyBorder="1" applyAlignment="1">
      <alignment horizontal="center" wrapText="1"/>
    </xf>
    <xf numFmtId="39" fontId="0" fillId="0" borderId="9" xfId="0" applyNumberFormat="1" applyFill="1" applyBorder="1" applyAlignment="1">
      <alignment horizontal="center" wrapText="1"/>
    </xf>
    <xf numFmtId="3" fontId="0" fillId="0" borderId="69" xfId="0" applyNumberFormat="1" applyFill="1" applyBorder="1" applyAlignment="1">
      <alignment horizontal="center"/>
    </xf>
    <xf numFmtId="166" fontId="0" fillId="0" borderId="2" xfId="0" applyNumberFormat="1" applyFill="1" applyBorder="1" applyAlignment="1">
      <alignment horizontal="center" wrapText="1"/>
    </xf>
    <xf numFmtId="0" fontId="0" fillId="0" borderId="8" xfId="0" applyFill="1" applyBorder="1" applyAlignment="1">
      <alignment horizontal="center" wrapText="1"/>
    </xf>
    <xf numFmtId="0" fontId="0" fillId="0" borderId="68" xfId="0" applyFill="1" applyBorder="1" applyAlignment="1">
      <alignment horizontal="center" wrapText="1"/>
    </xf>
    <xf numFmtId="166" fontId="9" fillId="0" borderId="55" xfId="0" applyNumberFormat="1" applyFont="1" applyFill="1" applyBorder="1" applyAlignment="1">
      <alignment horizontal="center" wrapText="1"/>
    </xf>
    <xf numFmtId="0" fontId="0" fillId="0" borderId="9" xfId="0" applyFill="1" applyBorder="1" applyAlignment="1">
      <alignment horizontal="center"/>
    </xf>
    <xf numFmtId="0" fontId="0" fillId="0" borderId="72" xfId="0" applyFill="1" applyBorder="1" applyAlignment="1">
      <alignment horizontal="center"/>
    </xf>
    <xf numFmtId="0" fontId="0" fillId="0" borderId="49" xfId="0" applyFill="1" applyBorder="1" applyAlignment="1">
      <alignment horizontal="center" wrapText="1"/>
    </xf>
    <xf numFmtId="3" fontId="0" fillId="0" borderId="49" xfId="0" applyNumberFormat="1" applyFill="1" applyBorder="1" applyAlignment="1">
      <alignment horizontal="center"/>
    </xf>
    <xf numFmtId="3" fontId="9" fillId="0" borderId="49" xfId="0" applyNumberFormat="1" applyFont="1" applyFill="1" applyBorder="1" applyAlignment="1">
      <alignment horizontal="center" wrapText="1"/>
    </xf>
    <xf numFmtId="3" fontId="0" fillId="0" borderId="49" xfId="0" applyNumberFormat="1" applyFill="1" applyBorder="1" applyAlignment="1">
      <alignment horizontal="center" wrapText="1"/>
    </xf>
    <xf numFmtId="3" fontId="0" fillId="0" borderId="0" xfId="0" applyNumberFormat="1" applyFill="1" applyAlignment="1">
      <alignment horizontal="center" wrapText="1"/>
    </xf>
    <xf numFmtId="0" fontId="7" fillId="0" borderId="22" xfId="0" applyFont="1" applyFill="1" applyBorder="1" applyAlignment="1">
      <alignment horizontal="center"/>
    </xf>
    <xf numFmtId="0" fontId="7" fillId="0" borderId="58" xfId="0" applyFont="1" applyFill="1" applyBorder="1" applyAlignment="1">
      <alignment horizontal="center"/>
    </xf>
    <xf numFmtId="0" fontId="7" fillId="0" borderId="50" xfId="0" applyFont="1" applyFill="1" applyBorder="1" applyAlignment="1">
      <alignment horizontal="center"/>
    </xf>
    <xf numFmtId="0" fontId="0" fillId="0" borderId="3" xfId="0" applyBorder="1" applyAlignment="1">
      <alignment horizontal="center"/>
    </xf>
    <xf numFmtId="0" fontId="0" fillId="0" borderId="3" xfId="0"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horizontal="center" vertical="center"/>
    </xf>
    <xf numFmtId="0" fontId="0" fillId="0" borderId="13" xfId="0" applyBorder="1" applyAlignment="1">
      <alignment horizontal="center" vertical="center"/>
    </xf>
    <xf numFmtId="0" fontId="0" fillId="0" borderId="0" xfId="0" applyAlignment="1">
      <alignment horizontal="left" vertical="center" wrapText="1"/>
    </xf>
    <xf numFmtId="0" fontId="0" fillId="0" borderId="3" xfId="0" applyBorder="1" applyAlignment="1">
      <alignment horizontal="center" vertical="center" wrapText="1"/>
    </xf>
    <xf numFmtId="0" fontId="6" fillId="0" borderId="0" xfId="0" applyFont="1" applyFill="1" applyAlignment="1">
      <alignment horizontal="left" wrapText="1"/>
    </xf>
    <xf numFmtId="0" fontId="3" fillId="0" borderId="19" xfId="0" applyFont="1" applyFill="1" applyBorder="1" applyAlignment="1">
      <alignment horizontal="center"/>
    </xf>
    <xf numFmtId="0" fontId="3" fillId="0" borderId="0" xfId="0" applyFont="1" applyFill="1" applyAlignment="1">
      <alignment horizontal="center"/>
    </xf>
    <xf numFmtId="0" fontId="3" fillId="0" borderId="0" xfId="0" applyFont="1" applyAlignment="1">
      <alignment horizontal="center"/>
    </xf>
    <xf numFmtId="0" fontId="3" fillId="0" borderId="19" xfId="0" applyFont="1" applyBorder="1" applyAlignment="1">
      <alignment horizontal="center"/>
    </xf>
    <xf numFmtId="0" fontId="6" fillId="0" borderId="0" xfId="0" applyFont="1" applyAlignment="1">
      <alignment horizontal="left" wrapText="1"/>
    </xf>
    <xf numFmtId="0" fontId="0" fillId="0" borderId="0" xfId="0" applyFill="1" applyAlignment="1">
      <alignment horizontal="center"/>
    </xf>
    <xf numFmtId="0" fontId="6" fillId="0" borderId="0" xfId="0" applyFont="1" applyFill="1" applyAlignment="1">
      <alignment horizontal="left"/>
    </xf>
    <xf numFmtId="0" fontId="3" fillId="0" borderId="0" xfId="0" applyFont="1" applyFill="1" applyBorder="1" applyAlignment="1">
      <alignment horizontal="center"/>
    </xf>
    <xf numFmtId="0" fontId="6" fillId="0" borderId="0" xfId="0" applyFont="1" applyFill="1" applyBorder="1" applyAlignment="1">
      <alignment horizontal="left" wrapText="1"/>
    </xf>
    <xf numFmtId="0" fontId="6" fillId="0" borderId="0" xfId="0" applyFont="1" applyAlignment="1">
      <alignment horizontal="left"/>
    </xf>
    <xf numFmtId="0" fontId="3" fillId="0" borderId="0" xfId="0" applyFont="1" applyBorder="1" applyAlignment="1">
      <alignment horizontal="center"/>
    </xf>
    <xf numFmtId="0" fontId="9" fillId="0" borderId="0" xfId="0" applyFont="1" applyAlignment="1">
      <alignment horizontal="center"/>
    </xf>
    <xf numFmtId="0" fontId="2" fillId="0" borderId="0" xfId="0" applyFont="1" applyAlignment="1">
      <alignment horizontal="left" wrapText="1"/>
    </xf>
    <xf numFmtId="0" fontId="0" fillId="0" borderId="2" xfId="0" applyFill="1" applyBorder="1" applyAlignment="1">
      <alignment horizontal="left" wrapText="1"/>
    </xf>
    <xf numFmtId="0" fontId="0" fillId="0" borderId="73" xfId="0" applyFill="1" applyBorder="1" applyAlignment="1">
      <alignment horizontal="left" wrapText="1"/>
    </xf>
    <xf numFmtId="49" fontId="8" fillId="0" borderId="63" xfId="0" applyNumberFormat="1" applyFont="1" applyBorder="1" applyAlignment="1">
      <alignment horizontal="left" vertical="top" wrapText="1"/>
    </xf>
    <xf numFmtId="49" fontId="8" fillId="0" borderId="1" xfId="0" applyNumberFormat="1" applyFont="1" applyBorder="1" applyAlignment="1">
      <alignment horizontal="left" vertical="top" wrapText="1"/>
    </xf>
    <xf numFmtId="0" fontId="2" fillId="0" borderId="0" xfId="0" applyFont="1" applyFill="1" applyAlignment="1">
      <alignment horizontal="left" wrapText="1"/>
    </xf>
    <xf numFmtId="164" fontId="7" fillId="0" borderId="39" xfId="1" applyNumberFormat="1" applyFont="1" applyFill="1" applyBorder="1"/>
    <xf numFmtId="0" fontId="7" fillId="0" borderId="74" xfId="0" applyFont="1" applyFill="1" applyBorder="1" applyAlignment="1">
      <alignment wrapText="1"/>
    </xf>
    <xf numFmtId="0" fontId="7" fillId="0" borderId="3" xfId="0" applyFont="1" applyFill="1" applyBorder="1" applyAlignment="1">
      <alignment horizontal="center"/>
    </xf>
    <xf numFmtId="0" fontId="7" fillId="0" borderId="3" xfId="0" applyFont="1" applyFill="1" applyBorder="1" applyAlignment="1">
      <alignment horizontal="center"/>
    </xf>
    <xf numFmtId="0" fontId="7" fillId="0" borderId="3" xfId="0" applyFont="1" applyFill="1" applyBorder="1"/>
    <xf numFmtId="0" fontId="7" fillId="0" borderId="3" xfId="0" applyFont="1" applyFill="1" applyBorder="1" applyAlignment="1">
      <alignment wrapText="1"/>
    </xf>
    <xf numFmtId="167" fontId="7" fillId="0" borderId="3" xfId="2" applyNumberFormat="1" applyFont="1" applyFill="1" applyBorder="1"/>
    <xf numFmtId="1" fontId="7" fillId="0" borderId="0" xfId="0" applyNumberFormat="1" applyFont="1" applyFill="1"/>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BOATS\SURVEY\COST\MRR\MRRBOAT4.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RRcost-ref"/>
      <sheetName val="MRRCostbyFac"/>
      <sheetName val="basis"/>
      <sheetName val="process"/>
      <sheetName val="IndustryTotalYR1"/>
      <sheetName val="IndustryTotalYR2"/>
      <sheetName val="IndustryTotalYR3"/>
      <sheetName val="AgencyTotal"/>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sheetData sheetId="1"/>
      <sheetData sheetId="2">
        <row r="13">
          <cell r="C13">
            <v>1</v>
          </cell>
        </row>
        <row r="17">
          <cell r="C17">
            <v>5</v>
          </cell>
        </row>
        <row r="19">
          <cell r="C19">
            <v>0.2</v>
          </cell>
        </row>
        <row r="20">
          <cell r="C20">
            <v>0.8</v>
          </cell>
        </row>
        <row r="21">
          <cell r="C21">
            <v>1</v>
          </cell>
        </row>
        <row r="24">
          <cell r="C24">
            <v>33</v>
          </cell>
        </row>
        <row r="25">
          <cell r="C25">
            <v>49</v>
          </cell>
        </row>
        <row r="26">
          <cell r="C26">
            <v>15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H11"/>
  <sheetViews>
    <sheetView workbookViewId="0">
      <selection activeCell="B5" sqref="B5"/>
    </sheetView>
  </sheetViews>
  <sheetFormatPr defaultRowHeight="12.75"/>
  <cols>
    <col min="1" max="1" width="13.42578125" customWidth="1"/>
    <col min="2" max="2" width="16.5703125" customWidth="1"/>
    <col min="3" max="3" width="27" customWidth="1"/>
    <col min="4" max="4" width="12" customWidth="1"/>
    <col min="8" max="8" width="12.140625" bestFit="1" customWidth="1"/>
  </cols>
  <sheetData>
    <row r="1" spans="1:8" ht="13.5" thickBot="1">
      <c r="A1" s="176" t="s">
        <v>165</v>
      </c>
      <c r="B1" s="177" t="s">
        <v>167</v>
      </c>
      <c r="C1" s="177" t="s">
        <v>168</v>
      </c>
      <c r="D1" s="178" t="s">
        <v>184</v>
      </c>
    </row>
    <row r="2" spans="1:8" ht="63.75" customHeight="1" thickBot="1">
      <c r="A2" s="181" t="s">
        <v>166</v>
      </c>
      <c r="B2" s="182" t="s">
        <v>183</v>
      </c>
      <c r="C2" s="182" t="s">
        <v>185</v>
      </c>
      <c r="D2" s="183" t="s">
        <v>186</v>
      </c>
    </row>
    <row r="3" spans="1:8" ht="25.5">
      <c r="A3" s="179" t="s">
        <v>170</v>
      </c>
      <c r="B3" s="295">
        <f>SUM('Base Data'!H16:H17,'Base Data'!H19)</f>
        <v>2020</v>
      </c>
      <c r="C3" s="296">
        <f>'Fac-ExistLrgSolid-Yr1'!P32+'Fac-ExistLrgSolid-Yr2'!P32+'Fac-ExistLrgSolid-Yr3'!P32</f>
        <v>6347</v>
      </c>
      <c r="D3" s="180">
        <f>C3/3</f>
        <v>2115.6666666666665</v>
      </c>
      <c r="H3" s="189"/>
    </row>
    <row r="4" spans="1:8" ht="25.5">
      <c r="A4" s="87" t="s">
        <v>171</v>
      </c>
      <c r="B4" s="297">
        <f>SUM('Base Data'!H40:H41)</f>
        <v>30</v>
      </c>
      <c r="C4" s="298">
        <f>+'Fac-NewLrgSolid-Yr1'!M31+'Fac-NewLrgSolid-Yr2'!M31+'Fac-NewLrgSolid-Yr3'!M31</f>
        <v>120</v>
      </c>
      <c r="D4" s="108">
        <f t="shared" ref="D4:D10" si="0">C4/3</f>
        <v>40</v>
      </c>
      <c r="H4" s="189"/>
    </row>
    <row r="5" spans="1:8" ht="25.5">
      <c r="A5" s="87" t="s">
        <v>172</v>
      </c>
      <c r="B5" s="297">
        <f>SUM('Base Data'!H15,'Base Data'!H18)</f>
        <v>5314</v>
      </c>
      <c r="C5" s="298">
        <f>SUM('Fac - ExistSmlSolid-Yr1'!M16,'Fac - ExistSmlSolid-Yr2'!M16,'Fac - ExistSmlSolid-Yr3'!M16)</f>
        <v>13285</v>
      </c>
      <c r="D5" s="108">
        <f t="shared" si="0"/>
        <v>4428.333333333333</v>
      </c>
      <c r="H5" s="189"/>
    </row>
    <row r="6" spans="1:8" ht="25.5">
      <c r="A6" s="87" t="s">
        <v>173</v>
      </c>
      <c r="B6" s="298">
        <f>SUM('Base Data'!H39,'Base Data'!H42)</f>
        <v>148</v>
      </c>
      <c r="C6" s="299">
        <f>SUM('Fac-NewSmlSolid-Yr1'!M16,'Fac-NewSmlSolid-Yr3'!M16,'Fac-NewSmlSolid-Yr2'!M16)</f>
        <v>443.5</v>
      </c>
      <c r="D6" s="108">
        <f t="shared" si="0"/>
        <v>147.83333333333334</v>
      </c>
      <c r="H6" s="189"/>
    </row>
    <row r="7" spans="1:8" ht="29.25" customHeight="1">
      <c r="A7" s="87" t="s">
        <v>174</v>
      </c>
      <c r="B7" s="298">
        <f>SUM('Base Data'!H21:H22)</f>
        <v>4615</v>
      </c>
      <c r="C7" s="299">
        <f>SUM('Fac-ExistLrgLiquid-Yr1'!N19,'Fac-ExistLrgLiquid-Yr2'!N19,'Fac-ExistLrgLiquid-Yr3'!N19)</f>
        <v>11537.5</v>
      </c>
      <c r="D7" s="108">
        <f t="shared" si="0"/>
        <v>3845.8333333333335</v>
      </c>
      <c r="H7" s="189"/>
    </row>
    <row r="8" spans="1:8" ht="25.5">
      <c r="A8" s="87" t="s">
        <v>175</v>
      </c>
      <c r="B8" s="298">
        <f>SUM('Base Data'!H44)</f>
        <v>244</v>
      </c>
      <c r="C8" s="299">
        <f>'Fac-NewLrgLiquid-Yr1'!M25+'Fac-NewLrgLiquid-Yr2'!M25+'Fac-NewLrgLiquid-Yr3'!M25</f>
        <v>975</v>
      </c>
      <c r="D8" s="108">
        <f t="shared" si="0"/>
        <v>325</v>
      </c>
      <c r="H8" s="189"/>
    </row>
    <row r="9" spans="1:8" ht="31.5" customHeight="1">
      <c r="A9" s="87" t="s">
        <v>176</v>
      </c>
      <c r="B9" s="298">
        <f>SUM('Base Data'!H20)</f>
        <v>79387</v>
      </c>
      <c r="C9" s="299">
        <f>+'Fac - ExistSmlLiquid-Yr1'!M16+'Fac - ExistSmlLiquid-Yr2'!M16+'Fac - ExistSmlLiquid-Yr3'!M16</f>
        <v>198467.5</v>
      </c>
      <c r="D9" s="108">
        <f t="shared" si="0"/>
        <v>66155.833333333328</v>
      </c>
      <c r="F9" s="189">
        <f>'Fac - ExistSmlLiquid-Yr1'!M16+'Fac - ExistSmlLiquid-Yr2'!M16+'Fac - ExistSmlLiquid-Yr3'!M16</f>
        <v>198467.5</v>
      </c>
      <c r="G9">
        <f>F9/3</f>
        <v>66155.833333333328</v>
      </c>
      <c r="H9" s="189"/>
    </row>
    <row r="10" spans="1:8" ht="25.5">
      <c r="A10" s="87" t="s">
        <v>177</v>
      </c>
      <c r="B10" s="298">
        <f>'Base Data'!H43</f>
        <v>2968</v>
      </c>
      <c r="C10" s="299">
        <f>SUM('Fac-NewSmlLiquid-Yr1'!M16,'Fac-NewSmlLiquid-Yr2'!M16,'Fac-NewSmlLiquid-Yr3'!M16)</f>
        <v>8903.5</v>
      </c>
      <c r="D10" s="108">
        <f t="shared" si="0"/>
        <v>2967.8333333333335</v>
      </c>
      <c r="H10" s="189"/>
    </row>
    <row r="11" spans="1:8" ht="13.5" thickBot="1">
      <c r="A11" s="101" t="s">
        <v>182</v>
      </c>
      <c r="B11" s="109">
        <f>SUM(B3:B10)</f>
        <v>94726</v>
      </c>
      <c r="C11" s="109">
        <f>SUM(C3:C10)</f>
        <v>240079</v>
      </c>
      <c r="D11" s="110">
        <f>SUM(D2:D10)</f>
        <v>80026.333333333328</v>
      </c>
      <c r="H11" s="285"/>
    </row>
  </sheetData>
  <phoneticPr fontId="7" type="noConversion"/>
  <pageMargins left="0.75" right="0.75" top="1" bottom="1"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A1:R87"/>
  <sheetViews>
    <sheetView zoomScaleNormal="100" workbookViewId="0">
      <pane xSplit="1" ySplit="3" topLeftCell="B4" activePane="bottomRight" state="frozen"/>
      <selection activeCell="S1" sqref="S1:S65536"/>
      <selection pane="topRight" activeCell="S1" sqref="S1:S65536"/>
      <selection pane="bottomLeft" activeCell="S1" sqref="S1:S65536"/>
      <selection pane="bottomRight" activeCell="D10" sqref="D10"/>
    </sheetView>
  </sheetViews>
  <sheetFormatPr defaultRowHeight="11.25"/>
  <cols>
    <col min="1" max="1" width="33.7109375" style="1" customWidth="1"/>
    <col min="2" max="7" width="8.28515625" style="5" customWidth="1"/>
    <col min="8" max="8" width="8.7109375" style="8" customWidth="1"/>
    <col min="9" max="9" width="8.28515625" style="5" customWidth="1"/>
    <col min="10" max="10" width="7.42578125" style="5" customWidth="1"/>
    <col min="11" max="11" width="8.85546875" style="5" customWidth="1"/>
    <col min="12" max="12" width="11.85546875" style="5" bestFit="1" customWidth="1"/>
    <col min="13" max="13" width="11.85546875" style="6" bestFit="1" customWidth="1"/>
    <col min="14" max="14" width="8" style="49" bestFit="1" customWidth="1"/>
    <col min="15" max="15" width="4.28515625" style="5" bestFit="1" customWidth="1"/>
    <col min="16" max="16" width="5.28515625" style="1" customWidth="1"/>
    <col min="17" max="17" width="8.5703125" style="1" hidden="1" customWidth="1"/>
    <col min="18" max="18" width="9.28515625" style="1" hidden="1" customWidth="1"/>
    <col min="19" max="16384" width="9.140625" style="1"/>
  </cols>
  <sheetData>
    <row r="1" spans="1:18">
      <c r="A1" s="407" t="s">
        <v>66</v>
      </c>
      <c r="B1" s="407"/>
      <c r="C1" s="407"/>
      <c r="D1" s="407"/>
      <c r="E1" s="407"/>
      <c r="F1" s="407"/>
      <c r="G1" s="407"/>
      <c r="H1" s="407"/>
      <c r="I1" s="407"/>
      <c r="J1" s="407"/>
      <c r="K1" s="407"/>
      <c r="L1" s="407"/>
      <c r="M1" s="407"/>
      <c r="N1" s="407"/>
      <c r="O1" s="407"/>
    </row>
    <row r="2" spans="1:18" ht="12" thickBot="1">
      <c r="A2" s="408" t="s">
        <v>326</v>
      </c>
      <c r="B2" s="408"/>
      <c r="C2" s="408"/>
      <c r="D2" s="408"/>
      <c r="E2" s="408"/>
      <c r="F2" s="408"/>
      <c r="G2" s="408"/>
      <c r="H2" s="408"/>
      <c r="I2" s="408"/>
      <c r="J2" s="408"/>
      <c r="K2" s="408"/>
      <c r="L2" s="408"/>
      <c r="M2" s="408"/>
      <c r="N2" s="408"/>
      <c r="O2" s="408"/>
    </row>
    <row r="3" spans="1:18" s="3" customFormat="1" ht="54.75" thickBot="1">
      <c r="A3" s="116" t="s">
        <v>229</v>
      </c>
      <c r="B3" s="117" t="s">
        <v>230</v>
      </c>
      <c r="C3" s="117" t="s">
        <v>21</v>
      </c>
      <c r="D3" s="129" t="s">
        <v>321</v>
      </c>
      <c r="E3" s="117" t="s">
        <v>22</v>
      </c>
      <c r="F3" s="129" t="s">
        <v>336</v>
      </c>
      <c r="G3" s="117" t="s">
        <v>6</v>
      </c>
      <c r="H3" s="118" t="s">
        <v>7</v>
      </c>
      <c r="I3" s="119" t="s">
        <v>11</v>
      </c>
      <c r="J3" s="119" t="s">
        <v>12</v>
      </c>
      <c r="K3" s="119" t="s">
        <v>10</v>
      </c>
      <c r="L3" s="117" t="s">
        <v>25</v>
      </c>
      <c r="M3" s="146" t="s">
        <v>308</v>
      </c>
      <c r="N3" s="146" t="s">
        <v>309</v>
      </c>
      <c r="O3" s="120" t="s">
        <v>231</v>
      </c>
    </row>
    <row r="4" spans="1:18" s="4" customFormat="1" ht="9">
      <c r="A4" s="156" t="s">
        <v>237</v>
      </c>
      <c r="B4" s="157" t="s">
        <v>264</v>
      </c>
      <c r="C4" s="158"/>
      <c r="D4" s="158"/>
      <c r="E4" s="158"/>
      <c r="F4" s="157"/>
      <c r="G4" s="157"/>
      <c r="H4" s="159"/>
      <c r="I4" s="159"/>
      <c r="J4" s="159"/>
      <c r="K4" s="159"/>
      <c r="L4" s="158"/>
      <c r="M4" s="158"/>
      <c r="N4" s="158"/>
      <c r="O4" s="203"/>
    </row>
    <row r="5" spans="1:18" s="4" customFormat="1" ht="9">
      <c r="A5" s="140" t="s">
        <v>238</v>
      </c>
      <c r="B5" s="13" t="s">
        <v>264</v>
      </c>
      <c r="C5" s="22"/>
      <c r="D5" s="22"/>
      <c r="E5" s="22"/>
      <c r="F5" s="13"/>
      <c r="G5" s="13"/>
      <c r="H5" s="14"/>
      <c r="I5" s="14"/>
      <c r="J5" s="14"/>
      <c r="K5" s="14"/>
      <c r="L5" s="22"/>
      <c r="M5" s="22"/>
      <c r="N5" s="22"/>
      <c r="O5" s="141"/>
    </row>
    <row r="6" spans="1:18" s="4" customFormat="1" ht="9">
      <c r="A6" s="140" t="s">
        <v>239</v>
      </c>
      <c r="B6" s="13"/>
      <c r="C6" s="22"/>
      <c r="D6" s="22"/>
      <c r="E6" s="22"/>
      <c r="F6" s="13"/>
      <c r="G6" s="13"/>
      <c r="H6" s="14"/>
      <c r="I6" s="14"/>
      <c r="J6" s="14"/>
      <c r="K6" s="14"/>
      <c r="L6" s="22"/>
      <c r="M6" s="22"/>
      <c r="N6" s="22"/>
      <c r="O6" s="141"/>
    </row>
    <row r="7" spans="1:18" s="4" customFormat="1" ht="9">
      <c r="A7" s="148" t="s">
        <v>240</v>
      </c>
      <c r="B7" s="13">
        <v>40</v>
      </c>
      <c r="C7" s="22">
        <v>0</v>
      </c>
      <c r="D7" s="22">
        <v>0</v>
      </c>
      <c r="E7" s="22">
        <v>0</v>
      </c>
      <c r="F7" s="13">
        <v>1</v>
      </c>
      <c r="G7" s="13">
        <f>B7*F7</f>
        <v>40</v>
      </c>
      <c r="H7" s="31">
        <v>0</v>
      </c>
      <c r="I7" s="14">
        <f>G7*H7</f>
        <v>0</v>
      </c>
      <c r="J7" s="14">
        <f>I7*0.1</f>
        <v>0</v>
      </c>
      <c r="K7" s="31">
        <f>I7*0.05</f>
        <v>0</v>
      </c>
      <c r="L7" s="22">
        <f>(I7*'Base Data'!$C$5)+(J7*'Base Data'!$C$6)+(K7*'Base Data'!$C$7)</f>
        <v>0</v>
      </c>
      <c r="M7" s="22">
        <v>0</v>
      </c>
      <c r="N7" s="14">
        <v>0</v>
      </c>
      <c r="O7" s="141" t="s">
        <v>214</v>
      </c>
    </row>
    <row r="8" spans="1:18" s="4" customFormat="1" ht="9">
      <c r="A8" s="148" t="s">
        <v>241</v>
      </c>
      <c r="B8" s="13"/>
      <c r="C8" s="22"/>
      <c r="D8" s="22"/>
      <c r="E8" s="22"/>
      <c r="F8" s="13"/>
      <c r="G8" s="13"/>
      <c r="H8" s="14"/>
      <c r="I8" s="14"/>
      <c r="J8" s="14"/>
      <c r="K8" s="14"/>
      <c r="L8" s="22"/>
      <c r="M8" s="22"/>
      <c r="N8" s="22"/>
      <c r="O8" s="141"/>
      <c r="Q8" s="15"/>
    </row>
    <row r="9" spans="1:18" s="4" customFormat="1" ht="9">
      <c r="A9" s="148" t="s">
        <v>253</v>
      </c>
      <c r="B9" s="28"/>
      <c r="C9" s="40"/>
      <c r="D9" s="22"/>
      <c r="E9" s="22"/>
      <c r="F9" s="13"/>
      <c r="G9" s="13"/>
      <c r="H9" s="31"/>
      <c r="I9" s="14"/>
      <c r="J9" s="14"/>
      <c r="K9" s="14"/>
      <c r="L9" s="22"/>
      <c r="M9" s="22"/>
      <c r="N9" s="22"/>
      <c r="O9" s="141"/>
      <c r="Q9" s="15"/>
    </row>
    <row r="10" spans="1:18" s="4" customFormat="1" ht="9">
      <c r="A10" s="121" t="s">
        <v>35</v>
      </c>
      <c r="B10" s="28">
        <v>20</v>
      </c>
      <c r="C10" s="32">
        <v>18292</v>
      </c>
      <c r="D10" s="32">
        <v>0</v>
      </c>
      <c r="E10" s="32">
        <v>0</v>
      </c>
      <c r="F10" s="28">
        <v>1</v>
      </c>
      <c r="G10" s="28">
        <f>B10*F10</f>
        <v>20</v>
      </c>
      <c r="H10" s="42">
        <f>ROUND(SUM('Base Data'!$D$21:$D$22)/2*0.1,0)</f>
        <v>461</v>
      </c>
      <c r="I10" s="14">
        <f>G10*H10</f>
        <v>9220</v>
      </c>
      <c r="J10" s="14">
        <f>I10*0.1</f>
        <v>922</v>
      </c>
      <c r="K10" s="14">
        <f>I10*0.05</f>
        <v>461</v>
      </c>
      <c r="L10" s="22">
        <f>(I10*'Base Data'!$C$5)+(J10*'Base Data'!$C$6)+(K10*'Base Data'!$C$7)</f>
        <v>1002928.55</v>
      </c>
      <c r="M10" s="22">
        <f>C10*F10*H10</f>
        <v>8432612</v>
      </c>
      <c r="N10" s="14">
        <v>0</v>
      </c>
      <c r="O10" s="122" t="s">
        <v>273</v>
      </c>
      <c r="Q10" s="199">
        <f>H10+H11</f>
        <v>4614</v>
      </c>
      <c r="R10" s="4">
        <f>Q10*2</f>
        <v>9228</v>
      </c>
    </row>
    <row r="11" spans="1:18" s="4" customFormat="1" ht="9">
      <c r="A11" s="121" t="s">
        <v>42</v>
      </c>
      <c r="B11" s="28">
        <v>20</v>
      </c>
      <c r="C11" s="32">
        <v>854</v>
      </c>
      <c r="D11" s="32">
        <v>0</v>
      </c>
      <c r="E11" s="32">
        <v>0</v>
      </c>
      <c r="F11" s="28">
        <v>1</v>
      </c>
      <c r="G11" s="28">
        <f>B11*F11</f>
        <v>20</v>
      </c>
      <c r="H11" s="42">
        <f>ROUND(SUM('Base Data'!$D$21:$D$22)/2*0.9,0)</f>
        <v>4153</v>
      </c>
      <c r="I11" s="14">
        <f>G11*H11</f>
        <v>83060</v>
      </c>
      <c r="J11" s="14">
        <f>I11*0.1</f>
        <v>8306</v>
      </c>
      <c r="K11" s="14">
        <f>I11*0.05</f>
        <v>4153</v>
      </c>
      <c r="L11" s="22">
        <f>(I11*'Base Data'!$C$5)+(J11*'Base Data'!$C$6)+(K11*'Base Data'!$C$7)</f>
        <v>9035059.1500000004</v>
      </c>
      <c r="M11" s="22">
        <f>C11*F11*H11</f>
        <v>3546662</v>
      </c>
      <c r="N11" s="14">
        <v>0</v>
      </c>
      <c r="O11" s="122" t="s">
        <v>273</v>
      </c>
      <c r="Q11" s="15"/>
    </row>
    <row r="12" spans="1:18" s="4" customFormat="1" ht="9">
      <c r="A12" s="123" t="s">
        <v>147</v>
      </c>
      <c r="B12" s="13">
        <v>12</v>
      </c>
      <c r="C12" s="22">
        <v>0</v>
      </c>
      <c r="D12" s="32">
        <v>2875</v>
      </c>
      <c r="E12" s="22">
        <v>0</v>
      </c>
      <c r="F12" s="13">
        <v>0.5</v>
      </c>
      <c r="G12" s="13">
        <f>B12*F12</f>
        <v>6</v>
      </c>
      <c r="H12" s="42">
        <f>ROUND(SUM('Base Data'!$D$21:$D$22)/2,0)-1</f>
        <v>4614</v>
      </c>
      <c r="I12" s="14">
        <f>G12*H12</f>
        <v>27684</v>
      </c>
      <c r="J12" s="14">
        <f>I12*0.1</f>
        <v>2768.4</v>
      </c>
      <c r="K12" s="14">
        <f>I12*0.05</f>
        <v>1384.2</v>
      </c>
      <c r="L12" s="22">
        <f>(I12*'Base Data'!$C$5)+(J12*'Base Data'!$C$6)+(K12*'Base Data'!$C$7)</f>
        <v>3011396.3100000005</v>
      </c>
      <c r="M12" s="22">
        <f>D12*F12*H12</f>
        <v>6632625</v>
      </c>
      <c r="N12" s="14">
        <v>0</v>
      </c>
      <c r="O12" s="141" t="s">
        <v>215</v>
      </c>
      <c r="Q12" s="197"/>
    </row>
    <row r="13" spans="1:18" s="4" customFormat="1" ht="9">
      <c r="A13" s="123" t="s">
        <v>245</v>
      </c>
      <c r="B13" s="13" t="s">
        <v>264</v>
      </c>
      <c r="C13" s="22"/>
      <c r="D13" s="22"/>
      <c r="E13" s="22"/>
      <c r="F13" s="13"/>
      <c r="G13" s="13"/>
      <c r="H13" s="43"/>
      <c r="I13" s="14"/>
      <c r="J13" s="14"/>
      <c r="K13" s="14"/>
      <c r="L13" s="22"/>
      <c r="M13" s="22"/>
      <c r="N13" s="22"/>
      <c r="O13" s="141"/>
      <c r="Q13" s="198"/>
    </row>
    <row r="14" spans="1:18" s="4" customFormat="1" ht="9">
      <c r="A14" s="123" t="s">
        <v>246</v>
      </c>
      <c r="B14" s="13" t="s">
        <v>264</v>
      </c>
      <c r="C14" s="22"/>
      <c r="D14" s="22"/>
      <c r="E14" s="22"/>
      <c r="F14" s="13"/>
      <c r="G14" s="13"/>
      <c r="H14" s="43"/>
      <c r="I14" s="14"/>
      <c r="J14" s="14"/>
      <c r="K14" s="14"/>
      <c r="L14" s="22"/>
      <c r="M14" s="32"/>
      <c r="N14" s="32"/>
      <c r="O14" s="122"/>
      <c r="P14" s="46"/>
    </row>
    <row r="15" spans="1:18" s="4" customFormat="1" ht="9">
      <c r="A15" s="123" t="s">
        <v>247</v>
      </c>
      <c r="B15" s="13"/>
      <c r="C15" s="22"/>
      <c r="D15" s="22"/>
      <c r="E15" s="22"/>
      <c r="F15" s="13"/>
      <c r="G15" s="13"/>
      <c r="H15" s="42"/>
      <c r="I15" s="14"/>
      <c r="J15" s="14"/>
      <c r="K15" s="14"/>
      <c r="L15" s="22"/>
      <c r="M15" s="32"/>
      <c r="N15" s="43"/>
      <c r="O15" s="122"/>
      <c r="P15" s="46"/>
    </row>
    <row r="16" spans="1:18" s="4" customFormat="1" ht="9" customHeight="1">
      <c r="A16" s="124" t="s">
        <v>266</v>
      </c>
      <c r="B16" s="13">
        <v>2</v>
      </c>
      <c r="C16" s="22">
        <v>0</v>
      </c>
      <c r="D16" s="22">
        <v>0</v>
      </c>
      <c r="E16" s="22">
        <v>0</v>
      </c>
      <c r="F16" s="13">
        <v>1</v>
      </c>
      <c r="G16" s="13">
        <f>B16*F16</f>
        <v>2</v>
      </c>
      <c r="H16" s="42">
        <v>0</v>
      </c>
      <c r="I16" s="14">
        <f>G16*H16</f>
        <v>0</v>
      </c>
      <c r="J16" s="14">
        <f>I16*0.1</f>
        <v>0</v>
      </c>
      <c r="K16" s="14">
        <f>I16*0.05</f>
        <v>0</v>
      </c>
      <c r="L16" s="22">
        <f>(I16*'Base Data'!$C$5)+(J16*'Base Data'!$C$6)+(K16*'Base Data'!$C$7)</f>
        <v>0</v>
      </c>
      <c r="M16" s="32">
        <v>0</v>
      </c>
      <c r="N16" s="43">
        <f>F16*H16</f>
        <v>0</v>
      </c>
      <c r="O16" s="122" t="s">
        <v>214</v>
      </c>
      <c r="P16" s="46"/>
    </row>
    <row r="17" spans="1:17" s="4" customFormat="1" ht="9">
      <c r="A17" s="124" t="s">
        <v>208</v>
      </c>
      <c r="B17" s="13">
        <v>8</v>
      </c>
      <c r="C17" s="22">
        <v>0</v>
      </c>
      <c r="D17" s="22">
        <v>0</v>
      </c>
      <c r="E17" s="23">
        <v>0</v>
      </c>
      <c r="F17" s="13">
        <v>1</v>
      </c>
      <c r="G17" s="13">
        <f>B17*F17</f>
        <v>8</v>
      </c>
      <c r="H17" s="42">
        <f>'Base Data'!$H$21+'Base Data'!$H$22</f>
        <v>4615</v>
      </c>
      <c r="I17" s="14">
        <f>G17*H17</f>
        <v>36920</v>
      </c>
      <c r="J17" s="14">
        <f>I17*0.1</f>
        <v>3692</v>
      </c>
      <c r="K17" s="14">
        <f>I17*0.05</f>
        <v>1846</v>
      </c>
      <c r="L17" s="22">
        <f>(I17*'Base Data'!$C$5)+(J17*'Base Data'!$C$6)+(K17*'Base Data'!$C$7)</f>
        <v>4016065.3</v>
      </c>
      <c r="M17" s="32">
        <v>0</v>
      </c>
      <c r="N17" s="43">
        <f>F17*H17</f>
        <v>4615</v>
      </c>
      <c r="O17" s="122" t="s">
        <v>215</v>
      </c>
      <c r="P17" s="46"/>
    </row>
    <row r="18" spans="1:17" s="4" customFormat="1" ht="9">
      <c r="A18" s="124" t="s">
        <v>148</v>
      </c>
      <c r="B18" s="13">
        <v>5</v>
      </c>
      <c r="C18" s="22">
        <v>0</v>
      </c>
      <c r="D18" s="48">
        <v>0</v>
      </c>
      <c r="E18" s="22">
        <v>0</v>
      </c>
      <c r="F18" s="201">
        <v>0.5</v>
      </c>
      <c r="G18" s="13">
        <f>B18*F18</f>
        <v>2.5</v>
      </c>
      <c r="H18" s="42">
        <f>'Base Data'!$H$21+'Base Data'!$H$22</f>
        <v>4615</v>
      </c>
      <c r="I18" s="14">
        <f>G18*H18</f>
        <v>11537.5</v>
      </c>
      <c r="J18" s="14">
        <f>I18*0.1</f>
        <v>1153.75</v>
      </c>
      <c r="K18" s="14">
        <f>I18*0.05</f>
        <v>576.875</v>
      </c>
      <c r="L18" s="22">
        <f>(I18*'Base Data'!$C$5)+(J18*'Base Data'!$C$6)+(K18*'Base Data'!$C$7)</f>
        <v>1255020.40625</v>
      </c>
      <c r="M18" s="32">
        <v>0</v>
      </c>
      <c r="N18" s="43">
        <f>F18*H18</f>
        <v>2307.5</v>
      </c>
      <c r="O18" s="122" t="s">
        <v>215</v>
      </c>
      <c r="P18" s="46"/>
    </row>
    <row r="19" spans="1:17" s="4" customFormat="1" ht="9">
      <c r="A19" s="126" t="s">
        <v>24</v>
      </c>
      <c r="B19" s="13"/>
      <c r="C19" s="22"/>
      <c r="D19" s="22"/>
      <c r="E19" s="142"/>
      <c r="F19" s="13"/>
      <c r="G19" s="13"/>
      <c r="H19" s="42"/>
      <c r="I19" s="14">
        <f>SUM(I7:I18)</f>
        <v>168421.5</v>
      </c>
      <c r="J19" s="14">
        <f t="shared" ref="J19:L19" si="0">SUM(J7:J18)</f>
        <v>16842.150000000001</v>
      </c>
      <c r="K19" s="14">
        <f t="shared" si="0"/>
        <v>8421.0750000000007</v>
      </c>
      <c r="L19" s="22">
        <f t="shared" si="0"/>
        <v>18320469.716250002</v>
      </c>
      <c r="M19" s="22">
        <f>SUM(M7:M18)</f>
        <v>18611899</v>
      </c>
      <c r="N19" s="43">
        <f>SUM(N15:N18)</f>
        <v>6922.5</v>
      </c>
      <c r="O19" s="122"/>
      <c r="P19" s="46"/>
    </row>
    <row r="20" spans="1:17" s="4" customFormat="1" ht="9">
      <c r="A20" s="121" t="s">
        <v>261</v>
      </c>
      <c r="B20" s="13"/>
      <c r="C20" s="22"/>
      <c r="D20" s="22"/>
      <c r="E20" s="22"/>
      <c r="F20" s="13"/>
      <c r="G20" s="13"/>
      <c r="H20" s="43"/>
      <c r="I20" s="14"/>
      <c r="J20" s="14"/>
      <c r="K20" s="14"/>
      <c r="L20" s="22"/>
      <c r="M20" s="22"/>
      <c r="N20" s="32"/>
      <c r="O20" s="122"/>
      <c r="P20" s="46"/>
      <c r="Q20" s="200"/>
    </row>
    <row r="21" spans="1:17" s="4" customFormat="1" ht="9">
      <c r="A21" s="121" t="s">
        <v>248</v>
      </c>
      <c r="B21" s="13" t="s">
        <v>252</v>
      </c>
      <c r="C21" s="22"/>
      <c r="D21" s="22"/>
      <c r="E21" s="22"/>
      <c r="F21" s="13"/>
      <c r="G21" s="13"/>
      <c r="H21" s="43"/>
      <c r="I21" s="14"/>
      <c r="J21" s="14"/>
      <c r="K21" s="14"/>
      <c r="L21" s="22"/>
      <c r="M21" s="32"/>
      <c r="N21" s="32"/>
      <c r="O21" s="122"/>
      <c r="P21" s="46"/>
    </row>
    <row r="22" spans="1:17" s="4" customFormat="1" ht="9">
      <c r="A22" s="121" t="s">
        <v>249</v>
      </c>
      <c r="B22" s="13" t="s">
        <v>264</v>
      </c>
      <c r="C22" s="22"/>
      <c r="D22" s="22"/>
      <c r="E22" s="22"/>
      <c r="F22" s="13"/>
      <c r="G22" s="13"/>
      <c r="H22" s="43"/>
      <c r="I22" s="14"/>
      <c r="J22" s="14"/>
      <c r="K22" s="14"/>
      <c r="L22" s="22"/>
      <c r="M22" s="32"/>
      <c r="N22" s="32"/>
      <c r="O22" s="122"/>
      <c r="P22" s="46"/>
    </row>
    <row r="23" spans="1:17" s="4" customFormat="1" ht="9">
      <c r="A23" s="121" t="s">
        <v>250</v>
      </c>
      <c r="B23" s="13" t="s">
        <v>264</v>
      </c>
      <c r="C23" s="22"/>
      <c r="D23" s="22"/>
      <c r="E23" s="22"/>
      <c r="F23" s="13"/>
      <c r="G23" s="13"/>
      <c r="H23" s="43"/>
      <c r="I23" s="14"/>
      <c r="J23" s="14"/>
      <c r="K23" s="14"/>
      <c r="L23" s="22"/>
      <c r="M23" s="32"/>
      <c r="N23" s="32"/>
      <c r="O23" s="122" t="s">
        <v>216</v>
      </c>
      <c r="P23" s="46"/>
    </row>
    <row r="24" spans="1:17" s="4" customFormat="1" ht="9">
      <c r="A24" s="121" t="s">
        <v>251</v>
      </c>
      <c r="B24" s="13"/>
      <c r="C24" s="22"/>
      <c r="D24" s="22"/>
      <c r="E24" s="22"/>
      <c r="F24" s="13"/>
      <c r="G24" s="13"/>
      <c r="H24" s="43"/>
      <c r="I24" s="14"/>
      <c r="J24" s="14"/>
      <c r="K24" s="14"/>
      <c r="L24" s="22"/>
      <c r="M24" s="32"/>
      <c r="N24" s="32"/>
      <c r="O24" s="122"/>
      <c r="P24" s="46"/>
    </row>
    <row r="25" spans="1:17" s="4" customFormat="1" ht="9">
      <c r="A25" s="124" t="s">
        <v>323</v>
      </c>
      <c r="B25" s="13">
        <v>2</v>
      </c>
      <c r="C25" s="22">
        <v>0</v>
      </c>
      <c r="D25" s="22">
        <v>0</v>
      </c>
      <c r="E25" s="22">
        <v>0</v>
      </c>
      <c r="F25" s="13">
        <v>1</v>
      </c>
      <c r="G25" s="13">
        <f>B25*F25</f>
        <v>2</v>
      </c>
      <c r="H25" s="42">
        <f>'Base Data'!$D$21+'Base Data'!$D$22</f>
        <v>9229</v>
      </c>
      <c r="I25" s="31">
        <f>G25*H25</f>
        <v>18458</v>
      </c>
      <c r="J25" s="31">
        <f>I25*0.1</f>
        <v>1845.8000000000002</v>
      </c>
      <c r="K25" s="31">
        <f>I25*0.05</f>
        <v>922.90000000000009</v>
      </c>
      <c r="L25" s="22">
        <f>(I25*'Base Data'!$C$5)+(J25*'Base Data'!$C$6)+(K25*'Base Data'!$C$7)</f>
        <v>2007815.0950000002</v>
      </c>
      <c r="M25" s="22">
        <v>0</v>
      </c>
      <c r="N25" s="43">
        <v>0</v>
      </c>
      <c r="O25" s="202" t="s">
        <v>215</v>
      </c>
    </row>
    <row r="26" spans="1:17" s="4" customFormat="1" ht="9">
      <c r="A26" s="124" t="s">
        <v>322</v>
      </c>
      <c r="B26" s="13">
        <v>0.5</v>
      </c>
      <c r="C26" s="22">
        <v>0</v>
      </c>
      <c r="D26" s="22">
        <v>0</v>
      </c>
      <c r="E26" s="22">
        <v>0</v>
      </c>
      <c r="F26" s="13">
        <v>0.5</v>
      </c>
      <c r="G26" s="13">
        <f>B26*F26</f>
        <v>0.25</v>
      </c>
      <c r="H26" s="42">
        <f>'Base Data'!$D$21+'Base Data'!$D$22</f>
        <v>9229</v>
      </c>
      <c r="I26" s="31">
        <f>G26*H26</f>
        <v>2307.25</v>
      </c>
      <c r="J26" s="31">
        <f>I26*0.1</f>
        <v>230.72500000000002</v>
      </c>
      <c r="K26" s="31">
        <f>I26*0.05</f>
        <v>115.36250000000001</v>
      </c>
      <c r="L26" s="22">
        <f>(I26*'Base Data'!$C$5)+(J26*'Base Data'!$C$6)+(K26*'Base Data'!$C$7)</f>
        <v>250976.88687500003</v>
      </c>
      <c r="M26" s="22">
        <v>0</v>
      </c>
      <c r="N26" s="43">
        <v>0</v>
      </c>
      <c r="O26" s="202" t="s">
        <v>215</v>
      </c>
    </row>
    <row r="27" spans="1:17" s="4" customFormat="1" ht="9">
      <c r="A27" s="140" t="s">
        <v>255</v>
      </c>
      <c r="B27" s="13" t="s">
        <v>264</v>
      </c>
      <c r="C27" s="22"/>
      <c r="D27" s="22"/>
      <c r="E27" s="22"/>
      <c r="F27" s="13"/>
      <c r="G27" s="13"/>
      <c r="H27" s="31"/>
      <c r="I27" s="14"/>
      <c r="J27" s="14"/>
      <c r="K27" s="14"/>
      <c r="L27" s="22"/>
      <c r="M27" s="32"/>
      <c r="N27" s="32"/>
      <c r="O27" s="122"/>
      <c r="P27" s="46"/>
    </row>
    <row r="28" spans="1:17" s="4" customFormat="1" ht="9">
      <c r="A28" s="140" t="s">
        <v>256</v>
      </c>
      <c r="B28" s="13" t="s">
        <v>264</v>
      </c>
      <c r="C28" s="22"/>
      <c r="D28" s="22"/>
      <c r="E28" s="22"/>
      <c r="F28" s="13"/>
      <c r="G28" s="13"/>
      <c r="H28" s="14"/>
      <c r="I28" s="14"/>
      <c r="J28" s="14"/>
      <c r="K28" s="14"/>
      <c r="L28" s="22"/>
      <c r="M28" s="22"/>
      <c r="N28" s="22"/>
      <c r="O28" s="141"/>
    </row>
    <row r="29" spans="1:17" s="4" customFormat="1" ht="9.75" thickBot="1">
      <c r="A29" s="204" t="s">
        <v>26</v>
      </c>
      <c r="B29" s="205"/>
      <c r="C29" s="161"/>
      <c r="D29" s="161"/>
      <c r="E29" s="161"/>
      <c r="F29" s="205"/>
      <c r="G29" s="205"/>
      <c r="H29" s="160"/>
      <c r="I29" s="160">
        <f>SUM(I25:I26)</f>
        <v>20765.25</v>
      </c>
      <c r="J29" s="160">
        <f t="shared" ref="J29:M29" si="1">SUM(J25:J26)</f>
        <v>2076.5250000000001</v>
      </c>
      <c r="K29" s="160">
        <f t="shared" si="1"/>
        <v>1038.2625</v>
      </c>
      <c r="L29" s="161">
        <f t="shared" si="1"/>
        <v>2258791.9818750001</v>
      </c>
      <c r="M29" s="161">
        <f t="shared" si="1"/>
        <v>0</v>
      </c>
      <c r="N29" s="160">
        <f>SUM(N25:N26)</f>
        <v>0</v>
      </c>
      <c r="O29" s="206"/>
    </row>
    <row r="30" spans="1:17" s="2" customFormat="1" ht="12" thickBot="1">
      <c r="A30" s="149" t="s">
        <v>236</v>
      </c>
      <c r="B30" s="150"/>
      <c r="C30" s="150"/>
      <c r="D30" s="150"/>
      <c r="E30" s="151"/>
      <c r="F30" s="150"/>
      <c r="G30" s="150"/>
      <c r="H30" s="152"/>
      <c r="I30" s="153">
        <f>I19+I29</f>
        <v>189186.75</v>
      </c>
      <c r="J30" s="153">
        <f t="shared" ref="J30:N30" si="2">J19+J29</f>
        <v>18918.675000000003</v>
      </c>
      <c r="K30" s="153">
        <f t="shared" si="2"/>
        <v>9459.3375000000015</v>
      </c>
      <c r="L30" s="154">
        <f t="shared" si="2"/>
        <v>20579261.698125001</v>
      </c>
      <c r="M30" s="154">
        <f t="shared" si="2"/>
        <v>18611899</v>
      </c>
      <c r="N30" s="153">
        <f t="shared" si="2"/>
        <v>6922.5</v>
      </c>
      <c r="O30" s="155"/>
    </row>
    <row r="31" spans="1:17" ht="6" customHeight="1">
      <c r="B31" s="34"/>
      <c r="C31" s="34"/>
      <c r="D31" s="34"/>
      <c r="E31" s="34"/>
      <c r="F31" s="34"/>
      <c r="G31" s="34"/>
      <c r="H31" s="35"/>
    </row>
    <row r="32" spans="1:17" s="9" customFormat="1" ht="9" customHeight="1">
      <c r="A32" s="9" t="s">
        <v>219</v>
      </c>
      <c r="B32" s="10"/>
      <c r="C32" s="10"/>
      <c r="D32" s="10"/>
      <c r="E32" s="10"/>
      <c r="F32" s="10"/>
      <c r="G32" s="11"/>
      <c r="H32" s="10"/>
      <c r="I32" s="10"/>
      <c r="J32" s="10"/>
      <c r="K32" s="10"/>
      <c r="L32" s="10"/>
      <c r="M32" s="12"/>
      <c r="N32" s="50"/>
      <c r="O32" s="10"/>
    </row>
    <row r="33" spans="1:15" s="9" customFormat="1" ht="18" customHeight="1">
      <c r="A33" s="409" t="s">
        <v>28</v>
      </c>
      <c r="B33" s="409"/>
      <c r="C33" s="409"/>
      <c r="D33" s="409"/>
      <c r="E33" s="409"/>
      <c r="F33" s="409"/>
      <c r="G33" s="409"/>
      <c r="H33" s="409"/>
      <c r="I33" s="409"/>
      <c r="J33" s="409"/>
      <c r="K33" s="409"/>
      <c r="L33" s="409"/>
      <c r="M33" s="191"/>
      <c r="N33" s="51"/>
      <c r="O33" s="10"/>
    </row>
    <row r="34" spans="1:15" s="9" customFormat="1" ht="28.5" customHeight="1">
      <c r="A34" s="409" t="s">
        <v>16</v>
      </c>
      <c r="B34" s="409"/>
      <c r="C34" s="409"/>
      <c r="D34" s="409"/>
      <c r="E34" s="409"/>
      <c r="F34" s="409"/>
      <c r="G34" s="409"/>
      <c r="H34" s="409"/>
      <c r="I34" s="409"/>
      <c r="J34" s="409"/>
      <c r="K34" s="409"/>
      <c r="L34" s="409"/>
      <c r="M34" s="191"/>
      <c r="N34" s="51"/>
      <c r="O34" s="5"/>
    </row>
    <row r="35" spans="1:15" s="9" customFormat="1" ht="16.5" customHeight="1">
      <c r="A35" s="409" t="s">
        <v>41</v>
      </c>
      <c r="B35" s="409"/>
      <c r="C35" s="409"/>
      <c r="D35" s="409"/>
      <c r="E35" s="409"/>
      <c r="F35" s="409"/>
      <c r="G35" s="409"/>
      <c r="H35" s="409"/>
      <c r="I35" s="409"/>
      <c r="J35" s="409"/>
      <c r="K35" s="409"/>
      <c r="L35" s="409"/>
      <c r="M35" s="409"/>
      <c r="N35" s="409"/>
      <c r="O35" s="409"/>
    </row>
    <row r="36" spans="1:15" s="9" customFormat="1" ht="9">
      <c r="A36" s="9" t="s">
        <v>274</v>
      </c>
      <c r="B36" s="10"/>
      <c r="C36" s="10"/>
      <c r="D36" s="10"/>
      <c r="E36" s="10"/>
      <c r="F36" s="10"/>
      <c r="G36" s="11"/>
      <c r="H36" s="10"/>
      <c r="I36" s="10"/>
      <c r="J36" s="10"/>
      <c r="K36" s="10"/>
      <c r="L36" s="10"/>
      <c r="M36" s="12"/>
      <c r="N36" s="50"/>
      <c r="O36" s="10"/>
    </row>
    <row r="37" spans="1:15" s="9" customFormat="1" ht="10.5" customHeight="1">
      <c r="B37" s="10"/>
      <c r="C37" s="10"/>
      <c r="D37" s="10"/>
      <c r="E37" s="10"/>
      <c r="F37" s="10"/>
      <c r="G37" s="11"/>
      <c r="H37" s="10"/>
      <c r="I37" s="10"/>
      <c r="J37" s="10"/>
      <c r="K37" s="10"/>
      <c r="L37" s="10"/>
      <c r="M37" s="12"/>
      <c r="N37" s="12"/>
      <c r="O37" s="12"/>
    </row>
    <row r="38" spans="1:15" s="9" customFormat="1" ht="9">
      <c r="B38" s="10"/>
      <c r="C38" s="10"/>
      <c r="D38" s="10"/>
      <c r="E38" s="10"/>
      <c r="F38" s="10"/>
      <c r="G38" s="10"/>
      <c r="H38" s="11"/>
      <c r="I38" s="10"/>
      <c r="J38" s="10"/>
      <c r="K38" s="10"/>
      <c r="L38" s="10"/>
      <c r="M38" s="12"/>
      <c r="N38" s="50"/>
      <c r="O38" s="10"/>
    </row>
    <row r="39" spans="1:15" s="9" customFormat="1" ht="9">
      <c r="B39" s="10"/>
      <c r="C39" s="10"/>
      <c r="D39" s="10"/>
      <c r="E39" s="10"/>
      <c r="F39" s="10"/>
      <c r="G39" s="10"/>
      <c r="H39" s="11"/>
      <c r="I39" s="10"/>
      <c r="J39" s="10"/>
      <c r="K39" s="10"/>
      <c r="L39" s="10"/>
      <c r="M39" s="12"/>
      <c r="N39" s="50"/>
      <c r="O39" s="10"/>
    </row>
    <row r="40" spans="1:15" s="9" customFormat="1" ht="9">
      <c r="B40" s="10"/>
      <c r="C40" s="10"/>
      <c r="D40" s="10"/>
      <c r="E40" s="10"/>
      <c r="F40" s="10"/>
      <c r="G40" s="11"/>
      <c r="H40" s="10"/>
      <c r="I40" s="10"/>
      <c r="J40" s="10"/>
      <c r="K40" s="10"/>
      <c r="L40" s="10"/>
      <c r="M40" s="12"/>
      <c r="N40" s="50"/>
      <c r="O40" s="10"/>
    </row>
    <row r="41" spans="1:15" s="9" customFormat="1" ht="9">
      <c r="A41" s="33"/>
      <c r="B41" s="10"/>
      <c r="C41" s="10"/>
      <c r="D41" s="10"/>
      <c r="E41" s="10"/>
      <c r="F41" s="10"/>
      <c r="G41" s="10"/>
      <c r="H41" s="11"/>
      <c r="I41" s="10"/>
      <c r="J41" s="10"/>
      <c r="K41" s="10"/>
      <c r="L41" s="10"/>
      <c r="M41" s="12"/>
      <c r="N41" s="50"/>
      <c r="O41" s="10"/>
    </row>
    <row r="42" spans="1:15" s="9" customFormat="1" ht="9">
      <c r="B42" s="10"/>
      <c r="C42" s="10"/>
      <c r="D42" s="10"/>
      <c r="E42" s="10"/>
      <c r="F42" s="10"/>
      <c r="G42" s="10"/>
      <c r="H42" s="11"/>
      <c r="I42" s="10"/>
      <c r="J42" s="10"/>
      <c r="K42" s="10"/>
      <c r="L42" s="10"/>
      <c r="M42" s="12"/>
      <c r="N42" s="50"/>
      <c r="O42" s="10"/>
    </row>
    <row r="43" spans="1:15" s="9" customFormat="1" ht="9">
      <c r="B43" s="10"/>
      <c r="C43" s="10"/>
      <c r="D43" s="10"/>
      <c r="E43" s="10"/>
      <c r="F43" s="10"/>
      <c r="G43" s="10"/>
      <c r="H43" s="11"/>
      <c r="I43" s="10"/>
      <c r="J43" s="10"/>
      <c r="K43" s="10"/>
      <c r="L43" s="10"/>
      <c r="M43" s="12"/>
      <c r="N43" s="50"/>
      <c r="O43" s="10"/>
    </row>
    <row r="44" spans="1:15" s="9" customFormat="1" ht="9">
      <c r="B44" s="10"/>
      <c r="C44" s="10"/>
      <c r="D44" s="10"/>
      <c r="E44" s="10"/>
      <c r="F44" s="10"/>
      <c r="G44" s="10"/>
      <c r="H44" s="11"/>
      <c r="I44" s="10"/>
      <c r="J44" s="10"/>
      <c r="K44" s="10"/>
      <c r="L44" s="10"/>
      <c r="M44" s="12"/>
      <c r="N44" s="50"/>
      <c r="O44" s="10"/>
    </row>
    <row r="45" spans="1:15" s="9" customFormat="1" ht="9">
      <c r="B45" s="10"/>
      <c r="C45" s="10"/>
      <c r="D45" s="10"/>
      <c r="E45" s="10"/>
      <c r="F45" s="10"/>
      <c r="G45" s="10"/>
      <c r="H45" s="11"/>
      <c r="I45" s="10"/>
      <c r="J45" s="10"/>
      <c r="K45" s="10"/>
      <c r="L45" s="10"/>
      <c r="M45" s="12"/>
      <c r="N45" s="50"/>
      <c r="O45" s="10"/>
    </row>
    <row r="46" spans="1:15" s="9" customFormat="1" ht="9">
      <c r="B46" s="10"/>
      <c r="C46" s="10"/>
      <c r="D46" s="10"/>
      <c r="E46" s="10"/>
      <c r="F46" s="10"/>
      <c r="G46" s="10"/>
      <c r="H46" s="11"/>
      <c r="I46" s="10"/>
      <c r="J46" s="10"/>
      <c r="K46" s="10"/>
      <c r="L46" s="10"/>
      <c r="M46" s="12"/>
      <c r="N46" s="50"/>
      <c r="O46" s="10"/>
    </row>
    <row r="47" spans="1:15" s="9" customFormat="1" ht="9">
      <c r="B47" s="10"/>
      <c r="C47" s="10"/>
      <c r="D47" s="10"/>
      <c r="E47" s="10"/>
      <c r="F47" s="10"/>
      <c r="G47" s="10"/>
      <c r="H47" s="11"/>
      <c r="I47" s="10"/>
      <c r="J47" s="10"/>
      <c r="K47" s="10"/>
      <c r="L47" s="10"/>
      <c r="M47" s="12"/>
      <c r="N47" s="50"/>
      <c r="O47" s="10"/>
    </row>
    <row r="48" spans="1:15" s="9" customFormat="1" ht="9">
      <c r="B48" s="10"/>
      <c r="C48" s="10"/>
      <c r="D48" s="10"/>
      <c r="E48" s="10"/>
      <c r="F48" s="10"/>
      <c r="G48" s="10"/>
      <c r="H48" s="11"/>
      <c r="I48" s="10"/>
      <c r="J48" s="10"/>
      <c r="K48" s="10"/>
      <c r="L48" s="10"/>
      <c r="M48" s="12"/>
      <c r="N48" s="50"/>
      <c r="O48" s="10"/>
    </row>
    <row r="49" spans="2:15" s="9" customFormat="1" ht="9">
      <c r="B49" s="10"/>
      <c r="C49" s="10"/>
      <c r="D49" s="10"/>
      <c r="E49" s="10"/>
      <c r="F49" s="10"/>
      <c r="G49" s="10"/>
      <c r="H49" s="11"/>
      <c r="I49" s="10"/>
      <c r="J49" s="10"/>
      <c r="K49" s="10"/>
      <c r="L49" s="10"/>
      <c r="M49" s="12"/>
      <c r="N49" s="50"/>
      <c r="O49" s="10"/>
    </row>
    <row r="50" spans="2:15" s="9" customFormat="1" ht="9">
      <c r="B50" s="10"/>
      <c r="C50" s="10"/>
      <c r="D50" s="10"/>
      <c r="E50" s="10"/>
      <c r="F50" s="10"/>
      <c r="G50" s="10"/>
      <c r="H50" s="11"/>
      <c r="I50" s="10"/>
      <c r="J50" s="10"/>
      <c r="K50" s="10"/>
      <c r="L50" s="10"/>
      <c r="M50" s="12"/>
      <c r="N50" s="50"/>
      <c r="O50" s="10"/>
    </row>
    <row r="51" spans="2:15" s="9" customFormat="1" ht="9">
      <c r="B51" s="10"/>
      <c r="C51" s="10"/>
      <c r="D51" s="10"/>
      <c r="E51" s="10"/>
      <c r="F51" s="10"/>
      <c r="G51" s="10"/>
      <c r="H51" s="11"/>
      <c r="I51" s="10"/>
      <c r="J51" s="10"/>
      <c r="K51" s="10"/>
      <c r="L51" s="10"/>
      <c r="M51" s="12"/>
      <c r="N51" s="50"/>
      <c r="O51" s="10"/>
    </row>
    <row r="52" spans="2:15" s="9" customFormat="1" ht="9">
      <c r="B52" s="10"/>
      <c r="C52" s="10"/>
      <c r="D52" s="10"/>
      <c r="E52" s="10"/>
      <c r="F52" s="10"/>
      <c r="G52" s="10"/>
      <c r="H52" s="11"/>
      <c r="I52" s="10"/>
      <c r="J52" s="10"/>
      <c r="K52" s="10"/>
      <c r="L52" s="10"/>
      <c r="M52" s="12"/>
      <c r="N52" s="50"/>
      <c r="O52" s="10"/>
    </row>
    <row r="53" spans="2:15" s="9" customFormat="1" ht="9">
      <c r="B53" s="10"/>
      <c r="C53" s="10"/>
      <c r="D53" s="10"/>
      <c r="E53" s="10"/>
      <c r="F53" s="10"/>
      <c r="G53" s="10"/>
      <c r="H53" s="11"/>
      <c r="I53" s="10"/>
      <c r="J53" s="10"/>
      <c r="K53" s="10"/>
      <c r="L53" s="10"/>
      <c r="M53" s="12"/>
      <c r="N53" s="50"/>
      <c r="O53" s="10"/>
    </row>
    <row r="54" spans="2:15" s="9" customFormat="1" ht="9">
      <c r="B54" s="10"/>
      <c r="C54" s="10"/>
      <c r="D54" s="10"/>
      <c r="E54" s="10"/>
      <c r="F54" s="10"/>
      <c r="G54" s="10"/>
      <c r="H54" s="11"/>
      <c r="I54" s="10"/>
      <c r="J54" s="10"/>
      <c r="K54" s="10"/>
      <c r="L54" s="10"/>
      <c r="M54" s="12"/>
      <c r="N54" s="50"/>
      <c r="O54" s="10"/>
    </row>
    <row r="55" spans="2:15" s="9" customFormat="1" ht="9">
      <c r="B55" s="10"/>
      <c r="C55" s="10"/>
      <c r="D55" s="10"/>
      <c r="E55" s="10"/>
      <c r="F55" s="10"/>
      <c r="G55" s="10"/>
      <c r="H55" s="11"/>
      <c r="I55" s="10"/>
      <c r="J55" s="10"/>
      <c r="K55" s="10"/>
      <c r="L55" s="10"/>
      <c r="M55" s="12"/>
      <c r="N55" s="50"/>
      <c r="O55" s="10"/>
    </row>
    <row r="56" spans="2:15" s="9" customFormat="1" ht="9">
      <c r="B56" s="10"/>
      <c r="C56" s="10"/>
      <c r="D56" s="10"/>
      <c r="E56" s="10"/>
      <c r="F56" s="10"/>
      <c r="G56" s="10"/>
      <c r="H56" s="11"/>
      <c r="I56" s="10"/>
      <c r="J56" s="10"/>
      <c r="K56" s="10"/>
      <c r="L56" s="10"/>
      <c r="M56" s="12"/>
      <c r="N56" s="50"/>
      <c r="O56" s="10"/>
    </row>
    <row r="57" spans="2:15" s="9" customFormat="1" ht="9">
      <c r="B57" s="10"/>
      <c r="C57" s="10"/>
      <c r="D57" s="10"/>
      <c r="E57" s="10"/>
      <c r="F57" s="10"/>
      <c r="G57" s="10"/>
      <c r="H57" s="11"/>
      <c r="I57" s="10"/>
      <c r="J57" s="10"/>
      <c r="K57" s="10"/>
      <c r="L57" s="10"/>
      <c r="M57" s="12"/>
      <c r="N57" s="50"/>
      <c r="O57" s="10"/>
    </row>
    <row r="58" spans="2:15" s="9" customFormat="1" ht="9">
      <c r="B58" s="10"/>
      <c r="C58" s="10"/>
      <c r="D58" s="10"/>
      <c r="E58" s="10"/>
      <c r="F58" s="10"/>
      <c r="G58" s="10"/>
      <c r="H58" s="11"/>
      <c r="I58" s="10"/>
      <c r="J58" s="10"/>
      <c r="K58" s="10"/>
      <c r="L58" s="10"/>
      <c r="M58" s="12"/>
      <c r="N58" s="50"/>
      <c r="O58" s="10"/>
    </row>
    <row r="59" spans="2:15" s="9" customFormat="1" ht="9">
      <c r="B59" s="10"/>
      <c r="C59" s="10"/>
      <c r="D59" s="10"/>
      <c r="E59" s="10"/>
      <c r="F59" s="10"/>
      <c r="G59" s="10"/>
      <c r="H59" s="11"/>
      <c r="I59" s="10"/>
      <c r="J59" s="10"/>
      <c r="K59" s="10"/>
      <c r="L59" s="10"/>
      <c r="M59" s="12"/>
      <c r="N59" s="50"/>
      <c r="O59" s="10"/>
    </row>
    <row r="60" spans="2:15" s="9" customFormat="1" ht="9">
      <c r="B60" s="10"/>
      <c r="C60" s="10"/>
      <c r="D60" s="10"/>
      <c r="E60" s="10"/>
      <c r="F60" s="10"/>
      <c r="G60" s="10"/>
      <c r="H60" s="11"/>
      <c r="I60" s="10"/>
      <c r="J60" s="10"/>
      <c r="K60" s="10"/>
      <c r="L60" s="10"/>
      <c r="M60" s="12"/>
      <c r="N60" s="50"/>
      <c r="O60" s="10"/>
    </row>
    <row r="61" spans="2:15" s="9" customFormat="1" ht="9">
      <c r="B61" s="10"/>
      <c r="C61" s="10"/>
      <c r="D61" s="10"/>
      <c r="E61" s="10"/>
      <c r="F61" s="10"/>
      <c r="G61" s="10"/>
      <c r="H61" s="11"/>
      <c r="I61" s="10"/>
      <c r="J61" s="10"/>
      <c r="K61" s="10"/>
      <c r="L61" s="10"/>
      <c r="M61" s="12"/>
      <c r="N61" s="50"/>
      <c r="O61" s="10"/>
    </row>
    <row r="62" spans="2:15" s="9" customFormat="1" ht="9">
      <c r="B62" s="10"/>
      <c r="C62" s="10"/>
      <c r="D62" s="10"/>
      <c r="E62" s="10"/>
      <c r="F62" s="10"/>
      <c r="G62" s="10"/>
      <c r="H62" s="11"/>
      <c r="I62" s="10"/>
      <c r="J62" s="10"/>
      <c r="K62" s="10"/>
      <c r="L62" s="10"/>
      <c r="M62" s="12"/>
      <c r="N62" s="50"/>
      <c r="O62" s="10"/>
    </row>
    <row r="63" spans="2:15" s="9" customFormat="1" ht="9">
      <c r="B63" s="10"/>
      <c r="C63" s="10"/>
      <c r="D63" s="10"/>
      <c r="E63" s="10"/>
      <c r="F63" s="10"/>
      <c r="G63" s="10"/>
      <c r="H63" s="11"/>
      <c r="I63" s="10"/>
      <c r="J63" s="10"/>
      <c r="K63" s="10"/>
      <c r="L63" s="10"/>
      <c r="M63" s="12"/>
      <c r="N63" s="50"/>
      <c r="O63" s="10"/>
    </row>
    <row r="64" spans="2:15" s="9" customFormat="1" ht="9">
      <c r="B64" s="10"/>
      <c r="C64" s="10"/>
      <c r="D64" s="10"/>
      <c r="E64" s="10"/>
      <c r="F64" s="10"/>
      <c r="G64" s="10"/>
      <c r="H64" s="11"/>
      <c r="I64" s="10"/>
      <c r="J64" s="10"/>
      <c r="K64" s="10"/>
      <c r="L64" s="10"/>
      <c r="M64" s="12"/>
      <c r="N64" s="50"/>
      <c r="O64" s="10"/>
    </row>
    <row r="65" spans="2:15" s="9" customFormat="1" ht="9">
      <c r="B65" s="10"/>
      <c r="C65" s="10"/>
      <c r="D65" s="10"/>
      <c r="E65" s="10"/>
      <c r="F65" s="10"/>
      <c r="G65" s="10"/>
      <c r="H65" s="11"/>
      <c r="I65" s="10"/>
      <c r="J65" s="10"/>
      <c r="K65" s="10"/>
      <c r="L65" s="10"/>
      <c r="M65" s="12"/>
      <c r="N65" s="50"/>
      <c r="O65" s="10"/>
    </row>
    <row r="66" spans="2:15" s="9" customFormat="1" ht="9">
      <c r="B66" s="10"/>
      <c r="C66" s="10"/>
      <c r="D66" s="10"/>
      <c r="E66" s="10"/>
      <c r="F66" s="10"/>
      <c r="G66" s="10"/>
      <c r="H66" s="11"/>
      <c r="I66" s="10"/>
      <c r="J66" s="10"/>
      <c r="K66" s="10"/>
      <c r="L66" s="10"/>
      <c r="M66" s="12"/>
      <c r="N66" s="50"/>
      <c r="O66" s="10"/>
    </row>
    <row r="67" spans="2:15" s="9" customFormat="1" ht="9">
      <c r="B67" s="10"/>
      <c r="C67" s="10"/>
      <c r="D67" s="10"/>
      <c r="E67" s="10"/>
      <c r="F67" s="10"/>
      <c r="G67" s="10"/>
      <c r="H67" s="11"/>
      <c r="I67" s="10"/>
      <c r="J67" s="10"/>
      <c r="K67" s="10"/>
      <c r="L67" s="10"/>
      <c r="M67" s="12"/>
      <c r="N67" s="50"/>
      <c r="O67" s="10"/>
    </row>
    <row r="68" spans="2:15" s="9" customFormat="1" ht="9">
      <c r="B68" s="10"/>
      <c r="C68" s="10"/>
      <c r="D68" s="10"/>
      <c r="E68" s="10"/>
      <c r="F68" s="10"/>
      <c r="G68" s="10"/>
      <c r="H68" s="11"/>
      <c r="I68" s="10"/>
      <c r="J68" s="10"/>
      <c r="K68" s="10"/>
      <c r="L68" s="10"/>
      <c r="M68" s="12"/>
      <c r="N68" s="50"/>
      <c r="O68" s="10"/>
    </row>
    <row r="69" spans="2:15" s="9" customFormat="1" ht="9">
      <c r="B69" s="10"/>
      <c r="C69" s="10"/>
      <c r="D69" s="10"/>
      <c r="E69" s="10"/>
      <c r="F69" s="10"/>
      <c r="G69" s="10"/>
      <c r="H69" s="11"/>
      <c r="I69" s="10"/>
      <c r="J69" s="10"/>
      <c r="K69" s="10"/>
      <c r="L69" s="10"/>
      <c r="M69" s="12"/>
      <c r="N69" s="50"/>
      <c r="O69" s="10"/>
    </row>
    <row r="70" spans="2:15" s="9" customFormat="1" ht="9">
      <c r="B70" s="10"/>
      <c r="C70" s="10"/>
      <c r="D70" s="10"/>
      <c r="E70" s="10"/>
      <c r="F70" s="10"/>
      <c r="G70" s="10"/>
      <c r="H70" s="11"/>
      <c r="I70" s="10"/>
      <c r="J70" s="10"/>
      <c r="K70" s="10"/>
      <c r="L70" s="10"/>
      <c r="M70" s="12"/>
      <c r="N70" s="50"/>
      <c r="O70" s="10"/>
    </row>
    <row r="71" spans="2:15" s="9" customFormat="1" ht="9">
      <c r="B71" s="10"/>
      <c r="C71" s="10"/>
      <c r="D71" s="10"/>
      <c r="E71" s="10"/>
      <c r="F71" s="10"/>
      <c r="G71" s="10"/>
      <c r="H71" s="11"/>
      <c r="I71" s="10"/>
      <c r="J71" s="10"/>
      <c r="K71" s="10"/>
      <c r="L71" s="10"/>
      <c r="M71" s="12"/>
      <c r="N71" s="50"/>
      <c r="O71" s="10"/>
    </row>
    <row r="72" spans="2:15" s="9" customFormat="1" ht="9">
      <c r="B72" s="10"/>
      <c r="C72" s="10"/>
      <c r="D72" s="10"/>
      <c r="E72" s="10"/>
      <c r="F72" s="10"/>
      <c r="G72" s="10"/>
      <c r="H72" s="11"/>
      <c r="I72" s="10"/>
      <c r="J72" s="10"/>
      <c r="K72" s="10"/>
      <c r="L72" s="10"/>
      <c r="M72" s="12"/>
      <c r="N72" s="50"/>
      <c r="O72" s="10"/>
    </row>
    <row r="73" spans="2:15" s="9" customFormat="1" ht="9">
      <c r="B73" s="10"/>
      <c r="C73" s="10"/>
      <c r="D73" s="10"/>
      <c r="E73" s="10"/>
      <c r="F73" s="10"/>
      <c r="G73" s="10"/>
      <c r="H73" s="11"/>
      <c r="I73" s="10"/>
      <c r="J73" s="10"/>
      <c r="K73" s="10"/>
      <c r="L73" s="10"/>
      <c r="M73" s="12"/>
      <c r="N73" s="50"/>
      <c r="O73" s="10"/>
    </row>
    <row r="74" spans="2:15" s="9" customFormat="1" ht="9">
      <c r="B74" s="10"/>
      <c r="C74" s="10"/>
      <c r="D74" s="10"/>
      <c r="E74" s="10"/>
      <c r="F74" s="10"/>
      <c r="G74" s="10"/>
      <c r="H74" s="11"/>
      <c r="I74" s="10"/>
      <c r="J74" s="10"/>
      <c r="K74" s="10"/>
      <c r="L74" s="10"/>
      <c r="M74" s="12"/>
      <c r="N74" s="50"/>
      <c r="O74" s="10"/>
    </row>
    <row r="75" spans="2:15" s="9" customFormat="1" ht="9">
      <c r="B75" s="10"/>
      <c r="C75" s="10"/>
      <c r="D75" s="10"/>
      <c r="E75" s="10"/>
      <c r="F75" s="10"/>
      <c r="G75" s="10"/>
      <c r="H75" s="11"/>
      <c r="I75" s="10"/>
      <c r="J75" s="10"/>
      <c r="K75" s="10"/>
      <c r="L75" s="10"/>
      <c r="M75" s="12"/>
      <c r="N75" s="50"/>
      <c r="O75" s="10"/>
    </row>
    <row r="76" spans="2:15" s="9" customFormat="1" ht="9">
      <c r="B76" s="10"/>
      <c r="C76" s="10"/>
      <c r="D76" s="10"/>
      <c r="E76" s="10"/>
      <c r="F76" s="10"/>
      <c r="G76" s="10"/>
      <c r="H76" s="11"/>
      <c r="I76" s="10"/>
      <c r="J76" s="10"/>
      <c r="K76" s="10"/>
      <c r="L76" s="10"/>
      <c r="M76" s="12"/>
      <c r="N76" s="50"/>
      <c r="O76" s="10"/>
    </row>
    <row r="77" spans="2:15" s="9" customFormat="1" ht="9">
      <c r="B77" s="10"/>
      <c r="C77" s="10"/>
      <c r="D77" s="10"/>
      <c r="E77" s="10"/>
      <c r="F77" s="10"/>
      <c r="G77" s="10"/>
      <c r="H77" s="11"/>
      <c r="I77" s="10"/>
      <c r="J77" s="10"/>
      <c r="K77" s="10"/>
      <c r="L77" s="10"/>
      <c r="M77" s="12"/>
      <c r="N77" s="50"/>
      <c r="O77" s="10"/>
    </row>
    <row r="78" spans="2:15" s="9" customFormat="1" ht="9">
      <c r="B78" s="10"/>
      <c r="C78" s="10"/>
      <c r="D78" s="10"/>
      <c r="E78" s="10"/>
      <c r="F78" s="10"/>
      <c r="G78" s="10"/>
      <c r="H78" s="11"/>
      <c r="I78" s="10"/>
      <c r="J78" s="10"/>
      <c r="K78" s="10"/>
      <c r="L78" s="10"/>
      <c r="M78" s="12"/>
      <c r="N78" s="50"/>
      <c r="O78" s="10"/>
    </row>
    <row r="79" spans="2:15" s="9" customFormat="1" ht="9">
      <c r="B79" s="10"/>
      <c r="C79" s="10"/>
      <c r="D79" s="10"/>
      <c r="E79" s="10"/>
      <c r="F79" s="10"/>
      <c r="G79" s="10"/>
      <c r="H79" s="11"/>
      <c r="I79" s="10"/>
      <c r="J79" s="10"/>
      <c r="K79" s="10"/>
      <c r="L79" s="10"/>
      <c r="M79" s="12"/>
      <c r="N79" s="50"/>
      <c r="O79" s="10"/>
    </row>
    <row r="80" spans="2:15" s="9" customFormat="1" ht="9">
      <c r="B80" s="10"/>
      <c r="C80" s="10"/>
      <c r="D80" s="10"/>
      <c r="E80" s="10"/>
      <c r="F80" s="10"/>
      <c r="G80" s="10"/>
      <c r="H80" s="11"/>
      <c r="I80" s="10"/>
      <c r="J80" s="10"/>
      <c r="K80" s="10"/>
      <c r="L80" s="10"/>
      <c r="M80" s="12"/>
      <c r="N80" s="50"/>
      <c r="O80" s="10"/>
    </row>
    <row r="81" spans="2:15" s="9" customFormat="1" ht="9">
      <c r="B81" s="10"/>
      <c r="C81" s="10"/>
      <c r="D81" s="10"/>
      <c r="E81" s="10"/>
      <c r="F81" s="10"/>
      <c r="G81" s="10"/>
      <c r="H81" s="11"/>
      <c r="I81" s="10"/>
      <c r="J81" s="10"/>
      <c r="K81" s="10"/>
      <c r="L81" s="10"/>
      <c r="M81" s="12"/>
      <c r="N81" s="50"/>
      <c r="O81" s="10"/>
    </row>
    <row r="82" spans="2:15" s="9" customFormat="1" ht="9">
      <c r="B82" s="10"/>
      <c r="C82" s="10"/>
      <c r="D82" s="10"/>
      <c r="E82" s="10"/>
      <c r="F82" s="10"/>
      <c r="G82" s="10"/>
      <c r="H82" s="11"/>
      <c r="I82" s="10"/>
      <c r="J82" s="10"/>
      <c r="K82" s="10"/>
      <c r="L82" s="10"/>
      <c r="M82" s="12"/>
      <c r="N82" s="50"/>
      <c r="O82" s="10"/>
    </row>
    <row r="83" spans="2:15" s="9" customFormat="1" ht="9">
      <c r="B83" s="10"/>
      <c r="C83" s="10"/>
      <c r="D83" s="10"/>
      <c r="E83" s="10"/>
      <c r="F83" s="10"/>
      <c r="G83" s="10"/>
      <c r="H83" s="11"/>
      <c r="I83" s="10"/>
      <c r="J83" s="10"/>
      <c r="K83" s="10"/>
      <c r="L83" s="10"/>
      <c r="M83" s="12"/>
      <c r="N83" s="50"/>
      <c r="O83" s="10"/>
    </row>
    <row r="84" spans="2:15" s="9" customFormat="1" ht="9">
      <c r="B84" s="10"/>
      <c r="C84" s="10"/>
      <c r="D84" s="10"/>
      <c r="E84" s="10"/>
      <c r="F84" s="10"/>
      <c r="G84" s="10"/>
      <c r="H84" s="11"/>
      <c r="I84" s="10"/>
      <c r="J84" s="10"/>
      <c r="K84" s="10"/>
      <c r="L84" s="10"/>
      <c r="M84" s="12"/>
      <c r="N84" s="50"/>
      <c r="O84" s="10"/>
    </row>
    <row r="85" spans="2:15" s="9" customFormat="1" ht="9">
      <c r="B85" s="10"/>
      <c r="C85" s="10"/>
      <c r="D85" s="10"/>
      <c r="E85" s="10"/>
      <c r="F85" s="10"/>
      <c r="G85" s="10"/>
      <c r="H85" s="11"/>
      <c r="I85" s="10"/>
      <c r="J85" s="10"/>
      <c r="K85" s="10"/>
      <c r="L85" s="10"/>
      <c r="M85" s="12"/>
      <c r="N85" s="50"/>
      <c r="O85" s="10"/>
    </row>
    <row r="86" spans="2:15" s="9" customFormat="1" ht="9">
      <c r="B86" s="10"/>
      <c r="C86" s="10"/>
      <c r="D86" s="10"/>
      <c r="E86" s="10"/>
      <c r="F86" s="10"/>
      <c r="G86" s="10"/>
      <c r="H86" s="11"/>
      <c r="I86" s="10"/>
      <c r="J86" s="10"/>
      <c r="K86" s="10"/>
      <c r="L86" s="10"/>
      <c r="M86" s="12"/>
      <c r="N86" s="50"/>
      <c r="O86" s="10"/>
    </row>
    <row r="87" spans="2:15" s="9" customFormat="1" ht="9">
      <c r="B87" s="10"/>
      <c r="C87" s="10"/>
      <c r="D87" s="10"/>
      <c r="E87" s="10"/>
      <c r="F87" s="10"/>
      <c r="G87" s="10"/>
      <c r="H87" s="11"/>
      <c r="I87" s="10"/>
      <c r="J87" s="10"/>
      <c r="K87" s="10"/>
      <c r="L87" s="10"/>
      <c r="M87" s="12"/>
      <c r="N87" s="50"/>
      <c r="O87" s="10"/>
    </row>
  </sheetData>
  <mergeCells count="5">
    <mergeCell ref="A1:O1"/>
    <mergeCell ref="A2:O2"/>
    <mergeCell ref="A33:L33"/>
    <mergeCell ref="A34:L34"/>
    <mergeCell ref="A35:O35"/>
  </mergeCells>
  <phoneticPr fontId="7" type="noConversion"/>
  <pageMargins left="0.25" right="0.25" top="0.5" bottom="0.75" header="0.5" footer="0.5"/>
  <pageSetup scale="88" orientation="landscape"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P54"/>
  <sheetViews>
    <sheetView zoomScaleNormal="100" workbookViewId="0">
      <selection activeCell="C39" sqref="C39"/>
    </sheetView>
  </sheetViews>
  <sheetFormatPr defaultRowHeight="11.25"/>
  <cols>
    <col min="1" max="1" width="33.42578125" style="1" customWidth="1"/>
    <col min="2" max="2" width="8.140625" style="5" customWidth="1"/>
    <col min="3" max="3" width="8" style="5" customWidth="1"/>
    <col min="4" max="4" width="8.140625" style="5" customWidth="1"/>
    <col min="5" max="5" width="8.28515625" style="5" customWidth="1"/>
    <col min="6" max="6" width="8.140625" style="5" customWidth="1"/>
    <col min="7" max="7" width="9" style="5" customWidth="1"/>
    <col min="8" max="8" width="6.85546875" style="6" customWidth="1"/>
    <col min="9" max="9" width="6" style="6" customWidth="1"/>
    <col min="10" max="10" width="7" style="6" customWidth="1"/>
    <col min="11" max="11" width="10.140625" style="6" customWidth="1"/>
    <col min="12" max="13" width="9" style="6" customWidth="1"/>
    <col min="14" max="14" width="6" style="5" customWidth="1"/>
    <col min="15" max="16" width="0" style="1" hidden="1" customWidth="1"/>
    <col min="17" max="16384" width="9.140625" style="1"/>
  </cols>
  <sheetData>
    <row r="1" spans="1:16" ht="12.75">
      <c r="A1" s="406" t="s">
        <v>67</v>
      </c>
      <c r="B1" s="410"/>
      <c r="C1" s="410"/>
      <c r="D1" s="410"/>
      <c r="E1" s="410"/>
      <c r="F1" s="410"/>
      <c r="G1" s="410"/>
      <c r="H1" s="410"/>
      <c r="I1" s="410"/>
      <c r="J1" s="410"/>
      <c r="K1" s="410"/>
      <c r="L1" s="410"/>
      <c r="M1" s="410"/>
      <c r="N1" s="410"/>
    </row>
    <row r="2" spans="1:16" ht="12" thickBot="1">
      <c r="A2" s="412" t="s">
        <v>227</v>
      </c>
      <c r="B2" s="412"/>
      <c r="C2" s="412"/>
      <c r="D2" s="412"/>
      <c r="E2" s="412"/>
      <c r="F2" s="412"/>
      <c r="G2" s="412"/>
      <c r="H2" s="412"/>
      <c r="I2" s="412"/>
      <c r="J2" s="412"/>
      <c r="K2" s="412"/>
      <c r="L2" s="412"/>
      <c r="M2" s="412"/>
      <c r="N2" s="412"/>
    </row>
    <row r="3" spans="1:16" s="3" customFormat="1" ht="63.75" thickBot="1">
      <c r="A3" s="143" t="s">
        <v>229</v>
      </c>
      <c r="B3" s="218" t="s">
        <v>230</v>
      </c>
      <c r="C3" s="218" t="s">
        <v>30</v>
      </c>
      <c r="D3" s="218" t="s">
        <v>259</v>
      </c>
      <c r="E3" s="218" t="s">
        <v>260</v>
      </c>
      <c r="F3" s="218" t="s">
        <v>263</v>
      </c>
      <c r="G3" s="218" t="s">
        <v>265</v>
      </c>
      <c r="H3" s="233" t="s">
        <v>13</v>
      </c>
      <c r="I3" s="233" t="s">
        <v>14</v>
      </c>
      <c r="J3" s="233" t="s">
        <v>15</v>
      </c>
      <c r="K3" s="233" t="s">
        <v>85</v>
      </c>
      <c r="L3" s="233" t="s">
        <v>374</v>
      </c>
      <c r="M3" s="233" t="s">
        <v>365</v>
      </c>
      <c r="N3" s="354" t="s">
        <v>231</v>
      </c>
      <c r="O3" s="3" t="s">
        <v>86</v>
      </c>
    </row>
    <row r="4" spans="1:16" s="4" customFormat="1" ht="9">
      <c r="A4" s="234" t="s">
        <v>237</v>
      </c>
      <c r="B4" s="235" t="s">
        <v>264</v>
      </c>
      <c r="C4" s="236"/>
      <c r="D4" s="236"/>
      <c r="E4" s="235"/>
      <c r="F4" s="235"/>
      <c r="G4" s="235"/>
      <c r="H4" s="237"/>
      <c r="I4" s="237"/>
      <c r="J4" s="237"/>
      <c r="K4" s="236"/>
      <c r="L4" s="236"/>
      <c r="M4" s="236"/>
      <c r="N4" s="229"/>
      <c r="O4" s="213"/>
      <c r="P4" s="219"/>
    </row>
    <row r="5" spans="1:16" s="4" customFormat="1" ht="9">
      <c r="A5" s="121" t="s">
        <v>238</v>
      </c>
      <c r="B5" s="28" t="s">
        <v>264</v>
      </c>
      <c r="C5" s="32"/>
      <c r="D5" s="32"/>
      <c r="E5" s="28"/>
      <c r="F5" s="28"/>
      <c r="G5" s="28"/>
      <c r="H5" s="43"/>
      <c r="I5" s="43"/>
      <c r="J5" s="43"/>
      <c r="K5" s="32"/>
      <c r="L5" s="32"/>
      <c r="M5" s="32"/>
      <c r="N5" s="122"/>
      <c r="O5" s="213"/>
      <c r="P5" s="219"/>
    </row>
    <row r="6" spans="1:16" s="4" customFormat="1" ht="9">
      <c r="A6" s="121" t="s">
        <v>239</v>
      </c>
      <c r="B6" s="28"/>
      <c r="C6" s="32"/>
      <c r="D6" s="32"/>
      <c r="E6" s="28"/>
      <c r="F6" s="28"/>
      <c r="G6" s="28"/>
      <c r="H6" s="43"/>
      <c r="I6" s="43"/>
      <c r="J6" s="43"/>
      <c r="K6" s="32"/>
      <c r="L6" s="32"/>
      <c r="M6" s="32"/>
      <c r="N6" s="122"/>
      <c r="O6" s="213"/>
      <c r="P6" s="219"/>
    </row>
    <row r="7" spans="1:16" s="4" customFormat="1" ht="9">
      <c r="A7" s="123" t="s">
        <v>240</v>
      </c>
      <c r="B7" s="28">
        <v>40</v>
      </c>
      <c r="C7" s="32">
        <v>0</v>
      </c>
      <c r="D7" s="32">
        <v>0</v>
      </c>
      <c r="E7" s="28">
        <v>1</v>
      </c>
      <c r="F7" s="28">
        <f>B7*E7</f>
        <v>40</v>
      </c>
      <c r="G7" s="43">
        <f>ROUND(SUM('Base Data'!$H$40:$H$41)/3,0)</f>
        <v>10</v>
      </c>
      <c r="H7" s="43">
        <f>F7*G7</f>
        <v>400</v>
      </c>
      <c r="I7" s="43">
        <f>H7*0.1</f>
        <v>40</v>
      </c>
      <c r="J7" s="43">
        <f>H7*0.05</f>
        <v>20</v>
      </c>
      <c r="K7" s="32">
        <f>(H7*'Base Data'!$C$5)+(I7*'Base Data'!$C$6)+(J7*'Base Data'!$C$7)</f>
        <v>43511</v>
      </c>
      <c r="L7" s="32">
        <v>0</v>
      </c>
      <c r="M7" s="43">
        <v>0</v>
      </c>
      <c r="N7" s="122" t="s">
        <v>220</v>
      </c>
      <c r="O7" s="213"/>
      <c r="P7" s="219"/>
    </row>
    <row r="8" spans="1:16" s="4" customFormat="1" ht="9">
      <c r="A8" s="121" t="s">
        <v>241</v>
      </c>
      <c r="B8" s="28"/>
      <c r="C8" s="32"/>
      <c r="D8" s="32"/>
      <c r="E8" s="28"/>
      <c r="F8" s="28"/>
      <c r="G8" s="43"/>
      <c r="H8" s="43"/>
      <c r="I8" s="43"/>
      <c r="J8" s="43"/>
      <c r="K8" s="32"/>
      <c r="L8" s="32"/>
      <c r="M8" s="32"/>
      <c r="N8" s="122"/>
      <c r="O8" s="213"/>
      <c r="P8" s="219"/>
    </row>
    <row r="9" spans="1:16" s="4" customFormat="1" ht="9">
      <c r="A9" s="123" t="s">
        <v>223</v>
      </c>
      <c r="B9" s="28">
        <v>12</v>
      </c>
      <c r="C9" s="32">
        <v>8000</v>
      </c>
      <c r="D9" s="32">
        <v>0</v>
      </c>
      <c r="E9" s="28">
        <v>1</v>
      </c>
      <c r="F9" s="28">
        <f>B9*E9</f>
        <v>12</v>
      </c>
      <c r="G9" s="43">
        <f>ROUND((SUM('Base Data'!$D$40:$D$41)-SUM('Base Data'!$E$40:$E$41))/3,0)</f>
        <v>4</v>
      </c>
      <c r="H9" s="43">
        <f t="shared" ref="H9:H16" si="0">F9*G9</f>
        <v>48</v>
      </c>
      <c r="I9" s="43">
        <f t="shared" ref="I9:I42" si="1">H9*0.1</f>
        <v>4.8000000000000007</v>
      </c>
      <c r="J9" s="43">
        <f>H9*0.05</f>
        <v>2.4000000000000004</v>
      </c>
      <c r="K9" s="32">
        <f>(H9*'Base Data'!$C$5)+(I9*'Base Data'!$C$6)+(J9*'Base Data'!$C$7)</f>
        <v>5221.3200000000006</v>
      </c>
      <c r="L9" s="32">
        <v>0</v>
      </c>
      <c r="M9" s="43">
        <v>0</v>
      </c>
      <c r="N9" s="122" t="s">
        <v>211</v>
      </c>
      <c r="O9" s="213"/>
      <c r="P9" s="219"/>
    </row>
    <row r="10" spans="1:16" s="4" customFormat="1" ht="9">
      <c r="A10" s="123" t="s">
        <v>224</v>
      </c>
      <c r="B10" s="28">
        <v>12</v>
      </c>
      <c r="C10" s="32">
        <v>5000</v>
      </c>
      <c r="D10" s="32">
        <v>0</v>
      </c>
      <c r="E10" s="28">
        <v>1</v>
      </c>
      <c r="F10" s="28">
        <f t="shared" ref="F10:F42" si="2">B10*E10</f>
        <v>12</v>
      </c>
      <c r="G10" s="43">
        <v>0</v>
      </c>
      <c r="H10" s="43">
        <f t="shared" si="0"/>
        <v>0</v>
      </c>
      <c r="I10" s="43">
        <f t="shared" si="1"/>
        <v>0</v>
      </c>
      <c r="J10" s="43">
        <f>H10*0.05</f>
        <v>0</v>
      </c>
      <c r="K10" s="32">
        <f>(H10*'Base Data'!$C$5)+(I10*'Base Data'!$C$6)+(J10*'Base Data'!$C$7)</f>
        <v>0</v>
      </c>
      <c r="L10" s="32">
        <v>0</v>
      </c>
      <c r="M10" s="43">
        <v>0</v>
      </c>
      <c r="N10" s="122" t="s">
        <v>346</v>
      </c>
      <c r="O10" s="213"/>
      <c r="P10" s="219"/>
    </row>
    <row r="11" spans="1:16" s="4" customFormat="1" ht="9">
      <c r="A11" s="123" t="s">
        <v>304</v>
      </c>
      <c r="B11" s="28">
        <v>12</v>
      </c>
      <c r="C11" s="32">
        <v>6000</v>
      </c>
      <c r="D11" s="32">
        <v>0</v>
      </c>
      <c r="E11" s="28">
        <v>1</v>
      </c>
      <c r="F11" s="28">
        <f t="shared" si="2"/>
        <v>12</v>
      </c>
      <c r="G11" s="43">
        <v>0</v>
      </c>
      <c r="H11" s="43">
        <f t="shared" si="0"/>
        <v>0</v>
      </c>
      <c r="I11" s="43">
        <f t="shared" si="1"/>
        <v>0</v>
      </c>
      <c r="J11" s="43">
        <f t="shared" ref="J11:J16" si="3">H11*0.05</f>
        <v>0</v>
      </c>
      <c r="K11" s="32">
        <f>(H11*'Base Data'!$C$5)+(I11*'Base Data'!$C$6)+(J11*'Base Data'!$C$7)</f>
        <v>0</v>
      </c>
      <c r="L11" s="32">
        <v>0</v>
      </c>
      <c r="M11" s="43">
        <v>0</v>
      </c>
      <c r="N11" s="122" t="s">
        <v>347</v>
      </c>
      <c r="O11" s="213"/>
      <c r="P11" s="219"/>
    </row>
    <row r="12" spans="1:16" s="4" customFormat="1" ht="9">
      <c r="A12" s="123" t="s">
        <v>225</v>
      </c>
      <c r="B12" s="28">
        <v>12</v>
      </c>
      <c r="C12" s="32">
        <v>8000</v>
      </c>
      <c r="D12" s="32">
        <v>0</v>
      </c>
      <c r="E12" s="28">
        <v>1</v>
      </c>
      <c r="F12" s="28">
        <f t="shared" si="2"/>
        <v>12</v>
      </c>
      <c r="G12" s="43">
        <v>0</v>
      </c>
      <c r="H12" s="43">
        <f t="shared" si="0"/>
        <v>0</v>
      </c>
      <c r="I12" s="43">
        <f t="shared" si="1"/>
        <v>0</v>
      </c>
      <c r="J12" s="43">
        <f t="shared" si="3"/>
        <v>0</v>
      </c>
      <c r="K12" s="32">
        <f>(H12*'Base Data'!$C$5)+(I12*'Base Data'!$C$6)+(J12*'Base Data'!$C$7)</f>
        <v>0</v>
      </c>
      <c r="L12" s="32">
        <f>C12*E12*G12</f>
        <v>0</v>
      </c>
      <c r="M12" s="43">
        <v>0</v>
      </c>
      <c r="N12" s="122" t="s">
        <v>205</v>
      </c>
      <c r="O12" s="213"/>
      <c r="P12" s="219"/>
    </row>
    <row r="13" spans="1:16" s="4" customFormat="1" ht="9">
      <c r="A13" s="123" t="s">
        <v>226</v>
      </c>
      <c r="B13" s="28">
        <v>12</v>
      </c>
      <c r="C13" s="32">
        <v>5000</v>
      </c>
      <c r="D13" s="32">
        <v>0</v>
      </c>
      <c r="E13" s="28">
        <v>1</v>
      </c>
      <c r="F13" s="28">
        <f t="shared" si="2"/>
        <v>12</v>
      </c>
      <c r="G13" s="43">
        <v>0</v>
      </c>
      <c r="H13" s="43">
        <f t="shared" si="0"/>
        <v>0</v>
      </c>
      <c r="I13" s="43">
        <f t="shared" si="1"/>
        <v>0</v>
      </c>
      <c r="J13" s="43">
        <f t="shared" si="3"/>
        <v>0</v>
      </c>
      <c r="K13" s="32">
        <f>(H13*'Base Data'!$C$5)+(I13*'Base Data'!$C$6)+(J13*'Base Data'!$C$7)</f>
        <v>0</v>
      </c>
      <c r="L13" s="32">
        <f>C13*E13*G13</f>
        <v>0</v>
      </c>
      <c r="M13" s="43">
        <v>0</v>
      </c>
      <c r="N13" s="122" t="s">
        <v>346</v>
      </c>
      <c r="O13" s="213"/>
      <c r="P13" s="219"/>
    </row>
    <row r="14" spans="1:16" s="4" customFormat="1" ht="9">
      <c r="A14" s="123" t="s">
        <v>375</v>
      </c>
      <c r="B14" s="28">
        <v>12</v>
      </c>
      <c r="C14" s="32">
        <v>6000</v>
      </c>
      <c r="D14" s="32">
        <v>0</v>
      </c>
      <c r="E14" s="28">
        <v>1</v>
      </c>
      <c r="F14" s="28">
        <f t="shared" si="2"/>
        <v>12</v>
      </c>
      <c r="G14" s="43">
        <v>0</v>
      </c>
      <c r="H14" s="43">
        <f t="shared" si="0"/>
        <v>0</v>
      </c>
      <c r="I14" s="43">
        <f t="shared" si="1"/>
        <v>0</v>
      </c>
      <c r="J14" s="43">
        <f t="shared" si="3"/>
        <v>0</v>
      </c>
      <c r="K14" s="32">
        <f>(H14*'Base Data'!$C$5)+(I14*'Base Data'!$C$6)+(J14*'Base Data'!$C$7)</f>
        <v>0</v>
      </c>
      <c r="L14" s="32">
        <f>C14*E14*G14</f>
        <v>0</v>
      </c>
      <c r="M14" s="43">
        <v>0</v>
      </c>
      <c r="N14" s="122" t="s">
        <v>348</v>
      </c>
      <c r="O14" s="213"/>
      <c r="P14" s="219"/>
    </row>
    <row r="15" spans="1:16" s="4" customFormat="1" ht="9">
      <c r="A15" s="123" t="s">
        <v>221</v>
      </c>
      <c r="B15" s="28">
        <v>5</v>
      </c>
      <c r="C15" s="32">
        <v>200</v>
      </c>
      <c r="D15" s="32">
        <v>0</v>
      </c>
      <c r="E15" s="28">
        <v>1</v>
      </c>
      <c r="F15" s="28">
        <f t="shared" si="2"/>
        <v>5</v>
      </c>
      <c r="G15" s="43">
        <v>0</v>
      </c>
      <c r="H15" s="43">
        <f t="shared" si="0"/>
        <v>0</v>
      </c>
      <c r="I15" s="43">
        <f>H15*0.1</f>
        <v>0</v>
      </c>
      <c r="J15" s="43">
        <f t="shared" si="3"/>
        <v>0</v>
      </c>
      <c r="K15" s="32">
        <f>(H15*'Base Data'!$C$5)+(I15*'Base Data'!$C$6)+(J15*'Base Data'!$C$7)</f>
        <v>0</v>
      </c>
      <c r="L15" s="32">
        <v>0</v>
      </c>
      <c r="M15" s="43">
        <v>0</v>
      </c>
      <c r="N15" s="122" t="s">
        <v>211</v>
      </c>
      <c r="O15" s="213"/>
      <c r="P15" s="219"/>
    </row>
    <row r="16" spans="1:16" s="4" customFormat="1" ht="9">
      <c r="A16" s="123" t="s">
        <v>31</v>
      </c>
      <c r="B16" s="28">
        <v>5</v>
      </c>
      <c r="C16" s="32">
        <v>200</v>
      </c>
      <c r="D16" s="32">
        <v>0</v>
      </c>
      <c r="E16" s="28">
        <v>12</v>
      </c>
      <c r="F16" s="28">
        <f t="shared" si="2"/>
        <v>60</v>
      </c>
      <c r="G16" s="43">
        <v>0</v>
      </c>
      <c r="H16" s="43">
        <f t="shared" si="0"/>
        <v>0</v>
      </c>
      <c r="I16" s="43">
        <f>H16*0.1</f>
        <v>0</v>
      </c>
      <c r="J16" s="43">
        <f t="shared" si="3"/>
        <v>0</v>
      </c>
      <c r="K16" s="32">
        <f>(H16*'Base Data'!$C$5)+(I16*'Base Data'!$C$6)+(J16*'Base Data'!$C$7)</f>
        <v>0</v>
      </c>
      <c r="L16" s="32">
        <f>C16*E16*G16</f>
        <v>0</v>
      </c>
      <c r="M16" s="43">
        <v>0</v>
      </c>
      <c r="N16" s="122" t="s">
        <v>342</v>
      </c>
      <c r="O16" s="213"/>
      <c r="P16" s="219"/>
    </row>
    <row r="17" spans="1:16" s="4" customFormat="1" ht="9">
      <c r="A17" s="123" t="s">
        <v>213</v>
      </c>
      <c r="B17" s="28"/>
      <c r="C17" s="32"/>
      <c r="D17" s="32"/>
      <c r="E17" s="28"/>
      <c r="F17" s="28"/>
      <c r="G17" s="43"/>
      <c r="H17" s="43"/>
      <c r="I17" s="43"/>
      <c r="J17" s="43"/>
      <c r="K17" s="32"/>
      <c r="L17" s="32"/>
      <c r="M17" s="43"/>
      <c r="N17" s="122"/>
      <c r="O17" s="213"/>
      <c r="P17" s="219"/>
    </row>
    <row r="18" spans="1:16" s="4" customFormat="1" ht="9">
      <c r="A18" s="123" t="s">
        <v>262</v>
      </c>
      <c r="B18" s="28">
        <v>40</v>
      </c>
      <c r="C18" s="32">
        <v>0</v>
      </c>
      <c r="D18" s="32">
        <v>0</v>
      </c>
      <c r="E18" s="28">
        <v>1</v>
      </c>
      <c r="F18" s="28">
        <f t="shared" si="2"/>
        <v>40</v>
      </c>
      <c r="G18" s="43">
        <f>ROUND((SUM('Base Data'!$D$40:$D$41)-SUM('Base Data'!$E$40:$E$41))/3,0)</f>
        <v>4</v>
      </c>
      <c r="H18" s="43">
        <f>F18*G18</f>
        <v>160</v>
      </c>
      <c r="I18" s="43">
        <f t="shared" si="1"/>
        <v>16</v>
      </c>
      <c r="J18" s="43">
        <f>H18*0.05</f>
        <v>8</v>
      </c>
      <c r="K18" s="32">
        <f>(H18*'Base Data'!$C$5)+(I18*'Base Data'!$C$6)+(J18*'Base Data'!$C$7)</f>
        <v>17404.399999999998</v>
      </c>
      <c r="L18" s="32">
        <v>0</v>
      </c>
      <c r="M18" s="43">
        <v>0</v>
      </c>
      <c r="N18" s="122" t="s">
        <v>216</v>
      </c>
      <c r="O18" s="213"/>
      <c r="P18" s="219"/>
    </row>
    <row r="19" spans="1:16" s="4" customFormat="1" ht="9">
      <c r="A19" s="121" t="s">
        <v>242</v>
      </c>
      <c r="B19" s="28"/>
      <c r="C19" s="32"/>
      <c r="D19" s="32"/>
      <c r="E19" s="28"/>
      <c r="F19" s="28"/>
      <c r="G19" s="43"/>
      <c r="H19" s="43"/>
      <c r="I19" s="43"/>
      <c r="J19" s="43"/>
      <c r="K19" s="32"/>
      <c r="L19" s="32"/>
      <c r="M19" s="43"/>
      <c r="N19" s="122"/>
      <c r="O19" s="213"/>
      <c r="P19" s="219"/>
    </row>
    <row r="20" spans="1:16" s="4" customFormat="1" ht="9">
      <c r="A20" s="121" t="s">
        <v>243</v>
      </c>
      <c r="B20" s="28">
        <v>10</v>
      </c>
      <c r="C20" s="32">
        <v>0</v>
      </c>
      <c r="D20" s="32">
        <v>43100</v>
      </c>
      <c r="E20" s="28">
        <v>1</v>
      </c>
      <c r="F20" s="28">
        <f t="shared" si="2"/>
        <v>10</v>
      </c>
      <c r="G20" s="43">
        <f>ROUND((SUM('Base Data'!$D$40:$D$41)-SUM('Base Data'!$E$40:$E$41))/3,0)</f>
        <v>4</v>
      </c>
      <c r="H20" s="43">
        <f>F20*G20</f>
        <v>40</v>
      </c>
      <c r="I20" s="43">
        <f t="shared" si="1"/>
        <v>4</v>
      </c>
      <c r="J20" s="43">
        <f>H20*0.05</f>
        <v>2</v>
      </c>
      <c r="K20" s="32">
        <f>(H20*'Base Data'!$C$5)+(I20*'Base Data'!$C$6)+(J20*'Base Data'!$C$7)</f>
        <v>4351.0999999999995</v>
      </c>
      <c r="L20" s="32">
        <f>D20*E20*G20</f>
        <v>172400</v>
      </c>
      <c r="M20" s="43">
        <v>0</v>
      </c>
      <c r="N20" s="122" t="s">
        <v>217</v>
      </c>
      <c r="O20" s="213"/>
      <c r="P20" s="219"/>
    </row>
    <row r="21" spans="1:16" s="4" customFormat="1" ht="9">
      <c r="A21" s="121" t="s">
        <v>244</v>
      </c>
      <c r="B21" s="28">
        <v>10</v>
      </c>
      <c r="C21" s="32">
        <v>0</v>
      </c>
      <c r="D21" s="32">
        <v>14700</v>
      </c>
      <c r="E21" s="28">
        <v>1</v>
      </c>
      <c r="F21" s="28">
        <f t="shared" si="2"/>
        <v>10</v>
      </c>
      <c r="G21" s="43">
        <f>ROUND((SUM('Base Data'!$D$40:$D$41)-SUM('Base Data'!$E$40:$E$41))/3,0)</f>
        <v>4</v>
      </c>
      <c r="H21" s="43">
        <f>F21*G21</f>
        <v>40</v>
      </c>
      <c r="I21" s="43">
        <f t="shared" si="1"/>
        <v>4</v>
      </c>
      <c r="J21" s="43">
        <f>H21*0.05</f>
        <v>2</v>
      </c>
      <c r="K21" s="32">
        <f>(H21*'Base Data'!$C$5)+(I21*'Base Data'!$C$6)+(J21*'Base Data'!$C$7)</f>
        <v>4351.0999999999995</v>
      </c>
      <c r="L21" s="32">
        <f>D21*E21*G21</f>
        <v>58800</v>
      </c>
      <c r="M21" s="43">
        <v>0</v>
      </c>
      <c r="N21" s="122" t="s">
        <v>217</v>
      </c>
      <c r="O21" s="213"/>
      <c r="P21" s="219"/>
    </row>
    <row r="22" spans="1:16" s="4" customFormat="1" ht="18">
      <c r="A22" s="123" t="s">
        <v>3</v>
      </c>
      <c r="B22" s="28"/>
      <c r="C22" s="32"/>
      <c r="D22" s="32"/>
      <c r="E22" s="28"/>
      <c r="F22" s="28"/>
      <c r="G22" s="47"/>
      <c r="H22" s="43"/>
      <c r="I22" s="43"/>
      <c r="J22" s="43"/>
      <c r="K22" s="32"/>
      <c r="L22" s="32"/>
      <c r="M22" s="43"/>
      <c r="N22" s="122"/>
      <c r="O22" s="213"/>
      <c r="P22" s="219"/>
    </row>
    <row r="23" spans="1:16" s="46" customFormat="1" ht="9">
      <c r="A23" s="121" t="s">
        <v>243</v>
      </c>
      <c r="B23" s="28">
        <v>10</v>
      </c>
      <c r="C23" s="32">
        <v>0</v>
      </c>
      <c r="D23" s="32">
        <v>25500</v>
      </c>
      <c r="E23" s="28">
        <v>1</v>
      </c>
      <c r="F23" s="28">
        <f>B23*E23</f>
        <v>10</v>
      </c>
      <c r="G23" s="43">
        <v>0</v>
      </c>
      <c r="H23" s="43">
        <f>F23*G23</f>
        <v>0</v>
      </c>
      <c r="I23" s="43">
        <f t="shared" si="1"/>
        <v>0</v>
      </c>
      <c r="J23" s="43">
        <f>H23*0.05</f>
        <v>0</v>
      </c>
      <c r="K23" s="32">
        <f>(H23*'Base Data'!$C$5)+(I23*'Base Data'!$C$6)+(J23*'Base Data'!$C$7)</f>
        <v>0</v>
      </c>
      <c r="L23" s="32">
        <f>D23*E23*G23</f>
        <v>0</v>
      </c>
      <c r="M23" s="43">
        <v>0</v>
      </c>
      <c r="N23" s="122" t="s">
        <v>217</v>
      </c>
      <c r="O23" s="214"/>
      <c r="P23" s="220"/>
    </row>
    <row r="24" spans="1:16" s="46" customFormat="1" ht="9">
      <c r="A24" s="121" t="s">
        <v>244</v>
      </c>
      <c r="B24" s="28">
        <v>10</v>
      </c>
      <c r="C24" s="32">
        <v>0</v>
      </c>
      <c r="D24" s="32">
        <v>9700</v>
      </c>
      <c r="E24" s="28">
        <v>1</v>
      </c>
      <c r="F24" s="28">
        <f>B24*E24</f>
        <v>10</v>
      </c>
      <c r="G24" s="43">
        <v>0</v>
      </c>
      <c r="H24" s="43">
        <f>F24*G24</f>
        <v>0</v>
      </c>
      <c r="I24" s="43">
        <f t="shared" si="1"/>
        <v>0</v>
      </c>
      <c r="J24" s="43">
        <f>H24*0.05</f>
        <v>0</v>
      </c>
      <c r="K24" s="32">
        <f>(H24*'Base Data'!$C$5)+(I24*'Base Data'!$C$6)+(J24*'Base Data'!$C$7)</f>
        <v>0</v>
      </c>
      <c r="L24" s="32">
        <f>D24*E24*G24</f>
        <v>0</v>
      </c>
      <c r="M24" s="43">
        <v>0</v>
      </c>
      <c r="N24" s="122" t="s">
        <v>217</v>
      </c>
      <c r="O24" s="214"/>
      <c r="P24" s="220"/>
    </row>
    <row r="25" spans="1:16" s="4" customFormat="1" ht="9">
      <c r="A25" s="121" t="s">
        <v>245</v>
      </c>
      <c r="B25" s="28" t="s">
        <v>264</v>
      </c>
      <c r="C25" s="32"/>
      <c r="D25" s="32"/>
      <c r="E25" s="28"/>
      <c r="F25" s="28"/>
      <c r="G25" s="43"/>
      <c r="H25" s="43"/>
      <c r="I25" s="43"/>
      <c r="J25" s="43"/>
      <c r="K25" s="32"/>
      <c r="L25" s="32"/>
      <c r="M25" s="43"/>
      <c r="N25" s="122"/>
      <c r="O25" s="213"/>
      <c r="P25" s="219"/>
    </row>
    <row r="26" spans="1:16" s="4" customFormat="1" ht="9">
      <c r="A26" s="121" t="s">
        <v>246</v>
      </c>
      <c r="B26" s="28" t="s">
        <v>264</v>
      </c>
      <c r="C26" s="32"/>
      <c r="D26" s="32"/>
      <c r="E26" s="28"/>
      <c r="F26" s="28"/>
      <c r="G26" s="43"/>
      <c r="H26" s="43"/>
      <c r="I26" s="43"/>
      <c r="J26" s="43"/>
      <c r="K26" s="32"/>
      <c r="L26" s="32"/>
      <c r="M26" s="43"/>
      <c r="N26" s="122"/>
      <c r="O26" s="213"/>
      <c r="P26" s="219"/>
    </row>
    <row r="27" spans="1:16" s="4" customFormat="1" ht="9">
      <c r="A27" s="121" t="s">
        <v>247</v>
      </c>
      <c r="B27" s="28"/>
      <c r="C27" s="32"/>
      <c r="D27" s="32"/>
      <c r="E27" s="28"/>
      <c r="F27" s="28"/>
      <c r="G27" s="43"/>
      <c r="H27" s="43"/>
      <c r="I27" s="43"/>
      <c r="J27" s="43"/>
      <c r="K27" s="32"/>
      <c r="L27" s="32"/>
      <c r="M27" s="43"/>
      <c r="N27" s="122"/>
      <c r="O27" s="213"/>
      <c r="P27" s="219"/>
    </row>
    <row r="28" spans="1:16" s="4" customFormat="1" ht="9">
      <c r="A28" s="125" t="s">
        <v>266</v>
      </c>
      <c r="B28" s="28">
        <v>2</v>
      </c>
      <c r="C28" s="32">
        <v>0</v>
      </c>
      <c r="D28" s="32">
        <v>0</v>
      </c>
      <c r="E28" s="28">
        <v>1</v>
      </c>
      <c r="F28" s="28">
        <f t="shared" si="2"/>
        <v>2</v>
      </c>
      <c r="G28" s="43">
        <f>ROUND(SUM('Base Data'!$H$40:$H$41)/3,0)</f>
        <v>10</v>
      </c>
      <c r="H28" s="43">
        <f>F28*G28</f>
        <v>20</v>
      </c>
      <c r="I28" s="43">
        <f t="shared" si="1"/>
        <v>2</v>
      </c>
      <c r="J28" s="43">
        <f>H28*0.05</f>
        <v>1</v>
      </c>
      <c r="K28" s="32">
        <f>(H28*'Base Data'!$C$5)+(I28*'Base Data'!$C$6)+(J28*'Base Data'!$C$7)</f>
        <v>2175.5499999999997</v>
      </c>
      <c r="L28" s="32">
        <v>0</v>
      </c>
      <c r="M28" s="43">
        <f>E28*G28</f>
        <v>10</v>
      </c>
      <c r="N28" s="122" t="s">
        <v>220</v>
      </c>
      <c r="O28" s="213"/>
      <c r="P28" s="219"/>
    </row>
    <row r="29" spans="1:16" s="4" customFormat="1" ht="9">
      <c r="A29" s="124" t="s">
        <v>208</v>
      </c>
      <c r="B29" s="28">
        <v>8</v>
      </c>
      <c r="C29" s="32">
        <v>0</v>
      </c>
      <c r="D29" s="32">
        <v>0</v>
      </c>
      <c r="E29" s="28">
        <v>1</v>
      </c>
      <c r="F29" s="28">
        <f t="shared" si="2"/>
        <v>8</v>
      </c>
      <c r="G29" s="43">
        <f>ROUND(SUM('Base Data'!$H$40:$H$41)/3,0)</f>
        <v>10</v>
      </c>
      <c r="H29" s="43">
        <f>F29*G29</f>
        <v>80</v>
      </c>
      <c r="I29" s="43">
        <f t="shared" si="1"/>
        <v>8</v>
      </c>
      <c r="J29" s="43">
        <f>H29*0.05</f>
        <v>4</v>
      </c>
      <c r="K29" s="32">
        <f>(H29*'Base Data'!$C$5)+(I29*'Base Data'!$C$6)+(J29*'Base Data'!$C$7)</f>
        <v>8702.1999999999989</v>
      </c>
      <c r="L29" s="32">
        <v>0</v>
      </c>
      <c r="M29" s="43">
        <f>E29*G29</f>
        <v>10</v>
      </c>
      <c r="N29" s="122" t="s">
        <v>220</v>
      </c>
      <c r="O29" s="213"/>
      <c r="P29" s="219"/>
    </row>
    <row r="30" spans="1:16" s="4" customFormat="1" ht="9">
      <c r="A30" s="125" t="s">
        <v>339</v>
      </c>
      <c r="B30" s="28">
        <v>30</v>
      </c>
      <c r="C30" s="32">
        <v>0</v>
      </c>
      <c r="D30" s="32">
        <v>0</v>
      </c>
      <c r="E30" s="28">
        <v>1</v>
      </c>
      <c r="F30" s="28">
        <f t="shared" si="2"/>
        <v>30</v>
      </c>
      <c r="G30" s="43">
        <f>ROUND(SUM('Base Data'!$H$40:$H$41)/3,0)</f>
        <v>10</v>
      </c>
      <c r="H30" s="43">
        <f>F30*G30</f>
        <v>300</v>
      </c>
      <c r="I30" s="43">
        <f t="shared" si="1"/>
        <v>30</v>
      </c>
      <c r="J30" s="43">
        <f>H30*0.05</f>
        <v>15</v>
      </c>
      <c r="K30" s="32">
        <f>(H30*'Base Data'!$C$5)+(I30*'Base Data'!$C$6)+(J30*'Base Data'!$C$7)</f>
        <v>32633.25</v>
      </c>
      <c r="L30" s="32">
        <v>0</v>
      </c>
      <c r="M30" s="43">
        <f>E30*G30</f>
        <v>10</v>
      </c>
      <c r="N30" s="122" t="s">
        <v>214</v>
      </c>
      <c r="O30" s="213"/>
      <c r="P30" s="219"/>
    </row>
    <row r="31" spans="1:16" s="4" customFormat="1" ht="9">
      <c r="A31" s="126" t="s">
        <v>24</v>
      </c>
      <c r="B31" s="28"/>
      <c r="C31" s="32"/>
      <c r="D31" s="32"/>
      <c r="E31" s="28"/>
      <c r="F31" s="28"/>
      <c r="G31" s="43"/>
      <c r="H31" s="43">
        <f>SUM(H4:H18,H21:H30)</f>
        <v>1048</v>
      </c>
      <c r="I31" s="43">
        <f t="shared" ref="I31:J31" si="4">SUM(I4:I18,I21:I30)</f>
        <v>104.8</v>
      </c>
      <c r="J31" s="43">
        <f t="shared" si="4"/>
        <v>52.4</v>
      </c>
      <c r="K31" s="32">
        <f>SUM(K4:K18,K21:K30)</f>
        <v>113998.82</v>
      </c>
      <c r="L31" s="32">
        <f>SUM(L4:L18,L21:L30)</f>
        <v>58800</v>
      </c>
      <c r="M31" s="43">
        <f>SUM(M28:M30)</f>
        <v>30</v>
      </c>
      <c r="N31" s="122"/>
      <c r="O31" s="222" t="e">
        <f>SUM(L9:L16,L21,#REF!,L24)</f>
        <v>#REF!</v>
      </c>
      <c r="P31" s="221" t="e">
        <f>SUM(L20,#REF!,L23)</f>
        <v>#REF!</v>
      </c>
    </row>
    <row r="32" spans="1:16" s="4" customFormat="1" ht="9">
      <c r="A32" s="121" t="s">
        <v>261</v>
      </c>
      <c r="B32" s="28"/>
      <c r="C32" s="32"/>
      <c r="D32" s="32"/>
      <c r="E32" s="28"/>
      <c r="F32" s="28"/>
      <c r="G32" s="43"/>
      <c r="H32" s="43"/>
      <c r="I32" s="43"/>
      <c r="J32" s="43"/>
      <c r="K32" s="32"/>
      <c r="L32" s="32"/>
      <c r="M32" s="43"/>
      <c r="N32" s="122"/>
      <c r="O32" s="213"/>
      <c r="P32" s="219"/>
    </row>
    <row r="33" spans="1:16" s="4" customFormat="1" ht="9">
      <c r="A33" s="121" t="s">
        <v>248</v>
      </c>
      <c r="B33" s="28" t="s">
        <v>222</v>
      </c>
      <c r="C33" s="32"/>
      <c r="D33" s="32"/>
      <c r="E33" s="28"/>
      <c r="F33" s="28"/>
      <c r="G33" s="43"/>
      <c r="H33" s="43"/>
      <c r="I33" s="43"/>
      <c r="J33" s="43"/>
      <c r="K33" s="32"/>
      <c r="L33" s="32"/>
      <c r="M33" s="43"/>
      <c r="N33" s="122"/>
      <c r="O33" s="213"/>
      <c r="P33" s="219"/>
    </row>
    <row r="34" spans="1:16" s="4" customFormat="1" ht="9">
      <c r="A34" s="121" t="s">
        <v>249</v>
      </c>
      <c r="B34" s="28" t="s">
        <v>264</v>
      </c>
      <c r="C34" s="32"/>
      <c r="D34" s="32"/>
      <c r="E34" s="28"/>
      <c r="F34" s="28"/>
      <c r="G34" s="43"/>
      <c r="H34" s="43"/>
      <c r="I34" s="43"/>
      <c r="J34" s="43"/>
      <c r="K34" s="32"/>
      <c r="L34" s="32"/>
      <c r="M34" s="43"/>
      <c r="N34" s="122"/>
      <c r="O34" s="213"/>
      <c r="P34" s="219"/>
    </row>
    <row r="35" spans="1:16" s="4" customFormat="1" ht="9">
      <c r="A35" s="121" t="s">
        <v>250</v>
      </c>
      <c r="B35" s="28" t="s">
        <v>264</v>
      </c>
      <c r="C35" s="32"/>
      <c r="D35" s="32"/>
      <c r="E35" s="28"/>
      <c r="F35" s="28"/>
      <c r="G35" s="43"/>
      <c r="H35" s="43"/>
      <c r="I35" s="43"/>
      <c r="J35" s="43"/>
      <c r="K35" s="32"/>
      <c r="L35" s="32"/>
      <c r="M35" s="43"/>
      <c r="N35" s="122"/>
      <c r="O35" s="213"/>
      <c r="P35" s="219"/>
    </row>
    <row r="36" spans="1:16" s="4" customFormat="1" ht="9">
      <c r="A36" s="121" t="s">
        <v>251</v>
      </c>
      <c r="B36" s="28"/>
      <c r="C36" s="32"/>
      <c r="D36" s="32"/>
      <c r="E36" s="28"/>
      <c r="F36" s="28"/>
      <c r="G36" s="43"/>
      <c r="H36" s="43"/>
      <c r="I36" s="43"/>
      <c r="J36" s="43"/>
      <c r="K36" s="32"/>
      <c r="L36" s="32"/>
      <c r="M36" s="43"/>
      <c r="N36" s="122"/>
      <c r="O36" s="213"/>
      <c r="P36" s="219"/>
    </row>
    <row r="37" spans="1:16" s="4" customFormat="1" ht="9">
      <c r="A37" s="121" t="s">
        <v>257</v>
      </c>
      <c r="B37" s="28">
        <v>20</v>
      </c>
      <c r="C37" s="32">
        <v>0</v>
      </c>
      <c r="D37" s="32">
        <v>0</v>
      </c>
      <c r="E37" s="28">
        <v>1</v>
      </c>
      <c r="F37" s="28">
        <f t="shared" si="2"/>
        <v>20</v>
      </c>
      <c r="G37" s="43">
        <f>ROUND(SUM('Base Data'!$D$40:$D$41)/3,0)</f>
        <v>20</v>
      </c>
      <c r="H37" s="43">
        <f t="shared" ref="H37:H42" si="5">F37*G37</f>
        <v>400</v>
      </c>
      <c r="I37" s="43">
        <f t="shared" si="1"/>
        <v>40</v>
      </c>
      <c r="J37" s="43">
        <f t="shared" ref="J37:J42" si="6">H37*0.05</f>
        <v>20</v>
      </c>
      <c r="K37" s="32">
        <f>(H37*'Base Data'!$C$5)+(I37*'Base Data'!$C$6)+(J37*'Base Data'!$C$7)</f>
        <v>43511</v>
      </c>
      <c r="L37" s="32">
        <v>0</v>
      </c>
      <c r="M37" s="43">
        <v>0</v>
      </c>
      <c r="N37" s="122" t="s">
        <v>340</v>
      </c>
      <c r="O37" s="213"/>
      <c r="P37" s="219"/>
    </row>
    <row r="38" spans="1:16" s="4" customFormat="1" ht="9">
      <c r="A38" s="123" t="s">
        <v>318</v>
      </c>
      <c r="B38" s="28">
        <v>15</v>
      </c>
      <c r="C38" s="32">
        <v>0</v>
      </c>
      <c r="D38" s="32">
        <v>0</v>
      </c>
      <c r="E38" s="28">
        <v>1</v>
      </c>
      <c r="F38" s="28">
        <f t="shared" si="2"/>
        <v>15</v>
      </c>
      <c r="G38" s="43">
        <f>ROUND(SUM('Base Data'!$D$40:$D$41)/3,0)</f>
        <v>20</v>
      </c>
      <c r="H38" s="43">
        <f t="shared" si="5"/>
        <v>300</v>
      </c>
      <c r="I38" s="43">
        <f t="shared" si="1"/>
        <v>30</v>
      </c>
      <c r="J38" s="43">
        <f t="shared" si="6"/>
        <v>15</v>
      </c>
      <c r="K38" s="32">
        <f>(H38*'Base Data'!$C$5)+(I38*'Base Data'!$C$6)+(J38*'Base Data'!$C$7)</f>
        <v>32633.25</v>
      </c>
      <c r="L38" s="32">
        <v>0</v>
      </c>
      <c r="M38" s="43">
        <v>0</v>
      </c>
      <c r="N38" s="122" t="s">
        <v>340</v>
      </c>
      <c r="O38" s="213"/>
      <c r="P38" s="219"/>
    </row>
    <row r="39" spans="1:16" s="4" customFormat="1" ht="9">
      <c r="A39" s="121" t="s">
        <v>254</v>
      </c>
      <c r="B39" s="28">
        <v>2</v>
      </c>
      <c r="C39" s="32">
        <v>0</v>
      </c>
      <c r="D39" s="32">
        <v>0</v>
      </c>
      <c r="E39" s="28">
        <v>1</v>
      </c>
      <c r="F39" s="28">
        <f t="shared" si="2"/>
        <v>2</v>
      </c>
      <c r="G39" s="43">
        <f>ROUND(SUM('Base Data'!$D$40:$D$41)/3,0)</f>
        <v>20</v>
      </c>
      <c r="H39" s="43">
        <f t="shared" si="5"/>
        <v>40</v>
      </c>
      <c r="I39" s="43">
        <f t="shared" si="1"/>
        <v>4</v>
      </c>
      <c r="J39" s="43">
        <f t="shared" si="6"/>
        <v>2</v>
      </c>
      <c r="K39" s="32">
        <f>(H39*'Base Data'!$C$5)+(I39*'Base Data'!$C$6)+(J39*'Base Data'!$C$7)</f>
        <v>4351.0999999999995</v>
      </c>
      <c r="L39" s="32">
        <v>0</v>
      </c>
      <c r="M39" s="43">
        <v>0</v>
      </c>
      <c r="N39" s="122" t="s">
        <v>340</v>
      </c>
      <c r="O39" s="213"/>
      <c r="P39" s="219"/>
    </row>
    <row r="40" spans="1:16" s="4" customFormat="1" ht="9">
      <c r="A40" s="123" t="s">
        <v>269</v>
      </c>
      <c r="B40" s="28">
        <v>2</v>
      </c>
      <c r="C40" s="32">
        <v>0</v>
      </c>
      <c r="D40" s="32">
        <v>0</v>
      </c>
      <c r="E40" s="28">
        <v>1</v>
      </c>
      <c r="F40" s="28">
        <f t="shared" si="2"/>
        <v>2</v>
      </c>
      <c r="G40" s="43">
        <f>ROUND(SUM('Base Data'!$D$40:$D$41)/3,0)</f>
        <v>20</v>
      </c>
      <c r="H40" s="43">
        <f t="shared" si="5"/>
        <v>40</v>
      </c>
      <c r="I40" s="43">
        <f t="shared" si="1"/>
        <v>4</v>
      </c>
      <c r="J40" s="43">
        <f t="shared" si="6"/>
        <v>2</v>
      </c>
      <c r="K40" s="32">
        <f>(H40*'Base Data'!$C$5)+(I40*'Base Data'!$C$6)+(J40*'Base Data'!$C$7)</f>
        <v>4351.0999999999995</v>
      </c>
      <c r="L40" s="32">
        <v>0</v>
      </c>
      <c r="M40" s="43">
        <v>0</v>
      </c>
      <c r="N40" s="122" t="s">
        <v>340</v>
      </c>
      <c r="O40" s="213"/>
      <c r="P40" s="219"/>
    </row>
    <row r="41" spans="1:16" s="4" customFormat="1" ht="9" customHeight="1">
      <c r="A41" s="123" t="s">
        <v>270</v>
      </c>
      <c r="B41" s="28">
        <v>2</v>
      </c>
      <c r="C41" s="32">
        <v>0</v>
      </c>
      <c r="D41" s="32">
        <v>0</v>
      </c>
      <c r="E41" s="28">
        <v>2</v>
      </c>
      <c r="F41" s="28">
        <f t="shared" si="2"/>
        <v>4</v>
      </c>
      <c r="G41" s="43">
        <f>ROUND(SUM('Base Data'!$D$40:$D$41)/3,0)</f>
        <v>20</v>
      </c>
      <c r="H41" s="43">
        <f t="shared" si="5"/>
        <v>80</v>
      </c>
      <c r="I41" s="43">
        <f t="shared" si="1"/>
        <v>8</v>
      </c>
      <c r="J41" s="43">
        <f t="shared" si="6"/>
        <v>4</v>
      </c>
      <c r="K41" s="32">
        <f>(H41*'Base Data'!$C$5)+(I41*'Base Data'!$C$6)+(J41*'Base Data'!$C$7)</f>
        <v>8702.1999999999989</v>
      </c>
      <c r="L41" s="32">
        <v>0</v>
      </c>
      <c r="M41" s="43">
        <v>0</v>
      </c>
      <c r="N41" s="122" t="s">
        <v>340</v>
      </c>
      <c r="O41" s="213"/>
      <c r="P41" s="219"/>
    </row>
    <row r="42" spans="1:16" s="4" customFormat="1" ht="9">
      <c r="A42" s="123" t="s">
        <v>271</v>
      </c>
      <c r="B42" s="28">
        <v>0.5</v>
      </c>
      <c r="C42" s="32">
        <v>0</v>
      </c>
      <c r="D42" s="32">
        <v>0</v>
      </c>
      <c r="E42" s="28">
        <v>12</v>
      </c>
      <c r="F42" s="28">
        <f t="shared" si="2"/>
        <v>6</v>
      </c>
      <c r="G42" s="43">
        <f>ROUND(SUM('Base Data'!$D$40:$D$41)/3,0)</f>
        <v>20</v>
      </c>
      <c r="H42" s="43">
        <f t="shared" si="5"/>
        <v>120</v>
      </c>
      <c r="I42" s="43">
        <f t="shared" si="1"/>
        <v>12</v>
      </c>
      <c r="J42" s="43">
        <f t="shared" si="6"/>
        <v>6</v>
      </c>
      <c r="K42" s="32">
        <f>(H42*'Base Data'!$C$5)+(I42*'Base Data'!$C$6)+(J42*'Base Data'!$C$7)</f>
        <v>13053.300000000001</v>
      </c>
      <c r="L42" s="32">
        <v>0</v>
      </c>
      <c r="M42" s="43">
        <v>0</v>
      </c>
      <c r="N42" s="122" t="s">
        <v>340</v>
      </c>
      <c r="O42" s="213"/>
      <c r="P42" s="219"/>
    </row>
    <row r="43" spans="1:16" s="4" customFormat="1" ht="9">
      <c r="A43" s="121" t="s">
        <v>255</v>
      </c>
      <c r="B43" s="28" t="s">
        <v>264</v>
      </c>
      <c r="C43" s="32"/>
      <c r="D43" s="32"/>
      <c r="E43" s="28"/>
      <c r="F43" s="28"/>
      <c r="G43" s="43"/>
      <c r="H43" s="43"/>
      <c r="I43" s="43"/>
      <c r="J43" s="43"/>
      <c r="K43" s="32"/>
      <c r="L43" s="32"/>
      <c r="M43" s="43"/>
      <c r="N43" s="122"/>
      <c r="O43" s="213"/>
      <c r="P43" s="219"/>
    </row>
    <row r="44" spans="1:16" s="4" customFormat="1" ht="9">
      <c r="A44" s="121" t="s">
        <v>256</v>
      </c>
      <c r="B44" s="28" t="s">
        <v>264</v>
      </c>
      <c r="C44" s="32"/>
      <c r="D44" s="32"/>
      <c r="E44" s="28"/>
      <c r="F44" s="28"/>
      <c r="G44" s="28"/>
      <c r="H44" s="43"/>
      <c r="I44" s="43"/>
      <c r="J44" s="43"/>
      <c r="K44" s="32"/>
      <c r="L44" s="32"/>
      <c r="M44" s="43"/>
      <c r="N44" s="122"/>
      <c r="O44" s="213"/>
      <c r="P44" s="219"/>
    </row>
    <row r="45" spans="1:16" s="4" customFormat="1" ht="9.75" thickBot="1">
      <c r="A45" s="366" t="s">
        <v>33</v>
      </c>
      <c r="B45" s="231"/>
      <c r="C45" s="139"/>
      <c r="D45" s="139"/>
      <c r="E45" s="231"/>
      <c r="F45" s="231"/>
      <c r="G45" s="231"/>
      <c r="H45" s="138">
        <f>SUM(H37:H44)</f>
        <v>980</v>
      </c>
      <c r="I45" s="138">
        <f t="shared" ref="I45:M45" si="7">SUM(I37:I44)</f>
        <v>98</v>
      </c>
      <c r="J45" s="138">
        <f t="shared" si="7"/>
        <v>49</v>
      </c>
      <c r="K45" s="367">
        <f t="shared" si="7"/>
        <v>106601.95000000001</v>
      </c>
      <c r="L45" s="139">
        <f t="shared" si="7"/>
        <v>0</v>
      </c>
      <c r="M45" s="138">
        <f t="shared" si="7"/>
        <v>0</v>
      </c>
      <c r="N45" s="232"/>
      <c r="O45" s="213"/>
      <c r="P45" s="219"/>
    </row>
    <row r="46" spans="1:16" s="7" customFormat="1" ht="9.75" thickBot="1">
      <c r="A46" s="131" t="s">
        <v>236</v>
      </c>
      <c r="B46" s="368"/>
      <c r="C46" s="368"/>
      <c r="D46" s="368"/>
      <c r="E46" s="368"/>
      <c r="F46" s="368"/>
      <c r="G46" s="368"/>
      <c r="H46" s="135">
        <f t="shared" ref="H46:M46" si="8">SUM(H31,H45)</f>
        <v>2028</v>
      </c>
      <c r="I46" s="135">
        <f>SUM(I31,I45)</f>
        <v>202.8</v>
      </c>
      <c r="J46" s="135">
        <f t="shared" si="8"/>
        <v>101.4</v>
      </c>
      <c r="K46" s="136">
        <f t="shared" si="8"/>
        <v>220600.77000000002</v>
      </c>
      <c r="L46" s="136">
        <f t="shared" si="8"/>
        <v>58800</v>
      </c>
      <c r="M46" s="135">
        <f t="shared" si="8"/>
        <v>30</v>
      </c>
      <c r="N46" s="369"/>
    </row>
    <row r="47" spans="1:16" ht="19.5" customHeight="1">
      <c r="A47" s="413" t="s">
        <v>34</v>
      </c>
      <c r="B47" s="413"/>
      <c r="C47" s="413"/>
      <c r="D47" s="413"/>
      <c r="E47" s="413"/>
      <c r="F47" s="413"/>
      <c r="G47" s="413"/>
      <c r="H47" s="413"/>
      <c r="I47" s="413"/>
      <c r="J47" s="413"/>
      <c r="K47" s="413"/>
      <c r="L47" s="413"/>
      <c r="M47" s="413"/>
      <c r="N47" s="413"/>
    </row>
    <row r="48" spans="1:16">
      <c r="A48" s="33" t="s">
        <v>210</v>
      </c>
      <c r="B48" s="34"/>
      <c r="C48" s="34"/>
      <c r="D48" s="34"/>
      <c r="E48" s="34"/>
      <c r="F48" s="34"/>
      <c r="G48" s="34"/>
      <c r="H48" s="355"/>
      <c r="I48" s="355"/>
      <c r="J48" s="355"/>
      <c r="K48" s="355"/>
      <c r="L48" s="355"/>
      <c r="M48" s="355"/>
      <c r="N48" s="34"/>
    </row>
    <row r="49" spans="1:14" ht="24" customHeight="1">
      <c r="A49" s="404" t="s">
        <v>337</v>
      </c>
      <c r="B49" s="404"/>
      <c r="C49" s="404"/>
      <c r="D49" s="404"/>
      <c r="E49" s="404"/>
      <c r="F49" s="404"/>
      <c r="G49" s="404"/>
      <c r="H49" s="404"/>
      <c r="I49" s="404"/>
      <c r="J49" s="404"/>
      <c r="K49" s="404"/>
      <c r="L49" s="404"/>
      <c r="M49" s="404"/>
      <c r="N49" s="404"/>
    </row>
    <row r="50" spans="1:14">
      <c r="A50" s="411" t="s">
        <v>341</v>
      </c>
      <c r="B50" s="411"/>
      <c r="C50" s="411"/>
      <c r="D50" s="411"/>
      <c r="E50" s="411"/>
      <c r="F50" s="411"/>
      <c r="G50" s="411"/>
      <c r="H50" s="411"/>
      <c r="I50" s="411"/>
      <c r="J50" s="411"/>
      <c r="K50" s="411"/>
      <c r="L50" s="411"/>
      <c r="M50" s="411"/>
      <c r="N50" s="411"/>
    </row>
    <row r="51" spans="1:14">
      <c r="A51" s="411" t="s">
        <v>343</v>
      </c>
      <c r="B51" s="411"/>
      <c r="C51" s="411"/>
      <c r="D51" s="411"/>
      <c r="E51" s="411"/>
      <c r="F51" s="411"/>
      <c r="G51" s="411"/>
      <c r="H51" s="411"/>
      <c r="I51" s="411"/>
      <c r="J51" s="411"/>
      <c r="K51" s="411"/>
      <c r="L51" s="411"/>
      <c r="M51" s="411"/>
      <c r="N51" s="411"/>
    </row>
    <row r="52" spans="1:14" ht="22.5" customHeight="1">
      <c r="A52" s="404" t="s">
        <v>344</v>
      </c>
      <c r="B52" s="404"/>
      <c r="C52" s="404"/>
      <c r="D52" s="404"/>
      <c r="E52" s="404"/>
      <c r="F52" s="404"/>
      <c r="G52" s="404"/>
      <c r="H52" s="404"/>
      <c r="I52" s="404"/>
      <c r="J52" s="404"/>
      <c r="K52" s="404"/>
      <c r="L52" s="404"/>
      <c r="M52" s="404"/>
      <c r="N52" s="404"/>
    </row>
    <row r="53" spans="1:14">
      <c r="A53" s="33" t="s">
        <v>345</v>
      </c>
      <c r="B53" s="34"/>
      <c r="C53" s="34"/>
      <c r="D53" s="34"/>
      <c r="E53" s="34"/>
      <c r="F53" s="34"/>
      <c r="G53" s="34"/>
      <c r="H53" s="355"/>
      <c r="I53" s="355"/>
      <c r="J53" s="355"/>
      <c r="K53" s="355"/>
      <c r="L53" s="355"/>
      <c r="M53" s="355"/>
      <c r="N53" s="34"/>
    </row>
    <row r="54" spans="1:14">
      <c r="A54" s="73"/>
      <c r="B54" s="34"/>
      <c r="C54" s="34"/>
      <c r="D54" s="34"/>
      <c r="E54" s="34"/>
      <c r="F54" s="34"/>
      <c r="G54" s="34"/>
      <c r="H54" s="355"/>
      <c r="I54" s="355"/>
      <c r="J54" s="355"/>
      <c r="K54" s="355"/>
      <c r="L54" s="355"/>
      <c r="M54" s="355"/>
      <c r="N54" s="34"/>
    </row>
  </sheetData>
  <mergeCells count="7">
    <mergeCell ref="A1:N1"/>
    <mergeCell ref="A52:N52"/>
    <mergeCell ref="A50:N50"/>
    <mergeCell ref="A2:N2"/>
    <mergeCell ref="A49:N49"/>
    <mergeCell ref="A47:N47"/>
    <mergeCell ref="A51:N51"/>
  </mergeCells>
  <phoneticPr fontId="7" type="noConversion"/>
  <printOptions horizontalCentered="1"/>
  <pageMargins left="0" right="0" top="0.2" bottom="0.2" header="0.2" footer="0.2"/>
  <pageSetup scale="95" orientation="landscape" r:id="rId1"/>
  <headerFooter alignWithMargins="0"/>
</worksheet>
</file>

<file path=xl/worksheets/sheet12.xml><?xml version="1.0" encoding="utf-8"?>
<worksheet xmlns="http://schemas.openxmlformats.org/spreadsheetml/2006/main" xmlns:r="http://schemas.openxmlformats.org/officeDocument/2006/relationships">
  <sheetPr>
    <pageSetUpPr fitToPage="1"/>
  </sheetPr>
  <dimension ref="A1:P53"/>
  <sheetViews>
    <sheetView zoomScaleNormal="100" workbookViewId="0">
      <selection activeCell="D38" sqref="D38"/>
    </sheetView>
  </sheetViews>
  <sheetFormatPr defaultRowHeight="11.25"/>
  <cols>
    <col min="1" max="1" width="33.42578125" style="1" customWidth="1"/>
    <col min="2" max="2" width="8.140625" style="5" customWidth="1"/>
    <col min="3" max="3" width="8" style="5" customWidth="1"/>
    <col min="4" max="4" width="8.140625" style="5" customWidth="1"/>
    <col min="5" max="5" width="8.28515625" style="5" customWidth="1"/>
    <col min="6" max="6" width="8.140625" style="5" customWidth="1"/>
    <col min="7" max="7" width="9" style="5" customWidth="1"/>
    <col min="8" max="8" width="6.85546875" style="6" customWidth="1"/>
    <col min="9" max="9" width="6.5703125" style="6" customWidth="1"/>
    <col min="10" max="10" width="6.7109375" style="6" customWidth="1"/>
    <col min="11" max="11" width="10.140625" style="6" customWidth="1"/>
    <col min="12" max="13" width="9" style="6" customWidth="1"/>
    <col min="14" max="14" width="6" style="5" customWidth="1"/>
    <col min="15" max="16" width="0" style="1" hidden="1" customWidth="1"/>
    <col min="17" max="16384" width="9.140625" style="1"/>
  </cols>
  <sheetData>
    <row r="1" spans="1:15" ht="12.75">
      <c r="A1" s="406" t="s">
        <v>68</v>
      </c>
      <c r="B1" s="410"/>
      <c r="C1" s="410"/>
      <c r="D1" s="410"/>
      <c r="E1" s="410"/>
      <c r="F1" s="410"/>
      <c r="G1" s="410"/>
      <c r="H1" s="410"/>
      <c r="I1" s="410"/>
      <c r="J1" s="410"/>
      <c r="K1" s="410"/>
      <c r="L1" s="410"/>
      <c r="M1" s="410"/>
      <c r="N1" s="410"/>
    </row>
    <row r="2" spans="1:15" ht="12" thickBot="1">
      <c r="A2" s="412" t="s">
        <v>203</v>
      </c>
      <c r="B2" s="412"/>
      <c r="C2" s="412"/>
      <c r="D2" s="412"/>
      <c r="E2" s="412"/>
      <c r="F2" s="412"/>
      <c r="G2" s="412"/>
      <c r="H2" s="412"/>
      <c r="I2" s="412"/>
      <c r="J2" s="412"/>
      <c r="K2" s="412"/>
      <c r="L2" s="412"/>
      <c r="M2" s="412"/>
      <c r="N2" s="412"/>
    </row>
    <row r="3" spans="1:15" s="3" customFormat="1" ht="63.75" thickBot="1">
      <c r="A3" s="143" t="s">
        <v>229</v>
      </c>
      <c r="B3" s="218" t="s">
        <v>230</v>
      </c>
      <c r="C3" s="218" t="s">
        <v>30</v>
      </c>
      <c r="D3" s="218" t="s">
        <v>259</v>
      </c>
      <c r="E3" s="218" t="s">
        <v>260</v>
      </c>
      <c r="F3" s="218" t="s">
        <v>263</v>
      </c>
      <c r="G3" s="218" t="s">
        <v>265</v>
      </c>
      <c r="H3" s="233" t="s">
        <v>13</v>
      </c>
      <c r="I3" s="233" t="s">
        <v>14</v>
      </c>
      <c r="J3" s="233" t="s">
        <v>15</v>
      </c>
      <c r="K3" s="233" t="s">
        <v>85</v>
      </c>
      <c r="L3" s="233" t="s">
        <v>374</v>
      </c>
      <c r="M3" s="233" t="s">
        <v>365</v>
      </c>
      <c r="N3" s="354" t="s">
        <v>231</v>
      </c>
      <c r="O3" s="3" t="s">
        <v>86</v>
      </c>
    </row>
    <row r="4" spans="1:15" s="4" customFormat="1" ht="9">
      <c r="A4" s="234" t="s">
        <v>237</v>
      </c>
      <c r="B4" s="235" t="s">
        <v>264</v>
      </c>
      <c r="C4" s="236"/>
      <c r="D4" s="236"/>
      <c r="E4" s="235"/>
      <c r="F4" s="235"/>
      <c r="G4" s="235"/>
      <c r="H4" s="237"/>
      <c r="I4" s="237"/>
      <c r="J4" s="237"/>
      <c r="K4" s="236"/>
      <c r="L4" s="236"/>
      <c r="M4" s="236"/>
      <c r="N4" s="229"/>
    </row>
    <row r="5" spans="1:15" s="4" customFormat="1" ht="9">
      <c r="A5" s="121" t="s">
        <v>238</v>
      </c>
      <c r="B5" s="28" t="s">
        <v>264</v>
      </c>
      <c r="C5" s="32"/>
      <c r="D5" s="32"/>
      <c r="E5" s="28"/>
      <c r="F5" s="28"/>
      <c r="G5" s="28"/>
      <c r="H5" s="43"/>
      <c r="I5" s="43"/>
      <c r="J5" s="43"/>
      <c r="K5" s="32"/>
      <c r="L5" s="32"/>
      <c r="M5" s="32"/>
      <c r="N5" s="122"/>
    </row>
    <row r="6" spans="1:15" s="4" customFormat="1" ht="9">
      <c r="A6" s="121" t="s">
        <v>239</v>
      </c>
      <c r="B6" s="28"/>
      <c r="C6" s="32"/>
      <c r="D6" s="32"/>
      <c r="E6" s="28"/>
      <c r="F6" s="28"/>
      <c r="G6" s="28"/>
      <c r="H6" s="43"/>
      <c r="I6" s="43"/>
      <c r="J6" s="43"/>
      <c r="K6" s="32"/>
      <c r="L6" s="32"/>
      <c r="M6" s="32"/>
      <c r="N6" s="122"/>
    </row>
    <row r="7" spans="1:15" s="4" customFormat="1" ht="9">
      <c r="A7" s="123" t="s">
        <v>240</v>
      </c>
      <c r="B7" s="28">
        <v>40</v>
      </c>
      <c r="C7" s="32">
        <v>0</v>
      </c>
      <c r="D7" s="32">
        <v>0</v>
      </c>
      <c r="E7" s="28">
        <v>1</v>
      </c>
      <c r="F7" s="28">
        <f>B7*E7</f>
        <v>40</v>
      </c>
      <c r="G7" s="43">
        <f>ROUND(SUM('Base Data'!$H$40:$H$41)/3,0)</f>
        <v>10</v>
      </c>
      <c r="H7" s="43">
        <f>F7*G7</f>
        <v>400</v>
      </c>
      <c r="I7" s="43">
        <f>H7*0.1</f>
        <v>40</v>
      </c>
      <c r="J7" s="43">
        <f>H7*0.05</f>
        <v>20</v>
      </c>
      <c r="K7" s="32">
        <f>(H7*'Base Data'!$C$5)+(I7*'Base Data'!$C$6)+(J7*'Base Data'!$C$7)</f>
        <v>43511</v>
      </c>
      <c r="L7" s="32">
        <v>0</v>
      </c>
      <c r="M7" s="43">
        <v>0</v>
      </c>
      <c r="N7" s="122" t="s">
        <v>220</v>
      </c>
    </row>
    <row r="8" spans="1:15" s="4" customFormat="1" ht="9">
      <c r="A8" s="121" t="s">
        <v>241</v>
      </c>
      <c r="B8" s="28"/>
      <c r="C8" s="32"/>
      <c r="D8" s="32"/>
      <c r="E8" s="28"/>
      <c r="F8" s="28"/>
      <c r="G8" s="43"/>
      <c r="H8" s="43"/>
      <c r="I8" s="43"/>
      <c r="J8" s="43"/>
      <c r="K8" s="32"/>
      <c r="L8" s="32"/>
      <c r="M8" s="32"/>
      <c r="N8" s="122"/>
    </row>
    <row r="9" spans="1:15" s="4" customFormat="1" ht="9">
      <c r="A9" s="123" t="s">
        <v>223</v>
      </c>
      <c r="B9" s="28">
        <v>12</v>
      </c>
      <c r="C9" s="32">
        <v>8000</v>
      </c>
      <c r="D9" s="32">
        <v>0</v>
      </c>
      <c r="E9" s="28">
        <v>1</v>
      </c>
      <c r="F9" s="28">
        <f>B9*E9</f>
        <v>12</v>
      </c>
      <c r="G9" s="43">
        <f>ROUND((SUM('Base Data'!$D$40:$D$41)-SUM('Base Data'!$E$40:$E$41))/3,0)</f>
        <v>4</v>
      </c>
      <c r="H9" s="43">
        <f t="shared" ref="H9:H16" si="0">F9*G9</f>
        <v>48</v>
      </c>
      <c r="I9" s="43">
        <f t="shared" ref="I9:I42" si="1">H9*0.1</f>
        <v>4.8000000000000007</v>
      </c>
      <c r="J9" s="43">
        <f>H9*0.05</f>
        <v>2.4000000000000004</v>
      </c>
      <c r="K9" s="32">
        <f>(H9*'Base Data'!$C$5)+(I9*'Base Data'!$C$6)+(J9*'Base Data'!$C$7)</f>
        <v>5221.3200000000006</v>
      </c>
      <c r="L9" s="32">
        <f t="shared" ref="L9:L11" si="2">C9*E9*G9</f>
        <v>32000</v>
      </c>
      <c r="M9" s="43">
        <v>0</v>
      </c>
      <c r="N9" s="122" t="s">
        <v>211</v>
      </c>
    </row>
    <row r="10" spans="1:15" s="4" customFormat="1" ht="9">
      <c r="A10" s="123" t="s">
        <v>224</v>
      </c>
      <c r="B10" s="28">
        <v>12</v>
      </c>
      <c r="C10" s="32">
        <v>5000</v>
      </c>
      <c r="D10" s="32">
        <v>0</v>
      </c>
      <c r="E10" s="28">
        <v>1</v>
      </c>
      <c r="F10" s="28">
        <f t="shared" ref="F10:F42" si="3">B10*E10</f>
        <v>12</v>
      </c>
      <c r="G10" s="43">
        <v>0</v>
      </c>
      <c r="H10" s="43">
        <f t="shared" si="0"/>
        <v>0</v>
      </c>
      <c r="I10" s="43">
        <f t="shared" si="1"/>
        <v>0</v>
      </c>
      <c r="J10" s="43">
        <f>H10*0.05</f>
        <v>0</v>
      </c>
      <c r="K10" s="32">
        <f>(H10*'Base Data'!$C$5)+(I10*'Base Data'!$C$6)+(J10*'Base Data'!$C$7)</f>
        <v>0</v>
      </c>
      <c r="L10" s="32">
        <f t="shared" si="2"/>
        <v>0</v>
      </c>
      <c r="M10" s="43">
        <v>0</v>
      </c>
      <c r="N10" s="122" t="s">
        <v>346</v>
      </c>
    </row>
    <row r="11" spans="1:15" s="4" customFormat="1" ht="9">
      <c r="A11" s="123" t="s">
        <v>304</v>
      </c>
      <c r="B11" s="28">
        <v>12</v>
      </c>
      <c r="C11" s="32">
        <v>6000</v>
      </c>
      <c r="D11" s="32">
        <v>0</v>
      </c>
      <c r="E11" s="28">
        <v>1</v>
      </c>
      <c r="F11" s="28">
        <f t="shared" si="3"/>
        <v>12</v>
      </c>
      <c r="G11" s="43">
        <v>0</v>
      </c>
      <c r="H11" s="43">
        <f t="shared" si="0"/>
        <v>0</v>
      </c>
      <c r="I11" s="43">
        <f t="shared" si="1"/>
        <v>0</v>
      </c>
      <c r="J11" s="43">
        <f t="shared" ref="J11:J16" si="4">H11*0.05</f>
        <v>0</v>
      </c>
      <c r="K11" s="32">
        <f>(H11*'Base Data'!$C$5)+(I11*'Base Data'!$C$6)+(J11*'Base Data'!$C$7)</f>
        <v>0</v>
      </c>
      <c r="L11" s="32">
        <f t="shared" si="2"/>
        <v>0</v>
      </c>
      <c r="M11" s="43">
        <v>0</v>
      </c>
      <c r="N11" s="122" t="s">
        <v>347</v>
      </c>
    </row>
    <row r="12" spans="1:15" s="4" customFormat="1" ht="9">
      <c r="A12" s="123" t="s">
        <v>225</v>
      </c>
      <c r="B12" s="28">
        <v>12</v>
      </c>
      <c r="C12" s="32">
        <v>8000</v>
      </c>
      <c r="D12" s="32">
        <v>0</v>
      </c>
      <c r="E12" s="28">
        <v>1</v>
      </c>
      <c r="F12" s="28">
        <f t="shared" si="3"/>
        <v>12</v>
      </c>
      <c r="G12" s="43">
        <f>'Fac-NewLrgSolid-Yr1'!G9</f>
        <v>4</v>
      </c>
      <c r="H12" s="43">
        <f t="shared" si="0"/>
        <v>48</v>
      </c>
      <c r="I12" s="43">
        <f t="shared" si="1"/>
        <v>4.8000000000000007</v>
      </c>
      <c r="J12" s="43">
        <f t="shared" si="4"/>
        <v>2.4000000000000004</v>
      </c>
      <c r="K12" s="32">
        <f>(H12*'Base Data'!$C$5)+(I12*'Base Data'!$C$6)+(J12*'Base Data'!$C$7)</f>
        <v>5221.3200000000006</v>
      </c>
      <c r="L12" s="32">
        <f>C12*E12*G12</f>
        <v>32000</v>
      </c>
      <c r="M12" s="43">
        <v>0</v>
      </c>
      <c r="N12" s="122" t="s">
        <v>205</v>
      </c>
    </row>
    <row r="13" spans="1:15" s="4" customFormat="1" ht="9">
      <c r="A13" s="123" t="s">
        <v>226</v>
      </c>
      <c r="B13" s="28">
        <v>12</v>
      </c>
      <c r="C13" s="32">
        <v>5000</v>
      </c>
      <c r="D13" s="32">
        <v>0</v>
      </c>
      <c r="E13" s="28">
        <v>1</v>
      </c>
      <c r="F13" s="28">
        <f t="shared" si="3"/>
        <v>12</v>
      </c>
      <c r="G13" s="43">
        <f>'Fac-NewLrgSolid-Yr1'!G10</f>
        <v>0</v>
      </c>
      <c r="H13" s="43">
        <f t="shared" si="0"/>
        <v>0</v>
      </c>
      <c r="I13" s="43">
        <f t="shared" si="1"/>
        <v>0</v>
      </c>
      <c r="J13" s="43">
        <f t="shared" si="4"/>
        <v>0</v>
      </c>
      <c r="K13" s="32">
        <f>(H13*'Base Data'!$C$5)+(I13*'Base Data'!$C$6)+(J13*'Base Data'!$C$7)</f>
        <v>0</v>
      </c>
      <c r="L13" s="32">
        <f>C13*E13*G13</f>
        <v>0</v>
      </c>
      <c r="M13" s="43">
        <v>0</v>
      </c>
      <c r="N13" s="122" t="s">
        <v>346</v>
      </c>
    </row>
    <row r="14" spans="1:15" s="4" customFormat="1" ht="9">
      <c r="A14" s="123" t="s">
        <v>375</v>
      </c>
      <c r="B14" s="28">
        <v>12</v>
      </c>
      <c r="C14" s="32">
        <v>6000</v>
      </c>
      <c r="D14" s="32">
        <v>0</v>
      </c>
      <c r="E14" s="28">
        <v>1</v>
      </c>
      <c r="F14" s="28">
        <f t="shared" si="3"/>
        <v>12</v>
      </c>
      <c r="G14" s="43">
        <f>'Fac-NewLrgSolid-Yr1'!G11</f>
        <v>0</v>
      </c>
      <c r="H14" s="43">
        <f t="shared" si="0"/>
        <v>0</v>
      </c>
      <c r="I14" s="43">
        <f t="shared" si="1"/>
        <v>0</v>
      </c>
      <c r="J14" s="43">
        <f t="shared" si="4"/>
        <v>0</v>
      </c>
      <c r="K14" s="32">
        <f>(H14*'Base Data'!$C$5)+(I14*'Base Data'!$C$6)+(J14*'Base Data'!$C$7)</f>
        <v>0</v>
      </c>
      <c r="L14" s="32">
        <f>C14*E14*G14</f>
        <v>0</v>
      </c>
      <c r="M14" s="43">
        <v>0</v>
      </c>
      <c r="N14" s="122" t="s">
        <v>348</v>
      </c>
    </row>
    <row r="15" spans="1:15" s="4" customFormat="1" ht="9">
      <c r="A15" s="123" t="s">
        <v>221</v>
      </c>
      <c r="B15" s="28">
        <v>5</v>
      </c>
      <c r="C15" s="32">
        <v>200</v>
      </c>
      <c r="D15" s="32">
        <v>0</v>
      </c>
      <c r="E15" s="28">
        <v>1</v>
      </c>
      <c r="F15" s="28">
        <f t="shared" si="3"/>
        <v>5</v>
      </c>
      <c r="G15" s="43">
        <v>0</v>
      </c>
      <c r="H15" s="43">
        <f t="shared" si="0"/>
        <v>0</v>
      </c>
      <c r="I15" s="43">
        <f>H15*0.1</f>
        <v>0</v>
      </c>
      <c r="J15" s="43">
        <f t="shared" si="4"/>
        <v>0</v>
      </c>
      <c r="K15" s="32">
        <f>(H15*'Base Data'!$C$5)+(I15*'Base Data'!$C$6)+(J15*'Base Data'!$C$7)</f>
        <v>0</v>
      </c>
      <c r="L15" s="32">
        <v>0</v>
      </c>
      <c r="M15" s="43">
        <v>0</v>
      </c>
      <c r="N15" s="122" t="s">
        <v>211</v>
      </c>
    </row>
    <row r="16" spans="1:15" s="4" customFormat="1" ht="9">
      <c r="A16" s="123" t="s">
        <v>31</v>
      </c>
      <c r="B16" s="28">
        <v>5</v>
      </c>
      <c r="C16" s="32">
        <v>200</v>
      </c>
      <c r="D16" s="32">
        <v>0</v>
      </c>
      <c r="E16" s="28">
        <v>12</v>
      </c>
      <c r="F16" s="28">
        <f t="shared" si="3"/>
        <v>60</v>
      </c>
      <c r="G16" s="43">
        <v>0</v>
      </c>
      <c r="H16" s="43">
        <f t="shared" si="0"/>
        <v>0</v>
      </c>
      <c r="I16" s="43">
        <f>H16*0.1</f>
        <v>0</v>
      </c>
      <c r="J16" s="43">
        <f t="shared" si="4"/>
        <v>0</v>
      </c>
      <c r="K16" s="32">
        <f>(H16*'Base Data'!$C$5)+(I16*'Base Data'!$C$6)+(J16*'Base Data'!$C$7)</f>
        <v>0</v>
      </c>
      <c r="L16" s="32">
        <f>C16*E16*G16</f>
        <v>0</v>
      </c>
      <c r="M16" s="43">
        <v>0</v>
      </c>
      <c r="N16" s="122" t="s">
        <v>342</v>
      </c>
    </row>
    <row r="17" spans="1:16" s="4" customFormat="1" ht="9">
      <c r="A17" s="123" t="s">
        <v>213</v>
      </c>
      <c r="B17" s="28"/>
      <c r="C17" s="32"/>
      <c r="D17" s="32"/>
      <c r="E17" s="28"/>
      <c r="F17" s="28"/>
      <c r="G17" s="43"/>
      <c r="H17" s="43"/>
      <c r="I17" s="43"/>
      <c r="J17" s="43"/>
      <c r="K17" s="32"/>
      <c r="L17" s="32"/>
      <c r="M17" s="43"/>
      <c r="N17" s="122"/>
    </row>
    <row r="18" spans="1:16" s="4" customFormat="1" ht="9">
      <c r="A18" s="123" t="s">
        <v>262</v>
      </c>
      <c r="B18" s="28">
        <v>40</v>
      </c>
      <c r="C18" s="32">
        <v>0</v>
      </c>
      <c r="D18" s="32">
        <v>0</v>
      </c>
      <c r="E18" s="28">
        <v>1</v>
      </c>
      <c r="F18" s="28">
        <f t="shared" si="3"/>
        <v>40</v>
      </c>
      <c r="G18" s="43">
        <f>ROUND((SUM('Base Data'!$D$40:$D$41)-SUM('Base Data'!$E$40:$E$41))/3,0)</f>
        <v>4</v>
      </c>
      <c r="H18" s="43">
        <f>F18*G18</f>
        <v>160</v>
      </c>
      <c r="I18" s="43">
        <f t="shared" si="1"/>
        <v>16</v>
      </c>
      <c r="J18" s="43">
        <f>H18*0.05</f>
        <v>8</v>
      </c>
      <c r="K18" s="32">
        <f>(H18*'Base Data'!$C$5)+(I18*'Base Data'!$C$6)+(J18*'Base Data'!$C$7)</f>
        <v>17404.399999999998</v>
      </c>
      <c r="L18" s="32">
        <v>0</v>
      </c>
      <c r="M18" s="43">
        <v>0</v>
      </c>
      <c r="N18" s="122" t="s">
        <v>216</v>
      </c>
    </row>
    <row r="19" spans="1:16" s="4" customFormat="1" ht="9">
      <c r="A19" s="121" t="s">
        <v>242</v>
      </c>
      <c r="B19" s="28"/>
      <c r="C19" s="32"/>
      <c r="D19" s="32"/>
      <c r="E19" s="28"/>
      <c r="F19" s="28"/>
      <c r="G19" s="43"/>
      <c r="H19" s="43"/>
      <c r="I19" s="43"/>
      <c r="J19" s="43"/>
      <c r="K19" s="32"/>
      <c r="L19" s="32"/>
      <c r="M19" s="43"/>
      <c r="N19" s="122"/>
    </row>
    <row r="20" spans="1:16" s="4" customFormat="1" ht="9">
      <c r="A20" s="121" t="s">
        <v>243</v>
      </c>
      <c r="B20" s="28">
        <v>10</v>
      </c>
      <c r="C20" s="32">
        <v>0</v>
      </c>
      <c r="D20" s="32">
        <v>43100</v>
      </c>
      <c r="E20" s="28">
        <v>1</v>
      </c>
      <c r="F20" s="28">
        <f t="shared" si="3"/>
        <v>10</v>
      </c>
      <c r="G20" s="43">
        <f>ROUND((SUM('Base Data'!$D$40:$D$41)-SUM('Base Data'!$E$40:$E$41))/3,0)</f>
        <v>4</v>
      </c>
      <c r="H20" s="43">
        <f>F20*G20</f>
        <v>40</v>
      </c>
      <c r="I20" s="43">
        <f t="shared" si="1"/>
        <v>4</v>
      </c>
      <c r="J20" s="43">
        <f>H20*0.05</f>
        <v>2</v>
      </c>
      <c r="K20" s="32">
        <f>(H20*'Base Data'!$C$5)+(I20*'Base Data'!$C$6)+(J20*'Base Data'!$C$7)</f>
        <v>4351.0999999999995</v>
      </c>
      <c r="L20" s="32">
        <f>D20*E20*G20</f>
        <v>172400</v>
      </c>
      <c r="M20" s="43">
        <v>0</v>
      </c>
      <c r="N20" s="122" t="s">
        <v>217</v>
      </c>
    </row>
    <row r="21" spans="1:16" s="4" customFormat="1" ht="9">
      <c r="A21" s="121" t="s">
        <v>244</v>
      </c>
      <c r="B21" s="28">
        <v>10</v>
      </c>
      <c r="C21" s="32">
        <v>0</v>
      </c>
      <c r="D21" s="32">
        <v>14700</v>
      </c>
      <c r="E21" s="28">
        <v>1</v>
      </c>
      <c r="F21" s="28">
        <f t="shared" si="3"/>
        <v>10</v>
      </c>
      <c r="G21" s="43">
        <f>'Fac-NewLrgSolid-Yr1'!G20</f>
        <v>4</v>
      </c>
      <c r="H21" s="43">
        <f>F21*G21</f>
        <v>40</v>
      </c>
      <c r="I21" s="43">
        <f t="shared" si="1"/>
        <v>4</v>
      </c>
      <c r="J21" s="43">
        <f>H21*0.05</f>
        <v>2</v>
      </c>
      <c r="K21" s="32">
        <f>(H21*'Base Data'!$C$5)+(I21*'Base Data'!$C$6)+(J21*'Base Data'!$C$7)</f>
        <v>4351.0999999999995</v>
      </c>
      <c r="L21" s="32">
        <f>D21*E21*G21</f>
        <v>58800</v>
      </c>
      <c r="M21" s="43">
        <v>0</v>
      </c>
      <c r="N21" s="122" t="s">
        <v>217</v>
      </c>
    </row>
    <row r="22" spans="1:16" s="4" customFormat="1" ht="18">
      <c r="A22" s="123" t="s">
        <v>3</v>
      </c>
      <c r="B22" s="28"/>
      <c r="C22" s="32"/>
      <c r="D22" s="32"/>
      <c r="E22" s="28"/>
      <c r="F22" s="28"/>
      <c r="G22" s="43"/>
      <c r="H22" s="43"/>
      <c r="I22" s="43"/>
      <c r="J22" s="43"/>
      <c r="K22" s="32"/>
      <c r="L22" s="32"/>
      <c r="M22" s="43"/>
      <c r="N22" s="122"/>
    </row>
    <row r="23" spans="1:16" s="46" customFormat="1" ht="9">
      <c r="A23" s="121" t="s">
        <v>243</v>
      </c>
      <c r="B23" s="28">
        <v>10</v>
      </c>
      <c r="C23" s="32">
        <v>0</v>
      </c>
      <c r="D23" s="32">
        <v>25500</v>
      </c>
      <c r="E23" s="28">
        <v>1</v>
      </c>
      <c r="F23" s="28">
        <f>B23*E23</f>
        <v>10</v>
      </c>
      <c r="G23" s="43">
        <v>0</v>
      </c>
      <c r="H23" s="43">
        <f>F23*G23</f>
        <v>0</v>
      </c>
      <c r="I23" s="43">
        <f t="shared" si="1"/>
        <v>0</v>
      </c>
      <c r="J23" s="43">
        <f>H23*0.05</f>
        <v>0</v>
      </c>
      <c r="K23" s="32">
        <f>(H23*'Base Data'!$C$5)+(I23*'Base Data'!$C$6)+(J23*'Base Data'!$C$7)</f>
        <v>0</v>
      </c>
      <c r="L23" s="32">
        <f>D23*E23*G23</f>
        <v>0</v>
      </c>
      <c r="M23" s="43">
        <v>0</v>
      </c>
      <c r="N23" s="122" t="s">
        <v>217</v>
      </c>
    </row>
    <row r="24" spans="1:16" s="46" customFormat="1" ht="9">
      <c r="A24" s="121" t="s">
        <v>244</v>
      </c>
      <c r="B24" s="28">
        <v>10</v>
      </c>
      <c r="C24" s="32">
        <v>0</v>
      </c>
      <c r="D24" s="32">
        <v>9700</v>
      </c>
      <c r="E24" s="28">
        <v>1</v>
      </c>
      <c r="F24" s="28">
        <f>B24*E24</f>
        <v>10</v>
      </c>
      <c r="G24" s="43">
        <f>'Fac-NewLrgSolid-Yr1'!G23+G23</f>
        <v>0</v>
      </c>
      <c r="H24" s="43">
        <f>F24*G24</f>
        <v>0</v>
      </c>
      <c r="I24" s="43">
        <f t="shared" si="1"/>
        <v>0</v>
      </c>
      <c r="J24" s="43">
        <f>H24*0.05</f>
        <v>0</v>
      </c>
      <c r="K24" s="32">
        <f>(H24*'Base Data'!$C$5)+(I24*'Base Data'!$C$6)+(J24*'Base Data'!$C$7)</f>
        <v>0</v>
      </c>
      <c r="L24" s="32">
        <f>D24*E24*G24</f>
        <v>0</v>
      </c>
      <c r="M24" s="43">
        <v>0</v>
      </c>
      <c r="N24" s="122" t="s">
        <v>217</v>
      </c>
    </row>
    <row r="25" spans="1:16" s="4" customFormat="1" ht="9">
      <c r="A25" s="121" t="s">
        <v>245</v>
      </c>
      <c r="B25" s="28" t="s">
        <v>264</v>
      </c>
      <c r="C25" s="32"/>
      <c r="D25" s="32"/>
      <c r="E25" s="28"/>
      <c r="F25" s="28"/>
      <c r="G25" s="43"/>
      <c r="H25" s="43"/>
      <c r="I25" s="43"/>
      <c r="J25" s="43"/>
      <c r="K25" s="32"/>
      <c r="L25" s="32"/>
      <c r="M25" s="43"/>
      <c r="N25" s="122"/>
    </row>
    <row r="26" spans="1:16" s="4" customFormat="1" ht="9">
      <c r="A26" s="121" t="s">
        <v>246</v>
      </c>
      <c r="B26" s="28" t="s">
        <v>264</v>
      </c>
      <c r="C26" s="32"/>
      <c r="D26" s="32"/>
      <c r="E26" s="28"/>
      <c r="F26" s="28"/>
      <c r="G26" s="43"/>
      <c r="H26" s="43"/>
      <c r="I26" s="43"/>
      <c r="J26" s="43"/>
      <c r="K26" s="32"/>
      <c r="L26" s="32"/>
      <c r="M26" s="43"/>
      <c r="N26" s="122"/>
    </row>
    <row r="27" spans="1:16" s="4" customFormat="1" ht="9">
      <c r="A27" s="121" t="s">
        <v>247</v>
      </c>
      <c r="B27" s="28"/>
      <c r="C27" s="32"/>
      <c r="D27" s="32"/>
      <c r="E27" s="28"/>
      <c r="F27" s="28"/>
      <c r="G27" s="43"/>
      <c r="H27" s="43"/>
      <c r="I27" s="43"/>
      <c r="J27" s="43"/>
      <c r="K27" s="32"/>
      <c r="L27" s="32"/>
      <c r="M27" s="43"/>
      <c r="N27" s="122"/>
    </row>
    <row r="28" spans="1:16" s="4" customFormat="1" ht="9">
      <c r="A28" s="125" t="s">
        <v>266</v>
      </c>
      <c r="B28" s="28">
        <v>2</v>
      </c>
      <c r="C28" s="32">
        <v>0</v>
      </c>
      <c r="D28" s="32">
        <v>0</v>
      </c>
      <c r="E28" s="28">
        <v>1</v>
      </c>
      <c r="F28" s="28">
        <f t="shared" si="3"/>
        <v>2</v>
      </c>
      <c r="G28" s="43">
        <f>ROUND(SUM('Base Data'!$H$40:$H$41)/3,0)</f>
        <v>10</v>
      </c>
      <c r="H28" s="43">
        <f>F28*G28</f>
        <v>20</v>
      </c>
      <c r="I28" s="43">
        <f t="shared" si="1"/>
        <v>2</v>
      </c>
      <c r="J28" s="43">
        <f>H28*0.05</f>
        <v>1</v>
      </c>
      <c r="K28" s="32">
        <f>(H28*'Base Data'!$C$5)+(I28*'Base Data'!$C$6)+(J28*'Base Data'!$C$7)</f>
        <v>2175.5499999999997</v>
      </c>
      <c r="L28" s="32">
        <v>0</v>
      </c>
      <c r="M28" s="43">
        <f>E28*G28</f>
        <v>10</v>
      </c>
      <c r="N28" s="122" t="s">
        <v>220</v>
      </c>
    </row>
    <row r="29" spans="1:16" s="4" customFormat="1" ht="9">
      <c r="A29" s="124" t="s">
        <v>208</v>
      </c>
      <c r="B29" s="28">
        <v>8</v>
      </c>
      <c r="C29" s="32">
        <v>0</v>
      </c>
      <c r="D29" s="32">
        <v>0</v>
      </c>
      <c r="E29" s="28">
        <v>1</v>
      </c>
      <c r="F29" s="28">
        <f t="shared" si="3"/>
        <v>8</v>
      </c>
      <c r="G29" s="43">
        <f>ROUND(SUM('Base Data'!$H$40:$H$41)/3,0)</f>
        <v>10</v>
      </c>
      <c r="H29" s="43">
        <f>F29*G29</f>
        <v>80</v>
      </c>
      <c r="I29" s="43">
        <f t="shared" si="1"/>
        <v>8</v>
      </c>
      <c r="J29" s="43">
        <f>H29*0.05</f>
        <v>4</v>
      </c>
      <c r="K29" s="32">
        <f>(H29*'Base Data'!$C$5)+(I29*'Base Data'!$C$6)+(J29*'Base Data'!$C$7)</f>
        <v>8702.1999999999989</v>
      </c>
      <c r="L29" s="32">
        <v>0</v>
      </c>
      <c r="M29" s="43">
        <f>E29*G29</f>
        <v>10</v>
      </c>
      <c r="N29" s="122" t="s">
        <v>220</v>
      </c>
    </row>
    <row r="30" spans="1:16" s="4" customFormat="1" ht="9">
      <c r="A30" s="125" t="s">
        <v>339</v>
      </c>
      <c r="B30" s="28">
        <v>30</v>
      </c>
      <c r="C30" s="32">
        <v>0</v>
      </c>
      <c r="D30" s="32">
        <v>0</v>
      </c>
      <c r="E30" s="28">
        <v>1</v>
      </c>
      <c r="F30" s="28">
        <f t="shared" si="3"/>
        <v>30</v>
      </c>
      <c r="G30" s="43">
        <f>ROUND(SUM('Base Data'!$H$40:$H$41)/3,0)+'Fac-NewLrgSolid-Yr1'!G30</f>
        <v>20</v>
      </c>
      <c r="H30" s="43">
        <f>F30*G30</f>
        <v>600</v>
      </c>
      <c r="I30" s="43">
        <f t="shared" si="1"/>
        <v>60</v>
      </c>
      <c r="J30" s="43">
        <f>H30*0.05</f>
        <v>30</v>
      </c>
      <c r="K30" s="32">
        <f>(H30*'Base Data'!$C$5)+(I30*'Base Data'!$C$6)+(J30*'Base Data'!$C$7)</f>
        <v>65266.5</v>
      </c>
      <c r="L30" s="32">
        <v>0</v>
      </c>
      <c r="M30" s="43">
        <f>E30*G30</f>
        <v>20</v>
      </c>
      <c r="N30" s="122" t="s">
        <v>214</v>
      </c>
    </row>
    <row r="31" spans="1:16" s="4" customFormat="1" ht="9">
      <c r="A31" s="126" t="s">
        <v>24</v>
      </c>
      <c r="B31" s="28"/>
      <c r="C31" s="32"/>
      <c r="D31" s="32"/>
      <c r="E31" s="28"/>
      <c r="F31" s="28"/>
      <c r="G31" s="43"/>
      <c r="H31" s="43">
        <f>SUM(H4:H18,H21:H30)</f>
        <v>1396</v>
      </c>
      <c r="I31" s="43">
        <f t="shared" ref="I31:J31" si="5">SUM(I4:I18,I21:I30)</f>
        <v>139.6</v>
      </c>
      <c r="J31" s="43">
        <f t="shared" si="5"/>
        <v>69.8</v>
      </c>
      <c r="K31" s="32">
        <f>SUM(K4:K18,K21:K30)</f>
        <v>151853.39000000001</v>
      </c>
      <c r="L31" s="32">
        <f>SUM(L4:L18,L21:L30)</f>
        <v>122800</v>
      </c>
      <c r="M31" s="43">
        <f>SUM(M28:M30)</f>
        <v>40</v>
      </c>
      <c r="N31" s="122"/>
      <c r="O31" s="79" t="e">
        <f>SUM(L9:L16,L21,#REF!,L24)</f>
        <v>#REF!</v>
      </c>
      <c r="P31" s="85" t="e">
        <f>SUM(L20,#REF!,L23)</f>
        <v>#REF!</v>
      </c>
    </row>
    <row r="32" spans="1:16" s="4" customFormat="1" ht="9">
      <c r="A32" s="121" t="s">
        <v>261</v>
      </c>
      <c r="B32" s="28"/>
      <c r="C32" s="32"/>
      <c r="D32" s="32"/>
      <c r="E32" s="28"/>
      <c r="F32" s="28"/>
      <c r="G32" s="43"/>
      <c r="H32" s="43"/>
      <c r="I32" s="43"/>
      <c r="J32" s="43"/>
      <c r="K32" s="32"/>
      <c r="L32" s="32"/>
      <c r="M32" s="43"/>
      <c r="N32" s="122"/>
    </row>
    <row r="33" spans="1:14" s="4" customFormat="1" ht="9">
      <c r="A33" s="121" t="s">
        <v>248</v>
      </c>
      <c r="B33" s="28" t="s">
        <v>222</v>
      </c>
      <c r="C33" s="32"/>
      <c r="D33" s="32"/>
      <c r="E33" s="28"/>
      <c r="F33" s="28"/>
      <c r="G33" s="43"/>
      <c r="H33" s="43"/>
      <c r="I33" s="43"/>
      <c r="J33" s="43"/>
      <c r="K33" s="32"/>
      <c r="L33" s="32"/>
      <c r="M33" s="43"/>
      <c r="N33" s="122"/>
    </row>
    <row r="34" spans="1:14" s="4" customFormat="1" ht="9">
      <c r="A34" s="121" t="s">
        <v>249</v>
      </c>
      <c r="B34" s="28" t="s">
        <v>264</v>
      </c>
      <c r="C34" s="32"/>
      <c r="D34" s="32"/>
      <c r="E34" s="28"/>
      <c r="F34" s="28"/>
      <c r="G34" s="43"/>
      <c r="H34" s="43"/>
      <c r="I34" s="43"/>
      <c r="J34" s="43"/>
      <c r="K34" s="32"/>
      <c r="L34" s="32"/>
      <c r="M34" s="43"/>
      <c r="N34" s="122"/>
    </row>
    <row r="35" spans="1:14" s="4" customFormat="1" ht="9">
      <c r="A35" s="121" t="s">
        <v>250</v>
      </c>
      <c r="B35" s="28" t="s">
        <v>264</v>
      </c>
      <c r="C35" s="32"/>
      <c r="D35" s="32"/>
      <c r="E35" s="28"/>
      <c r="F35" s="28"/>
      <c r="G35" s="43"/>
      <c r="H35" s="43"/>
      <c r="I35" s="43"/>
      <c r="J35" s="43"/>
      <c r="K35" s="32"/>
      <c r="L35" s="32"/>
      <c r="M35" s="43"/>
      <c r="N35" s="122"/>
    </row>
    <row r="36" spans="1:14" s="4" customFormat="1" ht="9">
      <c r="A36" s="121" t="s">
        <v>251</v>
      </c>
      <c r="B36" s="28"/>
      <c r="C36" s="32"/>
      <c r="D36" s="32"/>
      <c r="E36" s="28"/>
      <c r="F36" s="28"/>
      <c r="G36" s="43"/>
      <c r="H36" s="43"/>
      <c r="I36" s="43"/>
      <c r="J36" s="43"/>
      <c r="K36" s="32"/>
      <c r="L36" s="32"/>
      <c r="M36" s="43"/>
      <c r="N36" s="122"/>
    </row>
    <row r="37" spans="1:14" s="4" customFormat="1" ht="9">
      <c r="A37" s="121" t="s">
        <v>257</v>
      </c>
      <c r="B37" s="28">
        <v>20</v>
      </c>
      <c r="C37" s="32">
        <v>0</v>
      </c>
      <c r="D37" s="32">
        <v>0</v>
      </c>
      <c r="E37" s="28">
        <v>1</v>
      </c>
      <c r="F37" s="28">
        <f t="shared" si="3"/>
        <v>20</v>
      </c>
      <c r="G37" s="43">
        <f>ROUND(SUM('Base Data'!$D$40:$D$41)/3,0)+'Fac-NewLrgSolid-Yr1'!G37</f>
        <v>40</v>
      </c>
      <c r="H37" s="43">
        <f t="shared" ref="H37:H42" si="6">F37*G37</f>
        <v>800</v>
      </c>
      <c r="I37" s="43">
        <f t="shared" si="1"/>
        <v>80</v>
      </c>
      <c r="J37" s="43">
        <f t="shared" ref="J37:J42" si="7">H37*0.05</f>
        <v>40</v>
      </c>
      <c r="K37" s="32">
        <f>(H37*'Base Data'!$C$5)+(I37*'Base Data'!$C$6)+(J37*'Base Data'!$C$7)</f>
        <v>87022</v>
      </c>
      <c r="L37" s="32">
        <v>0</v>
      </c>
      <c r="M37" s="43">
        <v>0</v>
      </c>
      <c r="N37" s="122" t="s">
        <v>340</v>
      </c>
    </row>
    <row r="38" spans="1:14" s="4" customFormat="1" ht="9">
      <c r="A38" s="123" t="s">
        <v>318</v>
      </c>
      <c r="B38" s="28">
        <v>15</v>
      </c>
      <c r="C38" s="32">
        <v>0</v>
      </c>
      <c r="D38" s="32">
        <v>0</v>
      </c>
      <c r="E38" s="28">
        <v>1</v>
      </c>
      <c r="F38" s="28">
        <f t="shared" si="3"/>
        <v>15</v>
      </c>
      <c r="G38" s="43">
        <f>ROUND(SUM('Base Data'!$D$40:$D$41)/3,0)+'Fac-NewLrgSolid-Yr1'!G38</f>
        <v>40</v>
      </c>
      <c r="H38" s="43">
        <f t="shared" si="6"/>
        <v>600</v>
      </c>
      <c r="I38" s="43">
        <f t="shared" si="1"/>
        <v>60</v>
      </c>
      <c r="J38" s="43">
        <f t="shared" si="7"/>
        <v>30</v>
      </c>
      <c r="K38" s="32">
        <f>(H38*'Base Data'!$C$5)+(I38*'Base Data'!$C$6)+(J38*'Base Data'!$C$7)</f>
        <v>65266.5</v>
      </c>
      <c r="L38" s="32">
        <v>0</v>
      </c>
      <c r="M38" s="43">
        <v>0</v>
      </c>
      <c r="N38" s="122" t="s">
        <v>340</v>
      </c>
    </row>
    <row r="39" spans="1:14" s="4" customFormat="1" ht="9">
      <c r="A39" s="121" t="s">
        <v>254</v>
      </c>
      <c r="B39" s="28">
        <v>2</v>
      </c>
      <c r="C39" s="32">
        <v>0</v>
      </c>
      <c r="D39" s="32">
        <v>0</v>
      </c>
      <c r="E39" s="28">
        <v>1</v>
      </c>
      <c r="F39" s="28">
        <f t="shared" si="3"/>
        <v>2</v>
      </c>
      <c r="G39" s="43">
        <f>ROUND(SUM('Base Data'!$D$40:$D$41)/3,0)+'Fac-NewLrgSolid-Yr1'!G39</f>
        <v>40</v>
      </c>
      <c r="H39" s="43">
        <f t="shared" si="6"/>
        <v>80</v>
      </c>
      <c r="I39" s="43">
        <f t="shared" si="1"/>
        <v>8</v>
      </c>
      <c r="J39" s="43">
        <f t="shared" si="7"/>
        <v>4</v>
      </c>
      <c r="K39" s="32">
        <f>(H39*'Base Data'!$C$5)+(I39*'Base Data'!$C$6)+(J39*'Base Data'!$C$7)</f>
        <v>8702.1999999999989</v>
      </c>
      <c r="L39" s="32">
        <v>0</v>
      </c>
      <c r="M39" s="43">
        <v>0</v>
      </c>
      <c r="N39" s="122" t="s">
        <v>340</v>
      </c>
    </row>
    <row r="40" spans="1:14" s="4" customFormat="1" ht="9">
      <c r="A40" s="123" t="s">
        <v>269</v>
      </c>
      <c r="B40" s="28">
        <v>2</v>
      </c>
      <c r="C40" s="32">
        <v>0</v>
      </c>
      <c r="D40" s="32">
        <v>0</v>
      </c>
      <c r="E40" s="28">
        <v>1</v>
      </c>
      <c r="F40" s="28">
        <f t="shared" si="3"/>
        <v>2</v>
      </c>
      <c r="G40" s="43">
        <f>ROUND(SUM('Base Data'!$D$40:$D$41)/3,0)+'Fac-NewLrgSolid-Yr1'!G40</f>
        <v>40</v>
      </c>
      <c r="H40" s="43">
        <f t="shared" si="6"/>
        <v>80</v>
      </c>
      <c r="I40" s="43">
        <f t="shared" si="1"/>
        <v>8</v>
      </c>
      <c r="J40" s="43">
        <f t="shared" si="7"/>
        <v>4</v>
      </c>
      <c r="K40" s="32">
        <f>(H40*'Base Data'!$C$5)+(I40*'Base Data'!$C$6)+(J40*'Base Data'!$C$7)</f>
        <v>8702.1999999999989</v>
      </c>
      <c r="L40" s="32">
        <v>0</v>
      </c>
      <c r="M40" s="43">
        <v>0</v>
      </c>
      <c r="N40" s="122" t="s">
        <v>340</v>
      </c>
    </row>
    <row r="41" spans="1:14" s="4" customFormat="1" ht="9" customHeight="1">
      <c r="A41" s="123" t="s">
        <v>270</v>
      </c>
      <c r="B41" s="28">
        <v>2</v>
      </c>
      <c r="C41" s="32">
        <v>0</v>
      </c>
      <c r="D41" s="32">
        <v>0</v>
      </c>
      <c r="E41" s="28">
        <v>2</v>
      </c>
      <c r="F41" s="28">
        <f t="shared" si="3"/>
        <v>4</v>
      </c>
      <c r="G41" s="43">
        <f>ROUND(SUM('Base Data'!$D$40:$D$41)/3,0)+'Fac-NewLrgSolid-Yr1'!G41</f>
        <v>40</v>
      </c>
      <c r="H41" s="43">
        <f t="shared" si="6"/>
        <v>160</v>
      </c>
      <c r="I41" s="43">
        <f t="shared" si="1"/>
        <v>16</v>
      </c>
      <c r="J41" s="43">
        <f t="shared" si="7"/>
        <v>8</v>
      </c>
      <c r="K41" s="32">
        <f>(H41*'Base Data'!$C$5)+(I41*'Base Data'!$C$6)+(J41*'Base Data'!$C$7)</f>
        <v>17404.399999999998</v>
      </c>
      <c r="L41" s="32">
        <v>0</v>
      </c>
      <c r="M41" s="43">
        <v>0</v>
      </c>
      <c r="N41" s="122" t="s">
        <v>340</v>
      </c>
    </row>
    <row r="42" spans="1:14" s="4" customFormat="1" ht="9">
      <c r="A42" s="123" t="s">
        <v>271</v>
      </c>
      <c r="B42" s="28">
        <v>0.5</v>
      </c>
      <c r="C42" s="32">
        <v>0</v>
      </c>
      <c r="D42" s="32">
        <v>0</v>
      </c>
      <c r="E42" s="28">
        <v>12</v>
      </c>
      <c r="F42" s="28">
        <f t="shared" si="3"/>
        <v>6</v>
      </c>
      <c r="G42" s="43">
        <f>ROUND(SUM('Base Data'!$D$40:$D$41)/3,0)+'Fac-NewLrgSolid-Yr1'!G42</f>
        <v>40</v>
      </c>
      <c r="H42" s="43">
        <f t="shared" si="6"/>
        <v>240</v>
      </c>
      <c r="I42" s="43">
        <f t="shared" si="1"/>
        <v>24</v>
      </c>
      <c r="J42" s="43">
        <f t="shared" si="7"/>
        <v>12</v>
      </c>
      <c r="K42" s="32">
        <f>(H42*'Base Data'!$C$5)+(I42*'Base Data'!$C$6)+(J42*'Base Data'!$C$7)</f>
        <v>26106.600000000002</v>
      </c>
      <c r="L42" s="32">
        <v>0</v>
      </c>
      <c r="M42" s="43">
        <v>0</v>
      </c>
      <c r="N42" s="122" t="s">
        <v>340</v>
      </c>
    </row>
    <row r="43" spans="1:14" s="4" customFormat="1" ht="9">
      <c r="A43" s="121" t="s">
        <v>255</v>
      </c>
      <c r="B43" s="28" t="s">
        <v>264</v>
      </c>
      <c r="C43" s="32"/>
      <c r="D43" s="32"/>
      <c r="E43" s="28"/>
      <c r="F43" s="28"/>
      <c r="G43" s="43"/>
      <c r="H43" s="43"/>
      <c r="I43" s="43"/>
      <c r="J43" s="43"/>
      <c r="K43" s="32"/>
      <c r="L43" s="32"/>
      <c r="M43" s="43"/>
      <c r="N43" s="122"/>
    </row>
    <row r="44" spans="1:14" s="4" customFormat="1" ht="9">
      <c r="A44" s="121" t="s">
        <v>256</v>
      </c>
      <c r="B44" s="28" t="s">
        <v>264</v>
      </c>
      <c r="C44" s="32"/>
      <c r="D44" s="32"/>
      <c r="E44" s="28"/>
      <c r="F44" s="28"/>
      <c r="G44" s="28"/>
      <c r="H44" s="43"/>
      <c r="I44" s="43"/>
      <c r="J44" s="43"/>
      <c r="K44" s="32"/>
      <c r="L44" s="32"/>
      <c r="M44" s="43"/>
      <c r="N44" s="122"/>
    </row>
    <row r="45" spans="1:14" s="4" customFormat="1" ht="9.75" thickBot="1">
      <c r="A45" s="366" t="s">
        <v>33</v>
      </c>
      <c r="B45" s="231"/>
      <c r="C45" s="139"/>
      <c r="D45" s="139"/>
      <c r="E45" s="231"/>
      <c r="F45" s="231"/>
      <c r="G45" s="231"/>
      <c r="H45" s="138">
        <f>SUM(H37:H44)</f>
        <v>1960</v>
      </c>
      <c r="I45" s="138">
        <f t="shared" ref="I45:M45" si="8">SUM(I37:I44)</f>
        <v>196</v>
      </c>
      <c r="J45" s="138">
        <f t="shared" si="8"/>
        <v>98</v>
      </c>
      <c r="K45" s="367">
        <f t="shared" si="8"/>
        <v>213203.90000000002</v>
      </c>
      <c r="L45" s="139">
        <f t="shared" si="8"/>
        <v>0</v>
      </c>
      <c r="M45" s="138">
        <f t="shared" si="8"/>
        <v>0</v>
      </c>
      <c r="N45" s="232"/>
    </row>
    <row r="46" spans="1:14" s="7" customFormat="1" ht="9.75" thickBot="1">
      <c r="A46" s="131" t="s">
        <v>236</v>
      </c>
      <c r="B46" s="368"/>
      <c r="C46" s="368"/>
      <c r="D46" s="368"/>
      <c r="E46" s="368"/>
      <c r="F46" s="368"/>
      <c r="G46" s="368"/>
      <c r="H46" s="135">
        <f t="shared" ref="H46:M46" si="9">SUM(H31,H45)</f>
        <v>3356</v>
      </c>
      <c r="I46" s="135">
        <f>SUM(I31,I45)</f>
        <v>335.6</v>
      </c>
      <c r="J46" s="135">
        <f t="shared" si="9"/>
        <v>167.8</v>
      </c>
      <c r="K46" s="136">
        <f t="shared" si="9"/>
        <v>365057.29000000004</v>
      </c>
      <c r="L46" s="136">
        <f t="shared" si="9"/>
        <v>122800</v>
      </c>
      <c r="M46" s="135">
        <f t="shared" si="9"/>
        <v>40</v>
      </c>
      <c r="N46" s="369"/>
    </row>
    <row r="47" spans="1:14" ht="19.5" customHeight="1">
      <c r="A47" s="413" t="s">
        <v>34</v>
      </c>
      <c r="B47" s="413"/>
      <c r="C47" s="413"/>
      <c r="D47" s="413"/>
      <c r="E47" s="413"/>
      <c r="F47" s="413"/>
      <c r="G47" s="413"/>
      <c r="H47" s="413"/>
      <c r="I47" s="413"/>
      <c r="J47" s="413"/>
      <c r="K47" s="413"/>
      <c r="L47" s="413"/>
      <c r="M47" s="413"/>
      <c r="N47" s="413"/>
    </row>
    <row r="48" spans="1:14">
      <c r="A48" s="33" t="s">
        <v>210</v>
      </c>
      <c r="B48" s="34"/>
      <c r="C48" s="34"/>
      <c r="D48" s="34"/>
      <c r="E48" s="34"/>
      <c r="F48" s="34"/>
      <c r="G48" s="34"/>
      <c r="H48" s="355"/>
      <c r="I48" s="355"/>
      <c r="J48" s="355"/>
      <c r="K48" s="355"/>
      <c r="L48" s="355"/>
      <c r="M48" s="355"/>
      <c r="N48" s="34"/>
    </row>
    <row r="49" spans="1:14" ht="24" customHeight="1">
      <c r="A49" s="404" t="s">
        <v>337</v>
      </c>
      <c r="B49" s="404"/>
      <c r="C49" s="404"/>
      <c r="D49" s="404"/>
      <c r="E49" s="404"/>
      <c r="F49" s="404"/>
      <c r="G49" s="404"/>
      <c r="H49" s="404"/>
      <c r="I49" s="404"/>
      <c r="J49" s="404"/>
      <c r="K49" s="404"/>
      <c r="L49" s="404"/>
      <c r="M49" s="404"/>
      <c r="N49" s="404"/>
    </row>
    <row r="50" spans="1:14">
      <c r="A50" s="411" t="s">
        <v>349</v>
      </c>
      <c r="B50" s="411"/>
      <c r="C50" s="411"/>
      <c r="D50" s="411"/>
      <c r="E50" s="411"/>
      <c r="F50" s="411"/>
      <c r="G50" s="411"/>
      <c r="H50" s="411"/>
      <c r="I50" s="411"/>
      <c r="J50" s="411"/>
      <c r="K50" s="411"/>
      <c r="L50" s="411"/>
      <c r="M50" s="411"/>
      <c r="N50" s="411"/>
    </row>
    <row r="51" spans="1:14">
      <c r="A51" s="411" t="s">
        <v>343</v>
      </c>
      <c r="B51" s="411"/>
      <c r="C51" s="411"/>
      <c r="D51" s="411"/>
      <c r="E51" s="411"/>
      <c r="F51" s="411"/>
      <c r="G51" s="411"/>
      <c r="H51" s="411"/>
      <c r="I51" s="411"/>
      <c r="J51" s="411"/>
      <c r="K51" s="411"/>
      <c r="L51" s="411"/>
      <c r="M51" s="411"/>
      <c r="N51" s="411"/>
    </row>
    <row r="52" spans="1:14" ht="22.5" customHeight="1">
      <c r="A52" s="404" t="s">
        <v>344</v>
      </c>
      <c r="B52" s="404"/>
      <c r="C52" s="404"/>
      <c r="D52" s="404"/>
      <c r="E52" s="404"/>
      <c r="F52" s="404"/>
      <c r="G52" s="404"/>
      <c r="H52" s="404"/>
      <c r="I52" s="404"/>
      <c r="J52" s="404"/>
      <c r="K52" s="404"/>
      <c r="L52" s="404"/>
      <c r="M52" s="404"/>
      <c r="N52" s="404"/>
    </row>
    <row r="53" spans="1:14">
      <c r="A53" s="33" t="s">
        <v>345</v>
      </c>
      <c r="B53" s="34"/>
      <c r="C53" s="34"/>
      <c r="D53" s="34"/>
      <c r="E53" s="34"/>
      <c r="F53" s="34"/>
      <c r="G53" s="34"/>
      <c r="H53" s="355"/>
      <c r="I53" s="355"/>
      <c r="J53" s="355"/>
      <c r="K53" s="355"/>
      <c r="L53" s="355"/>
      <c r="M53" s="355"/>
      <c r="N53" s="34"/>
    </row>
  </sheetData>
  <mergeCells count="7">
    <mergeCell ref="A51:N51"/>
    <mergeCell ref="A52:N52"/>
    <mergeCell ref="A1:N1"/>
    <mergeCell ref="A2:N2"/>
    <mergeCell ref="A47:N47"/>
    <mergeCell ref="A49:N49"/>
    <mergeCell ref="A50:N50"/>
  </mergeCells>
  <phoneticPr fontId="7" type="noConversion"/>
  <printOptions horizontalCentered="1"/>
  <pageMargins left="0" right="0" top="0.2" bottom="0.2" header="0.2" footer="0.2"/>
  <pageSetup scale="95" orientation="landscape" r:id="rId1"/>
  <headerFooter alignWithMargins="0"/>
</worksheet>
</file>

<file path=xl/worksheets/sheet13.xml><?xml version="1.0" encoding="utf-8"?>
<worksheet xmlns="http://schemas.openxmlformats.org/spreadsheetml/2006/main" xmlns:r="http://schemas.openxmlformats.org/officeDocument/2006/relationships">
  <sheetPr>
    <pageSetUpPr fitToPage="1"/>
  </sheetPr>
  <dimension ref="A1:P53"/>
  <sheetViews>
    <sheetView zoomScaleNormal="100" workbookViewId="0">
      <selection activeCell="E39" sqref="E39"/>
    </sheetView>
  </sheetViews>
  <sheetFormatPr defaultRowHeight="11.25"/>
  <cols>
    <col min="1" max="1" width="33.42578125" style="1" customWidth="1"/>
    <col min="2" max="2" width="8.140625" style="5" customWidth="1"/>
    <col min="3" max="3" width="8" style="5" customWidth="1"/>
    <col min="4" max="4" width="8.140625" style="5" customWidth="1"/>
    <col min="5" max="5" width="8.28515625" style="5" customWidth="1"/>
    <col min="6" max="6" width="8.140625" style="5" customWidth="1"/>
    <col min="7" max="7" width="9" style="5" customWidth="1"/>
    <col min="8" max="8" width="6.85546875" style="6" customWidth="1"/>
    <col min="9" max="9" width="6.42578125" style="6" customWidth="1"/>
    <col min="10" max="10" width="7" style="6" customWidth="1"/>
    <col min="11" max="11" width="10.140625" style="6" customWidth="1"/>
    <col min="12" max="13" width="9" style="6" customWidth="1"/>
    <col min="14" max="14" width="4.28515625" style="5" bestFit="1" customWidth="1"/>
    <col min="15" max="16" width="0" style="1" hidden="1" customWidth="1"/>
    <col min="17" max="16384" width="9.140625" style="1"/>
  </cols>
  <sheetData>
    <row r="1" spans="1:16" ht="12.75">
      <c r="A1" s="406" t="s">
        <v>69</v>
      </c>
      <c r="B1" s="410"/>
      <c r="C1" s="410"/>
      <c r="D1" s="410"/>
      <c r="E1" s="410"/>
      <c r="F1" s="410"/>
      <c r="G1" s="410"/>
      <c r="H1" s="410"/>
      <c r="I1" s="410"/>
      <c r="J1" s="410"/>
      <c r="K1" s="410"/>
      <c r="L1" s="410"/>
      <c r="M1" s="410"/>
      <c r="N1" s="410"/>
    </row>
    <row r="2" spans="1:16" ht="12" thickBot="1">
      <c r="A2" s="412" t="s">
        <v>204</v>
      </c>
      <c r="B2" s="412"/>
      <c r="C2" s="412"/>
      <c r="D2" s="412"/>
      <c r="E2" s="412"/>
      <c r="F2" s="412"/>
      <c r="G2" s="412"/>
      <c r="H2" s="412"/>
      <c r="I2" s="412"/>
      <c r="J2" s="412"/>
      <c r="K2" s="412"/>
      <c r="L2" s="412"/>
      <c r="M2" s="412"/>
      <c r="N2" s="412"/>
    </row>
    <row r="3" spans="1:16" s="3" customFormat="1" ht="63.75" thickBot="1">
      <c r="A3" s="143" t="s">
        <v>229</v>
      </c>
      <c r="B3" s="218" t="s">
        <v>230</v>
      </c>
      <c r="C3" s="218" t="s">
        <v>30</v>
      </c>
      <c r="D3" s="218" t="s">
        <v>259</v>
      </c>
      <c r="E3" s="218" t="s">
        <v>260</v>
      </c>
      <c r="F3" s="218" t="s">
        <v>263</v>
      </c>
      <c r="G3" s="218" t="s">
        <v>265</v>
      </c>
      <c r="H3" s="233" t="s">
        <v>13</v>
      </c>
      <c r="I3" s="233" t="s">
        <v>14</v>
      </c>
      <c r="J3" s="233" t="s">
        <v>15</v>
      </c>
      <c r="K3" s="233" t="s">
        <v>85</v>
      </c>
      <c r="L3" s="233" t="s">
        <v>374</v>
      </c>
      <c r="M3" s="233" t="s">
        <v>365</v>
      </c>
      <c r="N3" s="354" t="s">
        <v>231</v>
      </c>
      <c r="O3" s="3" t="s">
        <v>86</v>
      </c>
    </row>
    <row r="4" spans="1:16" s="4" customFormat="1" ht="9">
      <c r="A4" s="234" t="s">
        <v>237</v>
      </c>
      <c r="B4" s="235" t="s">
        <v>264</v>
      </c>
      <c r="C4" s="236"/>
      <c r="D4" s="236"/>
      <c r="E4" s="235"/>
      <c r="F4" s="235"/>
      <c r="G4" s="235"/>
      <c r="H4" s="237"/>
      <c r="I4" s="237"/>
      <c r="J4" s="237"/>
      <c r="K4" s="236"/>
      <c r="L4" s="236"/>
      <c r="M4" s="236"/>
      <c r="N4" s="229"/>
      <c r="O4" s="213"/>
      <c r="P4" s="219"/>
    </row>
    <row r="5" spans="1:16" s="4" customFormat="1" ht="9">
      <c r="A5" s="121" t="s">
        <v>238</v>
      </c>
      <c r="B5" s="28" t="s">
        <v>264</v>
      </c>
      <c r="C5" s="32"/>
      <c r="D5" s="32"/>
      <c r="E5" s="28"/>
      <c r="F5" s="28"/>
      <c r="G5" s="28"/>
      <c r="H5" s="43"/>
      <c r="I5" s="43"/>
      <c r="J5" s="43"/>
      <c r="K5" s="32"/>
      <c r="L5" s="32"/>
      <c r="M5" s="32"/>
      <c r="N5" s="122"/>
      <c r="O5" s="213"/>
      <c r="P5" s="219"/>
    </row>
    <row r="6" spans="1:16" s="4" customFormat="1" ht="9">
      <c r="A6" s="121" t="s">
        <v>239</v>
      </c>
      <c r="B6" s="28"/>
      <c r="C6" s="32"/>
      <c r="D6" s="32"/>
      <c r="E6" s="28"/>
      <c r="F6" s="28"/>
      <c r="G6" s="28"/>
      <c r="H6" s="43"/>
      <c r="I6" s="43"/>
      <c r="J6" s="43"/>
      <c r="K6" s="32"/>
      <c r="L6" s="32"/>
      <c r="M6" s="32"/>
      <c r="N6" s="122"/>
      <c r="O6" s="213"/>
      <c r="P6" s="219"/>
    </row>
    <row r="7" spans="1:16" s="4" customFormat="1" ht="9">
      <c r="A7" s="123" t="s">
        <v>240</v>
      </c>
      <c r="B7" s="28">
        <v>40</v>
      </c>
      <c r="C7" s="32">
        <v>0</v>
      </c>
      <c r="D7" s="32">
        <v>0</v>
      </c>
      <c r="E7" s="28">
        <v>1</v>
      </c>
      <c r="F7" s="28">
        <f>B7*E7</f>
        <v>40</v>
      </c>
      <c r="G7" s="43">
        <f>ROUND(SUM('Base Data'!$H$40:$H$41)/3,0)</f>
        <v>10</v>
      </c>
      <c r="H7" s="43">
        <f>F7*G7</f>
        <v>400</v>
      </c>
      <c r="I7" s="43">
        <f>H7*0.1</f>
        <v>40</v>
      </c>
      <c r="J7" s="43">
        <f>H7*0.05</f>
        <v>20</v>
      </c>
      <c r="K7" s="32">
        <f>(H7*'Base Data'!$C$5)+(I7*'Base Data'!$C$6)+(J7*'Base Data'!$C$7)</f>
        <v>43511</v>
      </c>
      <c r="L7" s="32">
        <v>0</v>
      </c>
      <c r="M7" s="43">
        <v>0</v>
      </c>
      <c r="N7" s="122" t="s">
        <v>220</v>
      </c>
      <c r="O7" s="213"/>
      <c r="P7" s="219"/>
    </row>
    <row r="8" spans="1:16" s="4" customFormat="1" ht="9">
      <c r="A8" s="121" t="s">
        <v>241</v>
      </c>
      <c r="B8" s="28"/>
      <c r="C8" s="32"/>
      <c r="D8" s="32"/>
      <c r="E8" s="28"/>
      <c r="F8" s="28"/>
      <c r="G8" s="43"/>
      <c r="H8" s="43"/>
      <c r="I8" s="43"/>
      <c r="J8" s="43"/>
      <c r="K8" s="32"/>
      <c r="L8" s="32"/>
      <c r="M8" s="32"/>
      <c r="N8" s="122"/>
      <c r="O8" s="213"/>
      <c r="P8" s="219"/>
    </row>
    <row r="9" spans="1:16" s="4" customFormat="1" ht="9">
      <c r="A9" s="123" t="s">
        <v>223</v>
      </c>
      <c r="B9" s="28">
        <v>12</v>
      </c>
      <c r="C9" s="32">
        <v>8000</v>
      </c>
      <c r="D9" s="32">
        <v>0</v>
      </c>
      <c r="E9" s="28">
        <v>1</v>
      </c>
      <c r="F9" s="28">
        <f>B9*E9</f>
        <v>12</v>
      </c>
      <c r="G9" s="43">
        <f>ROUNDDOWN((SUM('Base Data'!$D$40:$D$41)-SUM('Base Data'!$E$40:$E$41))/3,0)</f>
        <v>3</v>
      </c>
      <c r="H9" s="43">
        <f t="shared" ref="H9:H16" si="0">F9*G9</f>
        <v>36</v>
      </c>
      <c r="I9" s="43">
        <f t="shared" ref="I9:I42" si="1">H9*0.1</f>
        <v>3.6</v>
      </c>
      <c r="J9" s="43">
        <f>H9*0.05</f>
        <v>1.8</v>
      </c>
      <c r="K9" s="32">
        <f>(H9*'Base Data'!$C$5)+(I9*'Base Data'!$C$6)+(J9*'Base Data'!$C$7)</f>
        <v>3915.9900000000002</v>
      </c>
      <c r="L9" s="32">
        <f>C9*E9*G9</f>
        <v>24000</v>
      </c>
      <c r="M9" s="43">
        <v>0</v>
      </c>
      <c r="N9" s="122" t="s">
        <v>211</v>
      </c>
      <c r="O9" s="213"/>
      <c r="P9" s="219"/>
    </row>
    <row r="10" spans="1:16" s="4" customFormat="1" ht="9">
      <c r="A10" s="123" t="s">
        <v>224</v>
      </c>
      <c r="B10" s="28">
        <v>12</v>
      </c>
      <c r="C10" s="32">
        <v>5000</v>
      </c>
      <c r="D10" s="32">
        <v>0</v>
      </c>
      <c r="E10" s="28">
        <v>1</v>
      </c>
      <c r="F10" s="28">
        <f t="shared" ref="F10:F42" si="2">B10*E10</f>
        <v>12</v>
      </c>
      <c r="G10" s="43">
        <v>0</v>
      </c>
      <c r="H10" s="43">
        <f t="shared" si="0"/>
        <v>0</v>
      </c>
      <c r="I10" s="43">
        <f t="shared" si="1"/>
        <v>0</v>
      </c>
      <c r="J10" s="43">
        <f>H10*0.05</f>
        <v>0</v>
      </c>
      <c r="K10" s="32">
        <f>(H10*'Base Data'!$C$5)+(I10*'Base Data'!$C$6)+(J10*'Base Data'!$C$7)</f>
        <v>0</v>
      </c>
      <c r="L10" s="32">
        <f t="shared" ref="L10:L11" si="3">C10*E10*G10</f>
        <v>0</v>
      </c>
      <c r="M10" s="43">
        <v>0</v>
      </c>
      <c r="N10" s="122" t="s">
        <v>346</v>
      </c>
      <c r="O10" s="213"/>
      <c r="P10" s="219"/>
    </row>
    <row r="11" spans="1:16" s="4" customFormat="1" ht="9">
      <c r="A11" s="123" t="s">
        <v>304</v>
      </c>
      <c r="B11" s="28">
        <v>12</v>
      </c>
      <c r="C11" s="32">
        <v>6000</v>
      </c>
      <c r="D11" s="32">
        <v>0</v>
      </c>
      <c r="E11" s="28">
        <v>1</v>
      </c>
      <c r="F11" s="28">
        <f t="shared" si="2"/>
        <v>12</v>
      </c>
      <c r="G11" s="43">
        <v>0</v>
      </c>
      <c r="H11" s="43">
        <f t="shared" si="0"/>
        <v>0</v>
      </c>
      <c r="I11" s="43">
        <f t="shared" si="1"/>
        <v>0</v>
      </c>
      <c r="J11" s="43">
        <f t="shared" ref="J11:J16" si="4">H11*0.05</f>
        <v>0</v>
      </c>
      <c r="K11" s="32">
        <f>(H11*'Base Data'!$C$5)+(I11*'Base Data'!$C$6)+(J11*'Base Data'!$C$7)</f>
        <v>0</v>
      </c>
      <c r="L11" s="32">
        <f t="shared" si="3"/>
        <v>0</v>
      </c>
      <c r="M11" s="43">
        <v>0</v>
      </c>
      <c r="N11" s="122" t="s">
        <v>347</v>
      </c>
      <c r="O11" s="213"/>
      <c r="P11" s="219"/>
    </row>
    <row r="12" spans="1:16" s="4" customFormat="1" ht="9">
      <c r="A12" s="123" t="s">
        <v>225</v>
      </c>
      <c r="B12" s="28">
        <v>12</v>
      </c>
      <c r="C12" s="32">
        <v>8000</v>
      </c>
      <c r="D12" s="32">
        <v>0</v>
      </c>
      <c r="E12" s="28">
        <v>1</v>
      </c>
      <c r="F12" s="28">
        <f t="shared" si="2"/>
        <v>12</v>
      </c>
      <c r="G12" s="43">
        <f>'Fac-NewLrgSolid-Yr2'!G9+'Fac-NewLrgSolid-Yr2'!G12</f>
        <v>8</v>
      </c>
      <c r="H12" s="43">
        <f t="shared" si="0"/>
        <v>96</v>
      </c>
      <c r="I12" s="43">
        <f t="shared" si="1"/>
        <v>9.6000000000000014</v>
      </c>
      <c r="J12" s="43">
        <f t="shared" si="4"/>
        <v>4.8000000000000007</v>
      </c>
      <c r="K12" s="32">
        <f>(H12*'Base Data'!$C$5)+(I12*'Base Data'!$C$6)+(J12*'Base Data'!$C$7)</f>
        <v>10442.640000000001</v>
      </c>
      <c r="L12" s="32">
        <f>C12*E12*G12</f>
        <v>64000</v>
      </c>
      <c r="M12" s="43">
        <v>0</v>
      </c>
      <c r="N12" s="122" t="s">
        <v>205</v>
      </c>
      <c r="O12" s="213"/>
      <c r="P12" s="219"/>
    </row>
    <row r="13" spans="1:16" s="4" customFormat="1" ht="9">
      <c r="A13" s="123" t="s">
        <v>226</v>
      </c>
      <c r="B13" s="28">
        <v>12</v>
      </c>
      <c r="C13" s="32">
        <v>5000</v>
      </c>
      <c r="D13" s="32">
        <v>0</v>
      </c>
      <c r="E13" s="28">
        <v>1</v>
      </c>
      <c r="F13" s="28">
        <f t="shared" si="2"/>
        <v>12</v>
      </c>
      <c r="G13" s="43">
        <f>'Fac-NewLrgSolid-Yr2'!G10+'Fac-NewLrgSolid-Yr2'!G13</f>
        <v>0</v>
      </c>
      <c r="H13" s="43">
        <f t="shared" si="0"/>
        <v>0</v>
      </c>
      <c r="I13" s="43">
        <f t="shared" si="1"/>
        <v>0</v>
      </c>
      <c r="J13" s="43">
        <f t="shared" si="4"/>
        <v>0</v>
      </c>
      <c r="K13" s="32">
        <f>(H13*'Base Data'!$C$5)+(I13*'Base Data'!$C$6)+(J13*'Base Data'!$C$7)</f>
        <v>0</v>
      </c>
      <c r="L13" s="32">
        <f>C13*E13*G13</f>
        <v>0</v>
      </c>
      <c r="M13" s="43">
        <v>0</v>
      </c>
      <c r="N13" s="122" t="s">
        <v>346</v>
      </c>
      <c r="O13" s="213"/>
      <c r="P13" s="219"/>
    </row>
    <row r="14" spans="1:16" s="4" customFormat="1" ht="9">
      <c r="A14" s="123" t="s">
        <v>375</v>
      </c>
      <c r="B14" s="28">
        <v>12</v>
      </c>
      <c r="C14" s="32">
        <v>6000</v>
      </c>
      <c r="D14" s="32">
        <v>0</v>
      </c>
      <c r="E14" s="28">
        <v>1</v>
      </c>
      <c r="F14" s="28">
        <f t="shared" si="2"/>
        <v>12</v>
      </c>
      <c r="G14" s="43">
        <f>'Fac-NewLrgSolid-Yr2'!G11+'Fac-NewLrgSolid-Yr2'!G14</f>
        <v>0</v>
      </c>
      <c r="H14" s="43">
        <f t="shared" si="0"/>
        <v>0</v>
      </c>
      <c r="I14" s="43">
        <f t="shared" si="1"/>
        <v>0</v>
      </c>
      <c r="J14" s="43">
        <f t="shared" si="4"/>
        <v>0</v>
      </c>
      <c r="K14" s="32">
        <f>(H14*'Base Data'!$C$5)+(I14*'Base Data'!$C$6)+(J14*'Base Data'!$C$7)</f>
        <v>0</v>
      </c>
      <c r="L14" s="32">
        <f>C14*E14*G14</f>
        <v>0</v>
      </c>
      <c r="M14" s="43">
        <v>0</v>
      </c>
      <c r="N14" s="122" t="s">
        <v>348</v>
      </c>
      <c r="O14" s="213"/>
      <c r="P14" s="219"/>
    </row>
    <row r="15" spans="1:16" s="4" customFormat="1" ht="9">
      <c r="A15" s="123" t="s">
        <v>221</v>
      </c>
      <c r="B15" s="28">
        <v>5</v>
      </c>
      <c r="C15" s="32">
        <v>200</v>
      </c>
      <c r="D15" s="32">
        <v>0</v>
      </c>
      <c r="E15" s="28">
        <v>1</v>
      </c>
      <c r="F15" s="28">
        <f t="shared" si="2"/>
        <v>5</v>
      </c>
      <c r="G15" s="43">
        <v>0</v>
      </c>
      <c r="H15" s="43">
        <f t="shared" si="0"/>
        <v>0</v>
      </c>
      <c r="I15" s="43">
        <f>H15*0.1</f>
        <v>0</v>
      </c>
      <c r="J15" s="43">
        <f t="shared" si="4"/>
        <v>0</v>
      </c>
      <c r="K15" s="32">
        <f>(H15*'Base Data'!$C$5)+(I15*'Base Data'!$C$6)+(J15*'Base Data'!$C$7)</f>
        <v>0</v>
      </c>
      <c r="L15" s="32">
        <v>0</v>
      </c>
      <c r="M15" s="43">
        <v>0</v>
      </c>
      <c r="N15" s="122" t="s">
        <v>211</v>
      </c>
      <c r="O15" s="213"/>
      <c r="P15" s="219"/>
    </row>
    <row r="16" spans="1:16" s="4" customFormat="1" ht="9">
      <c r="A16" s="123" t="s">
        <v>31</v>
      </c>
      <c r="B16" s="28">
        <v>5</v>
      </c>
      <c r="C16" s="32">
        <v>200</v>
      </c>
      <c r="D16" s="32">
        <v>0</v>
      </c>
      <c r="E16" s="28">
        <v>12</v>
      </c>
      <c r="F16" s="28">
        <f t="shared" si="2"/>
        <v>60</v>
      </c>
      <c r="G16" s="43">
        <v>0</v>
      </c>
      <c r="H16" s="43">
        <f t="shared" si="0"/>
        <v>0</v>
      </c>
      <c r="I16" s="43">
        <f>H16*0.1</f>
        <v>0</v>
      </c>
      <c r="J16" s="43">
        <f t="shared" si="4"/>
        <v>0</v>
      </c>
      <c r="K16" s="32">
        <f>(H16*'Base Data'!$C$5)+(I16*'Base Data'!$C$6)+(J16*'Base Data'!$C$7)</f>
        <v>0</v>
      </c>
      <c r="L16" s="32">
        <f>C16*E16*G16</f>
        <v>0</v>
      </c>
      <c r="M16" s="43">
        <v>0</v>
      </c>
      <c r="N16" s="122" t="s">
        <v>342</v>
      </c>
      <c r="O16" s="213"/>
      <c r="P16" s="219"/>
    </row>
    <row r="17" spans="1:16" s="4" customFormat="1" ht="9">
      <c r="A17" s="123" t="s">
        <v>213</v>
      </c>
      <c r="B17" s="28"/>
      <c r="C17" s="32"/>
      <c r="D17" s="32"/>
      <c r="E17" s="28"/>
      <c r="F17" s="28"/>
      <c r="G17" s="43"/>
      <c r="H17" s="43"/>
      <c r="I17" s="43"/>
      <c r="J17" s="43"/>
      <c r="K17" s="32"/>
      <c r="L17" s="32"/>
      <c r="M17" s="43"/>
      <c r="N17" s="122"/>
      <c r="O17" s="213"/>
      <c r="P17" s="219"/>
    </row>
    <row r="18" spans="1:16" s="4" customFormat="1" ht="9">
      <c r="A18" s="123" t="s">
        <v>262</v>
      </c>
      <c r="B18" s="28">
        <v>40</v>
      </c>
      <c r="C18" s="32">
        <v>0</v>
      </c>
      <c r="D18" s="32">
        <v>0</v>
      </c>
      <c r="E18" s="28">
        <v>1</v>
      </c>
      <c r="F18" s="28">
        <f t="shared" si="2"/>
        <v>40</v>
      </c>
      <c r="G18" s="43">
        <f>$G$9</f>
        <v>3</v>
      </c>
      <c r="H18" s="43">
        <f>F18*G18</f>
        <v>120</v>
      </c>
      <c r="I18" s="43">
        <f t="shared" si="1"/>
        <v>12</v>
      </c>
      <c r="J18" s="43">
        <f>H18*0.05</f>
        <v>6</v>
      </c>
      <c r="K18" s="32">
        <f>(H18*'Base Data'!$C$5)+(I18*'Base Data'!$C$6)+(J18*'Base Data'!$C$7)</f>
        <v>13053.300000000001</v>
      </c>
      <c r="L18" s="32">
        <v>0</v>
      </c>
      <c r="M18" s="43">
        <v>0</v>
      </c>
      <c r="N18" s="122" t="s">
        <v>216</v>
      </c>
      <c r="O18" s="213"/>
      <c r="P18" s="219"/>
    </row>
    <row r="19" spans="1:16" s="4" customFormat="1" ht="9">
      <c r="A19" s="121" t="s">
        <v>242</v>
      </c>
      <c r="B19" s="28"/>
      <c r="C19" s="32"/>
      <c r="D19" s="32"/>
      <c r="E19" s="28"/>
      <c r="F19" s="28"/>
      <c r="G19" s="43"/>
      <c r="H19" s="43"/>
      <c r="I19" s="43"/>
      <c r="J19" s="43"/>
      <c r="K19" s="32"/>
      <c r="L19" s="32"/>
      <c r="M19" s="43"/>
      <c r="N19" s="122"/>
      <c r="O19" s="213"/>
      <c r="P19" s="219"/>
    </row>
    <row r="20" spans="1:16" s="4" customFormat="1" ht="9">
      <c r="A20" s="121" t="s">
        <v>243</v>
      </c>
      <c r="B20" s="28">
        <v>10</v>
      </c>
      <c r="C20" s="32">
        <v>0</v>
      </c>
      <c r="D20" s="32">
        <v>43100</v>
      </c>
      <c r="E20" s="28">
        <v>1</v>
      </c>
      <c r="F20" s="28">
        <f t="shared" si="2"/>
        <v>10</v>
      </c>
      <c r="G20" s="43">
        <f>$G$9</f>
        <v>3</v>
      </c>
      <c r="H20" s="43">
        <f>F20*G20</f>
        <v>30</v>
      </c>
      <c r="I20" s="43">
        <f t="shared" si="1"/>
        <v>3</v>
      </c>
      <c r="J20" s="43">
        <f>H20*0.05</f>
        <v>1.5</v>
      </c>
      <c r="K20" s="32">
        <f>(H20*'Base Data'!$C$5)+(I20*'Base Data'!$C$6)+(J20*'Base Data'!$C$7)</f>
        <v>3263.3250000000003</v>
      </c>
      <c r="L20" s="32">
        <f>D20*E20*G20</f>
        <v>129300</v>
      </c>
      <c r="M20" s="43">
        <v>0</v>
      </c>
      <c r="N20" s="122" t="s">
        <v>217</v>
      </c>
      <c r="O20" s="213"/>
      <c r="P20" s="219"/>
    </row>
    <row r="21" spans="1:16" s="4" customFormat="1" ht="9">
      <c r="A21" s="121" t="s">
        <v>244</v>
      </c>
      <c r="B21" s="28">
        <v>10</v>
      </c>
      <c r="C21" s="32">
        <v>0</v>
      </c>
      <c r="D21" s="32">
        <v>14700</v>
      </c>
      <c r="E21" s="28">
        <v>1</v>
      </c>
      <c r="F21" s="28">
        <f t="shared" si="2"/>
        <v>10</v>
      </c>
      <c r="G21" s="43">
        <f>$G$9</f>
        <v>3</v>
      </c>
      <c r="H21" s="43">
        <f>F21*G21</f>
        <v>30</v>
      </c>
      <c r="I21" s="43">
        <f t="shared" si="1"/>
        <v>3</v>
      </c>
      <c r="J21" s="43">
        <f>H21*0.05</f>
        <v>1.5</v>
      </c>
      <c r="K21" s="32">
        <f>(H21*'Base Data'!$C$5)+(I21*'Base Data'!$C$6)+(J21*'Base Data'!$C$7)</f>
        <v>3263.3250000000003</v>
      </c>
      <c r="L21" s="32">
        <f>D21*E21*G21</f>
        <v>44100</v>
      </c>
      <c r="M21" s="43">
        <v>0</v>
      </c>
      <c r="N21" s="122" t="s">
        <v>217</v>
      </c>
      <c r="O21" s="213"/>
      <c r="P21" s="219"/>
    </row>
    <row r="22" spans="1:16" s="4" customFormat="1" ht="18">
      <c r="A22" s="123" t="s">
        <v>3</v>
      </c>
      <c r="B22" s="28"/>
      <c r="C22" s="32"/>
      <c r="D22" s="32"/>
      <c r="E22" s="28"/>
      <c r="F22" s="28"/>
      <c r="G22" s="43"/>
      <c r="H22" s="43"/>
      <c r="I22" s="43"/>
      <c r="J22" s="43"/>
      <c r="K22" s="32"/>
      <c r="L22" s="32"/>
      <c r="M22" s="43"/>
      <c r="N22" s="122"/>
      <c r="O22" s="213"/>
      <c r="P22" s="219"/>
    </row>
    <row r="23" spans="1:16" s="46" customFormat="1" ht="9">
      <c r="A23" s="121" t="s">
        <v>243</v>
      </c>
      <c r="B23" s="28">
        <v>10</v>
      </c>
      <c r="C23" s="32">
        <v>0</v>
      </c>
      <c r="D23" s="32">
        <v>25500</v>
      </c>
      <c r="E23" s="28">
        <v>1</v>
      </c>
      <c r="F23" s="28">
        <f>B23*E23</f>
        <v>10</v>
      </c>
      <c r="G23" s="43">
        <v>0</v>
      </c>
      <c r="H23" s="43">
        <f>F23*G23</f>
        <v>0</v>
      </c>
      <c r="I23" s="43">
        <f t="shared" si="1"/>
        <v>0</v>
      </c>
      <c r="J23" s="43">
        <f>H23*0.05</f>
        <v>0</v>
      </c>
      <c r="K23" s="32">
        <f>(H23*'Base Data'!$C$5)+(I23*'Base Data'!$C$6)+(J23*'Base Data'!$C$7)</f>
        <v>0</v>
      </c>
      <c r="L23" s="32">
        <f>D23*E23*G23</f>
        <v>0</v>
      </c>
      <c r="M23" s="43">
        <v>0</v>
      </c>
      <c r="N23" s="122" t="s">
        <v>217</v>
      </c>
      <c r="O23" s="214"/>
      <c r="P23" s="220"/>
    </row>
    <row r="24" spans="1:16" s="46" customFormat="1" ht="9">
      <c r="A24" s="121" t="s">
        <v>244</v>
      </c>
      <c r="B24" s="28">
        <v>10</v>
      </c>
      <c r="C24" s="32">
        <v>0</v>
      </c>
      <c r="D24" s="32">
        <v>9700</v>
      </c>
      <c r="E24" s="28">
        <v>1</v>
      </c>
      <c r="F24" s="28">
        <f>B24*E24</f>
        <v>10</v>
      </c>
      <c r="G24" s="43">
        <f>'Fac-NewLrgSolid-Yr2'!G23+'Fac-NewLrgSolid-Yr2'!G24</f>
        <v>0</v>
      </c>
      <c r="H24" s="43">
        <f>F24*G24</f>
        <v>0</v>
      </c>
      <c r="I24" s="43">
        <f t="shared" si="1"/>
        <v>0</v>
      </c>
      <c r="J24" s="43">
        <f>H24*0.05</f>
        <v>0</v>
      </c>
      <c r="K24" s="32">
        <f>(H24*'Base Data'!$C$5)+(I24*'Base Data'!$C$6)+(J24*'Base Data'!$C$7)</f>
        <v>0</v>
      </c>
      <c r="L24" s="32">
        <f>D24*E24*G24</f>
        <v>0</v>
      </c>
      <c r="M24" s="43">
        <v>0</v>
      </c>
      <c r="N24" s="122" t="s">
        <v>217</v>
      </c>
      <c r="O24" s="214"/>
      <c r="P24" s="220"/>
    </row>
    <row r="25" spans="1:16" s="4" customFormat="1" ht="9">
      <c r="A25" s="121" t="s">
        <v>245</v>
      </c>
      <c r="B25" s="28" t="s">
        <v>264</v>
      </c>
      <c r="C25" s="32"/>
      <c r="D25" s="32"/>
      <c r="E25" s="28"/>
      <c r="F25" s="28"/>
      <c r="G25" s="43"/>
      <c r="H25" s="43"/>
      <c r="I25" s="43"/>
      <c r="J25" s="43"/>
      <c r="K25" s="32"/>
      <c r="L25" s="32"/>
      <c r="M25" s="43"/>
      <c r="N25" s="122"/>
      <c r="O25" s="213"/>
      <c r="P25" s="219"/>
    </row>
    <row r="26" spans="1:16" s="4" customFormat="1" ht="9">
      <c r="A26" s="121" t="s">
        <v>246</v>
      </c>
      <c r="B26" s="28" t="s">
        <v>264</v>
      </c>
      <c r="C26" s="32"/>
      <c r="D26" s="32"/>
      <c r="E26" s="28"/>
      <c r="F26" s="28"/>
      <c r="G26" s="43"/>
      <c r="H26" s="43"/>
      <c r="I26" s="43"/>
      <c r="J26" s="43"/>
      <c r="K26" s="32"/>
      <c r="L26" s="32"/>
      <c r="M26" s="43"/>
      <c r="N26" s="122"/>
      <c r="O26" s="213"/>
      <c r="P26" s="219"/>
    </row>
    <row r="27" spans="1:16" s="4" customFormat="1" ht="9">
      <c r="A27" s="121" t="s">
        <v>247</v>
      </c>
      <c r="B27" s="28"/>
      <c r="C27" s="32"/>
      <c r="D27" s="32"/>
      <c r="E27" s="28"/>
      <c r="F27" s="28"/>
      <c r="G27" s="43"/>
      <c r="H27" s="43"/>
      <c r="I27" s="43"/>
      <c r="J27" s="43"/>
      <c r="K27" s="32"/>
      <c r="L27" s="32"/>
      <c r="M27" s="43"/>
      <c r="N27" s="122"/>
      <c r="O27" s="213"/>
      <c r="P27" s="219"/>
    </row>
    <row r="28" spans="1:16" s="4" customFormat="1" ht="9">
      <c r="A28" s="125" t="s">
        <v>266</v>
      </c>
      <c r="B28" s="28">
        <v>2</v>
      </c>
      <c r="C28" s="32">
        <v>0</v>
      </c>
      <c r="D28" s="32">
        <v>0</v>
      </c>
      <c r="E28" s="28">
        <v>1</v>
      </c>
      <c r="F28" s="28">
        <f t="shared" si="2"/>
        <v>2</v>
      </c>
      <c r="G28" s="43">
        <f>ROUND(SUM('Base Data'!$H$40:$H$41)/3,0)</f>
        <v>10</v>
      </c>
      <c r="H28" s="43">
        <f>F28*G28</f>
        <v>20</v>
      </c>
      <c r="I28" s="43">
        <f t="shared" si="1"/>
        <v>2</v>
      </c>
      <c r="J28" s="43">
        <f>H28*0.05</f>
        <v>1</v>
      </c>
      <c r="K28" s="32">
        <f>(H28*'Base Data'!$C$5)+(I28*'Base Data'!$C$6)+(J28*'Base Data'!$C$7)</f>
        <v>2175.5499999999997</v>
      </c>
      <c r="L28" s="32">
        <v>0</v>
      </c>
      <c r="M28" s="43">
        <f>E28*G28</f>
        <v>10</v>
      </c>
      <c r="N28" s="122" t="s">
        <v>220</v>
      </c>
      <c r="O28" s="213"/>
      <c r="P28" s="219"/>
    </row>
    <row r="29" spans="1:16" s="4" customFormat="1" ht="9">
      <c r="A29" s="124" t="s">
        <v>208</v>
      </c>
      <c r="B29" s="28">
        <v>8</v>
      </c>
      <c r="C29" s="32">
        <v>0</v>
      </c>
      <c r="D29" s="32">
        <v>0</v>
      </c>
      <c r="E29" s="28">
        <v>1</v>
      </c>
      <c r="F29" s="28">
        <f t="shared" si="2"/>
        <v>8</v>
      </c>
      <c r="G29" s="43">
        <f>ROUND(SUM('Base Data'!$H$40:$H$41)/3,0)</f>
        <v>10</v>
      </c>
      <c r="H29" s="43">
        <f>F29*G29</f>
        <v>80</v>
      </c>
      <c r="I29" s="43">
        <f t="shared" si="1"/>
        <v>8</v>
      </c>
      <c r="J29" s="43">
        <f>H29*0.05</f>
        <v>4</v>
      </c>
      <c r="K29" s="32">
        <f>(H29*'Base Data'!$C$5)+(I29*'Base Data'!$C$6)+(J29*'Base Data'!$C$7)</f>
        <v>8702.1999999999989</v>
      </c>
      <c r="L29" s="32">
        <v>0</v>
      </c>
      <c r="M29" s="43">
        <f>E29*G29</f>
        <v>10</v>
      </c>
      <c r="N29" s="122" t="s">
        <v>220</v>
      </c>
      <c r="O29" s="213"/>
      <c r="P29" s="219"/>
    </row>
    <row r="30" spans="1:16" s="4" customFormat="1" ht="9">
      <c r="A30" s="125" t="s">
        <v>339</v>
      </c>
      <c r="B30" s="28">
        <v>30</v>
      </c>
      <c r="C30" s="32">
        <v>0</v>
      </c>
      <c r="D30" s="32">
        <v>0</v>
      </c>
      <c r="E30" s="28">
        <v>1</v>
      </c>
      <c r="F30" s="28">
        <f t="shared" si="2"/>
        <v>30</v>
      </c>
      <c r="G30" s="43">
        <f>ROUND(SUM('Base Data'!$H$40:$H$41)/3,0)+'Fac-NewLrgSolid-Yr2'!G30</f>
        <v>30</v>
      </c>
      <c r="H30" s="43">
        <f>F30*G30</f>
        <v>900</v>
      </c>
      <c r="I30" s="43">
        <f t="shared" si="1"/>
        <v>90</v>
      </c>
      <c r="J30" s="43">
        <f>H30*0.05</f>
        <v>45</v>
      </c>
      <c r="K30" s="32">
        <f>(H30*'Base Data'!$C$5)+(I30*'Base Data'!$C$6)+(J30*'Base Data'!$C$7)</f>
        <v>97899.75</v>
      </c>
      <c r="L30" s="32">
        <v>0</v>
      </c>
      <c r="M30" s="43">
        <f>E30*G30</f>
        <v>30</v>
      </c>
      <c r="N30" s="122" t="s">
        <v>214</v>
      </c>
      <c r="O30" s="213"/>
      <c r="P30" s="219"/>
    </row>
    <row r="31" spans="1:16" s="4" customFormat="1" ht="9">
      <c r="A31" s="126" t="s">
        <v>24</v>
      </c>
      <c r="B31" s="28"/>
      <c r="C31" s="32"/>
      <c r="D31" s="32"/>
      <c r="E31" s="28"/>
      <c r="F31" s="28"/>
      <c r="G31" s="43"/>
      <c r="H31" s="43">
        <f>SUM(H4:H18,H21:H30)</f>
        <v>1682</v>
      </c>
      <c r="I31" s="43">
        <f t="shared" ref="I31:J31" si="5">SUM(I4:I18,I21:I30)</f>
        <v>168.2</v>
      </c>
      <c r="J31" s="43">
        <f t="shared" si="5"/>
        <v>84.1</v>
      </c>
      <c r="K31" s="32">
        <f>SUM(K4:K18,K21:K30)</f>
        <v>182963.755</v>
      </c>
      <c r="L31" s="32">
        <f>SUM(L4:L18,L21:L30)</f>
        <v>132100</v>
      </c>
      <c r="M31" s="43">
        <f>SUM(M28:M30)</f>
        <v>50</v>
      </c>
      <c r="N31" s="122"/>
      <c r="O31" s="215" t="e">
        <f>SUM(L9:L16,L21,#REF!,L24)</f>
        <v>#REF!</v>
      </c>
      <c r="P31" s="221" t="e">
        <f>SUM(L20,#REF!,L23)</f>
        <v>#REF!</v>
      </c>
    </row>
    <row r="32" spans="1:16" s="4" customFormat="1" ht="9">
      <c r="A32" s="121" t="s">
        <v>261</v>
      </c>
      <c r="B32" s="28"/>
      <c r="C32" s="32"/>
      <c r="D32" s="32"/>
      <c r="E32" s="28"/>
      <c r="F32" s="28"/>
      <c r="G32" s="43"/>
      <c r="H32" s="43"/>
      <c r="I32" s="43"/>
      <c r="J32" s="43"/>
      <c r="K32" s="32"/>
      <c r="L32" s="32"/>
      <c r="M32" s="43"/>
      <c r="N32" s="122"/>
      <c r="O32" s="213"/>
      <c r="P32" s="219"/>
    </row>
    <row r="33" spans="1:16" s="4" customFormat="1" ht="9">
      <c r="A33" s="121" t="s">
        <v>248</v>
      </c>
      <c r="B33" s="28" t="s">
        <v>222</v>
      </c>
      <c r="C33" s="32"/>
      <c r="D33" s="32"/>
      <c r="E33" s="28"/>
      <c r="F33" s="28"/>
      <c r="G33" s="43"/>
      <c r="H33" s="43"/>
      <c r="I33" s="43"/>
      <c r="J33" s="43"/>
      <c r="K33" s="32"/>
      <c r="L33" s="32"/>
      <c r="M33" s="43"/>
      <c r="N33" s="122"/>
      <c r="O33" s="213"/>
      <c r="P33" s="219"/>
    </row>
    <row r="34" spans="1:16" s="4" customFormat="1" ht="9">
      <c r="A34" s="121" t="s">
        <v>249</v>
      </c>
      <c r="B34" s="28" t="s">
        <v>264</v>
      </c>
      <c r="C34" s="32"/>
      <c r="D34" s="32"/>
      <c r="E34" s="28"/>
      <c r="F34" s="28"/>
      <c r="G34" s="43"/>
      <c r="H34" s="43"/>
      <c r="I34" s="43"/>
      <c r="J34" s="43"/>
      <c r="K34" s="32"/>
      <c r="L34" s="32"/>
      <c r="M34" s="43"/>
      <c r="N34" s="122"/>
      <c r="O34" s="213"/>
      <c r="P34" s="219"/>
    </row>
    <row r="35" spans="1:16" s="4" customFormat="1" ht="9">
      <c r="A35" s="121" t="s">
        <v>250</v>
      </c>
      <c r="B35" s="28" t="s">
        <v>264</v>
      </c>
      <c r="C35" s="32"/>
      <c r="D35" s="32"/>
      <c r="E35" s="28"/>
      <c r="F35" s="28"/>
      <c r="G35" s="43"/>
      <c r="H35" s="43"/>
      <c r="I35" s="43"/>
      <c r="J35" s="43"/>
      <c r="K35" s="32"/>
      <c r="L35" s="32"/>
      <c r="M35" s="43"/>
      <c r="N35" s="122"/>
      <c r="O35" s="213"/>
      <c r="P35" s="219"/>
    </row>
    <row r="36" spans="1:16" s="4" customFormat="1" ht="9">
      <c r="A36" s="121" t="s">
        <v>251</v>
      </c>
      <c r="B36" s="28"/>
      <c r="C36" s="32"/>
      <c r="D36" s="32"/>
      <c r="E36" s="28"/>
      <c r="F36" s="28"/>
      <c r="G36" s="43"/>
      <c r="H36" s="43"/>
      <c r="I36" s="43"/>
      <c r="J36" s="43"/>
      <c r="K36" s="32"/>
      <c r="L36" s="32"/>
      <c r="M36" s="43"/>
      <c r="N36" s="122"/>
      <c r="O36" s="213"/>
      <c r="P36" s="219"/>
    </row>
    <row r="37" spans="1:16" s="4" customFormat="1" ht="9">
      <c r="A37" s="121" t="s">
        <v>257</v>
      </c>
      <c r="B37" s="28">
        <v>20</v>
      </c>
      <c r="C37" s="32">
        <v>0</v>
      </c>
      <c r="D37" s="32">
        <v>0</v>
      </c>
      <c r="E37" s="28">
        <v>1</v>
      </c>
      <c r="F37" s="28">
        <f t="shared" si="2"/>
        <v>20</v>
      </c>
      <c r="G37" s="43">
        <f>ROUND(SUM('Base Data'!$D$40:$D$41),0)</f>
        <v>60</v>
      </c>
      <c r="H37" s="43">
        <f t="shared" ref="H37:H42" si="6">F37*G37</f>
        <v>1200</v>
      </c>
      <c r="I37" s="43">
        <f t="shared" si="1"/>
        <v>120</v>
      </c>
      <c r="J37" s="43">
        <f t="shared" ref="J37:J42" si="7">H37*0.05</f>
        <v>60</v>
      </c>
      <c r="K37" s="32">
        <f>(H37*'Base Data'!$C$5)+(I37*'Base Data'!$C$6)+(J37*'Base Data'!$C$7)</f>
        <v>130533</v>
      </c>
      <c r="L37" s="32">
        <v>0</v>
      </c>
      <c r="M37" s="43">
        <v>0</v>
      </c>
      <c r="N37" s="122" t="s">
        <v>340</v>
      </c>
      <c r="O37" s="213"/>
      <c r="P37" s="219"/>
    </row>
    <row r="38" spans="1:16" s="4" customFormat="1" ht="9">
      <c r="A38" s="123" t="s">
        <v>318</v>
      </c>
      <c r="B38" s="28">
        <v>15</v>
      </c>
      <c r="C38" s="32">
        <v>0</v>
      </c>
      <c r="D38" s="32">
        <v>0</v>
      </c>
      <c r="E38" s="28">
        <v>1</v>
      </c>
      <c r="F38" s="28">
        <f t="shared" si="2"/>
        <v>15</v>
      </c>
      <c r="G38" s="43">
        <f>ROUND(SUM('Base Data'!$D$40:$D$41),0)</f>
        <v>60</v>
      </c>
      <c r="H38" s="43">
        <f t="shared" si="6"/>
        <v>900</v>
      </c>
      <c r="I38" s="43">
        <f t="shared" si="1"/>
        <v>90</v>
      </c>
      <c r="J38" s="43">
        <f t="shared" si="7"/>
        <v>45</v>
      </c>
      <c r="K38" s="32">
        <f>(H38*'Base Data'!$C$5)+(I38*'Base Data'!$C$6)+(J38*'Base Data'!$C$7)</f>
        <v>97899.75</v>
      </c>
      <c r="L38" s="32">
        <v>0</v>
      </c>
      <c r="M38" s="43">
        <v>0</v>
      </c>
      <c r="N38" s="122" t="s">
        <v>340</v>
      </c>
      <c r="O38" s="213"/>
      <c r="P38" s="219"/>
    </row>
    <row r="39" spans="1:16" s="4" customFormat="1" ht="9">
      <c r="A39" s="121" t="s">
        <v>254</v>
      </c>
      <c r="B39" s="28">
        <v>2</v>
      </c>
      <c r="C39" s="32">
        <v>0</v>
      </c>
      <c r="D39" s="32">
        <v>0</v>
      </c>
      <c r="E39" s="28">
        <v>1</v>
      </c>
      <c r="F39" s="28">
        <f t="shared" si="2"/>
        <v>2</v>
      </c>
      <c r="G39" s="43">
        <f>ROUND(SUM('Base Data'!$D$40:$D$41),0)</f>
        <v>60</v>
      </c>
      <c r="H39" s="43">
        <f t="shared" si="6"/>
        <v>120</v>
      </c>
      <c r="I39" s="43">
        <f t="shared" si="1"/>
        <v>12</v>
      </c>
      <c r="J39" s="43">
        <f t="shared" si="7"/>
        <v>6</v>
      </c>
      <c r="K39" s="32">
        <f>(H39*'Base Data'!$C$5)+(I39*'Base Data'!$C$6)+(J39*'Base Data'!$C$7)</f>
        <v>13053.300000000001</v>
      </c>
      <c r="L39" s="32">
        <v>0</v>
      </c>
      <c r="M39" s="43">
        <v>0</v>
      </c>
      <c r="N39" s="122" t="s">
        <v>340</v>
      </c>
      <c r="O39" s="213"/>
      <c r="P39" s="219"/>
    </row>
    <row r="40" spans="1:16" s="4" customFormat="1" ht="9">
      <c r="A40" s="123" t="s">
        <v>269</v>
      </c>
      <c r="B40" s="28">
        <v>2</v>
      </c>
      <c r="C40" s="32">
        <v>0</v>
      </c>
      <c r="D40" s="32">
        <v>0</v>
      </c>
      <c r="E40" s="28">
        <v>1</v>
      </c>
      <c r="F40" s="28">
        <f t="shared" si="2"/>
        <v>2</v>
      </c>
      <c r="G40" s="43">
        <f>ROUND(SUM('Base Data'!$D$40:$D$41),0)</f>
        <v>60</v>
      </c>
      <c r="H40" s="43">
        <f t="shared" si="6"/>
        <v>120</v>
      </c>
      <c r="I40" s="43">
        <f t="shared" si="1"/>
        <v>12</v>
      </c>
      <c r="J40" s="43">
        <f t="shared" si="7"/>
        <v>6</v>
      </c>
      <c r="K40" s="32">
        <f>(H40*'Base Data'!$C$5)+(I40*'Base Data'!$C$6)+(J40*'Base Data'!$C$7)</f>
        <v>13053.300000000001</v>
      </c>
      <c r="L40" s="32">
        <v>0</v>
      </c>
      <c r="M40" s="43">
        <v>0</v>
      </c>
      <c r="N40" s="122" t="s">
        <v>340</v>
      </c>
      <c r="O40" s="213"/>
      <c r="P40" s="219"/>
    </row>
    <row r="41" spans="1:16" s="4" customFormat="1" ht="9" customHeight="1">
      <c r="A41" s="123" t="s">
        <v>270</v>
      </c>
      <c r="B41" s="28">
        <v>2</v>
      </c>
      <c r="C41" s="32">
        <v>0</v>
      </c>
      <c r="D41" s="32">
        <v>0</v>
      </c>
      <c r="E41" s="28">
        <v>2</v>
      </c>
      <c r="F41" s="28">
        <f t="shared" si="2"/>
        <v>4</v>
      </c>
      <c r="G41" s="43">
        <f>ROUND(SUM('Base Data'!$D$40:$D$41),0)</f>
        <v>60</v>
      </c>
      <c r="H41" s="43">
        <f t="shared" si="6"/>
        <v>240</v>
      </c>
      <c r="I41" s="43">
        <f t="shared" si="1"/>
        <v>24</v>
      </c>
      <c r="J41" s="43">
        <f t="shared" si="7"/>
        <v>12</v>
      </c>
      <c r="K41" s="32">
        <f>(H41*'Base Data'!$C$5)+(I41*'Base Data'!$C$6)+(J41*'Base Data'!$C$7)</f>
        <v>26106.600000000002</v>
      </c>
      <c r="L41" s="32">
        <v>0</v>
      </c>
      <c r="M41" s="43">
        <v>0</v>
      </c>
      <c r="N41" s="122" t="s">
        <v>340</v>
      </c>
      <c r="O41" s="213"/>
      <c r="P41" s="219"/>
    </row>
    <row r="42" spans="1:16" s="4" customFormat="1" ht="9">
      <c r="A42" s="123" t="s">
        <v>271</v>
      </c>
      <c r="B42" s="28">
        <v>0.5</v>
      </c>
      <c r="C42" s="32">
        <v>0</v>
      </c>
      <c r="D42" s="32">
        <v>0</v>
      </c>
      <c r="E42" s="28">
        <v>12</v>
      </c>
      <c r="F42" s="28">
        <f t="shared" si="2"/>
        <v>6</v>
      </c>
      <c r="G42" s="43">
        <f>ROUND(SUM('Base Data'!$D$40:$D$41),0)</f>
        <v>60</v>
      </c>
      <c r="H42" s="43">
        <f t="shared" si="6"/>
        <v>360</v>
      </c>
      <c r="I42" s="43">
        <f t="shared" si="1"/>
        <v>36</v>
      </c>
      <c r="J42" s="43">
        <f t="shared" si="7"/>
        <v>18</v>
      </c>
      <c r="K42" s="32">
        <f>(H42*'Base Data'!$C$5)+(I42*'Base Data'!$C$6)+(J42*'Base Data'!$C$7)</f>
        <v>39159.9</v>
      </c>
      <c r="L42" s="32">
        <v>0</v>
      </c>
      <c r="M42" s="43">
        <v>0</v>
      </c>
      <c r="N42" s="122" t="s">
        <v>340</v>
      </c>
      <c r="O42" s="213"/>
      <c r="P42" s="219"/>
    </row>
    <row r="43" spans="1:16" s="4" customFormat="1" ht="9">
      <c r="A43" s="121" t="s">
        <v>255</v>
      </c>
      <c r="B43" s="28" t="s">
        <v>264</v>
      </c>
      <c r="C43" s="32"/>
      <c r="D43" s="32"/>
      <c r="E43" s="28"/>
      <c r="F43" s="28"/>
      <c r="G43" s="43"/>
      <c r="H43" s="43"/>
      <c r="I43" s="43"/>
      <c r="J43" s="43"/>
      <c r="K43" s="32"/>
      <c r="L43" s="32"/>
      <c r="M43" s="43"/>
      <c r="N43" s="122"/>
      <c r="O43" s="213"/>
      <c r="P43" s="219"/>
    </row>
    <row r="44" spans="1:16" s="4" customFormat="1" ht="9">
      <c r="A44" s="121" t="s">
        <v>256</v>
      </c>
      <c r="B44" s="28" t="s">
        <v>264</v>
      </c>
      <c r="C44" s="32"/>
      <c r="D44" s="32"/>
      <c r="E44" s="28"/>
      <c r="F44" s="28"/>
      <c r="G44" s="28"/>
      <c r="H44" s="43"/>
      <c r="I44" s="43"/>
      <c r="J44" s="43"/>
      <c r="K44" s="32"/>
      <c r="L44" s="32"/>
      <c r="M44" s="43"/>
      <c r="N44" s="122"/>
      <c r="O44" s="213"/>
      <c r="P44" s="219"/>
    </row>
    <row r="45" spans="1:16" s="4" customFormat="1" ht="9.75" thickBot="1">
      <c r="A45" s="366" t="s">
        <v>33</v>
      </c>
      <c r="B45" s="231"/>
      <c r="C45" s="139"/>
      <c r="D45" s="139"/>
      <c r="E45" s="231"/>
      <c r="F45" s="231"/>
      <c r="G45" s="231"/>
      <c r="H45" s="138">
        <f>SUM(H37:H44)</f>
        <v>2940</v>
      </c>
      <c r="I45" s="138">
        <f t="shared" ref="I45:M45" si="8">SUM(I37:I44)</f>
        <v>294</v>
      </c>
      <c r="J45" s="138">
        <f t="shared" si="8"/>
        <v>147</v>
      </c>
      <c r="K45" s="367">
        <f t="shared" si="8"/>
        <v>319805.84999999998</v>
      </c>
      <c r="L45" s="139">
        <f t="shared" si="8"/>
        <v>0</v>
      </c>
      <c r="M45" s="138">
        <f t="shared" si="8"/>
        <v>0</v>
      </c>
      <c r="N45" s="232"/>
      <c r="O45" s="213"/>
      <c r="P45" s="219"/>
    </row>
    <row r="46" spans="1:16" s="7" customFormat="1" ht="9.75" thickBot="1">
      <c r="A46" s="131" t="s">
        <v>236</v>
      </c>
      <c r="B46" s="368"/>
      <c r="C46" s="368"/>
      <c r="D46" s="368"/>
      <c r="E46" s="368"/>
      <c r="F46" s="368"/>
      <c r="G46" s="368"/>
      <c r="H46" s="135">
        <f t="shared" ref="H46:M46" si="9">SUM(H31,H45)</f>
        <v>4622</v>
      </c>
      <c r="I46" s="135">
        <f>SUM(I31,I45)</f>
        <v>462.2</v>
      </c>
      <c r="J46" s="135">
        <f t="shared" si="9"/>
        <v>231.1</v>
      </c>
      <c r="K46" s="136">
        <f t="shared" si="9"/>
        <v>502769.60499999998</v>
      </c>
      <c r="L46" s="136">
        <f t="shared" si="9"/>
        <v>132100</v>
      </c>
      <c r="M46" s="135">
        <f t="shared" si="9"/>
        <v>50</v>
      </c>
      <c r="N46" s="369"/>
    </row>
    <row r="47" spans="1:16" ht="19.5" customHeight="1">
      <c r="A47" s="413" t="s">
        <v>34</v>
      </c>
      <c r="B47" s="413"/>
      <c r="C47" s="413"/>
      <c r="D47" s="413"/>
      <c r="E47" s="413"/>
      <c r="F47" s="413"/>
      <c r="G47" s="413"/>
      <c r="H47" s="413"/>
      <c r="I47" s="413"/>
      <c r="J47" s="413"/>
      <c r="K47" s="413"/>
      <c r="L47" s="413"/>
      <c r="M47" s="413"/>
      <c r="N47" s="413"/>
    </row>
    <row r="48" spans="1:16">
      <c r="A48" s="33" t="s">
        <v>210</v>
      </c>
      <c r="B48" s="34"/>
      <c r="C48" s="34"/>
      <c r="D48" s="34"/>
      <c r="E48" s="34"/>
      <c r="F48" s="34"/>
      <c r="G48" s="34"/>
      <c r="H48" s="355"/>
      <c r="I48" s="355"/>
      <c r="J48" s="355"/>
      <c r="K48" s="355"/>
      <c r="L48" s="355"/>
      <c r="M48" s="355"/>
      <c r="N48" s="34"/>
    </row>
    <row r="49" spans="1:14" ht="24" customHeight="1">
      <c r="A49" s="404" t="s">
        <v>337</v>
      </c>
      <c r="B49" s="404"/>
      <c r="C49" s="404"/>
      <c r="D49" s="404"/>
      <c r="E49" s="404"/>
      <c r="F49" s="404"/>
      <c r="G49" s="404"/>
      <c r="H49" s="404"/>
      <c r="I49" s="404"/>
      <c r="J49" s="404"/>
      <c r="K49" s="404"/>
      <c r="L49" s="404"/>
      <c r="M49" s="404"/>
      <c r="N49" s="404"/>
    </row>
    <row r="50" spans="1:14">
      <c r="A50" s="411" t="s">
        <v>349</v>
      </c>
      <c r="B50" s="411"/>
      <c r="C50" s="411"/>
      <c r="D50" s="411"/>
      <c r="E50" s="411"/>
      <c r="F50" s="411"/>
      <c r="G50" s="411"/>
      <c r="H50" s="411"/>
      <c r="I50" s="411"/>
      <c r="J50" s="411"/>
      <c r="K50" s="411"/>
      <c r="L50" s="411"/>
      <c r="M50" s="411"/>
      <c r="N50" s="411"/>
    </row>
    <row r="51" spans="1:14">
      <c r="A51" s="411" t="s">
        <v>343</v>
      </c>
      <c r="B51" s="411"/>
      <c r="C51" s="411"/>
      <c r="D51" s="411"/>
      <c r="E51" s="411"/>
      <c r="F51" s="411"/>
      <c r="G51" s="411"/>
      <c r="H51" s="411"/>
      <c r="I51" s="411"/>
      <c r="J51" s="411"/>
      <c r="K51" s="411"/>
      <c r="L51" s="411"/>
      <c r="M51" s="411"/>
      <c r="N51" s="411"/>
    </row>
    <row r="52" spans="1:14" ht="22.5" customHeight="1">
      <c r="A52" s="404" t="s">
        <v>344</v>
      </c>
      <c r="B52" s="404"/>
      <c r="C52" s="404"/>
      <c r="D52" s="404"/>
      <c r="E52" s="404"/>
      <c r="F52" s="404"/>
      <c r="G52" s="404"/>
      <c r="H52" s="404"/>
      <c r="I52" s="404"/>
      <c r="J52" s="404"/>
      <c r="K52" s="404"/>
      <c r="L52" s="404"/>
      <c r="M52" s="404"/>
      <c r="N52" s="404"/>
    </row>
    <row r="53" spans="1:14">
      <c r="A53" s="33" t="s">
        <v>345</v>
      </c>
      <c r="B53" s="34"/>
      <c r="C53" s="34"/>
      <c r="D53" s="34"/>
      <c r="E53" s="34"/>
      <c r="F53" s="34"/>
      <c r="G53" s="34"/>
      <c r="H53" s="355"/>
      <c r="I53" s="355"/>
      <c r="J53" s="355"/>
      <c r="K53" s="355"/>
      <c r="L53" s="355"/>
      <c r="M53" s="355"/>
      <c r="N53" s="34"/>
    </row>
  </sheetData>
  <mergeCells count="7">
    <mergeCell ref="A51:N51"/>
    <mergeCell ref="A52:N52"/>
    <mergeCell ref="A1:N1"/>
    <mergeCell ref="A2:N2"/>
    <mergeCell ref="A47:N47"/>
    <mergeCell ref="A49:N49"/>
    <mergeCell ref="A50:N50"/>
  </mergeCells>
  <phoneticPr fontId="7" type="noConversion"/>
  <printOptions horizontalCentered="1"/>
  <pageMargins left="0" right="0" top="0.2" bottom="0.2" header="0.2" footer="0.2"/>
  <pageSetup scale="95" orientation="landscape" r:id="rId1"/>
  <headerFooter alignWithMargins="0"/>
</worksheet>
</file>

<file path=xl/worksheets/sheet14.xml><?xml version="1.0" encoding="utf-8"?>
<worksheet xmlns="http://schemas.openxmlformats.org/spreadsheetml/2006/main" xmlns:r="http://schemas.openxmlformats.org/officeDocument/2006/relationships">
  <sheetPr>
    <pageSetUpPr fitToPage="1"/>
  </sheetPr>
  <dimension ref="A1:P48"/>
  <sheetViews>
    <sheetView zoomScaleNormal="100" workbookViewId="0">
      <selection activeCell="A9" sqref="A9:A11"/>
    </sheetView>
  </sheetViews>
  <sheetFormatPr defaultRowHeight="11.25"/>
  <cols>
    <col min="1" max="1" width="33.42578125" style="1" customWidth="1"/>
    <col min="2" max="2" width="8.140625" style="5" customWidth="1"/>
    <col min="3" max="3" width="8" style="5" customWidth="1"/>
    <col min="4" max="4" width="8.140625" style="5" customWidth="1"/>
    <col min="5" max="5" width="8.28515625" style="5" customWidth="1"/>
    <col min="6" max="6" width="8.140625" style="5" customWidth="1"/>
    <col min="7" max="7" width="9" style="5" customWidth="1"/>
    <col min="8" max="8" width="6.85546875" style="6" customWidth="1"/>
    <col min="9" max="9" width="7" style="6" customWidth="1"/>
    <col min="10" max="10" width="8" style="6" customWidth="1"/>
    <col min="11" max="11" width="10.140625" style="6" customWidth="1"/>
    <col min="12" max="12" width="10.85546875" style="6" bestFit="1" customWidth="1"/>
    <col min="13" max="13" width="9" style="6" customWidth="1"/>
    <col min="14" max="14" width="4" style="5" customWidth="1"/>
    <col min="15" max="16" width="0" style="1" hidden="1" customWidth="1"/>
    <col min="17" max="16384" width="9.140625" style="1"/>
  </cols>
  <sheetData>
    <row r="1" spans="1:16" ht="12.75">
      <c r="A1" s="406" t="s">
        <v>212</v>
      </c>
      <c r="B1" s="410"/>
      <c r="C1" s="410"/>
      <c r="D1" s="410"/>
      <c r="E1" s="410"/>
      <c r="F1" s="410"/>
      <c r="G1" s="410"/>
      <c r="H1" s="410"/>
      <c r="I1" s="410"/>
      <c r="J1" s="410"/>
      <c r="K1" s="410"/>
      <c r="L1" s="410"/>
      <c r="M1" s="410"/>
      <c r="N1" s="410"/>
    </row>
    <row r="2" spans="1:16" ht="12" thickBot="1">
      <c r="A2" s="412" t="s">
        <v>39</v>
      </c>
      <c r="B2" s="412"/>
      <c r="C2" s="412"/>
      <c r="D2" s="412"/>
      <c r="E2" s="412"/>
      <c r="F2" s="412"/>
      <c r="G2" s="412"/>
      <c r="H2" s="412"/>
      <c r="I2" s="412"/>
      <c r="J2" s="412"/>
      <c r="K2" s="412"/>
      <c r="L2" s="412"/>
      <c r="M2" s="412"/>
      <c r="N2" s="412"/>
    </row>
    <row r="3" spans="1:16" s="3" customFormat="1" ht="63.75" thickBot="1">
      <c r="A3" s="143" t="s">
        <v>229</v>
      </c>
      <c r="B3" s="218" t="s">
        <v>230</v>
      </c>
      <c r="C3" s="218" t="s">
        <v>30</v>
      </c>
      <c r="D3" s="218" t="s">
        <v>259</v>
      </c>
      <c r="E3" s="218" t="s">
        <v>260</v>
      </c>
      <c r="F3" s="218" t="s">
        <v>263</v>
      </c>
      <c r="G3" s="218" t="s">
        <v>265</v>
      </c>
      <c r="H3" s="233" t="s">
        <v>13</v>
      </c>
      <c r="I3" s="233" t="s">
        <v>14</v>
      </c>
      <c r="J3" s="233" t="s">
        <v>15</v>
      </c>
      <c r="K3" s="233" t="s">
        <v>85</v>
      </c>
      <c r="L3" s="233" t="s">
        <v>376</v>
      </c>
      <c r="M3" s="233" t="s">
        <v>365</v>
      </c>
      <c r="N3" s="354" t="s">
        <v>231</v>
      </c>
      <c r="O3" s="3" t="s">
        <v>86</v>
      </c>
    </row>
    <row r="4" spans="1:16" s="4" customFormat="1" ht="9">
      <c r="A4" s="234" t="s">
        <v>237</v>
      </c>
      <c r="B4" s="235" t="s">
        <v>264</v>
      </c>
      <c r="C4" s="236"/>
      <c r="D4" s="236"/>
      <c r="E4" s="235"/>
      <c r="F4" s="235"/>
      <c r="G4" s="235"/>
      <c r="H4" s="237"/>
      <c r="I4" s="237"/>
      <c r="J4" s="237"/>
      <c r="K4" s="236"/>
      <c r="L4" s="236"/>
      <c r="M4" s="237"/>
      <c r="N4" s="229"/>
      <c r="O4" s="213"/>
      <c r="P4" s="219"/>
    </row>
    <row r="5" spans="1:16" s="4" customFormat="1" ht="9">
      <c r="A5" s="121" t="s">
        <v>238</v>
      </c>
      <c r="B5" s="28" t="s">
        <v>264</v>
      </c>
      <c r="C5" s="32"/>
      <c r="D5" s="32"/>
      <c r="E5" s="28"/>
      <c r="F5" s="28"/>
      <c r="G5" s="28"/>
      <c r="H5" s="43"/>
      <c r="I5" s="43"/>
      <c r="J5" s="43"/>
      <c r="K5" s="32"/>
      <c r="L5" s="32"/>
      <c r="M5" s="43"/>
      <c r="N5" s="122"/>
      <c r="O5" s="213"/>
      <c r="P5" s="219"/>
    </row>
    <row r="6" spans="1:16" s="4" customFormat="1" ht="9">
      <c r="A6" s="121" t="s">
        <v>239</v>
      </c>
      <c r="B6" s="28"/>
      <c r="C6" s="32"/>
      <c r="D6" s="32"/>
      <c r="E6" s="28"/>
      <c r="F6" s="28"/>
      <c r="G6" s="28"/>
      <c r="H6" s="43"/>
      <c r="I6" s="43"/>
      <c r="J6" s="43"/>
      <c r="K6" s="32"/>
      <c r="L6" s="32"/>
      <c r="M6" s="43"/>
      <c r="N6" s="122"/>
      <c r="O6" s="213"/>
      <c r="P6" s="219"/>
    </row>
    <row r="7" spans="1:16" s="4" customFormat="1" ht="9">
      <c r="A7" s="123" t="s">
        <v>240</v>
      </c>
      <c r="B7" s="28">
        <v>40</v>
      </c>
      <c r="C7" s="32">
        <v>0</v>
      </c>
      <c r="D7" s="32">
        <v>0</v>
      </c>
      <c r="E7" s="28">
        <v>1</v>
      </c>
      <c r="F7" s="28">
        <f>B7*E7</f>
        <v>40</v>
      </c>
      <c r="G7" s="43">
        <f>ROUND('Base Data'!$H$44/3,0)</f>
        <v>81</v>
      </c>
      <c r="H7" s="43">
        <f>F7*G7</f>
        <v>3240</v>
      </c>
      <c r="I7" s="43">
        <f>H7*0.1</f>
        <v>324</v>
      </c>
      <c r="J7" s="43">
        <f>H7*0.05</f>
        <v>162</v>
      </c>
      <c r="K7" s="32">
        <f>(H7*'Base Data'!$C$5)+(I7*'Base Data'!$C$6)+(J7*'Base Data'!$C$7)</f>
        <v>352439.1</v>
      </c>
      <c r="L7" s="32">
        <v>0</v>
      </c>
      <c r="M7" s="43">
        <v>0</v>
      </c>
      <c r="N7" s="122" t="s">
        <v>220</v>
      </c>
      <c r="O7" s="213"/>
      <c r="P7" s="219"/>
    </row>
    <row r="8" spans="1:16" s="4" customFormat="1" ht="9">
      <c r="A8" s="121" t="s">
        <v>241</v>
      </c>
      <c r="B8" s="28"/>
      <c r="C8" s="32"/>
      <c r="D8" s="32"/>
      <c r="E8" s="28"/>
      <c r="F8" s="28"/>
      <c r="G8" s="43"/>
      <c r="H8" s="43"/>
      <c r="I8" s="43"/>
      <c r="J8" s="43"/>
      <c r="K8" s="32"/>
      <c r="L8" s="32"/>
      <c r="M8" s="43"/>
      <c r="N8" s="122"/>
      <c r="O8" s="213"/>
      <c r="P8" s="219"/>
    </row>
    <row r="9" spans="1:16" s="4" customFormat="1" ht="9">
      <c r="A9" s="123" t="s">
        <v>223</v>
      </c>
      <c r="B9" s="28">
        <v>12</v>
      </c>
      <c r="C9" s="32">
        <v>8000</v>
      </c>
      <c r="D9" s="32">
        <v>0</v>
      </c>
      <c r="E9" s="28">
        <v>1</v>
      </c>
      <c r="F9" s="28">
        <f>B9*E9</f>
        <v>12</v>
      </c>
      <c r="G9" s="43">
        <f>ROUND('Base Data'!$D$44/3,0)</f>
        <v>162</v>
      </c>
      <c r="H9" s="43">
        <f>F9*G9</f>
        <v>1944</v>
      </c>
      <c r="I9" s="43">
        <f t="shared" ref="I9:I36" si="0">H9*0.1</f>
        <v>194.4</v>
      </c>
      <c r="J9" s="43">
        <f>H9*0.05</f>
        <v>97.2</v>
      </c>
      <c r="K9" s="32">
        <f>(H9*'Base Data'!$C$5)+(I9*'Base Data'!$C$6)+(J9*'Base Data'!$C$7)</f>
        <v>211463.46000000002</v>
      </c>
      <c r="L9" s="32">
        <f>C9*E9*G9</f>
        <v>1296000</v>
      </c>
      <c r="M9" s="43">
        <v>0</v>
      </c>
      <c r="N9" s="122" t="s">
        <v>211</v>
      </c>
      <c r="O9" s="213"/>
      <c r="P9" s="219"/>
    </row>
    <row r="10" spans="1:16" s="4" customFormat="1" ht="9">
      <c r="A10" s="123" t="s">
        <v>350</v>
      </c>
      <c r="B10" s="28">
        <v>12</v>
      </c>
      <c r="C10" s="32">
        <v>8000</v>
      </c>
      <c r="D10" s="32">
        <v>0</v>
      </c>
      <c r="E10" s="28">
        <v>1</v>
      </c>
      <c r="F10" s="28">
        <f t="shared" ref="F10:F36" si="1">B10*E10</f>
        <v>12</v>
      </c>
      <c r="G10" s="43">
        <v>0</v>
      </c>
      <c r="H10" s="43">
        <f>F10*G10</f>
        <v>0</v>
      </c>
      <c r="I10" s="43">
        <f t="shared" si="0"/>
        <v>0</v>
      </c>
      <c r="J10" s="43">
        <f>H10*0.05</f>
        <v>0</v>
      </c>
      <c r="K10" s="32">
        <f>(H10*'Base Data'!$C$5)+(I10*'Base Data'!$C$6)+(J10*'Base Data'!$C$7)</f>
        <v>0</v>
      </c>
      <c r="L10" s="32">
        <f>C10*E10*G10</f>
        <v>0</v>
      </c>
      <c r="M10" s="43">
        <v>0</v>
      </c>
      <c r="N10" s="122" t="s">
        <v>205</v>
      </c>
      <c r="O10" s="213"/>
      <c r="P10" s="219"/>
    </row>
    <row r="11" spans="1:16" s="4" customFormat="1" ht="9">
      <c r="A11" s="123" t="s">
        <v>351</v>
      </c>
      <c r="B11" s="28"/>
      <c r="C11" s="32"/>
      <c r="D11" s="32"/>
      <c r="E11" s="28"/>
      <c r="F11" s="28"/>
      <c r="G11" s="43"/>
      <c r="H11" s="43"/>
      <c r="I11" s="43"/>
      <c r="J11" s="43"/>
      <c r="K11" s="32"/>
      <c r="L11" s="32"/>
      <c r="M11" s="43"/>
      <c r="N11" s="122"/>
      <c r="O11" s="213"/>
      <c r="P11" s="219"/>
    </row>
    <row r="12" spans="1:16" s="4" customFormat="1" ht="9">
      <c r="A12" s="123" t="s">
        <v>262</v>
      </c>
      <c r="B12" s="28">
        <v>40</v>
      </c>
      <c r="C12" s="32">
        <v>0</v>
      </c>
      <c r="D12" s="32">
        <v>0</v>
      </c>
      <c r="E12" s="28">
        <v>1</v>
      </c>
      <c r="F12" s="28">
        <f t="shared" si="1"/>
        <v>40</v>
      </c>
      <c r="G12" s="43">
        <f>ROUND('Base Data'!$H$44/3,0)</f>
        <v>81</v>
      </c>
      <c r="H12" s="43">
        <f>F12*G12</f>
        <v>3240</v>
      </c>
      <c r="I12" s="43">
        <f t="shared" si="0"/>
        <v>324</v>
      </c>
      <c r="J12" s="43">
        <f>H12*0.05</f>
        <v>162</v>
      </c>
      <c r="K12" s="32">
        <f>(H12*'Base Data'!$C$5)+(I12*'Base Data'!$C$6)+(J12*'Base Data'!$C$7)</f>
        <v>352439.1</v>
      </c>
      <c r="L12" s="32">
        <v>0</v>
      </c>
      <c r="M12" s="43">
        <v>0</v>
      </c>
      <c r="N12" s="122" t="s">
        <v>216</v>
      </c>
      <c r="O12" s="213"/>
      <c r="P12" s="219"/>
    </row>
    <row r="13" spans="1:16" s="4" customFormat="1" ht="9">
      <c r="A13" s="121" t="s">
        <v>242</v>
      </c>
      <c r="B13" s="28"/>
      <c r="C13" s="32"/>
      <c r="D13" s="32"/>
      <c r="E13" s="28"/>
      <c r="F13" s="28"/>
      <c r="G13" s="43"/>
      <c r="H13" s="43"/>
      <c r="I13" s="43"/>
      <c r="J13" s="43"/>
      <c r="K13" s="32"/>
      <c r="L13" s="32"/>
      <c r="M13" s="43"/>
      <c r="N13" s="122"/>
      <c r="O13" s="213"/>
      <c r="P13" s="219"/>
    </row>
    <row r="14" spans="1:16" s="4" customFormat="1" ht="9">
      <c r="A14" s="121" t="s">
        <v>243</v>
      </c>
      <c r="B14" s="28">
        <v>10</v>
      </c>
      <c r="C14" s="32">
        <v>0</v>
      </c>
      <c r="D14" s="32">
        <v>43100</v>
      </c>
      <c r="E14" s="28">
        <v>1</v>
      </c>
      <c r="F14" s="28">
        <f t="shared" si="1"/>
        <v>10</v>
      </c>
      <c r="G14" s="43">
        <f>ROUND('Base Data'!$G$50/3,0)</f>
        <v>147</v>
      </c>
      <c r="H14" s="43">
        <f>F14*G14</f>
        <v>1470</v>
      </c>
      <c r="I14" s="43">
        <f t="shared" si="0"/>
        <v>147</v>
      </c>
      <c r="J14" s="43">
        <f>H14*0.05</f>
        <v>73.5</v>
      </c>
      <c r="K14" s="32">
        <f>(H14*'Base Data'!$C$5)+(I14*'Base Data'!$C$6)+(J14*'Base Data'!$C$7)</f>
        <v>159902.92499999999</v>
      </c>
      <c r="L14" s="32">
        <f>D14*E14*G14</f>
        <v>6335700</v>
      </c>
      <c r="M14" s="43">
        <v>0</v>
      </c>
      <c r="N14" s="122"/>
      <c r="O14" s="213"/>
      <c r="P14" s="219"/>
    </row>
    <row r="15" spans="1:16" s="4" customFormat="1" ht="9">
      <c r="A15" s="121" t="s">
        <v>244</v>
      </c>
      <c r="B15" s="28">
        <v>10</v>
      </c>
      <c r="C15" s="32">
        <v>0</v>
      </c>
      <c r="D15" s="32">
        <v>14700</v>
      </c>
      <c r="E15" s="28">
        <v>1</v>
      </c>
      <c r="F15" s="28">
        <f t="shared" si="1"/>
        <v>10</v>
      </c>
      <c r="G15" s="43">
        <f>ROUND('Base Data'!$G$50/3,0)</f>
        <v>147</v>
      </c>
      <c r="H15" s="43">
        <f>F15*G15</f>
        <v>1470</v>
      </c>
      <c r="I15" s="43">
        <f t="shared" si="0"/>
        <v>147</v>
      </c>
      <c r="J15" s="43">
        <f>H15*0.05</f>
        <v>73.5</v>
      </c>
      <c r="K15" s="32">
        <f>(H15*'Base Data'!$C$5)+(I15*'Base Data'!$C$6)+(J15*'Base Data'!$C$7)</f>
        <v>159902.92499999999</v>
      </c>
      <c r="L15" s="32">
        <f>D15*E15*G15</f>
        <v>2160900</v>
      </c>
      <c r="M15" s="43">
        <v>0</v>
      </c>
      <c r="N15" s="122"/>
      <c r="O15" s="213"/>
      <c r="P15" s="219"/>
    </row>
    <row r="16" spans="1:16" s="4" customFormat="1" ht="18">
      <c r="A16" s="123" t="s">
        <v>3</v>
      </c>
      <c r="B16" s="28"/>
      <c r="C16" s="32"/>
      <c r="D16" s="32"/>
      <c r="E16" s="28"/>
      <c r="F16" s="28"/>
      <c r="G16" s="43"/>
      <c r="H16" s="43"/>
      <c r="I16" s="43"/>
      <c r="J16" s="43"/>
      <c r="K16" s="32"/>
      <c r="L16" s="32"/>
      <c r="M16" s="43"/>
      <c r="N16" s="122"/>
      <c r="O16" s="213"/>
      <c r="P16" s="219"/>
    </row>
    <row r="17" spans="1:16" s="46" customFormat="1" ht="9">
      <c r="A17" s="121" t="s">
        <v>243</v>
      </c>
      <c r="B17" s="28">
        <v>10</v>
      </c>
      <c r="C17" s="32">
        <v>0</v>
      </c>
      <c r="D17" s="32">
        <v>25500</v>
      </c>
      <c r="E17" s="28">
        <v>1</v>
      </c>
      <c r="F17" s="28">
        <f>B17*E17</f>
        <v>10</v>
      </c>
      <c r="G17" s="43">
        <f>ROUND('Base Data'!$C$49/3,0)</f>
        <v>15</v>
      </c>
      <c r="H17" s="43">
        <f>F17*G17</f>
        <v>150</v>
      </c>
      <c r="I17" s="43">
        <f t="shared" si="0"/>
        <v>15</v>
      </c>
      <c r="J17" s="43">
        <f>H17*0.05</f>
        <v>7.5</v>
      </c>
      <c r="K17" s="32">
        <f>(H17*'Base Data'!$C$5)+(I17*'Base Data'!$C$6)+(J17*'Base Data'!$C$7)</f>
        <v>16316.625</v>
      </c>
      <c r="L17" s="32">
        <f>D17*E17*G17</f>
        <v>382500</v>
      </c>
      <c r="M17" s="43">
        <v>0</v>
      </c>
      <c r="N17" s="122"/>
      <c r="O17" s="214"/>
      <c r="P17" s="220"/>
    </row>
    <row r="18" spans="1:16" s="46" customFormat="1" ht="9">
      <c r="A18" s="121" t="s">
        <v>244</v>
      </c>
      <c r="B18" s="28">
        <v>10</v>
      </c>
      <c r="C18" s="32">
        <v>0</v>
      </c>
      <c r="D18" s="32">
        <v>9700</v>
      </c>
      <c r="E18" s="28">
        <v>1</v>
      </c>
      <c r="F18" s="28">
        <f>B18*E18</f>
        <v>10</v>
      </c>
      <c r="G18" s="43">
        <f>ROUND('Base Data'!$C$49/3,0)</f>
        <v>15</v>
      </c>
      <c r="H18" s="43">
        <f>F18*G18</f>
        <v>150</v>
      </c>
      <c r="I18" s="43">
        <f t="shared" si="0"/>
        <v>15</v>
      </c>
      <c r="J18" s="43">
        <f>H18*0.05</f>
        <v>7.5</v>
      </c>
      <c r="K18" s="32">
        <f>(H18*'Base Data'!$C$5)+(I18*'Base Data'!$C$6)+(J18*'Base Data'!$C$7)</f>
        <v>16316.625</v>
      </c>
      <c r="L18" s="32">
        <f>D18*E18*G18</f>
        <v>145500</v>
      </c>
      <c r="M18" s="43">
        <v>0</v>
      </c>
      <c r="N18" s="122"/>
      <c r="O18" s="214"/>
      <c r="P18" s="220"/>
    </row>
    <row r="19" spans="1:16" s="4" customFormat="1" ht="9">
      <c r="A19" s="121" t="s">
        <v>245</v>
      </c>
      <c r="B19" s="28" t="s">
        <v>264</v>
      </c>
      <c r="C19" s="32"/>
      <c r="D19" s="32"/>
      <c r="E19" s="28"/>
      <c r="F19" s="28"/>
      <c r="G19" s="43"/>
      <c r="H19" s="43"/>
      <c r="I19" s="43"/>
      <c r="J19" s="43"/>
      <c r="K19" s="32"/>
      <c r="L19" s="32"/>
      <c r="M19" s="43"/>
      <c r="N19" s="122"/>
      <c r="O19" s="213"/>
      <c r="P19" s="219"/>
    </row>
    <row r="20" spans="1:16" s="4" customFormat="1" ht="9">
      <c r="A20" s="121" t="s">
        <v>246</v>
      </c>
      <c r="B20" s="28" t="s">
        <v>264</v>
      </c>
      <c r="C20" s="32"/>
      <c r="D20" s="32"/>
      <c r="E20" s="28"/>
      <c r="F20" s="28"/>
      <c r="G20" s="43"/>
      <c r="H20" s="43"/>
      <c r="I20" s="43"/>
      <c r="J20" s="43"/>
      <c r="K20" s="32"/>
      <c r="L20" s="32"/>
      <c r="M20" s="43"/>
      <c r="N20" s="122"/>
      <c r="O20" s="213"/>
      <c r="P20" s="219"/>
    </row>
    <row r="21" spans="1:16" s="4" customFormat="1" ht="9">
      <c r="A21" s="121" t="s">
        <v>247</v>
      </c>
      <c r="B21" s="28"/>
      <c r="C21" s="32"/>
      <c r="D21" s="32"/>
      <c r="E21" s="28"/>
      <c r="F21" s="28"/>
      <c r="G21" s="43"/>
      <c r="H21" s="43"/>
      <c r="I21" s="43"/>
      <c r="J21" s="43"/>
      <c r="K21" s="32"/>
      <c r="L21" s="32"/>
      <c r="M21" s="43"/>
      <c r="N21" s="122"/>
      <c r="O21" s="213"/>
      <c r="P21" s="219"/>
    </row>
    <row r="22" spans="1:16" s="4" customFormat="1" ht="9">
      <c r="A22" s="125" t="s">
        <v>266</v>
      </c>
      <c r="B22" s="28">
        <v>2</v>
      </c>
      <c r="C22" s="32">
        <v>0</v>
      </c>
      <c r="D22" s="32">
        <v>0</v>
      </c>
      <c r="E22" s="28">
        <v>1</v>
      </c>
      <c r="F22" s="28">
        <f t="shared" si="1"/>
        <v>2</v>
      </c>
      <c r="G22" s="43">
        <f>ROUND('Base Data'!$H$44/3,0)</f>
        <v>81</v>
      </c>
      <c r="H22" s="43">
        <f>F22*G22</f>
        <v>162</v>
      </c>
      <c r="I22" s="43">
        <f t="shared" si="0"/>
        <v>16.2</v>
      </c>
      <c r="J22" s="43">
        <f>H22*0.05</f>
        <v>8.1</v>
      </c>
      <c r="K22" s="32">
        <f>(H22*'Base Data'!$C$5)+(I22*'Base Data'!$C$6)+(J22*'Base Data'!$C$7)</f>
        <v>17621.954999999998</v>
      </c>
      <c r="L22" s="32">
        <v>0</v>
      </c>
      <c r="M22" s="43">
        <f>E22*G22</f>
        <v>81</v>
      </c>
      <c r="N22" s="122" t="s">
        <v>220</v>
      </c>
      <c r="O22" s="213"/>
      <c r="P22" s="219"/>
    </row>
    <row r="23" spans="1:16" s="4" customFormat="1" ht="9">
      <c r="A23" s="124" t="s">
        <v>208</v>
      </c>
      <c r="B23" s="28">
        <v>8</v>
      </c>
      <c r="C23" s="32">
        <v>0</v>
      </c>
      <c r="D23" s="32">
        <v>0</v>
      </c>
      <c r="E23" s="28">
        <v>1</v>
      </c>
      <c r="F23" s="28">
        <f t="shared" si="1"/>
        <v>8</v>
      </c>
      <c r="G23" s="43">
        <f>ROUND('Base Data'!$H$44/3,0)</f>
        <v>81</v>
      </c>
      <c r="H23" s="43">
        <f>F23*G23</f>
        <v>648</v>
      </c>
      <c r="I23" s="43">
        <f t="shared" si="0"/>
        <v>64.8</v>
      </c>
      <c r="J23" s="43">
        <f>H23*0.05</f>
        <v>32.4</v>
      </c>
      <c r="K23" s="32">
        <f>(H23*'Base Data'!$C$5)+(I23*'Base Data'!$C$6)+(J23*'Base Data'!$C$7)</f>
        <v>70487.819999999992</v>
      </c>
      <c r="L23" s="32">
        <v>0</v>
      </c>
      <c r="M23" s="43">
        <f>E23*G23</f>
        <v>81</v>
      </c>
      <c r="N23" s="122" t="s">
        <v>220</v>
      </c>
      <c r="O23" s="213"/>
      <c r="P23" s="219"/>
    </row>
    <row r="24" spans="1:16" s="4" customFormat="1" ht="9">
      <c r="A24" s="125" t="s">
        <v>339</v>
      </c>
      <c r="B24" s="28">
        <v>30</v>
      </c>
      <c r="C24" s="32">
        <v>0</v>
      </c>
      <c r="D24" s="32">
        <v>0</v>
      </c>
      <c r="E24" s="28">
        <v>1</v>
      </c>
      <c r="F24" s="28">
        <f t="shared" si="1"/>
        <v>30</v>
      </c>
      <c r="G24" s="43">
        <f>ROUND('Base Data'!$H$44/3,0)</f>
        <v>81</v>
      </c>
      <c r="H24" s="43">
        <f>F24*G24</f>
        <v>2430</v>
      </c>
      <c r="I24" s="43">
        <f t="shared" si="0"/>
        <v>243</v>
      </c>
      <c r="J24" s="43">
        <f>H24*0.05</f>
        <v>121.5</v>
      </c>
      <c r="K24" s="32">
        <f>(H24*'Base Data'!$C$5)+(I24*'Base Data'!$C$6)+(J24*'Base Data'!$C$7)</f>
        <v>264329.32500000001</v>
      </c>
      <c r="L24" s="32">
        <v>0</v>
      </c>
      <c r="M24" s="43">
        <f>E24*G24</f>
        <v>81</v>
      </c>
      <c r="N24" s="122" t="s">
        <v>214</v>
      </c>
      <c r="O24" s="213"/>
      <c r="P24" s="219"/>
    </row>
    <row r="25" spans="1:16" s="4" customFormat="1" ht="9">
      <c r="A25" s="126" t="s">
        <v>24</v>
      </c>
      <c r="B25" s="28"/>
      <c r="C25" s="32"/>
      <c r="D25" s="32"/>
      <c r="E25" s="28"/>
      <c r="F25" s="28"/>
      <c r="G25" s="43"/>
      <c r="H25" s="43">
        <f>SUM(H7:H13,H18:H24,H15)</f>
        <v>13284</v>
      </c>
      <c r="I25" s="43">
        <f t="shared" ref="I25:J25" si="2">SUM(I7:I13,I18:I24,I15)</f>
        <v>1328.4</v>
      </c>
      <c r="J25" s="43">
        <f t="shared" si="2"/>
        <v>664.2</v>
      </c>
      <c r="K25" s="32">
        <f>SUM(K7:K13,K18:K24,K15)</f>
        <v>1445000.31</v>
      </c>
      <c r="L25" s="32">
        <f>SUM(L7:L13,L18:L24,L15)</f>
        <v>3602400</v>
      </c>
      <c r="M25" s="43">
        <f>SUM(M22:M24)</f>
        <v>243</v>
      </c>
      <c r="N25" s="122"/>
      <c r="O25" s="215" t="e">
        <f>SUM(L9:L10,L15,#REF!,L18)</f>
        <v>#REF!</v>
      </c>
      <c r="P25" s="221" t="e">
        <f>SUM(#REF!,L17,L14)</f>
        <v>#REF!</v>
      </c>
    </row>
    <row r="26" spans="1:16" s="4" customFormat="1" ht="9">
      <c r="A26" s="121" t="s">
        <v>261</v>
      </c>
      <c r="B26" s="28"/>
      <c r="C26" s="32"/>
      <c r="D26" s="32"/>
      <c r="E26" s="28"/>
      <c r="F26" s="28"/>
      <c r="G26" s="43"/>
      <c r="H26" s="43"/>
      <c r="I26" s="43"/>
      <c r="J26" s="43"/>
      <c r="K26" s="32"/>
      <c r="L26" s="32"/>
      <c r="M26" s="43"/>
      <c r="N26" s="122"/>
      <c r="O26" s="213"/>
      <c r="P26" s="219"/>
    </row>
    <row r="27" spans="1:16" s="4" customFormat="1" ht="9">
      <c r="A27" s="121" t="s">
        <v>248</v>
      </c>
      <c r="B27" s="28" t="s">
        <v>222</v>
      </c>
      <c r="C27" s="32"/>
      <c r="D27" s="32"/>
      <c r="E27" s="28"/>
      <c r="F27" s="28"/>
      <c r="G27" s="43"/>
      <c r="H27" s="43"/>
      <c r="I27" s="43"/>
      <c r="J27" s="43"/>
      <c r="K27" s="32"/>
      <c r="L27" s="32"/>
      <c r="M27" s="43"/>
      <c r="N27" s="122"/>
      <c r="O27" s="213"/>
      <c r="P27" s="219"/>
    </row>
    <row r="28" spans="1:16" s="4" customFormat="1" ht="9">
      <c r="A28" s="121" t="s">
        <v>249</v>
      </c>
      <c r="B28" s="28" t="s">
        <v>264</v>
      </c>
      <c r="C28" s="32"/>
      <c r="D28" s="32"/>
      <c r="E28" s="28"/>
      <c r="F28" s="28"/>
      <c r="G28" s="43"/>
      <c r="H28" s="43"/>
      <c r="I28" s="43"/>
      <c r="J28" s="43"/>
      <c r="K28" s="32"/>
      <c r="L28" s="32"/>
      <c r="M28" s="43"/>
      <c r="N28" s="122"/>
      <c r="O28" s="213"/>
      <c r="P28" s="219"/>
    </row>
    <row r="29" spans="1:16" s="4" customFormat="1" ht="9">
      <c r="A29" s="121" t="s">
        <v>250</v>
      </c>
      <c r="B29" s="28" t="s">
        <v>264</v>
      </c>
      <c r="C29" s="32"/>
      <c r="D29" s="32"/>
      <c r="E29" s="28"/>
      <c r="F29" s="28"/>
      <c r="G29" s="43"/>
      <c r="H29" s="43"/>
      <c r="I29" s="43"/>
      <c r="J29" s="43"/>
      <c r="K29" s="32"/>
      <c r="L29" s="32"/>
      <c r="M29" s="43"/>
      <c r="N29" s="122"/>
      <c r="O29" s="213"/>
      <c r="P29" s="219"/>
    </row>
    <row r="30" spans="1:16" s="4" customFormat="1" ht="9">
      <c r="A30" s="121" t="s">
        <v>251</v>
      </c>
      <c r="B30" s="28"/>
      <c r="C30" s="32"/>
      <c r="D30" s="32"/>
      <c r="E30" s="28"/>
      <c r="F30" s="28"/>
      <c r="G30" s="43"/>
      <c r="H30" s="43"/>
      <c r="I30" s="43"/>
      <c r="J30" s="43"/>
      <c r="K30" s="32"/>
      <c r="L30" s="32"/>
      <c r="M30" s="43"/>
      <c r="N30" s="122"/>
      <c r="O30" s="213"/>
      <c r="P30" s="219"/>
    </row>
    <row r="31" spans="1:16" s="4" customFormat="1" ht="9">
      <c r="A31" s="121" t="s">
        <v>257</v>
      </c>
      <c r="B31" s="28">
        <v>20</v>
      </c>
      <c r="C31" s="32">
        <v>0</v>
      </c>
      <c r="D31" s="32">
        <v>0</v>
      </c>
      <c r="E31" s="28">
        <v>1</v>
      </c>
      <c r="F31" s="28">
        <f t="shared" si="1"/>
        <v>20</v>
      </c>
      <c r="G31" s="43">
        <f>ROUND('Base Data'!$D$44/3,0)</f>
        <v>162</v>
      </c>
      <c r="H31" s="43">
        <f t="shared" ref="H31:H36" si="3">F31*G31</f>
        <v>3240</v>
      </c>
      <c r="I31" s="43">
        <f t="shared" si="0"/>
        <v>324</v>
      </c>
      <c r="J31" s="43">
        <f t="shared" ref="J31:J36" si="4">H31*0.05</f>
        <v>162</v>
      </c>
      <c r="K31" s="32">
        <f>(H31*'Base Data'!$C$5)+(I31*'Base Data'!$C$6)+(J31*'Base Data'!$C$7)</f>
        <v>352439.1</v>
      </c>
      <c r="L31" s="32">
        <v>0</v>
      </c>
      <c r="M31" s="43">
        <v>0</v>
      </c>
      <c r="N31" s="122" t="s">
        <v>214</v>
      </c>
      <c r="O31" s="213"/>
      <c r="P31" s="219"/>
    </row>
    <row r="32" spans="1:16" s="4" customFormat="1" ht="9">
      <c r="A32" s="123" t="s">
        <v>318</v>
      </c>
      <c r="B32" s="28">
        <v>15</v>
      </c>
      <c r="C32" s="32">
        <v>0</v>
      </c>
      <c r="D32" s="32">
        <v>0</v>
      </c>
      <c r="E32" s="28">
        <v>1</v>
      </c>
      <c r="F32" s="28">
        <f t="shared" si="1"/>
        <v>15</v>
      </c>
      <c r="G32" s="43">
        <f>ROUND('Base Data'!$D$44/3,0)</f>
        <v>162</v>
      </c>
      <c r="H32" s="43">
        <f t="shared" si="3"/>
        <v>2430</v>
      </c>
      <c r="I32" s="43">
        <f t="shared" si="0"/>
        <v>243</v>
      </c>
      <c r="J32" s="43">
        <f t="shared" si="4"/>
        <v>121.5</v>
      </c>
      <c r="K32" s="32">
        <f>(H32*'Base Data'!$C$5)+(I32*'Base Data'!$C$6)+(J32*'Base Data'!$C$7)</f>
        <v>264329.32500000001</v>
      </c>
      <c r="L32" s="32">
        <v>0</v>
      </c>
      <c r="M32" s="43">
        <v>0</v>
      </c>
      <c r="N32" s="122" t="s">
        <v>214</v>
      </c>
      <c r="O32" s="213"/>
      <c r="P32" s="219"/>
    </row>
    <row r="33" spans="1:16" s="4" customFormat="1" ht="9">
      <c r="A33" s="121" t="s">
        <v>254</v>
      </c>
      <c r="B33" s="28">
        <v>2</v>
      </c>
      <c r="C33" s="32">
        <v>0</v>
      </c>
      <c r="D33" s="32">
        <v>0</v>
      </c>
      <c r="E33" s="28">
        <v>1</v>
      </c>
      <c r="F33" s="28">
        <f t="shared" si="1"/>
        <v>2</v>
      </c>
      <c r="G33" s="43">
        <f>ROUND('Base Data'!$D$44/3,0)</f>
        <v>162</v>
      </c>
      <c r="H33" s="43">
        <f t="shared" si="3"/>
        <v>324</v>
      </c>
      <c r="I33" s="43">
        <f t="shared" si="0"/>
        <v>32.4</v>
      </c>
      <c r="J33" s="43">
        <f t="shared" si="4"/>
        <v>16.2</v>
      </c>
      <c r="K33" s="32">
        <f>(H33*'Base Data'!$C$5)+(I33*'Base Data'!$C$6)+(J33*'Base Data'!$C$7)</f>
        <v>35243.909999999996</v>
      </c>
      <c r="L33" s="32">
        <v>0</v>
      </c>
      <c r="M33" s="43">
        <v>0</v>
      </c>
      <c r="N33" s="122" t="s">
        <v>214</v>
      </c>
      <c r="O33" s="213"/>
      <c r="P33" s="219"/>
    </row>
    <row r="34" spans="1:16" s="4" customFormat="1" ht="9">
      <c r="A34" s="123" t="s">
        <v>269</v>
      </c>
      <c r="B34" s="28">
        <v>2</v>
      </c>
      <c r="C34" s="32">
        <v>0</v>
      </c>
      <c r="D34" s="32">
        <v>0</v>
      </c>
      <c r="E34" s="28">
        <v>1</v>
      </c>
      <c r="F34" s="28">
        <f t="shared" si="1"/>
        <v>2</v>
      </c>
      <c r="G34" s="43">
        <f>ROUND('Base Data'!$D$44/3,0)</f>
        <v>162</v>
      </c>
      <c r="H34" s="43">
        <f t="shared" si="3"/>
        <v>324</v>
      </c>
      <c r="I34" s="43">
        <f t="shared" si="0"/>
        <v>32.4</v>
      </c>
      <c r="J34" s="43">
        <f t="shared" si="4"/>
        <v>16.2</v>
      </c>
      <c r="K34" s="32">
        <f>(H34*'Base Data'!$C$5)+(I34*'Base Data'!$C$6)+(J34*'Base Data'!$C$7)</f>
        <v>35243.909999999996</v>
      </c>
      <c r="L34" s="32">
        <v>0</v>
      </c>
      <c r="M34" s="43">
        <v>0</v>
      </c>
      <c r="N34" s="122" t="s">
        <v>214</v>
      </c>
      <c r="O34" s="213"/>
      <c r="P34" s="219"/>
    </row>
    <row r="35" spans="1:16" s="4" customFormat="1" ht="9" customHeight="1">
      <c r="A35" s="123" t="s">
        <v>270</v>
      </c>
      <c r="B35" s="28">
        <v>2</v>
      </c>
      <c r="C35" s="32">
        <v>0</v>
      </c>
      <c r="D35" s="32">
        <v>0</v>
      </c>
      <c r="E35" s="28">
        <v>2</v>
      </c>
      <c r="F35" s="28">
        <f t="shared" si="1"/>
        <v>4</v>
      </c>
      <c r="G35" s="43">
        <f>ROUND('Base Data'!$D$44/3,0)</f>
        <v>162</v>
      </c>
      <c r="H35" s="43">
        <f t="shared" si="3"/>
        <v>648</v>
      </c>
      <c r="I35" s="43">
        <f t="shared" si="0"/>
        <v>64.8</v>
      </c>
      <c r="J35" s="43">
        <f t="shared" si="4"/>
        <v>32.4</v>
      </c>
      <c r="K35" s="32">
        <f>(H35*'Base Data'!$C$5)+(I35*'Base Data'!$C$6)+(J35*'Base Data'!$C$7)</f>
        <v>70487.819999999992</v>
      </c>
      <c r="L35" s="32">
        <v>0</v>
      </c>
      <c r="M35" s="43">
        <v>0</v>
      </c>
      <c r="N35" s="122" t="s">
        <v>214</v>
      </c>
      <c r="O35" s="213"/>
      <c r="P35" s="219"/>
    </row>
    <row r="36" spans="1:16" s="4" customFormat="1" ht="9">
      <c r="A36" s="123" t="s">
        <v>271</v>
      </c>
      <c r="B36" s="28">
        <v>0.5</v>
      </c>
      <c r="C36" s="32">
        <v>0</v>
      </c>
      <c r="D36" s="32">
        <v>0</v>
      </c>
      <c r="E36" s="28">
        <v>12</v>
      </c>
      <c r="F36" s="28">
        <f t="shared" si="1"/>
        <v>6</v>
      </c>
      <c r="G36" s="43">
        <f>ROUND('Base Data'!$D$44/3,0)</f>
        <v>162</v>
      </c>
      <c r="H36" s="43">
        <f t="shared" si="3"/>
        <v>972</v>
      </c>
      <c r="I36" s="43">
        <f t="shared" si="0"/>
        <v>97.2</v>
      </c>
      <c r="J36" s="43">
        <f t="shared" si="4"/>
        <v>48.6</v>
      </c>
      <c r="K36" s="32">
        <f>(H36*'Base Data'!$C$5)+(I36*'Base Data'!$C$6)+(J36*'Base Data'!$C$7)</f>
        <v>105731.73000000001</v>
      </c>
      <c r="L36" s="32">
        <v>0</v>
      </c>
      <c r="M36" s="43">
        <v>0</v>
      </c>
      <c r="N36" s="122" t="s">
        <v>214</v>
      </c>
      <c r="O36" s="213"/>
      <c r="P36" s="219"/>
    </row>
    <row r="37" spans="1:16" s="4" customFormat="1" ht="9">
      <c r="A37" s="121" t="s">
        <v>255</v>
      </c>
      <c r="B37" s="28" t="s">
        <v>264</v>
      </c>
      <c r="C37" s="32"/>
      <c r="D37" s="32"/>
      <c r="E37" s="28"/>
      <c r="F37" s="28"/>
      <c r="G37" s="43" t="s">
        <v>32</v>
      </c>
      <c r="H37" s="43"/>
      <c r="I37" s="43"/>
      <c r="J37" s="43"/>
      <c r="K37" s="32"/>
      <c r="L37" s="32"/>
      <c r="M37" s="43"/>
      <c r="N37" s="122"/>
      <c r="O37" s="213"/>
      <c r="P37" s="219"/>
    </row>
    <row r="38" spans="1:16" s="4" customFormat="1" ht="9">
      <c r="A38" s="121" t="s">
        <v>256</v>
      </c>
      <c r="B38" s="28" t="s">
        <v>264</v>
      </c>
      <c r="C38" s="32"/>
      <c r="D38" s="32"/>
      <c r="E38" s="28"/>
      <c r="F38" s="28"/>
      <c r="G38" s="28"/>
      <c r="H38" s="43"/>
      <c r="I38" s="43"/>
      <c r="J38" s="43"/>
      <c r="K38" s="32"/>
      <c r="L38" s="32"/>
      <c r="M38" s="43"/>
      <c r="N38" s="122"/>
      <c r="O38" s="213"/>
      <c r="P38" s="219"/>
    </row>
    <row r="39" spans="1:16" s="4" customFormat="1" ht="9.75" thickBot="1">
      <c r="A39" s="366" t="s">
        <v>33</v>
      </c>
      <c r="B39" s="231"/>
      <c r="C39" s="139"/>
      <c r="D39" s="139"/>
      <c r="E39" s="231"/>
      <c r="F39" s="231"/>
      <c r="G39" s="231"/>
      <c r="H39" s="138">
        <f>SUM(H26:H38)</f>
        <v>7938</v>
      </c>
      <c r="I39" s="138">
        <f t="shared" ref="I39:J39" si="5">SUM(I26:I38)</f>
        <v>793.8</v>
      </c>
      <c r="J39" s="138">
        <f t="shared" si="5"/>
        <v>396.9</v>
      </c>
      <c r="K39" s="139">
        <f>SUM(K31:K38)</f>
        <v>863475.79500000004</v>
      </c>
      <c r="L39" s="139">
        <f>SUM(L31:L38)</f>
        <v>0</v>
      </c>
      <c r="M39" s="138">
        <f>SUM(M12:M18,M26:M38)</f>
        <v>0</v>
      </c>
      <c r="N39" s="232"/>
      <c r="O39" s="213"/>
      <c r="P39" s="219"/>
    </row>
    <row r="40" spans="1:16" s="7" customFormat="1" ht="9.75" thickBot="1">
      <c r="A40" s="131" t="s">
        <v>236</v>
      </c>
      <c r="B40" s="368"/>
      <c r="C40" s="368"/>
      <c r="D40" s="368"/>
      <c r="E40" s="368"/>
      <c r="F40" s="368"/>
      <c r="G40" s="368"/>
      <c r="H40" s="135">
        <f t="shared" ref="H40:M40" si="6">SUM(H25,H39)</f>
        <v>21222</v>
      </c>
      <c r="I40" s="135">
        <f>SUM(I25,I39)</f>
        <v>2122.1999999999998</v>
      </c>
      <c r="J40" s="135">
        <f t="shared" si="6"/>
        <v>1061.0999999999999</v>
      </c>
      <c r="K40" s="136">
        <f t="shared" si="6"/>
        <v>2308476.105</v>
      </c>
      <c r="L40" s="136">
        <f t="shared" si="6"/>
        <v>3602400</v>
      </c>
      <c r="M40" s="135">
        <f t="shared" si="6"/>
        <v>243</v>
      </c>
      <c r="N40" s="369"/>
    </row>
    <row r="41" spans="1:16" ht="20.25" customHeight="1">
      <c r="A41" s="413" t="s">
        <v>43</v>
      </c>
      <c r="B41" s="413"/>
      <c r="C41" s="413"/>
      <c r="D41" s="413"/>
      <c r="E41" s="413"/>
      <c r="F41" s="413"/>
      <c r="G41" s="413"/>
      <c r="H41" s="413"/>
      <c r="I41" s="413"/>
      <c r="J41" s="413"/>
      <c r="K41" s="413"/>
      <c r="L41" s="413"/>
      <c r="M41" s="413"/>
      <c r="N41" s="413"/>
    </row>
    <row r="42" spans="1:16">
      <c r="A42" s="9" t="s">
        <v>210</v>
      </c>
    </row>
    <row r="43" spans="1:16">
      <c r="A43" s="409" t="s">
        <v>353</v>
      </c>
      <c r="B43" s="409"/>
      <c r="C43" s="409"/>
      <c r="D43" s="409"/>
      <c r="E43" s="409"/>
      <c r="F43" s="409"/>
      <c r="G43" s="409"/>
      <c r="H43" s="409"/>
      <c r="I43" s="409"/>
      <c r="J43" s="409"/>
      <c r="K43" s="409"/>
      <c r="L43" s="409"/>
      <c r="M43" s="409"/>
      <c r="N43" s="409"/>
    </row>
    <row r="44" spans="1:16">
      <c r="A44" s="414" t="s">
        <v>341</v>
      </c>
      <c r="B44" s="414"/>
      <c r="C44" s="414"/>
      <c r="D44" s="414"/>
      <c r="E44" s="414"/>
      <c r="F44" s="414"/>
      <c r="G44" s="414"/>
      <c r="H44" s="414"/>
      <c r="I44" s="414"/>
      <c r="J44" s="414"/>
      <c r="K44" s="414"/>
      <c r="L44" s="414"/>
      <c r="M44" s="414"/>
      <c r="N44" s="414"/>
    </row>
    <row r="45" spans="1:16">
      <c r="A45" s="414" t="s">
        <v>352</v>
      </c>
      <c r="B45" s="414"/>
      <c r="C45" s="414"/>
      <c r="D45" s="414"/>
      <c r="E45" s="414"/>
      <c r="F45" s="414"/>
      <c r="G45" s="414"/>
      <c r="H45" s="414"/>
      <c r="I45" s="414"/>
      <c r="J45" s="414"/>
      <c r="K45" s="414"/>
      <c r="L45" s="414"/>
      <c r="M45" s="414"/>
      <c r="N45" s="414"/>
    </row>
    <row r="46" spans="1:16" ht="18.75" customHeight="1">
      <c r="A46" s="409"/>
      <c r="B46" s="409"/>
      <c r="C46" s="409"/>
      <c r="D46" s="409"/>
      <c r="E46" s="409"/>
      <c r="F46" s="409"/>
      <c r="G46" s="409"/>
      <c r="H46" s="409"/>
      <c r="I46" s="409"/>
      <c r="J46" s="409"/>
      <c r="K46" s="409"/>
      <c r="L46" s="409"/>
      <c r="M46" s="409"/>
      <c r="N46" s="409"/>
    </row>
    <row r="47" spans="1:16">
      <c r="A47" s="414"/>
      <c r="B47" s="414"/>
      <c r="C47" s="414"/>
      <c r="D47" s="414"/>
      <c r="E47" s="414"/>
      <c r="F47" s="414"/>
      <c r="G47" s="414"/>
      <c r="H47" s="414"/>
      <c r="I47" s="414"/>
      <c r="J47" s="414"/>
      <c r="K47" s="414"/>
      <c r="L47" s="414"/>
      <c r="M47" s="414"/>
      <c r="N47" s="414"/>
    </row>
    <row r="48" spans="1:16">
      <c r="A48" s="9"/>
    </row>
  </sheetData>
  <mergeCells count="8">
    <mergeCell ref="A1:N1"/>
    <mergeCell ref="A47:N47"/>
    <mergeCell ref="A44:N44"/>
    <mergeCell ref="A2:N2"/>
    <mergeCell ref="A43:N43"/>
    <mergeCell ref="A41:N41"/>
    <mergeCell ref="A46:N46"/>
    <mergeCell ref="A45:N45"/>
  </mergeCells>
  <phoneticPr fontId="7" type="noConversion"/>
  <printOptions horizontalCentered="1"/>
  <pageMargins left="0" right="0" top="0.2" bottom="0.2" header="0.2" footer="0.2"/>
  <pageSetup scale="97" orientation="landscape" r:id="rId1"/>
  <headerFooter alignWithMargins="0"/>
</worksheet>
</file>

<file path=xl/worksheets/sheet15.xml><?xml version="1.0" encoding="utf-8"?>
<worksheet xmlns="http://schemas.openxmlformats.org/spreadsheetml/2006/main" xmlns:r="http://schemas.openxmlformats.org/officeDocument/2006/relationships">
  <sheetPr>
    <pageSetUpPr fitToPage="1"/>
  </sheetPr>
  <dimension ref="A1:P45"/>
  <sheetViews>
    <sheetView zoomScaleNormal="100" workbookViewId="0">
      <selection activeCell="A9" sqref="A9:A11"/>
    </sheetView>
  </sheetViews>
  <sheetFormatPr defaultRowHeight="11.25"/>
  <cols>
    <col min="1" max="1" width="33.42578125" style="1" customWidth="1"/>
    <col min="2" max="2" width="8.140625" style="5" customWidth="1"/>
    <col min="3" max="3" width="8" style="5" customWidth="1"/>
    <col min="4" max="4" width="8.140625" style="5" customWidth="1"/>
    <col min="5" max="5" width="8.28515625" style="5" customWidth="1"/>
    <col min="6" max="6" width="8.140625" style="5" customWidth="1"/>
    <col min="7" max="7" width="9" style="5" customWidth="1"/>
    <col min="8" max="8" width="6.85546875" style="6" customWidth="1"/>
    <col min="9" max="9" width="7.28515625" style="6" customWidth="1"/>
    <col min="10" max="10" width="7.5703125" style="6" customWidth="1"/>
    <col min="11" max="11" width="10.140625" style="6" customWidth="1"/>
    <col min="12" max="13" width="9" style="6" customWidth="1"/>
    <col min="14" max="14" width="4" style="5" customWidth="1"/>
    <col min="15" max="16" width="0" style="1" hidden="1" customWidth="1"/>
    <col min="17" max="16384" width="9.140625" style="1"/>
  </cols>
  <sheetData>
    <row r="1" spans="1:16" ht="12.75">
      <c r="A1" s="406" t="s">
        <v>70</v>
      </c>
      <c r="B1" s="410"/>
      <c r="C1" s="410"/>
      <c r="D1" s="410"/>
      <c r="E1" s="410"/>
      <c r="F1" s="410"/>
      <c r="G1" s="410"/>
      <c r="H1" s="410"/>
      <c r="I1" s="410"/>
      <c r="J1" s="410"/>
      <c r="K1" s="410"/>
      <c r="L1" s="410"/>
      <c r="M1" s="410"/>
      <c r="N1" s="410"/>
    </row>
    <row r="2" spans="1:16" ht="12" thickBot="1">
      <c r="A2" s="412" t="s">
        <v>38</v>
      </c>
      <c r="B2" s="412"/>
      <c r="C2" s="412"/>
      <c r="D2" s="412"/>
      <c r="E2" s="412"/>
      <c r="F2" s="412"/>
      <c r="G2" s="412"/>
      <c r="H2" s="412"/>
      <c r="I2" s="412"/>
      <c r="J2" s="412"/>
      <c r="K2" s="412"/>
      <c r="L2" s="412"/>
      <c r="M2" s="412"/>
      <c r="N2" s="412"/>
    </row>
    <row r="3" spans="1:16" s="3" customFormat="1" ht="63.75" thickBot="1">
      <c r="A3" s="143" t="s">
        <v>229</v>
      </c>
      <c r="B3" s="218" t="s">
        <v>230</v>
      </c>
      <c r="C3" s="218" t="s">
        <v>30</v>
      </c>
      <c r="D3" s="218" t="s">
        <v>259</v>
      </c>
      <c r="E3" s="218" t="s">
        <v>260</v>
      </c>
      <c r="F3" s="218" t="s">
        <v>263</v>
      </c>
      <c r="G3" s="218" t="s">
        <v>265</v>
      </c>
      <c r="H3" s="233" t="s">
        <v>13</v>
      </c>
      <c r="I3" s="233" t="s">
        <v>14</v>
      </c>
      <c r="J3" s="233" t="s">
        <v>15</v>
      </c>
      <c r="K3" s="233" t="s">
        <v>85</v>
      </c>
      <c r="L3" s="233" t="s">
        <v>376</v>
      </c>
      <c r="M3" s="233" t="s">
        <v>365</v>
      </c>
      <c r="N3" s="354" t="s">
        <v>231</v>
      </c>
      <c r="O3" s="3" t="s">
        <v>86</v>
      </c>
    </row>
    <row r="4" spans="1:16" s="4" customFormat="1" ht="9">
      <c r="A4" s="234" t="s">
        <v>237</v>
      </c>
      <c r="B4" s="235" t="s">
        <v>264</v>
      </c>
      <c r="C4" s="236"/>
      <c r="D4" s="236"/>
      <c r="E4" s="235"/>
      <c r="F4" s="235"/>
      <c r="G4" s="235"/>
      <c r="H4" s="237"/>
      <c r="I4" s="237"/>
      <c r="J4" s="237"/>
      <c r="K4" s="236"/>
      <c r="L4" s="236"/>
      <c r="M4" s="237"/>
      <c r="N4" s="229"/>
      <c r="O4" s="213"/>
      <c r="P4" s="219"/>
    </row>
    <row r="5" spans="1:16" s="4" customFormat="1" ht="9">
      <c r="A5" s="121" t="s">
        <v>238</v>
      </c>
      <c r="B5" s="28" t="s">
        <v>264</v>
      </c>
      <c r="C5" s="32"/>
      <c r="D5" s="32"/>
      <c r="E5" s="28"/>
      <c r="F5" s="28"/>
      <c r="G5" s="28"/>
      <c r="H5" s="43"/>
      <c r="I5" s="43"/>
      <c r="J5" s="43"/>
      <c r="K5" s="32"/>
      <c r="L5" s="32"/>
      <c r="M5" s="43"/>
      <c r="N5" s="122"/>
      <c r="O5" s="213"/>
      <c r="P5" s="219"/>
    </row>
    <row r="6" spans="1:16" s="4" customFormat="1" ht="9">
      <c r="A6" s="121" t="s">
        <v>239</v>
      </c>
      <c r="B6" s="28"/>
      <c r="C6" s="32"/>
      <c r="D6" s="32"/>
      <c r="E6" s="28"/>
      <c r="F6" s="28"/>
      <c r="G6" s="28"/>
      <c r="H6" s="43"/>
      <c r="I6" s="43"/>
      <c r="J6" s="43"/>
      <c r="K6" s="32"/>
      <c r="L6" s="32"/>
      <c r="M6" s="43"/>
      <c r="N6" s="122"/>
      <c r="O6" s="213"/>
      <c r="P6" s="219"/>
    </row>
    <row r="7" spans="1:16" s="4" customFormat="1" ht="9">
      <c r="A7" s="123" t="s">
        <v>240</v>
      </c>
      <c r="B7" s="28">
        <v>40</v>
      </c>
      <c r="C7" s="32">
        <v>0</v>
      </c>
      <c r="D7" s="32">
        <v>0</v>
      </c>
      <c r="E7" s="28">
        <v>1</v>
      </c>
      <c r="F7" s="28">
        <f>B7*E7</f>
        <v>40</v>
      </c>
      <c r="G7" s="43">
        <f>ROUND('Base Data'!$H$44/3,0)</f>
        <v>81</v>
      </c>
      <c r="H7" s="43">
        <f>F7*G7</f>
        <v>3240</v>
      </c>
      <c r="I7" s="43">
        <f>H7*0.1</f>
        <v>324</v>
      </c>
      <c r="J7" s="43">
        <f>H7*0.05</f>
        <v>162</v>
      </c>
      <c r="K7" s="32">
        <f>(H7*'Base Data'!$C$5)+(I7*'Base Data'!$C$6)+(J7*'Base Data'!$C$7)</f>
        <v>352439.1</v>
      </c>
      <c r="L7" s="32">
        <f>C7*E7*G7</f>
        <v>0</v>
      </c>
      <c r="M7" s="43">
        <v>0</v>
      </c>
      <c r="N7" s="122" t="s">
        <v>220</v>
      </c>
      <c r="O7" s="213"/>
      <c r="P7" s="219"/>
    </row>
    <row r="8" spans="1:16" s="4" customFormat="1" ht="9">
      <c r="A8" s="121" t="s">
        <v>241</v>
      </c>
      <c r="B8" s="28"/>
      <c r="C8" s="32"/>
      <c r="D8" s="32"/>
      <c r="E8" s="28"/>
      <c r="F8" s="28"/>
      <c r="G8" s="43"/>
      <c r="H8" s="43"/>
      <c r="I8" s="43"/>
      <c r="J8" s="43"/>
      <c r="K8" s="32"/>
      <c r="L8" s="32"/>
      <c r="M8" s="43"/>
      <c r="N8" s="122"/>
      <c r="O8" s="213"/>
      <c r="P8" s="219"/>
    </row>
    <row r="9" spans="1:16" s="4" customFormat="1" ht="9">
      <c r="A9" s="123" t="s">
        <v>223</v>
      </c>
      <c r="B9" s="28">
        <v>12</v>
      </c>
      <c r="C9" s="32">
        <v>8000</v>
      </c>
      <c r="D9" s="32">
        <v>0</v>
      </c>
      <c r="E9" s="28">
        <v>1</v>
      </c>
      <c r="F9" s="28">
        <f>B9*E9</f>
        <v>12</v>
      </c>
      <c r="G9" s="43">
        <f>ROUND('Base Data'!$D$44/3,0)</f>
        <v>162</v>
      </c>
      <c r="H9" s="43">
        <f>F9*G9</f>
        <v>1944</v>
      </c>
      <c r="I9" s="43">
        <f t="shared" ref="I9:I36" si="0">H9*0.1</f>
        <v>194.4</v>
      </c>
      <c r="J9" s="43">
        <f>H9*0.05</f>
        <v>97.2</v>
      </c>
      <c r="K9" s="32">
        <f>(H9*'Base Data'!$C$5)+(I9*'Base Data'!$C$6)+(J9*'Base Data'!$C$7)</f>
        <v>211463.46000000002</v>
      </c>
      <c r="L9" s="32">
        <f>C9*E9*G9</f>
        <v>1296000</v>
      </c>
      <c r="M9" s="43">
        <v>0</v>
      </c>
      <c r="N9" s="122" t="s">
        <v>211</v>
      </c>
      <c r="O9" s="213"/>
      <c r="P9" s="219"/>
    </row>
    <row r="10" spans="1:16" s="4" customFormat="1" ht="9">
      <c r="A10" s="123" t="s">
        <v>350</v>
      </c>
      <c r="B10" s="28">
        <v>12</v>
      </c>
      <c r="C10" s="32">
        <v>8000</v>
      </c>
      <c r="D10" s="32">
        <v>0</v>
      </c>
      <c r="E10" s="28">
        <v>1</v>
      </c>
      <c r="F10" s="28">
        <f t="shared" ref="F10:F36" si="1">B10*E10</f>
        <v>12</v>
      </c>
      <c r="G10" s="43">
        <f>'Fac-NewLrgLiquid-Yr1'!G9</f>
        <v>162</v>
      </c>
      <c r="H10" s="43">
        <f>F10*G10</f>
        <v>1944</v>
      </c>
      <c r="I10" s="43">
        <f t="shared" si="0"/>
        <v>194.4</v>
      </c>
      <c r="J10" s="43">
        <f>H10*0.05</f>
        <v>97.2</v>
      </c>
      <c r="K10" s="32">
        <f>(H10*'Base Data'!$C$5)+(I10*'Base Data'!$C$6)+(J10*'Base Data'!$C$7)</f>
        <v>211463.46000000002</v>
      </c>
      <c r="L10" s="32">
        <f>(C10+D10)*E10*G10</f>
        <v>1296000</v>
      </c>
      <c r="M10" s="43">
        <v>0</v>
      </c>
      <c r="N10" s="122" t="s">
        <v>205</v>
      </c>
      <c r="O10" s="213"/>
      <c r="P10" s="219"/>
    </row>
    <row r="11" spans="1:16" s="4" customFormat="1" ht="9">
      <c r="A11" s="123" t="s">
        <v>351</v>
      </c>
      <c r="B11" s="28"/>
      <c r="C11" s="32"/>
      <c r="D11" s="32"/>
      <c r="E11" s="28"/>
      <c r="F11" s="28"/>
      <c r="G11" s="43"/>
      <c r="H11" s="43"/>
      <c r="I11" s="43"/>
      <c r="J11" s="43"/>
      <c r="K11" s="32"/>
      <c r="L11" s="32"/>
      <c r="M11" s="43"/>
      <c r="N11" s="122"/>
      <c r="O11" s="213"/>
      <c r="P11" s="219"/>
    </row>
    <row r="12" spans="1:16" s="4" customFormat="1" ht="9">
      <c r="A12" s="123" t="s">
        <v>262</v>
      </c>
      <c r="B12" s="28">
        <v>40</v>
      </c>
      <c r="C12" s="32">
        <v>0</v>
      </c>
      <c r="D12" s="32">
        <v>0</v>
      </c>
      <c r="E12" s="28">
        <v>1</v>
      </c>
      <c r="F12" s="28">
        <f t="shared" si="1"/>
        <v>40</v>
      </c>
      <c r="G12" s="43">
        <f>ROUND('Base Data'!$H$44/3,0)</f>
        <v>81</v>
      </c>
      <c r="H12" s="43">
        <f>F12*G12</f>
        <v>3240</v>
      </c>
      <c r="I12" s="43">
        <f t="shared" si="0"/>
        <v>324</v>
      </c>
      <c r="J12" s="43">
        <f>H12*0.05</f>
        <v>162</v>
      </c>
      <c r="K12" s="32">
        <f>(H12*'Base Data'!$C$5)+(I12*'Base Data'!$C$6)+(J12*'Base Data'!$C$7)</f>
        <v>352439.1</v>
      </c>
      <c r="L12" s="32">
        <v>0</v>
      </c>
      <c r="M12" s="43">
        <v>0</v>
      </c>
      <c r="N12" s="122" t="s">
        <v>216</v>
      </c>
      <c r="O12" s="213"/>
      <c r="P12" s="219"/>
    </row>
    <row r="13" spans="1:16" s="4" customFormat="1" ht="9">
      <c r="A13" s="121" t="s">
        <v>242</v>
      </c>
      <c r="B13" s="28"/>
      <c r="C13" s="32"/>
      <c r="D13" s="32"/>
      <c r="E13" s="28"/>
      <c r="F13" s="28"/>
      <c r="G13" s="43"/>
      <c r="H13" s="43"/>
      <c r="I13" s="43"/>
      <c r="J13" s="43"/>
      <c r="K13" s="32"/>
      <c r="L13" s="32"/>
      <c r="M13" s="43"/>
      <c r="N13" s="122"/>
      <c r="O13" s="213"/>
      <c r="P13" s="219"/>
    </row>
    <row r="14" spans="1:16" s="4" customFormat="1" ht="9">
      <c r="A14" s="121" t="s">
        <v>243</v>
      </c>
      <c r="B14" s="28">
        <v>10</v>
      </c>
      <c r="C14" s="32">
        <v>0</v>
      </c>
      <c r="D14" s="32">
        <v>43100</v>
      </c>
      <c r="E14" s="28">
        <v>1</v>
      </c>
      <c r="F14" s="28">
        <f t="shared" si="1"/>
        <v>10</v>
      </c>
      <c r="G14" s="43">
        <f>ROUND('Base Data'!$G$50/3,0)</f>
        <v>147</v>
      </c>
      <c r="H14" s="43">
        <f>F14*G14</f>
        <v>1470</v>
      </c>
      <c r="I14" s="43">
        <f t="shared" si="0"/>
        <v>147</v>
      </c>
      <c r="J14" s="43">
        <f>H14*0.05</f>
        <v>73.5</v>
      </c>
      <c r="K14" s="32">
        <f>(H14*'Base Data'!$C$5)+(I14*'Base Data'!$C$6)+(J14*'Base Data'!$C$7)</f>
        <v>159902.92499999999</v>
      </c>
      <c r="L14" s="32">
        <f>D14*E14*G14</f>
        <v>6335700</v>
      </c>
      <c r="M14" s="43">
        <v>0</v>
      </c>
      <c r="N14" s="122"/>
      <c r="O14" s="213"/>
      <c r="P14" s="219"/>
    </row>
    <row r="15" spans="1:16" s="4" customFormat="1" ht="9">
      <c r="A15" s="121" t="s">
        <v>244</v>
      </c>
      <c r="B15" s="28">
        <v>10</v>
      </c>
      <c r="C15" s="32">
        <v>0</v>
      </c>
      <c r="D15" s="32">
        <v>14700</v>
      </c>
      <c r="E15" s="28">
        <v>1</v>
      </c>
      <c r="F15" s="28">
        <f t="shared" si="1"/>
        <v>10</v>
      </c>
      <c r="G15" s="43">
        <f>$G$14+'Fac-NewLrgLiquid-Yr1'!$G$15</f>
        <v>294</v>
      </c>
      <c r="H15" s="43">
        <f>F15*G15</f>
        <v>2940</v>
      </c>
      <c r="I15" s="43">
        <f t="shared" si="0"/>
        <v>294</v>
      </c>
      <c r="J15" s="43">
        <f>H15*0.05</f>
        <v>147</v>
      </c>
      <c r="K15" s="32">
        <f>(H15*'Base Data'!$C$5)+(I15*'Base Data'!$C$6)+(J15*'Base Data'!$C$7)</f>
        <v>319805.84999999998</v>
      </c>
      <c r="L15" s="32">
        <f>D15*E15*G15</f>
        <v>4321800</v>
      </c>
      <c r="M15" s="43">
        <v>0</v>
      </c>
      <c r="N15" s="122"/>
      <c r="O15" s="213"/>
      <c r="P15" s="219"/>
    </row>
    <row r="16" spans="1:16" s="4" customFormat="1" ht="18">
      <c r="A16" s="123" t="s">
        <v>3</v>
      </c>
      <c r="B16" s="28"/>
      <c r="C16" s="32"/>
      <c r="D16" s="32"/>
      <c r="E16" s="28"/>
      <c r="F16" s="28"/>
      <c r="G16" s="43"/>
      <c r="H16" s="43"/>
      <c r="I16" s="43"/>
      <c r="J16" s="43"/>
      <c r="K16" s="32"/>
      <c r="L16" s="32"/>
      <c r="M16" s="43"/>
      <c r="N16" s="122"/>
      <c r="O16" s="213"/>
      <c r="P16" s="219"/>
    </row>
    <row r="17" spans="1:16" s="46" customFormat="1" ht="9">
      <c r="A17" s="121" t="s">
        <v>243</v>
      </c>
      <c r="B17" s="28">
        <v>10</v>
      </c>
      <c r="C17" s="32">
        <v>0</v>
      </c>
      <c r="D17" s="32">
        <v>25500</v>
      </c>
      <c r="E17" s="28">
        <v>1</v>
      </c>
      <c r="F17" s="28">
        <f>B17*E17</f>
        <v>10</v>
      </c>
      <c r="G17" s="43">
        <f>ROUND('Base Data'!$C$49/3,0)</f>
        <v>15</v>
      </c>
      <c r="H17" s="43">
        <f>F17*G17</f>
        <v>150</v>
      </c>
      <c r="I17" s="43">
        <f t="shared" si="0"/>
        <v>15</v>
      </c>
      <c r="J17" s="43">
        <f>H17*0.05</f>
        <v>7.5</v>
      </c>
      <c r="K17" s="32">
        <f>(H17*'Base Data'!$C$5)+(I17*'Base Data'!$C$6)+(J17*'Base Data'!$C$7)</f>
        <v>16316.625</v>
      </c>
      <c r="L17" s="32">
        <f>D17*E17*G17</f>
        <v>382500</v>
      </c>
      <c r="M17" s="43">
        <v>0</v>
      </c>
      <c r="N17" s="122"/>
      <c r="O17" s="214"/>
      <c r="P17" s="220"/>
    </row>
    <row r="18" spans="1:16" s="46" customFormat="1" ht="9">
      <c r="A18" s="121" t="s">
        <v>244</v>
      </c>
      <c r="B18" s="28">
        <v>10</v>
      </c>
      <c r="C18" s="32">
        <v>0</v>
      </c>
      <c r="D18" s="32">
        <v>9700</v>
      </c>
      <c r="E18" s="28">
        <v>1</v>
      </c>
      <c r="F18" s="28">
        <f>B18*E18</f>
        <v>10</v>
      </c>
      <c r="G18" s="43">
        <f>$G$17+'Fac-NewLrgLiquid-Yr1'!$G$18</f>
        <v>30</v>
      </c>
      <c r="H18" s="43">
        <f>F18*G18</f>
        <v>300</v>
      </c>
      <c r="I18" s="43">
        <f t="shared" si="0"/>
        <v>30</v>
      </c>
      <c r="J18" s="43">
        <f>H18*0.05</f>
        <v>15</v>
      </c>
      <c r="K18" s="32">
        <f>(H18*'Base Data'!$C$5)+(I18*'Base Data'!$C$6)+(J18*'Base Data'!$C$7)</f>
        <v>32633.25</v>
      </c>
      <c r="L18" s="32">
        <f>D18*E18*G18</f>
        <v>291000</v>
      </c>
      <c r="M18" s="43">
        <v>0</v>
      </c>
      <c r="N18" s="122"/>
      <c r="O18" s="214"/>
      <c r="P18" s="220"/>
    </row>
    <row r="19" spans="1:16" s="4" customFormat="1" ht="9">
      <c r="A19" s="121" t="s">
        <v>245</v>
      </c>
      <c r="B19" s="28" t="s">
        <v>264</v>
      </c>
      <c r="C19" s="32"/>
      <c r="D19" s="32"/>
      <c r="E19" s="28"/>
      <c r="F19" s="28"/>
      <c r="G19" s="43"/>
      <c r="H19" s="43"/>
      <c r="I19" s="43"/>
      <c r="J19" s="43"/>
      <c r="K19" s="32"/>
      <c r="L19" s="32"/>
      <c r="M19" s="43"/>
      <c r="N19" s="122"/>
      <c r="O19" s="213"/>
      <c r="P19" s="219"/>
    </row>
    <row r="20" spans="1:16" s="4" customFormat="1" ht="9">
      <c r="A20" s="121" t="s">
        <v>246</v>
      </c>
      <c r="B20" s="28" t="s">
        <v>264</v>
      </c>
      <c r="C20" s="32"/>
      <c r="D20" s="32"/>
      <c r="E20" s="28"/>
      <c r="F20" s="28"/>
      <c r="G20" s="43"/>
      <c r="H20" s="43"/>
      <c r="I20" s="43"/>
      <c r="J20" s="43"/>
      <c r="K20" s="32"/>
      <c r="L20" s="32"/>
      <c r="M20" s="43"/>
      <c r="N20" s="122"/>
      <c r="O20" s="213"/>
      <c r="P20" s="219"/>
    </row>
    <row r="21" spans="1:16" s="4" customFormat="1" ht="9">
      <c r="A21" s="121" t="s">
        <v>247</v>
      </c>
      <c r="B21" s="28"/>
      <c r="C21" s="32"/>
      <c r="D21" s="32"/>
      <c r="E21" s="28"/>
      <c r="F21" s="28"/>
      <c r="G21" s="43"/>
      <c r="H21" s="43"/>
      <c r="I21" s="43"/>
      <c r="J21" s="43"/>
      <c r="K21" s="32"/>
      <c r="L21" s="32"/>
      <c r="M21" s="43"/>
      <c r="N21" s="122"/>
      <c r="O21" s="213"/>
      <c r="P21" s="219"/>
    </row>
    <row r="22" spans="1:16" s="4" customFormat="1" ht="9">
      <c r="A22" s="125" t="s">
        <v>266</v>
      </c>
      <c r="B22" s="28">
        <v>2</v>
      </c>
      <c r="C22" s="32">
        <v>0</v>
      </c>
      <c r="D22" s="32">
        <v>0</v>
      </c>
      <c r="E22" s="28">
        <v>1</v>
      </c>
      <c r="F22" s="28">
        <f t="shared" si="1"/>
        <v>2</v>
      </c>
      <c r="G22" s="43">
        <f>ROUND('Base Data'!$H$44/3,0)</f>
        <v>81</v>
      </c>
      <c r="H22" s="43">
        <f>F22*G22</f>
        <v>162</v>
      </c>
      <c r="I22" s="43">
        <f t="shared" si="0"/>
        <v>16.2</v>
      </c>
      <c r="J22" s="43">
        <f>H22*0.05</f>
        <v>8.1</v>
      </c>
      <c r="K22" s="32">
        <f>(H22*'Base Data'!$C$5)+(I22*'Base Data'!$C$6)+(J22*'Base Data'!$C$7)</f>
        <v>17621.954999999998</v>
      </c>
      <c r="L22" s="32">
        <v>0</v>
      </c>
      <c r="M22" s="43">
        <f>E22*G22</f>
        <v>81</v>
      </c>
      <c r="N22" s="122" t="s">
        <v>220</v>
      </c>
      <c r="O22" s="213"/>
      <c r="P22" s="219"/>
    </row>
    <row r="23" spans="1:16" s="4" customFormat="1" ht="9">
      <c r="A23" s="124" t="s">
        <v>208</v>
      </c>
      <c r="B23" s="28">
        <v>8</v>
      </c>
      <c r="C23" s="32">
        <v>0</v>
      </c>
      <c r="D23" s="32">
        <v>0</v>
      </c>
      <c r="E23" s="28">
        <v>1</v>
      </c>
      <c r="F23" s="28">
        <f t="shared" si="1"/>
        <v>8</v>
      </c>
      <c r="G23" s="43">
        <f>ROUND('Base Data'!$H$44/3,0)</f>
        <v>81</v>
      </c>
      <c r="H23" s="43">
        <f>F23*G23</f>
        <v>648</v>
      </c>
      <c r="I23" s="43">
        <f t="shared" si="0"/>
        <v>64.8</v>
      </c>
      <c r="J23" s="43">
        <f>H23*0.05</f>
        <v>32.4</v>
      </c>
      <c r="K23" s="32">
        <f>(H23*'Base Data'!$C$5)+(I23*'Base Data'!$C$6)+(J23*'Base Data'!$C$7)</f>
        <v>70487.819999999992</v>
      </c>
      <c r="L23" s="32">
        <v>0</v>
      </c>
      <c r="M23" s="43">
        <f>E23*G23</f>
        <v>81</v>
      </c>
      <c r="N23" s="122" t="s">
        <v>220</v>
      </c>
      <c r="O23" s="213"/>
      <c r="P23" s="219"/>
    </row>
    <row r="24" spans="1:16" s="4" customFormat="1" ht="9">
      <c r="A24" s="125" t="s">
        <v>339</v>
      </c>
      <c r="B24" s="28">
        <v>30</v>
      </c>
      <c r="C24" s="32">
        <v>0</v>
      </c>
      <c r="D24" s="32">
        <v>0</v>
      </c>
      <c r="E24" s="28">
        <v>1</v>
      </c>
      <c r="F24" s="28">
        <f t="shared" si="1"/>
        <v>30</v>
      </c>
      <c r="G24" s="43">
        <f>ROUND('Base Data'!$H$44/3,0)+'Fac-NewLrgLiquid-Yr1'!G24</f>
        <v>162</v>
      </c>
      <c r="H24" s="43">
        <f>F24*G24</f>
        <v>4860</v>
      </c>
      <c r="I24" s="43">
        <f t="shared" si="0"/>
        <v>486</v>
      </c>
      <c r="J24" s="43">
        <f>H24*0.05</f>
        <v>243</v>
      </c>
      <c r="K24" s="32">
        <f>(H24*'Base Data'!$C$5)+(I24*'Base Data'!$C$6)+(J24*'Base Data'!$C$7)</f>
        <v>528658.65</v>
      </c>
      <c r="L24" s="32">
        <v>0</v>
      </c>
      <c r="M24" s="43">
        <f>E24*G24</f>
        <v>162</v>
      </c>
      <c r="N24" s="122" t="s">
        <v>214</v>
      </c>
      <c r="O24" s="213"/>
      <c r="P24" s="219"/>
    </row>
    <row r="25" spans="1:16" s="4" customFormat="1" ht="9">
      <c r="A25" s="126" t="s">
        <v>24</v>
      </c>
      <c r="B25" s="28"/>
      <c r="C25" s="32"/>
      <c r="D25" s="32"/>
      <c r="E25" s="28"/>
      <c r="F25" s="28"/>
      <c r="G25" s="43"/>
      <c r="H25" s="43">
        <f>SUM(H7:H13,H18:H24,H15)</f>
        <v>19278</v>
      </c>
      <c r="I25" s="43">
        <f t="shared" ref="I25:J25" si="2">SUM(I7:I13,I18:I24,I15)</f>
        <v>1927.8</v>
      </c>
      <c r="J25" s="43">
        <f t="shared" si="2"/>
        <v>963.9</v>
      </c>
      <c r="K25" s="32">
        <f>SUM(K7:K13,K18:K24,K15)</f>
        <v>2097012.6450000005</v>
      </c>
      <c r="L25" s="32">
        <f>SUM(L7:L13,L18:L24,L15)</f>
        <v>7204800</v>
      </c>
      <c r="M25" s="43">
        <f>SUM(M22:M24)</f>
        <v>324</v>
      </c>
      <c r="N25" s="122"/>
      <c r="O25" s="215" t="e">
        <f>SUM(#REF!,#REF!,#REF!,#REF!)</f>
        <v>#REF!</v>
      </c>
      <c r="P25" s="221" t="e">
        <f>SUM(#REF!,#REF!,#REF!)</f>
        <v>#REF!</v>
      </c>
    </row>
    <row r="26" spans="1:16" s="4" customFormat="1" ht="9">
      <c r="A26" s="121" t="s">
        <v>261</v>
      </c>
      <c r="B26" s="28"/>
      <c r="C26" s="32"/>
      <c r="D26" s="32"/>
      <c r="E26" s="28"/>
      <c r="F26" s="28"/>
      <c r="G26" s="43"/>
      <c r="H26" s="43"/>
      <c r="I26" s="43"/>
      <c r="J26" s="43"/>
      <c r="K26" s="32"/>
      <c r="L26" s="32"/>
      <c r="M26" s="43"/>
      <c r="N26" s="122"/>
      <c r="O26" s="213"/>
      <c r="P26" s="219"/>
    </row>
    <row r="27" spans="1:16" s="4" customFormat="1" ht="9">
      <c r="A27" s="121" t="s">
        <v>248</v>
      </c>
      <c r="B27" s="28" t="s">
        <v>222</v>
      </c>
      <c r="C27" s="32"/>
      <c r="D27" s="32"/>
      <c r="E27" s="28"/>
      <c r="F27" s="28"/>
      <c r="G27" s="43"/>
      <c r="H27" s="43"/>
      <c r="I27" s="43"/>
      <c r="J27" s="43"/>
      <c r="K27" s="32"/>
      <c r="L27" s="32"/>
      <c r="M27" s="43"/>
      <c r="N27" s="122"/>
      <c r="O27" s="213"/>
      <c r="P27" s="219"/>
    </row>
    <row r="28" spans="1:16" s="4" customFormat="1" ht="9">
      <c r="A28" s="121" t="s">
        <v>249</v>
      </c>
      <c r="B28" s="28" t="s">
        <v>264</v>
      </c>
      <c r="C28" s="32"/>
      <c r="D28" s="32"/>
      <c r="E28" s="28"/>
      <c r="F28" s="28"/>
      <c r="G28" s="43"/>
      <c r="H28" s="43"/>
      <c r="I28" s="43"/>
      <c r="J28" s="43"/>
      <c r="K28" s="32"/>
      <c r="L28" s="32"/>
      <c r="M28" s="43"/>
      <c r="N28" s="122"/>
      <c r="O28" s="213"/>
      <c r="P28" s="219"/>
    </row>
    <row r="29" spans="1:16" s="4" customFormat="1" ht="9">
      <c r="A29" s="121" t="s">
        <v>250</v>
      </c>
      <c r="B29" s="28" t="s">
        <v>264</v>
      </c>
      <c r="C29" s="32"/>
      <c r="D29" s="32"/>
      <c r="E29" s="28"/>
      <c r="F29" s="28"/>
      <c r="G29" s="43"/>
      <c r="H29" s="43"/>
      <c r="I29" s="43"/>
      <c r="J29" s="43"/>
      <c r="K29" s="32"/>
      <c r="L29" s="32"/>
      <c r="M29" s="43"/>
      <c r="N29" s="122"/>
      <c r="O29" s="213"/>
      <c r="P29" s="219"/>
    </row>
    <row r="30" spans="1:16" s="4" customFormat="1" ht="9">
      <c r="A30" s="121" t="s">
        <v>251</v>
      </c>
      <c r="B30" s="28"/>
      <c r="C30" s="32"/>
      <c r="D30" s="32"/>
      <c r="E30" s="28"/>
      <c r="F30" s="28"/>
      <c r="G30" s="43"/>
      <c r="H30" s="43"/>
      <c r="I30" s="43"/>
      <c r="J30" s="43"/>
      <c r="K30" s="32"/>
      <c r="L30" s="32"/>
      <c r="M30" s="43"/>
      <c r="N30" s="122"/>
      <c r="O30" s="213"/>
      <c r="P30" s="219"/>
    </row>
    <row r="31" spans="1:16" s="4" customFormat="1" ht="9">
      <c r="A31" s="121" t="s">
        <v>257</v>
      </c>
      <c r="B31" s="28">
        <v>20</v>
      </c>
      <c r="C31" s="32">
        <v>0</v>
      </c>
      <c r="D31" s="32">
        <v>0</v>
      </c>
      <c r="E31" s="28">
        <v>1</v>
      </c>
      <c r="F31" s="28">
        <f t="shared" si="1"/>
        <v>20</v>
      </c>
      <c r="G31" s="43">
        <f>ROUND('Base Data'!$D$44/3,0)+'Fac-NewLrgLiquid-Yr1'!G31</f>
        <v>324</v>
      </c>
      <c r="H31" s="43">
        <f t="shared" ref="H31:H36" si="3">F31*G31</f>
        <v>6480</v>
      </c>
      <c r="I31" s="43">
        <f t="shared" si="0"/>
        <v>648</v>
      </c>
      <c r="J31" s="43">
        <f t="shared" ref="J31:J36" si="4">H31*0.05</f>
        <v>324</v>
      </c>
      <c r="K31" s="32">
        <f>(H31*'Base Data'!$C$5)+(I31*'Base Data'!$C$6)+(J31*'Base Data'!$C$7)</f>
        <v>704878.2</v>
      </c>
      <c r="L31" s="32">
        <v>0</v>
      </c>
      <c r="M31" s="43">
        <v>0</v>
      </c>
      <c r="N31" s="122" t="s">
        <v>214</v>
      </c>
      <c r="O31" s="213"/>
      <c r="P31" s="219"/>
    </row>
    <row r="32" spans="1:16" s="4" customFormat="1" ht="9">
      <c r="A32" s="123" t="s">
        <v>318</v>
      </c>
      <c r="B32" s="28">
        <v>15</v>
      </c>
      <c r="C32" s="32">
        <v>0</v>
      </c>
      <c r="D32" s="32">
        <v>0</v>
      </c>
      <c r="E32" s="28">
        <v>1</v>
      </c>
      <c r="F32" s="28">
        <f t="shared" si="1"/>
        <v>15</v>
      </c>
      <c r="G32" s="43">
        <f>ROUND('Base Data'!$D$44/3,0)+'Fac-NewLrgLiquid-Yr1'!G32</f>
        <v>324</v>
      </c>
      <c r="H32" s="43">
        <f t="shared" si="3"/>
        <v>4860</v>
      </c>
      <c r="I32" s="43">
        <f t="shared" si="0"/>
        <v>486</v>
      </c>
      <c r="J32" s="43">
        <f t="shared" si="4"/>
        <v>243</v>
      </c>
      <c r="K32" s="32">
        <f>(H32*'Base Data'!$C$5)+(I32*'Base Data'!$C$6)+(J32*'Base Data'!$C$7)</f>
        <v>528658.65</v>
      </c>
      <c r="L32" s="32">
        <v>0</v>
      </c>
      <c r="M32" s="43">
        <v>0</v>
      </c>
      <c r="N32" s="122" t="s">
        <v>214</v>
      </c>
      <c r="O32" s="213"/>
      <c r="P32" s="219"/>
    </row>
    <row r="33" spans="1:16" s="4" customFormat="1" ht="9">
      <c r="A33" s="121" t="s">
        <v>254</v>
      </c>
      <c r="B33" s="28">
        <v>2</v>
      </c>
      <c r="C33" s="32">
        <v>0</v>
      </c>
      <c r="D33" s="32">
        <v>0</v>
      </c>
      <c r="E33" s="28">
        <v>1</v>
      </c>
      <c r="F33" s="28">
        <f t="shared" si="1"/>
        <v>2</v>
      </c>
      <c r="G33" s="43">
        <f>ROUND('Base Data'!$D$44/3,0)+'Fac-NewLrgLiquid-Yr1'!G33</f>
        <v>324</v>
      </c>
      <c r="H33" s="43">
        <f t="shared" si="3"/>
        <v>648</v>
      </c>
      <c r="I33" s="43">
        <f t="shared" si="0"/>
        <v>64.8</v>
      </c>
      <c r="J33" s="43">
        <f t="shared" si="4"/>
        <v>32.4</v>
      </c>
      <c r="K33" s="32">
        <f>(H33*'Base Data'!$C$5)+(I33*'Base Data'!$C$6)+(J33*'Base Data'!$C$7)</f>
        <v>70487.819999999992</v>
      </c>
      <c r="L33" s="32">
        <v>0</v>
      </c>
      <c r="M33" s="43">
        <v>0</v>
      </c>
      <c r="N33" s="122" t="s">
        <v>214</v>
      </c>
      <c r="O33" s="213"/>
      <c r="P33" s="219"/>
    </row>
    <row r="34" spans="1:16" s="4" customFormat="1" ht="9">
      <c r="A34" s="123" t="s">
        <v>269</v>
      </c>
      <c r="B34" s="28">
        <v>2</v>
      </c>
      <c r="C34" s="32">
        <v>0</v>
      </c>
      <c r="D34" s="32">
        <v>0</v>
      </c>
      <c r="E34" s="28">
        <v>1</v>
      </c>
      <c r="F34" s="28">
        <f t="shared" si="1"/>
        <v>2</v>
      </c>
      <c r="G34" s="43">
        <f>ROUND('Base Data'!$D$44/3,0)+'Fac-NewLrgLiquid-Yr1'!G34</f>
        <v>324</v>
      </c>
      <c r="H34" s="43">
        <f t="shared" si="3"/>
        <v>648</v>
      </c>
      <c r="I34" s="43">
        <f t="shared" si="0"/>
        <v>64.8</v>
      </c>
      <c r="J34" s="43">
        <f t="shared" si="4"/>
        <v>32.4</v>
      </c>
      <c r="K34" s="32">
        <f>(H34*'Base Data'!$C$5)+(I34*'Base Data'!$C$6)+(J34*'Base Data'!$C$7)</f>
        <v>70487.819999999992</v>
      </c>
      <c r="L34" s="32">
        <v>0</v>
      </c>
      <c r="M34" s="43">
        <v>0</v>
      </c>
      <c r="N34" s="122" t="s">
        <v>214</v>
      </c>
      <c r="O34" s="213"/>
      <c r="P34" s="219"/>
    </row>
    <row r="35" spans="1:16" s="4" customFormat="1" ht="9" customHeight="1">
      <c r="A35" s="123" t="s">
        <v>270</v>
      </c>
      <c r="B35" s="28">
        <v>2</v>
      </c>
      <c r="C35" s="32">
        <v>0</v>
      </c>
      <c r="D35" s="32">
        <v>0</v>
      </c>
      <c r="E35" s="28">
        <v>2</v>
      </c>
      <c r="F35" s="28">
        <f t="shared" si="1"/>
        <v>4</v>
      </c>
      <c r="G35" s="43">
        <f>G24+'Fac-NewLrgLiquid-Yr1'!G35</f>
        <v>324</v>
      </c>
      <c r="H35" s="43">
        <f t="shared" si="3"/>
        <v>1296</v>
      </c>
      <c r="I35" s="43">
        <f t="shared" si="0"/>
        <v>129.6</v>
      </c>
      <c r="J35" s="43">
        <f t="shared" si="4"/>
        <v>64.8</v>
      </c>
      <c r="K35" s="32">
        <f>(H35*'Base Data'!$C$5)+(I35*'Base Data'!$C$6)+(J35*'Base Data'!$C$7)</f>
        <v>140975.63999999998</v>
      </c>
      <c r="L35" s="32">
        <v>0</v>
      </c>
      <c r="M35" s="43">
        <v>0</v>
      </c>
      <c r="N35" s="122" t="s">
        <v>214</v>
      </c>
      <c r="O35" s="213"/>
      <c r="P35" s="219"/>
    </row>
    <row r="36" spans="1:16" s="4" customFormat="1" ht="9">
      <c r="A36" s="123" t="s">
        <v>271</v>
      </c>
      <c r="B36" s="28">
        <v>0.5</v>
      </c>
      <c r="C36" s="32">
        <v>0</v>
      </c>
      <c r="D36" s="32">
        <v>0</v>
      </c>
      <c r="E36" s="28">
        <v>12</v>
      </c>
      <c r="F36" s="28">
        <f t="shared" si="1"/>
        <v>6</v>
      </c>
      <c r="G36" s="43">
        <f>ROUND('Base Data'!$D$44/3,0)+'Fac-NewLrgLiquid-Yr1'!G36</f>
        <v>324</v>
      </c>
      <c r="H36" s="43">
        <f t="shared" si="3"/>
        <v>1944</v>
      </c>
      <c r="I36" s="43">
        <f t="shared" si="0"/>
        <v>194.4</v>
      </c>
      <c r="J36" s="43">
        <f t="shared" si="4"/>
        <v>97.2</v>
      </c>
      <c r="K36" s="32">
        <f>(H36*'Base Data'!$C$5)+(I36*'Base Data'!$C$6)+(J36*'Base Data'!$C$7)</f>
        <v>211463.46000000002</v>
      </c>
      <c r="L36" s="32">
        <v>0</v>
      </c>
      <c r="M36" s="43">
        <v>0</v>
      </c>
      <c r="N36" s="122" t="s">
        <v>214</v>
      </c>
      <c r="O36" s="213"/>
      <c r="P36" s="219"/>
    </row>
    <row r="37" spans="1:16" s="4" customFormat="1" ht="9">
      <c r="A37" s="121" t="s">
        <v>255</v>
      </c>
      <c r="B37" s="28" t="s">
        <v>264</v>
      </c>
      <c r="C37" s="32"/>
      <c r="D37" s="32"/>
      <c r="E37" s="28"/>
      <c r="F37" s="28"/>
      <c r="G37" s="43" t="s">
        <v>32</v>
      </c>
      <c r="H37" s="43"/>
      <c r="I37" s="43"/>
      <c r="J37" s="43"/>
      <c r="K37" s="32"/>
      <c r="L37" s="32"/>
      <c r="M37" s="43"/>
      <c r="N37" s="122"/>
      <c r="O37" s="213"/>
      <c r="P37" s="219"/>
    </row>
    <row r="38" spans="1:16" s="4" customFormat="1" ht="9">
      <c r="A38" s="121" t="s">
        <v>256</v>
      </c>
      <c r="B38" s="28" t="s">
        <v>264</v>
      </c>
      <c r="C38" s="32"/>
      <c r="D38" s="32"/>
      <c r="E38" s="28"/>
      <c r="F38" s="28"/>
      <c r="G38" s="28"/>
      <c r="H38" s="43"/>
      <c r="I38" s="43"/>
      <c r="J38" s="43"/>
      <c r="K38" s="32"/>
      <c r="L38" s="32"/>
      <c r="M38" s="43"/>
      <c r="N38" s="122"/>
      <c r="O38" s="213"/>
      <c r="P38" s="219"/>
    </row>
    <row r="39" spans="1:16" s="4" customFormat="1" ht="9.75" thickBot="1">
      <c r="A39" s="366" t="s">
        <v>33</v>
      </c>
      <c r="B39" s="231"/>
      <c r="C39" s="139"/>
      <c r="D39" s="139"/>
      <c r="E39" s="231"/>
      <c r="F39" s="231"/>
      <c r="G39" s="231"/>
      <c r="H39" s="138">
        <f>SUM(H26:H38)</f>
        <v>15876</v>
      </c>
      <c r="I39" s="138">
        <f t="shared" ref="I39:J39" si="5">SUM(I26:I38)</f>
        <v>1587.6</v>
      </c>
      <c r="J39" s="138">
        <f t="shared" si="5"/>
        <v>793.8</v>
      </c>
      <c r="K39" s="139">
        <f>SUM(K31:K38)</f>
        <v>1726951.59</v>
      </c>
      <c r="L39" s="139">
        <f>SUM(L31:L38)</f>
        <v>0</v>
      </c>
      <c r="M39" s="138">
        <f>SUM(M12:M18,M26:M38)</f>
        <v>0</v>
      </c>
      <c r="N39" s="232"/>
      <c r="O39" s="213"/>
      <c r="P39" s="219"/>
    </row>
    <row r="40" spans="1:16" s="7" customFormat="1" ht="9.75" thickBot="1">
      <c r="A40" s="131" t="s">
        <v>236</v>
      </c>
      <c r="B40" s="368"/>
      <c r="C40" s="368"/>
      <c r="D40" s="368"/>
      <c r="E40" s="368"/>
      <c r="F40" s="368"/>
      <c r="G40" s="368"/>
      <c r="H40" s="135">
        <f t="shared" ref="H40:M40" si="6">SUM(H25,H39)</f>
        <v>35154</v>
      </c>
      <c r="I40" s="135">
        <f>SUM(I25,I39)</f>
        <v>3515.3999999999996</v>
      </c>
      <c r="J40" s="135">
        <f t="shared" si="6"/>
        <v>1757.6999999999998</v>
      </c>
      <c r="K40" s="136">
        <f t="shared" si="6"/>
        <v>3823964.2350000003</v>
      </c>
      <c r="L40" s="136">
        <f t="shared" si="6"/>
        <v>7204800</v>
      </c>
      <c r="M40" s="135">
        <f t="shared" si="6"/>
        <v>324</v>
      </c>
      <c r="N40" s="369"/>
    </row>
    <row r="41" spans="1:16" ht="20.25" customHeight="1">
      <c r="A41" s="413" t="s">
        <v>43</v>
      </c>
      <c r="B41" s="413"/>
      <c r="C41" s="413"/>
      <c r="D41" s="413"/>
      <c r="E41" s="413"/>
      <c r="F41" s="413"/>
      <c r="G41" s="413"/>
      <c r="H41" s="413"/>
      <c r="I41" s="413"/>
      <c r="J41" s="413"/>
      <c r="K41" s="413"/>
      <c r="L41" s="413"/>
      <c r="M41" s="413"/>
      <c r="N41" s="413"/>
    </row>
    <row r="42" spans="1:16">
      <c r="A42" s="9" t="s">
        <v>210</v>
      </c>
    </row>
    <row r="43" spans="1:16">
      <c r="A43" s="409" t="s">
        <v>353</v>
      </c>
      <c r="B43" s="409"/>
      <c r="C43" s="409"/>
      <c r="D43" s="409"/>
      <c r="E43" s="409"/>
      <c r="F43" s="409"/>
      <c r="G43" s="409"/>
      <c r="H43" s="409"/>
      <c r="I43" s="409"/>
      <c r="J43" s="409"/>
      <c r="K43" s="409"/>
      <c r="L43" s="409"/>
      <c r="M43" s="409"/>
      <c r="N43" s="409"/>
    </row>
    <row r="44" spans="1:16" ht="23.25" customHeight="1">
      <c r="A44" s="409" t="s">
        <v>368</v>
      </c>
      <c r="B44" s="409"/>
      <c r="C44" s="409"/>
      <c r="D44" s="409"/>
      <c r="E44" s="409"/>
      <c r="F44" s="409"/>
      <c r="G44" s="409"/>
      <c r="H44" s="409"/>
      <c r="I44" s="409"/>
      <c r="J44" s="409"/>
      <c r="K44" s="409"/>
      <c r="L44" s="409"/>
      <c r="M44" s="409"/>
      <c r="N44" s="409"/>
    </row>
    <row r="45" spans="1:16">
      <c r="A45" s="414" t="s">
        <v>352</v>
      </c>
      <c r="B45" s="414"/>
      <c r="C45" s="414"/>
      <c r="D45" s="414"/>
      <c r="E45" s="414"/>
      <c r="F45" s="414"/>
      <c r="G45" s="414"/>
      <c r="H45" s="414"/>
      <c r="I45" s="414"/>
      <c r="J45" s="414"/>
      <c r="K45" s="414"/>
      <c r="L45" s="414"/>
      <c r="M45" s="414"/>
      <c r="N45" s="414"/>
    </row>
  </sheetData>
  <mergeCells count="6">
    <mergeCell ref="A41:N41"/>
    <mergeCell ref="A43:N43"/>
    <mergeCell ref="A44:N44"/>
    <mergeCell ref="A45:N45"/>
    <mergeCell ref="A1:N1"/>
    <mergeCell ref="A2:N2"/>
  </mergeCells>
  <phoneticPr fontId="7" type="noConversion"/>
  <printOptions horizontalCentered="1"/>
  <pageMargins left="0" right="0" top="0.2" bottom="0.2" header="0.2" footer="0.2"/>
  <pageSetup orientation="landscape" r:id="rId1"/>
  <headerFooter alignWithMargins="0"/>
</worksheet>
</file>

<file path=xl/worksheets/sheet16.xml><?xml version="1.0" encoding="utf-8"?>
<worksheet xmlns="http://schemas.openxmlformats.org/spreadsheetml/2006/main" xmlns:r="http://schemas.openxmlformats.org/officeDocument/2006/relationships">
  <sheetPr>
    <pageSetUpPr fitToPage="1"/>
  </sheetPr>
  <dimension ref="A1:P45"/>
  <sheetViews>
    <sheetView zoomScaleNormal="100" workbookViewId="0">
      <selection activeCell="E19" sqref="E19"/>
    </sheetView>
  </sheetViews>
  <sheetFormatPr defaultRowHeight="11.25"/>
  <cols>
    <col min="1" max="1" width="33.42578125" style="1" customWidth="1"/>
    <col min="2" max="2" width="8.140625" style="5" customWidth="1"/>
    <col min="3" max="3" width="8" style="5" customWidth="1"/>
    <col min="4" max="4" width="8.140625" style="5" customWidth="1"/>
    <col min="5" max="5" width="8.28515625" style="5" customWidth="1"/>
    <col min="6" max="6" width="8.140625" style="5" customWidth="1"/>
    <col min="7" max="7" width="9" style="5" customWidth="1"/>
    <col min="8" max="8" width="6.85546875" style="6" customWidth="1"/>
    <col min="9" max="9" width="7.140625" style="6" customWidth="1"/>
    <col min="10" max="10" width="7.7109375" style="6" customWidth="1"/>
    <col min="11" max="11" width="10.140625" style="6" customWidth="1"/>
    <col min="12" max="12" width="11.85546875" style="6" bestFit="1" customWidth="1"/>
    <col min="13" max="13" width="9" style="6" customWidth="1"/>
    <col min="14" max="14" width="4" style="5" customWidth="1"/>
    <col min="15" max="16" width="0" style="1" hidden="1" customWidth="1"/>
    <col min="17" max="16384" width="9.140625" style="1"/>
  </cols>
  <sheetData>
    <row r="1" spans="1:16" ht="12.75">
      <c r="A1" s="406" t="s">
        <v>71</v>
      </c>
      <c r="B1" s="410"/>
      <c r="C1" s="410"/>
      <c r="D1" s="410"/>
      <c r="E1" s="410"/>
      <c r="F1" s="410"/>
      <c r="G1" s="410"/>
      <c r="H1" s="410"/>
      <c r="I1" s="410"/>
      <c r="J1" s="410"/>
      <c r="K1" s="410"/>
      <c r="L1" s="410"/>
      <c r="M1" s="410"/>
      <c r="N1" s="410"/>
    </row>
    <row r="2" spans="1:16" ht="12" thickBot="1">
      <c r="A2" s="412" t="s">
        <v>37</v>
      </c>
      <c r="B2" s="412"/>
      <c r="C2" s="412"/>
      <c r="D2" s="412"/>
      <c r="E2" s="412"/>
      <c r="F2" s="412"/>
      <c r="G2" s="412"/>
      <c r="H2" s="412"/>
      <c r="I2" s="412"/>
      <c r="J2" s="412"/>
      <c r="K2" s="412"/>
      <c r="L2" s="412"/>
      <c r="M2" s="412"/>
      <c r="N2" s="412"/>
    </row>
    <row r="3" spans="1:16" s="3" customFormat="1" ht="63.75" thickBot="1">
      <c r="A3" s="143" t="s">
        <v>229</v>
      </c>
      <c r="B3" s="218" t="s">
        <v>230</v>
      </c>
      <c r="C3" s="218" t="s">
        <v>30</v>
      </c>
      <c r="D3" s="218" t="s">
        <v>259</v>
      </c>
      <c r="E3" s="218" t="s">
        <v>260</v>
      </c>
      <c r="F3" s="218" t="s">
        <v>263</v>
      </c>
      <c r="G3" s="218" t="s">
        <v>265</v>
      </c>
      <c r="H3" s="233" t="s">
        <v>13</v>
      </c>
      <c r="I3" s="233" t="s">
        <v>14</v>
      </c>
      <c r="J3" s="233" t="s">
        <v>15</v>
      </c>
      <c r="K3" s="233" t="s">
        <v>85</v>
      </c>
      <c r="L3" s="233" t="s">
        <v>376</v>
      </c>
      <c r="M3" s="233" t="s">
        <v>365</v>
      </c>
      <c r="N3" s="354" t="s">
        <v>231</v>
      </c>
      <c r="O3" s="3" t="s">
        <v>86</v>
      </c>
    </row>
    <row r="4" spans="1:16" s="4" customFormat="1" ht="9">
      <c r="A4" s="234" t="s">
        <v>237</v>
      </c>
      <c r="B4" s="235" t="s">
        <v>264</v>
      </c>
      <c r="C4" s="236"/>
      <c r="D4" s="236"/>
      <c r="E4" s="235"/>
      <c r="F4" s="235"/>
      <c r="G4" s="235"/>
      <c r="H4" s="237"/>
      <c r="I4" s="237"/>
      <c r="J4" s="237"/>
      <c r="K4" s="236"/>
      <c r="L4" s="236"/>
      <c r="M4" s="237"/>
      <c r="N4" s="229"/>
      <c r="O4" s="213"/>
      <c r="P4" s="219"/>
    </row>
    <row r="5" spans="1:16" s="4" customFormat="1" ht="9">
      <c r="A5" s="121" t="s">
        <v>238</v>
      </c>
      <c r="B5" s="28" t="s">
        <v>264</v>
      </c>
      <c r="C5" s="32"/>
      <c r="D5" s="32"/>
      <c r="E5" s="28"/>
      <c r="F5" s="28"/>
      <c r="G5" s="28"/>
      <c r="H5" s="43"/>
      <c r="I5" s="43"/>
      <c r="J5" s="43"/>
      <c r="K5" s="32"/>
      <c r="L5" s="32"/>
      <c r="M5" s="43"/>
      <c r="N5" s="122"/>
      <c r="O5" s="213"/>
      <c r="P5" s="219"/>
    </row>
    <row r="6" spans="1:16" s="4" customFormat="1" ht="9">
      <c r="A6" s="121" t="s">
        <v>239</v>
      </c>
      <c r="B6" s="28"/>
      <c r="C6" s="32"/>
      <c r="D6" s="32"/>
      <c r="E6" s="28"/>
      <c r="F6" s="28"/>
      <c r="G6" s="28"/>
      <c r="H6" s="43"/>
      <c r="I6" s="43"/>
      <c r="J6" s="43"/>
      <c r="K6" s="32"/>
      <c r="L6" s="32"/>
      <c r="M6" s="43"/>
      <c r="N6" s="122"/>
      <c r="O6" s="213"/>
      <c r="P6" s="219"/>
    </row>
    <row r="7" spans="1:16" s="4" customFormat="1" ht="9">
      <c r="A7" s="123" t="s">
        <v>240</v>
      </c>
      <c r="B7" s="28">
        <v>40</v>
      </c>
      <c r="C7" s="32">
        <v>0</v>
      </c>
      <c r="D7" s="32">
        <v>0</v>
      </c>
      <c r="E7" s="28">
        <v>1</v>
      </c>
      <c r="F7" s="28">
        <f>B7*E7</f>
        <v>40</v>
      </c>
      <c r="G7" s="43">
        <f>ROUND('Base Data'!$H$44/3,0)+1</f>
        <v>82</v>
      </c>
      <c r="H7" s="43">
        <f>F7*G7</f>
        <v>3280</v>
      </c>
      <c r="I7" s="43">
        <f>H7*0.1</f>
        <v>328</v>
      </c>
      <c r="J7" s="43">
        <f>H7*0.05</f>
        <v>164</v>
      </c>
      <c r="K7" s="32">
        <f>(H7*'Base Data'!$C$5)+(I7*'Base Data'!$C$6)+(J7*'Base Data'!$C$7)</f>
        <v>356790.2</v>
      </c>
      <c r="L7" s="32">
        <v>0</v>
      </c>
      <c r="M7" s="43">
        <v>0</v>
      </c>
      <c r="N7" s="122" t="s">
        <v>220</v>
      </c>
      <c r="O7" s="213"/>
      <c r="P7" s="219"/>
    </row>
    <row r="8" spans="1:16" s="4" customFormat="1" ht="9">
      <c r="A8" s="121" t="s">
        <v>241</v>
      </c>
      <c r="B8" s="28"/>
      <c r="C8" s="32"/>
      <c r="D8" s="32"/>
      <c r="E8" s="28"/>
      <c r="F8" s="28"/>
      <c r="G8" s="43"/>
      <c r="H8" s="43"/>
      <c r="I8" s="43"/>
      <c r="J8" s="43"/>
      <c r="K8" s="32"/>
      <c r="L8" s="32"/>
      <c r="M8" s="43"/>
      <c r="N8" s="122"/>
      <c r="O8" s="213"/>
      <c r="P8" s="219"/>
    </row>
    <row r="9" spans="1:16" s="4" customFormat="1" ht="9">
      <c r="A9" s="123" t="s">
        <v>223</v>
      </c>
      <c r="B9" s="28">
        <v>12</v>
      </c>
      <c r="C9" s="32">
        <v>8000</v>
      </c>
      <c r="D9" s="32">
        <v>0</v>
      </c>
      <c r="E9" s="28">
        <v>1</v>
      </c>
      <c r="F9" s="28">
        <f>B9*E9</f>
        <v>12</v>
      </c>
      <c r="G9" s="43">
        <f>ROUND('Base Data'!$D$44/3,0)+1</f>
        <v>163</v>
      </c>
      <c r="H9" s="43">
        <f>F9*G9</f>
        <v>1956</v>
      </c>
      <c r="I9" s="43">
        <f t="shared" ref="I9:I36" si="0">H9*0.1</f>
        <v>195.60000000000002</v>
      </c>
      <c r="J9" s="43">
        <f>H9*0.05</f>
        <v>97.800000000000011</v>
      </c>
      <c r="K9" s="32">
        <f>(H9*'Base Data'!$C$5)+(I9*'Base Data'!$C$6)+(J9*'Base Data'!$C$7)</f>
        <v>212768.79</v>
      </c>
      <c r="L9" s="32">
        <f>C9*E9*G9</f>
        <v>1304000</v>
      </c>
      <c r="M9" s="43">
        <v>0</v>
      </c>
      <c r="N9" s="122" t="s">
        <v>211</v>
      </c>
      <c r="O9" s="213"/>
      <c r="P9" s="219"/>
    </row>
    <row r="10" spans="1:16" s="4" customFormat="1" ht="9">
      <c r="A10" s="123" t="s">
        <v>350</v>
      </c>
      <c r="B10" s="28">
        <v>12</v>
      </c>
      <c r="C10" s="32">
        <v>8000</v>
      </c>
      <c r="D10" s="32">
        <v>0</v>
      </c>
      <c r="E10" s="28">
        <v>1</v>
      </c>
      <c r="F10" s="28">
        <f t="shared" ref="F10:F36" si="1">B10*E10</f>
        <v>12</v>
      </c>
      <c r="G10" s="43">
        <f>'Fac-NewLrgLiquid-Yr2'!G9+'Fac-NewLrgLiquid-Yr2'!G10</f>
        <v>324</v>
      </c>
      <c r="H10" s="43">
        <f>F10*G10</f>
        <v>3888</v>
      </c>
      <c r="I10" s="43">
        <f t="shared" si="0"/>
        <v>388.8</v>
      </c>
      <c r="J10" s="43">
        <f>H10*0.05</f>
        <v>194.4</v>
      </c>
      <c r="K10" s="32">
        <f>(H10*'Base Data'!$C$5)+(I10*'Base Data'!$C$6)+(J10*'Base Data'!$C$7)</f>
        <v>422926.92000000004</v>
      </c>
      <c r="L10" s="32">
        <f>C10*E10*G10</f>
        <v>2592000</v>
      </c>
      <c r="M10" s="43">
        <v>0</v>
      </c>
      <c r="N10" s="122" t="s">
        <v>205</v>
      </c>
      <c r="O10" s="213"/>
      <c r="P10" s="219"/>
    </row>
    <row r="11" spans="1:16" s="4" customFormat="1" ht="9">
      <c r="A11" s="123" t="s">
        <v>351</v>
      </c>
      <c r="B11" s="28"/>
      <c r="C11" s="32"/>
      <c r="D11" s="32"/>
      <c r="E11" s="28"/>
      <c r="F11" s="28"/>
      <c r="G11" s="43"/>
      <c r="H11" s="43"/>
      <c r="I11" s="43"/>
      <c r="J11" s="43"/>
      <c r="K11" s="32"/>
      <c r="L11" s="32"/>
      <c r="M11" s="43"/>
      <c r="N11" s="122"/>
      <c r="O11" s="213"/>
      <c r="P11" s="219"/>
    </row>
    <row r="12" spans="1:16" s="4" customFormat="1" ht="9">
      <c r="A12" s="123" t="s">
        <v>262</v>
      </c>
      <c r="B12" s="28">
        <v>40</v>
      </c>
      <c r="C12" s="32">
        <v>0</v>
      </c>
      <c r="D12" s="32">
        <v>0</v>
      </c>
      <c r="E12" s="28">
        <v>1</v>
      </c>
      <c r="F12" s="28">
        <f t="shared" si="1"/>
        <v>40</v>
      </c>
      <c r="G12" s="43">
        <f>ROUND('Base Data'!$H$44/3,0)+1</f>
        <v>82</v>
      </c>
      <c r="H12" s="43">
        <f>F12*G12</f>
        <v>3280</v>
      </c>
      <c r="I12" s="43">
        <f t="shared" si="0"/>
        <v>328</v>
      </c>
      <c r="J12" s="43">
        <f>H12*0.05</f>
        <v>164</v>
      </c>
      <c r="K12" s="32">
        <f>(H12*'Base Data'!$C$5)+(I12*'Base Data'!$C$6)+(J12*'Base Data'!$C$7)</f>
        <v>356790.2</v>
      </c>
      <c r="L12" s="32">
        <v>0</v>
      </c>
      <c r="M12" s="43">
        <v>0</v>
      </c>
      <c r="N12" s="122" t="s">
        <v>216</v>
      </c>
      <c r="O12" s="213"/>
      <c r="P12" s="219"/>
    </row>
    <row r="13" spans="1:16" s="4" customFormat="1" ht="9">
      <c r="A13" s="121" t="s">
        <v>242</v>
      </c>
      <c r="B13" s="28"/>
      <c r="C13" s="32"/>
      <c r="D13" s="32"/>
      <c r="E13" s="28"/>
      <c r="F13" s="28"/>
      <c r="G13" s="43"/>
      <c r="H13" s="43"/>
      <c r="I13" s="43"/>
      <c r="J13" s="43"/>
      <c r="K13" s="32"/>
      <c r="L13" s="32"/>
      <c r="M13" s="43"/>
      <c r="N13" s="122"/>
      <c r="O13" s="213"/>
      <c r="P13" s="219"/>
    </row>
    <row r="14" spans="1:16" s="4" customFormat="1" ht="9">
      <c r="A14" s="121" t="s">
        <v>243</v>
      </c>
      <c r="B14" s="28">
        <v>10</v>
      </c>
      <c r="C14" s="32">
        <v>0</v>
      </c>
      <c r="D14" s="32">
        <v>43100</v>
      </c>
      <c r="E14" s="28">
        <v>1</v>
      </c>
      <c r="F14" s="28">
        <f t="shared" si="1"/>
        <v>10</v>
      </c>
      <c r="G14" s="43">
        <f>ROUND('Base Data'!$G$50/3,0)</f>
        <v>147</v>
      </c>
      <c r="H14" s="43">
        <f>F14*G14</f>
        <v>1470</v>
      </c>
      <c r="I14" s="43">
        <f t="shared" si="0"/>
        <v>147</v>
      </c>
      <c r="J14" s="43">
        <f>H14*0.05</f>
        <v>73.5</v>
      </c>
      <c r="K14" s="32">
        <f>(H14*'Base Data'!$C$5)+(I14*'Base Data'!$C$6)+(J14*'Base Data'!$C$7)</f>
        <v>159902.92499999999</v>
      </c>
      <c r="L14" s="32">
        <f>D14*E14*G14</f>
        <v>6335700</v>
      </c>
      <c r="M14" s="43">
        <v>0</v>
      </c>
      <c r="N14" s="122"/>
      <c r="O14" s="213"/>
      <c r="P14" s="219"/>
    </row>
    <row r="15" spans="1:16" s="4" customFormat="1" ht="9">
      <c r="A15" s="121" t="s">
        <v>244</v>
      </c>
      <c r="B15" s="28">
        <v>10</v>
      </c>
      <c r="C15" s="32">
        <v>0</v>
      </c>
      <c r="D15" s="32">
        <v>14700</v>
      </c>
      <c r="E15" s="28">
        <v>1</v>
      </c>
      <c r="F15" s="28">
        <f t="shared" si="1"/>
        <v>10</v>
      </c>
      <c r="G15" s="43">
        <f>$G$14+'Fac-NewLrgLiquid-Yr2'!$G$15</f>
        <v>441</v>
      </c>
      <c r="H15" s="43">
        <f>F15*G15</f>
        <v>4410</v>
      </c>
      <c r="I15" s="43">
        <f t="shared" si="0"/>
        <v>441</v>
      </c>
      <c r="J15" s="43">
        <f>H15*0.05</f>
        <v>220.5</v>
      </c>
      <c r="K15" s="32">
        <f>(H15*'Base Data'!$C$5)+(I15*'Base Data'!$C$6)+(J15*'Base Data'!$C$7)</f>
        <v>479708.77499999997</v>
      </c>
      <c r="L15" s="32">
        <f>D15*E15*G15</f>
        <v>6482700</v>
      </c>
      <c r="M15" s="43">
        <v>0</v>
      </c>
      <c r="N15" s="122"/>
      <c r="O15" s="213"/>
      <c r="P15" s="219"/>
    </row>
    <row r="16" spans="1:16" s="4" customFormat="1" ht="18">
      <c r="A16" s="123" t="s">
        <v>3</v>
      </c>
      <c r="B16" s="28"/>
      <c r="C16" s="32"/>
      <c r="D16" s="32"/>
      <c r="E16" s="28"/>
      <c r="F16" s="28"/>
      <c r="G16" s="43"/>
      <c r="H16" s="43"/>
      <c r="I16" s="43"/>
      <c r="J16" s="43"/>
      <c r="K16" s="32"/>
      <c r="L16" s="32"/>
      <c r="M16" s="43"/>
      <c r="N16" s="122"/>
      <c r="O16" s="213"/>
      <c r="P16" s="219"/>
    </row>
    <row r="17" spans="1:16" s="46" customFormat="1" ht="9">
      <c r="A17" s="121" t="s">
        <v>243</v>
      </c>
      <c r="B17" s="28">
        <v>10</v>
      </c>
      <c r="C17" s="32">
        <v>0</v>
      </c>
      <c r="D17" s="32">
        <v>25500</v>
      </c>
      <c r="E17" s="28">
        <v>1</v>
      </c>
      <c r="F17" s="28">
        <f>B17*E17</f>
        <v>10</v>
      </c>
      <c r="G17" s="43">
        <f>ROUND('Base Data'!$C$49/3,0)</f>
        <v>15</v>
      </c>
      <c r="H17" s="43">
        <f>F17*G17</f>
        <v>150</v>
      </c>
      <c r="I17" s="43">
        <f t="shared" si="0"/>
        <v>15</v>
      </c>
      <c r="J17" s="43">
        <f>H17*0.05</f>
        <v>7.5</v>
      </c>
      <c r="K17" s="32">
        <f>(H17*'Base Data'!$C$5)+(I17*'Base Data'!$C$6)+(J17*'Base Data'!$C$7)</f>
        <v>16316.625</v>
      </c>
      <c r="L17" s="32">
        <f>D17*E17*G17</f>
        <v>382500</v>
      </c>
      <c r="M17" s="43">
        <v>0</v>
      </c>
      <c r="N17" s="122"/>
      <c r="O17" s="214"/>
      <c r="P17" s="220"/>
    </row>
    <row r="18" spans="1:16" s="46" customFormat="1" ht="9">
      <c r="A18" s="121" t="s">
        <v>244</v>
      </c>
      <c r="B18" s="28">
        <v>10</v>
      </c>
      <c r="C18" s="32">
        <v>0</v>
      </c>
      <c r="D18" s="32">
        <v>9700</v>
      </c>
      <c r="E18" s="28">
        <v>1</v>
      </c>
      <c r="F18" s="28">
        <f>B18*E18</f>
        <v>10</v>
      </c>
      <c r="G18" s="43">
        <f>$G$17+'Fac-NewLrgLiquid-Yr2'!$G$18</f>
        <v>45</v>
      </c>
      <c r="H18" s="43">
        <f>F18*G18</f>
        <v>450</v>
      </c>
      <c r="I18" s="43">
        <f t="shared" si="0"/>
        <v>45</v>
      </c>
      <c r="J18" s="43">
        <f>H18*0.05</f>
        <v>22.5</v>
      </c>
      <c r="K18" s="32">
        <f>(H18*'Base Data'!$C$5)+(I18*'Base Data'!$C$6)+(J18*'Base Data'!$C$7)</f>
        <v>48949.875</v>
      </c>
      <c r="L18" s="32">
        <f>D18*E18*G18</f>
        <v>436500</v>
      </c>
      <c r="M18" s="43">
        <v>0</v>
      </c>
      <c r="N18" s="122"/>
      <c r="O18" s="214"/>
      <c r="P18" s="220"/>
    </row>
    <row r="19" spans="1:16" s="4" customFormat="1" ht="9">
      <c r="A19" s="121" t="s">
        <v>245</v>
      </c>
      <c r="B19" s="28" t="s">
        <v>264</v>
      </c>
      <c r="C19" s="32"/>
      <c r="D19" s="32"/>
      <c r="E19" s="28"/>
      <c r="F19" s="28"/>
      <c r="G19" s="43"/>
      <c r="H19" s="43"/>
      <c r="I19" s="43"/>
      <c r="J19" s="43"/>
      <c r="K19" s="32"/>
      <c r="L19" s="32"/>
      <c r="M19" s="43"/>
      <c r="N19" s="122"/>
      <c r="O19" s="213"/>
      <c r="P19" s="219"/>
    </row>
    <row r="20" spans="1:16" s="4" customFormat="1" ht="9">
      <c r="A20" s="121" t="s">
        <v>246</v>
      </c>
      <c r="B20" s="28" t="s">
        <v>264</v>
      </c>
      <c r="C20" s="32"/>
      <c r="D20" s="32"/>
      <c r="E20" s="28"/>
      <c r="F20" s="28"/>
      <c r="G20" s="43"/>
      <c r="H20" s="43"/>
      <c r="I20" s="43"/>
      <c r="J20" s="43"/>
      <c r="K20" s="32"/>
      <c r="L20" s="32"/>
      <c r="M20" s="43"/>
      <c r="N20" s="122"/>
      <c r="O20" s="213"/>
      <c r="P20" s="219"/>
    </row>
    <row r="21" spans="1:16" s="4" customFormat="1" ht="9">
      <c r="A21" s="121" t="s">
        <v>247</v>
      </c>
      <c r="B21" s="28"/>
      <c r="C21" s="32"/>
      <c r="D21" s="32"/>
      <c r="E21" s="28"/>
      <c r="F21" s="28"/>
      <c r="G21" s="43"/>
      <c r="H21" s="43"/>
      <c r="I21" s="43"/>
      <c r="J21" s="43"/>
      <c r="K21" s="32"/>
      <c r="L21" s="32"/>
      <c r="M21" s="43"/>
      <c r="N21" s="122"/>
      <c r="O21" s="213"/>
      <c r="P21" s="219"/>
    </row>
    <row r="22" spans="1:16" s="4" customFormat="1" ht="9">
      <c r="A22" s="125" t="s">
        <v>266</v>
      </c>
      <c r="B22" s="28">
        <v>2</v>
      </c>
      <c r="C22" s="32">
        <v>0</v>
      </c>
      <c r="D22" s="32">
        <v>0</v>
      </c>
      <c r="E22" s="28">
        <v>1</v>
      </c>
      <c r="F22" s="28">
        <f t="shared" si="1"/>
        <v>2</v>
      </c>
      <c r="G22" s="43">
        <f>ROUND('Base Data'!$H$44/3,0)+1</f>
        <v>82</v>
      </c>
      <c r="H22" s="43">
        <f>F22*G22</f>
        <v>164</v>
      </c>
      <c r="I22" s="43">
        <f t="shared" si="0"/>
        <v>16.400000000000002</v>
      </c>
      <c r="J22" s="43">
        <f>H22*0.05</f>
        <v>8.2000000000000011</v>
      </c>
      <c r="K22" s="32">
        <f>(H22*'Base Data'!$C$5)+(I22*'Base Data'!$C$6)+(J22*'Base Data'!$C$7)</f>
        <v>17839.510000000002</v>
      </c>
      <c r="L22" s="32">
        <v>0</v>
      </c>
      <c r="M22" s="43">
        <f>E22*G22</f>
        <v>82</v>
      </c>
      <c r="N22" s="122" t="s">
        <v>220</v>
      </c>
      <c r="O22" s="213"/>
      <c r="P22" s="219"/>
    </row>
    <row r="23" spans="1:16" s="4" customFormat="1" ht="9">
      <c r="A23" s="124" t="s">
        <v>208</v>
      </c>
      <c r="B23" s="28">
        <v>8</v>
      </c>
      <c r="C23" s="32">
        <v>0</v>
      </c>
      <c r="D23" s="32">
        <v>0</v>
      </c>
      <c r="E23" s="28">
        <v>1</v>
      </c>
      <c r="F23" s="28">
        <f t="shared" si="1"/>
        <v>8</v>
      </c>
      <c r="G23" s="43">
        <f>ROUND('Base Data'!$H$44/3,0)+1</f>
        <v>82</v>
      </c>
      <c r="H23" s="43">
        <f>F23*G23</f>
        <v>656</v>
      </c>
      <c r="I23" s="43">
        <f t="shared" si="0"/>
        <v>65.600000000000009</v>
      </c>
      <c r="J23" s="43">
        <f>H23*0.05</f>
        <v>32.800000000000004</v>
      </c>
      <c r="K23" s="32">
        <f>(H23*'Base Data'!$C$5)+(I23*'Base Data'!$C$6)+(J23*'Base Data'!$C$7)</f>
        <v>71358.040000000008</v>
      </c>
      <c r="L23" s="32">
        <v>0</v>
      </c>
      <c r="M23" s="43">
        <f>E23*G23</f>
        <v>82</v>
      </c>
      <c r="N23" s="122" t="s">
        <v>220</v>
      </c>
      <c r="O23" s="213"/>
      <c r="P23" s="219"/>
    </row>
    <row r="24" spans="1:16" s="4" customFormat="1" ht="9">
      <c r="A24" s="125" t="s">
        <v>339</v>
      </c>
      <c r="B24" s="28">
        <v>30</v>
      </c>
      <c r="C24" s="32">
        <v>0</v>
      </c>
      <c r="D24" s="32">
        <v>0</v>
      </c>
      <c r="E24" s="28">
        <v>1</v>
      </c>
      <c r="F24" s="28">
        <f t="shared" si="1"/>
        <v>30</v>
      </c>
      <c r="G24" s="43">
        <f>ROUND('Base Data'!$H$44/3,0)+'Fac-NewLrgLiquid-Yr2'!G24+1</f>
        <v>244</v>
      </c>
      <c r="H24" s="43">
        <f>F24*G24</f>
        <v>7320</v>
      </c>
      <c r="I24" s="43">
        <f t="shared" si="0"/>
        <v>732</v>
      </c>
      <c r="J24" s="43">
        <f>H24*0.05</f>
        <v>366</v>
      </c>
      <c r="K24" s="32">
        <f>(H24*'Base Data'!$C$5)+(I24*'Base Data'!$C$6)+(J24*'Base Data'!$C$7)</f>
        <v>796251.29999999993</v>
      </c>
      <c r="L24" s="32">
        <v>0</v>
      </c>
      <c r="M24" s="43">
        <f>E24*G24</f>
        <v>244</v>
      </c>
      <c r="N24" s="122" t="s">
        <v>214</v>
      </c>
      <c r="O24" s="213"/>
      <c r="P24" s="219"/>
    </row>
    <row r="25" spans="1:16" s="4" customFormat="1" ht="9">
      <c r="A25" s="126" t="s">
        <v>24</v>
      </c>
      <c r="B25" s="28"/>
      <c r="C25" s="32"/>
      <c r="D25" s="32"/>
      <c r="E25" s="28"/>
      <c r="F25" s="28"/>
      <c r="G25" s="43"/>
      <c r="H25" s="43">
        <f>SUM(H7:H13,H18:H24,H15)</f>
        <v>25404</v>
      </c>
      <c r="I25" s="43">
        <f t="shared" ref="I25:J25" si="2">SUM(I7:I13,I18:I24,I15)</f>
        <v>2540.4</v>
      </c>
      <c r="J25" s="43">
        <f t="shared" si="2"/>
        <v>1270.2</v>
      </c>
      <c r="K25" s="32">
        <f>SUM(K7:K13,K18:K24,K15)</f>
        <v>2763383.61</v>
      </c>
      <c r="L25" s="32">
        <f>SUM(L7:L13,L18:L24,L15)</f>
        <v>10815200</v>
      </c>
      <c r="M25" s="43">
        <f>SUM(M22:M24)</f>
        <v>408</v>
      </c>
      <c r="N25" s="122"/>
      <c r="O25" s="215" t="e">
        <f>SUM(L9:L10,L15,#REF!,L18)</f>
        <v>#REF!</v>
      </c>
      <c r="P25" s="221" t="e">
        <f>SUM(#REF!,L17,L14)</f>
        <v>#REF!</v>
      </c>
    </row>
    <row r="26" spans="1:16" s="4" customFormat="1" ht="9">
      <c r="A26" s="121" t="s">
        <v>261</v>
      </c>
      <c r="B26" s="28"/>
      <c r="C26" s="32"/>
      <c r="D26" s="32"/>
      <c r="E26" s="28"/>
      <c r="F26" s="28"/>
      <c r="G26" s="43"/>
      <c r="H26" s="43"/>
      <c r="I26" s="43"/>
      <c r="J26" s="43"/>
      <c r="K26" s="32"/>
      <c r="L26" s="32"/>
      <c r="M26" s="43"/>
      <c r="N26" s="122"/>
      <c r="O26" s="213"/>
      <c r="P26" s="219"/>
    </row>
    <row r="27" spans="1:16" s="4" customFormat="1" ht="9">
      <c r="A27" s="121" t="s">
        <v>248</v>
      </c>
      <c r="B27" s="28" t="s">
        <v>222</v>
      </c>
      <c r="C27" s="32"/>
      <c r="D27" s="32"/>
      <c r="E27" s="28"/>
      <c r="F27" s="28"/>
      <c r="G27" s="43"/>
      <c r="H27" s="43"/>
      <c r="I27" s="43"/>
      <c r="J27" s="43"/>
      <c r="K27" s="32"/>
      <c r="L27" s="32"/>
      <c r="M27" s="43"/>
      <c r="N27" s="122"/>
      <c r="O27" s="213"/>
      <c r="P27" s="219"/>
    </row>
    <row r="28" spans="1:16" s="4" customFormat="1" ht="9">
      <c r="A28" s="121" t="s">
        <v>249</v>
      </c>
      <c r="B28" s="28" t="s">
        <v>264</v>
      </c>
      <c r="C28" s="32"/>
      <c r="D28" s="32"/>
      <c r="E28" s="28"/>
      <c r="F28" s="28"/>
      <c r="G28" s="43"/>
      <c r="H28" s="43"/>
      <c r="I28" s="43"/>
      <c r="J28" s="43"/>
      <c r="K28" s="32"/>
      <c r="L28" s="32"/>
      <c r="M28" s="43"/>
      <c r="N28" s="122"/>
      <c r="O28" s="213"/>
      <c r="P28" s="219"/>
    </row>
    <row r="29" spans="1:16" s="4" customFormat="1" ht="9">
      <c r="A29" s="121" t="s">
        <v>250</v>
      </c>
      <c r="B29" s="28" t="s">
        <v>264</v>
      </c>
      <c r="C29" s="32"/>
      <c r="D29" s="32"/>
      <c r="E29" s="28"/>
      <c r="F29" s="28"/>
      <c r="G29" s="43"/>
      <c r="H29" s="43"/>
      <c r="I29" s="43"/>
      <c r="J29" s="43"/>
      <c r="K29" s="32"/>
      <c r="L29" s="32"/>
      <c r="M29" s="43"/>
      <c r="N29" s="122"/>
      <c r="O29" s="213"/>
      <c r="P29" s="219"/>
    </row>
    <row r="30" spans="1:16" s="4" customFormat="1" ht="9">
      <c r="A30" s="121" t="s">
        <v>251</v>
      </c>
      <c r="B30" s="28"/>
      <c r="C30" s="32"/>
      <c r="D30" s="32"/>
      <c r="E30" s="28"/>
      <c r="F30" s="28"/>
      <c r="G30" s="43"/>
      <c r="H30" s="43"/>
      <c r="I30" s="43"/>
      <c r="J30" s="43"/>
      <c r="K30" s="32"/>
      <c r="L30" s="32"/>
      <c r="M30" s="43"/>
      <c r="N30" s="122"/>
      <c r="O30" s="213"/>
      <c r="P30" s="219"/>
    </row>
    <row r="31" spans="1:16" s="4" customFormat="1" ht="9">
      <c r="A31" s="121" t="s">
        <v>257</v>
      </c>
      <c r="B31" s="28">
        <v>20</v>
      </c>
      <c r="C31" s="32">
        <v>0</v>
      </c>
      <c r="D31" s="32">
        <v>0</v>
      </c>
      <c r="E31" s="28">
        <v>1</v>
      </c>
      <c r="F31" s="28">
        <f t="shared" si="1"/>
        <v>20</v>
      </c>
      <c r="G31" s="43">
        <f>SUM('Base Data'!$D$44)</f>
        <v>487</v>
      </c>
      <c r="H31" s="43">
        <f t="shared" ref="H31:H36" si="3">F31*G31</f>
        <v>9740</v>
      </c>
      <c r="I31" s="43">
        <f t="shared" si="0"/>
        <v>974</v>
      </c>
      <c r="J31" s="43">
        <f t="shared" ref="J31:J36" si="4">H31*0.05</f>
        <v>487</v>
      </c>
      <c r="K31" s="32">
        <f>(H31*'Base Data'!$C$5)+(I31*'Base Data'!$C$6)+(J31*'Base Data'!$C$7)</f>
        <v>1059492.8499999999</v>
      </c>
      <c r="L31" s="32">
        <v>0</v>
      </c>
      <c r="M31" s="43">
        <v>0</v>
      </c>
      <c r="N31" s="122" t="s">
        <v>214</v>
      </c>
      <c r="O31" s="213"/>
      <c r="P31" s="219"/>
    </row>
    <row r="32" spans="1:16" s="4" customFormat="1" ht="9">
      <c r="A32" s="123" t="s">
        <v>318</v>
      </c>
      <c r="B32" s="28">
        <v>15</v>
      </c>
      <c r="C32" s="32">
        <v>0</v>
      </c>
      <c r="D32" s="32">
        <v>0</v>
      </c>
      <c r="E32" s="28">
        <v>1</v>
      </c>
      <c r="F32" s="28">
        <f t="shared" si="1"/>
        <v>15</v>
      </c>
      <c r="G32" s="43">
        <f>SUM('Base Data'!$D$44)</f>
        <v>487</v>
      </c>
      <c r="H32" s="43">
        <f t="shared" si="3"/>
        <v>7305</v>
      </c>
      <c r="I32" s="43">
        <f t="shared" si="0"/>
        <v>730.5</v>
      </c>
      <c r="J32" s="43">
        <f t="shared" si="4"/>
        <v>365.25</v>
      </c>
      <c r="K32" s="32">
        <f>(H32*'Base Data'!$C$5)+(I32*'Base Data'!$C$6)+(J32*'Base Data'!$C$7)</f>
        <v>794619.63750000007</v>
      </c>
      <c r="L32" s="32">
        <v>0</v>
      </c>
      <c r="M32" s="43">
        <v>0</v>
      </c>
      <c r="N32" s="122" t="s">
        <v>214</v>
      </c>
      <c r="O32" s="213"/>
      <c r="P32" s="219"/>
    </row>
    <row r="33" spans="1:16" s="4" customFormat="1" ht="9">
      <c r="A33" s="121" t="s">
        <v>254</v>
      </c>
      <c r="B33" s="28">
        <v>2</v>
      </c>
      <c r="C33" s="32">
        <v>0</v>
      </c>
      <c r="D33" s="32">
        <v>0</v>
      </c>
      <c r="E33" s="28">
        <v>1</v>
      </c>
      <c r="F33" s="28">
        <f t="shared" si="1"/>
        <v>2</v>
      </c>
      <c r="G33" s="43">
        <f>SUM('Base Data'!$D$44)</f>
        <v>487</v>
      </c>
      <c r="H33" s="43">
        <f t="shared" si="3"/>
        <v>974</v>
      </c>
      <c r="I33" s="43">
        <f t="shared" si="0"/>
        <v>97.4</v>
      </c>
      <c r="J33" s="43">
        <f t="shared" si="4"/>
        <v>48.7</v>
      </c>
      <c r="K33" s="32">
        <f>(H33*'Base Data'!$C$5)+(I33*'Base Data'!$C$6)+(J33*'Base Data'!$C$7)</f>
        <v>105949.285</v>
      </c>
      <c r="L33" s="32">
        <v>0</v>
      </c>
      <c r="M33" s="43">
        <v>0</v>
      </c>
      <c r="N33" s="122" t="s">
        <v>214</v>
      </c>
      <c r="O33" s="213"/>
      <c r="P33" s="219"/>
    </row>
    <row r="34" spans="1:16" s="4" customFormat="1" ht="9">
      <c r="A34" s="123" t="s">
        <v>269</v>
      </c>
      <c r="B34" s="28">
        <v>2</v>
      </c>
      <c r="C34" s="32">
        <v>0</v>
      </c>
      <c r="D34" s="32">
        <v>0</v>
      </c>
      <c r="E34" s="28">
        <v>1</v>
      </c>
      <c r="F34" s="28">
        <f t="shared" si="1"/>
        <v>2</v>
      </c>
      <c r="G34" s="43">
        <f>SUM('Base Data'!$D$44)</f>
        <v>487</v>
      </c>
      <c r="H34" s="43">
        <f t="shared" si="3"/>
        <v>974</v>
      </c>
      <c r="I34" s="43">
        <f t="shared" si="0"/>
        <v>97.4</v>
      </c>
      <c r="J34" s="43">
        <f t="shared" si="4"/>
        <v>48.7</v>
      </c>
      <c r="K34" s="32">
        <f>(H34*'Base Data'!$C$5)+(I34*'Base Data'!$C$6)+(J34*'Base Data'!$C$7)</f>
        <v>105949.285</v>
      </c>
      <c r="L34" s="32">
        <v>0</v>
      </c>
      <c r="M34" s="43">
        <v>0</v>
      </c>
      <c r="N34" s="122" t="s">
        <v>214</v>
      </c>
      <c r="O34" s="213"/>
      <c r="P34" s="219"/>
    </row>
    <row r="35" spans="1:16" s="4" customFormat="1" ht="9" customHeight="1">
      <c r="A35" s="123" t="s">
        <v>270</v>
      </c>
      <c r="B35" s="28">
        <v>2</v>
      </c>
      <c r="C35" s="32">
        <v>0</v>
      </c>
      <c r="D35" s="32">
        <v>0</v>
      </c>
      <c r="E35" s="28">
        <v>2</v>
      </c>
      <c r="F35" s="28">
        <f t="shared" si="1"/>
        <v>4</v>
      </c>
      <c r="G35" s="43">
        <f>SUM('Base Data'!$D$44)</f>
        <v>487</v>
      </c>
      <c r="H35" s="43">
        <f t="shared" si="3"/>
        <v>1948</v>
      </c>
      <c r="I35" s="43">
        <f t="shared" si="0"/>
        <v>194.8</v>
      </c>
      <c r="J35" s="43">
        <f t="shared" si="4"/>
        <v>97.4</v>
      </c>
      <c r="K35" s="32">
        <f>(H35*'Base Data'!$C$5)+(I35*'Base Data'!$C$6)+(J35*'Base Data'!$C$7)</f>
        <v>211898.57</v>
      </c>
      <c r="L35" s="32">
        <v>0</v>
      </c>
      <c r="M35" s="43">
        <v>0</v>
      </c>
      <c r="N35" s="122" t="s">
        <v>214</v>
      </c>
      <c r="O35" s="213"/>
      <c r="P35" s="219"/>
    </row>
    <row r="36" spans="1:16" s="4" customFormat="1" ht="9">
      <c r="A36" s="123" t="s">
        <v>271</v>
      </c>
      <c r="B36" s="28">
        <v>0.5</v>
      </c>
      <c r="C36" s="32">
        <v>0</v>
      </c>
      <c r="D36" s="32">
        <v>0</v>
      </c>
      <c r="E36" s="28">
        <v>12</v>
      </c>
      <c r="F36" s="28">
        <f t="shared" si="1"/>
        <v>6</v>
      </c>
      <c r="G36" s="43">
        <f>'Base Data'!$D$44</f>
        <v>487</v>
      </c>
      <c r="H36" s="43">
        <f t="shared" si="3"/>
        <v>2922</v>
      </c>
      <c r="I36" s="43">
        <f t="shared" si="0"/>
        <v>292.2</v>
      </c>
      <c r="J36" s="43">
        <f t="shared" si="4"/>
        <v>146.1</v>
      </c>
      <c r="K36" s="32">
        <f>(H36*'Base Data'!$C$5)+(I36*'Base Data'!$C$6)+(J36*'Base Data'!$C$7)</f>
        <v>317847.85500000004</v>
      </c>
      <c r="L36" s="32">
        <v>0</v>
      </c>
      <c r="M36" s="43">
        <v>0</v>
      </c>
      <c r="N36" s="122" t="s">
        <v>214</v>
      </c>
      <c r="O36" s="213"/>
      <c r="P36" s="219"/>
    </row>
    <row r="37" spans="1:16" s="4" customFormat="1" ht="9">
      <c r="A37" s="121" t="s">
        <v>255</v>
      </c>
      <c r="B37" s="28" t="s">
        <v>264</v>
      </c>
      <c r="C37" s="32"/>
      <c r="D37" s="32"/>
      <c r="E37" s="28"/>
      <c r="F37" s="28"/>
      <c r="G37" s="43" t="s">
        <v>32</v>
      </c>
      <c r="H37" s="43"/>
      <c r="I37" s="43"/>
      <c r="J37" s="43"/>
      <c r="K37" s="32"/>
      <c r="L37" s="32"/>
      <c r="M37" s="43"/>
      <c r="N37" s="122"/>
      <c r="O37" s="213"/>
      <c r="P37" s="219"/>
    </row>
    <row r="38" spans="1:16" s="4" customFormat="1" ht="9">
      <c r="A38" s="140" t="s">
        <v>256</v>
      </c>
      <c r="B38" s="13" t="s">
        <v>264</v>
      </c>
      <c r="C38" s="22"/>
      <c r="D38" s="22"/>
      <c r="E38" s="13"/>
      <c r="F38" s="13"/>
      <c r="G38" s="13"/>
      <c r="H38" s="14"/>
      <c r="I38" s="14"/>
      <c r="J38" s="14"/>
      <c r="K38" s="22"/>
      <c r="L38" s="22"/>
      <c r="M38" s="14"/>
      <c r="N38" s="141"/>
      <c r="O38" s="213"/>
      <c r="P38" s="219"/>
    </row>
    <row r="39" spans="1:16" s="4" customFormat="1" ht="9.75" thickBot="1">
      <c r="A39" s="223" t="s">
        <v>33</v>
      </c>
      <c r="B39" s="205"/>
      <c r="C39" s="161"/>
      <c r="D39" s="161"/>
      <c r="E39" s="205"/>
      <c r="F39" s="205"/>
      <c r="G39" s="205"/>
      <c r="H39" s="160">
        <f>SUM(H26:H38)</f>
        <v>23863</v>
      </c>
      <c r="I39" s="160">
        <f t="shared" ref="I39:J39" si="5">SUM(I26:I38)</f>
        <v>2386.3000000000002</v>
      </c>
      <c r="J39" s="160">
        <f t="shared" si="5"/>
        <v>1193.1500000000001</v>
      </c>
      <c r="K39" s="161">
        <f>SUM(K31:K38)</f>
        <v>2595757.4824999995</v>
      </c>
      <c r="L39" s="161">
        <f>SUM(L31:L38)</f>
        <v>0</v>
      </c>
      <c r="M39" s="160">
        <f>SUM(M12:M18,M26:M38)</f>
        <v>0</v>
      </c>
      <c r="N39" s="206"/>
      <c r="O39" s="213"/>
      <c r="P39" s="219"/>
    </row>
    <row r="40" spans="1:16" s="7" customFormat="1" ht="9.75" thickBot="1">
      <c r="A40" s="149" t="s">
        <v>236</v>
      </c>
      <c r="B40" s="163"/>
      <c r="C40" s="163"/>
      <c r="D40" s="163"/>
      <c r="E40" s="163"/>
      <c r="F40" s="163"/>
      <c r="G40" s="163"/>
      <c r="H40" s="153">
        <f>SUM(H25,H39)</f>
        <v>49267</v>
      </c>
      <c r="I40" s="153">
        <f>SUM(I25,I39)</f>
        <v>4926.7000000000007</v>
      </c>
      <c r="J40" s="153">
        <f t="shared" ref="J40:M40" si="6">SUM(J25,J39)</f>
        <v>2463.3500000000004</v>
      </c>
      <c r="K40" s="154">
        <f t="shared" si="6"/>
        <v>5359141.0924999993</v>
      </c>
      <c r="L40" s="154">
        <f t="shared" si="6"/>
        <v>10815200</v>
      </c>
      <c r="M40" s="153">
        <f t="shared" si="6"/>
        <v>408</v>
      </c>
      <c r="N40" s="162"/>
    </row>
    <row r="41" spans="1:16" ht="24.75" customHeight="1">
      <c r="A41" s="413" t="s">
        <v>43</v>
      </c>
      <c r="B41" s="413"/>
      <c r="C41" s="413"/>
      <c r="D41" s="413"/>
      <c r="E41" s="413"/>
      <c r="F41" s="413"/>
      <c r="G41" s="413"/>
      <c r="H41" s="413"/>
      <c r="I41" s="413"/>
      <c r="J41" s="413"/>
      <c r="K41" s="413"/>
      <c r="L41" s="413"/>
      <c r="M41" s="413"/>
      <c r="N41" s="413"/>
    </row>
    <row r="42" spans="1:16">
      <c r="A42" s="9" t="s">
        <v>210</v>
      </c>
    </row>
    <row r="43" spans="1:16">
      <c r="A43" s="409" t="s">
        <v>353</v>
      </c>
      <c r="B43" s="409"/>
      <c r="C43" s="409"/>
      <c r="D43" s="409"/>
      <c r="E43" s="409"/>
      <c r="F43" s="409"/>
      <c r="G43" s="409"/>
      <c r="H43" s="409"/>
      <c r="I43" s="409"/>
      <c r="J43" s="409"/>
      <c r="K43" s="409"/>
      <c r="L43" s="409"/>
      <c r="M43" s="409"/>
      <c r="N43" s="409"/>
    </row>
    <row r="44" spans="1:16" ht="21.75" customHeight="1">
      <c r="A44" s="409" t="s">
        <v>368</v>
      </c>
      <c r="B44" s="409"/>
      <c r="C44" s="409"/>
      <c r="D44" s="409"/>
      <c r="E44" s="409"/>
      <c r="F44" s="409"/>
      <c r="G44" s="409"/>
      <c r="H44" s="409"/>
      <c r="I44" s="409"/>
      <c r="J44" s="409"/>
      <c r="K44" s="409"/>
      <c r="L44" s="409"/>
      <c r="M44" s="409"/>
      <c r="N44" s="409"/>
    </row>
    <row r="45" spans="1:16">
      <c r="A45" s="414" t="s">
        <v>352</v>
      </c>
      <c r="B45" s="414"/>
      <c r="C45" s="414"/>
      <c r="D45" s="414"/>
      <c r="E45" s="414"/>
      <c r="F45" s="414"/>
      <c r="G45" s="414"/>
      <c r="H45" s="414"/>
      <c r="I45" s="414"/>
      <c r="J45" s="414"/>
      <c r="K45" s="414"/>
      <c r="L45" s="414"/>
      <c r="M45" s="414"/>
      <c r="N45" s="414"/>
    </row>
  </sheetData>
  <mergeCells count="6">
    <mergeCell ref="A45:N45"/>
    <mergeCell ref="A1:N1"/>
    <mergeCell ref="A2:N2"/>
    <mergeCell ref="A43:N43"/>
    <mergeCell ref="A41:N41"/>
    <mergeCell ref="A44:N44"/>
  </mergeCells>
  <phoneticPr fontId="7" type="noConversion"/>
  <printOptions horizontalCentered="1"/>
  <pageMargins left="0" right="0" top="0.2" bottom="0.2" header="0.2" footer="0.2"/>
  <pageSetup scale="97" fitToHeight="2" orientation="landscape" r:id="rId1"/>
  <headerFooter alignWithMargins="0"/>
</worksheet>
</file>

<file path=xl/worksheets/sheet17.xml><?xml version="1.0" encoding="utf-8"?>
<worksheet xmlns="http://schemas.openxmlformats.org/spreadsheetml/2006/main" xmlns:r="http://schemas.openxmlformats.org/officeDocument/2006/relationships">
  <sheetPr>
    <pageSetUpPr fitToPage="1"/>
  </sheetPr>
  <dimension ref="A1:N44"/>
  <sheetViews>
    <sheetView zoomScaleNormal="100" workbookViewId="0">
      <pane xSplit="1" ySplit="3" topLeftCell="B4" activePane="bottomRight" state="frozen"/>
      <selection sqref="A1:P1"/>
      <selection pane="topRight" sqref="A1:P1"/>
      <selection pane="bottomLeft" sqref="A1:P1"/>
      <selection pane="bottomRight" activeCell="D8" sqref="D8"/>
    </sheetView>
  </sheetViews>
  <sheetFormatPr defaultRowHeight="11.25"/>
  <cols>
    <col min="1" max="1" width="31.85546875" style="1" customWidth="1"/>
    <col min="2" max="2" width="9" style="5" bestFit="1" customWidth="1"/>
    <col min="3" max="4" width="9.7109375" style="5" customWidth="1"/>
    <col min="5" max="5" width="9" style="5" customWidth="1"/>
    <col min="6" max="6" width="10.28515625" style="5" customWidth="1"/>
    <col min="7" max="7" width="9" style="5" customWidth="1"/>
    <col min="8" max="8" width="10" style="6" bestFit="1" customWidth="1"/>
    <col min="9" max="9" width="7" style="6" bestFit="1" customWidth="1"/>
    <col min="10" max="10" width="7.140625" style="6" bestFit="1" customWidth="1"/>
    <col min="11" max="11" width="11.85546875" style="6" bestFit="1" customWidth="1"/>
    <col min="12" max="12" width="9" style="6" bestFit="1" customWidth="1"/>
    <col min="13" max="13" width="8.85546875" style="5" customWidth="1"/>
    <col min="14" max="14" width="2.5703125" style="1" bestFit="1" customWidth="1"/>
    <col min="15" max="16384" width="9.140625" style="1"/>
  </cols>
  <sheetData>
    <row r="1" spans="1:14">
      <c r="A1" s="407" t="s">
        <v>72</v>
      </c>
      <c r="B1" s="407"/>
      <c r="C1" s="407"/>
      <c r="D1" s="407"/>
      <c r="E1" s="407"/>
      <c r="F1" s="407"/>
      <c r="G1" s="407"/>
      <c r="H1" s="407"/>
      <c r="I1" s="407"/>
      <c r="J1" s="407"/>
      <c r="K1" s="407"/>
      <c r="L1" s="407"/>
      <c r="M1" s="407"/>
      <c r="N1" s="407"/>
    </row>
    <row r="2" spans="1:14" ht="13.5" customHeight="1" thickBot="1">
      <c r="A2" s="408" t="s">
        <v>327</v>
      </c>
      <c r="B2" s="408"/>
      <c r="C2" s="408"/>
      <c r="D2" s="408"/>
      <c r="E2" s="408"/>
      <c r="F2" s="408"/>
      <c r="G2" s="408"/>
      <c r="H2" s="408"/>
      <c r="I2" s="408"/>
      <c r="J2" s="408"/>
      <c r="K2" s="408"/>
      <c r="L2" s="408"/>
      <c r="M2" s="408"/>
      <c r="N2" s="408"/>
    </row>
    <row r="3" spans="1:14" s="3" customFormat="1" ht="54.75" thickBot="1">
      <c r="A3" s="212" t="s">
        <v>229</v>
      </c>
      <c r="B3" s="144" t="s">
        <v>230</v>
      </c>
      <c r="C3" s="144" t="s">
        <v>355</v>
      </c>
      <c r="D3" s="144" t="s">
        <v>356</v>
      </c>
      <c r="E3" s="129" t="s">
        <v>357</v>
      </c>
      <c r="F3" s="144" t="s">
        <v>358</v>
      </c>
      <c r="G3" s="145" t="s">
        <v>359</v>
      </c>
      <c r="H3" s="233" t="s">
        <v>360</v>
      </c>
      <c r="I3" s="233" t="s">
        <v>361</v>
      </c>
      <c r="J3" s="233" t="s">
        <v>362</v>
      </c>
      <c r="K3" s="218" t="s">
        <v>363</v>
      </c>
      <c r="L3" s="233" t="s">
        <v>364</v>
      </c>
      <c r="M3" s="233" t="s">
        <v>365</v>
      </c>
      <c r="N3" s="354" t="s">
        <v>231</v>
      </c>
    </row>
    <row r="4" spans="1:14" s="4" customFormat="1" ht="9">
      <c r="A4" s="156" t="s">
        <v>237</v>
      </c>
      <c r="B4" s="157" t="s">
        <v>264</v>
      </c>
      <c r="C4" s="158"/>
      <c r="D4" s="158"/>
      <c r="E4" s="157"/>
      <c r="F4" s="157"/>
      <c r="G4" s="237"/>
      <c r="H4" s="237"/>
      <c r="I4" s="237"/>
      <c r="J4" s="237"/>
      <c r="K4" s="236"/>
      <c r="L4" s="236"/>
      <c r="M4" s="236"/>
      <c r="N4" s="229"/>
    </row>
    <row r="5" spans="1:14" s="4" customFormat="1" ht="9">
      <c r="A5" s="140" t="s">
        <v>238</v>
      </c>
      <c r="B5" s="13" t="s">
        <v>264</v>
      </c>
      <c r="C5" s="22"/>
      <c r="D5" s="22"/>
      <c r="E5" s="13"/>
      <c r="F5" s="13"/>
      <c r="G5" s="43"/>
      <c r="H5" s="43"/>
      <c r="I5" s="43"/>
      <c r="J5" s="43"/>
      <c r="K5" s="32"/>
      <c r="L5" s="32"/>
      <c r="M5" s="32"/>
      <c r="N5" s="122"/>
    </row>
    <row r="6" spans="1:14" s="4" customFormat="1" ht="9">
      <c r="A6" s="140" t="s">
        <v>239</v>
      </c>
      <c r="B6" s="13"/>
      <c r="C6" s="22"/>
      <c r="D6" s="22"/>
      <c r="E6" s="13"/>
      <c r="F6" s="13"/>
      <c r="G6" s="43"/>
      <c r="H6" s="43"/>
      <c r="I6" s="43"/>
      <c r="J6" s="43"/>
      <c r="K6" s="32"/>
      <c r="L6" s="32"/>
      <c r="M6" s="32"/>
      <c r="N6" s="122"/>
    </row>
    <row r="7" spans="1:14" s="4" customFormat="1" ht="9">
      <c r="A7" s="148" t="s">
        <v>240</v>
      </c>
      <c r="B7" s="13">
        <v>40</v>
      </c>
      <c r="C7" s="22">
        <v>0</v>
      </c>
      <c r="D7" s="22">
        <v>0</v>
      </c>
      <c r="E7" s="13">
        <v>1</v>
      </c>
      <c r="F7" s="13">
        <f>B7*E7</f>
        <v>40</v>
      </c>
      <c r="G7" s="42">
        <f>'Base Data'!$H$15+'Base Data'!$H$18</f>
        <v>5314</v>
      </c>
      <c r="H7" s="370">
        <f>F7*G7</f>
        <v>212560</v>
      </c>
      <c r="I7" s="370">
        <f>H7*0.1</f>
        <v>21256</v>
      </c>
      <c r="J7" s="370">
        <f>H7*0.05</f>
        <v>10628</v>
      </c>
      <c r="K7" s="208">
        <f>(H7*'Base Data'!$C$5)+(I7*'Base Data'!$C$6)+(J7*'Base Data'!$C$7)</f>
        <v>23121745.399999999</v>
      </c>
      <c r="L7" s="208">
        <v>0</v>
      </c>
      <c r="M7" s="43">
        <v>0</v>
      </c>
      <c r="N7" s="122" t="s">
        <v>214</v>
      </c>
    </row>
    <row r="8" spans="1:14" s="4" customFormat="1" ht="9">
      <c r="A8" s="148" t="s">
        <v>241</v>
      </c>
      <c r="B8" s="13"/>
      <c r="C8" s="22"/>
      <c r="D8" s="22"/>
      <c r="E8" s="13"/>
      <c r="F8" s="13"/>
      <c r="G8" s="43"/>
      <c r="H8" s="370"/>
      <c r="I8" s="370"/>
      <c r="J8" s="370"/>
      <c r="K8" s="208"/>
      <c r="L8" s="208"/>
      <c r="M8" s="32"/>
      <c r="N8" s="122"/>
    </row>
    <row r="9" spans="1:14" s="4" customFormat="1" ht="9">
      <c r="A9" s="123" t="s">
        <v>354</v>
      </c>
      <c r="B9" s="13">
        <v>12</v>
      </c>
      <c r="C9" s="22">
        <v>2228</v>
      </c>
      <c r="D9" s="22">
        <v>0</v>
      </c>
      <c r="E9" s="13">
        <v>0.5</v>
      </c>
      <c r="F9" s="13">
        <f>B9*E9</f>
        <v>6</v>
      </c>
      <c r="G9" s="42">
        <v>0</v>
      </c>
      <c r="H9" s="370">
        <f>F9*G9</f>
        <v>0</v>
      </c>
      <c r="I9" s="370">
        <f>H9*0.1</f>
        <v>0</v>
      </c>
      <c r="J9" s="370">
        <f>H9*0.05</f>
        <v>0</v>
      </c>
      <c r="K9" s="208">
        <f>(H9*'Base Data'!$C$5)+(I9*'Base Data'!$C$6)+(J9*'Base Data'!$C$7)</f>
        <v>0</v>
      </c>
      <c r="L9" s="208">
        <f>C9*E9*G9</f>
        <v>0</v>
      </c>
      <c r="M9" s="43">
        <v>0</v>
      </c>
      <c r="N9" s="122" t="s">
        <v>97</v>
      </c>
    </row>
    <row r="10" spans="1:14" s="4" customFormat="1" ht="9">
      <c r="A10" s="123" t="s">
        <v>245</v>
      </c>
      <c r="B10" s="13" t="s">
        <v>264</v>
      </c>
      <c r="C10" s="22"/>
      <c r="D10" s="22"/>
      <c r="E10" s="13"/>
      <c r="F10" s="13"/>
      <c r="G10" s="43"/>
      <c r="H10" s="370"/>
      <c r="I10" s="370"/>
      <c r="J10" s="370"/>
      <c r="K10" s="208"/>
      <c r="L10" s="208"/>
      <c r="M10" s="32"/>
      <c r="N10" s="122"/>
    </row>
    <row r="11" spans="1:14" s="4" customFormat="1" ht="9">
      <c r="A11" s="123" t="s">
        <v>246</v>
      </c>
      <c r="B11" s="13" t="s">
        <v>264</v>
      </c>
      <c r="C11" s="22"/>
      <c r="D11" s="22"/>
      <c r="E11" s="13"/>
      <c r="F11" s="13"/>
      <c r="G11" s="43"/>
      <c r="H11" s="370"/>
      <c r="I11" s="370"/>
      <c r="J11" s="370"/>
      <c r="K11" s="208"/>
      <c r="L11" s="208"/>
      <c r="M11" s="32"/>
      <c r="N11" s="122"/>
    </row>
    <row r="12" spans="1:14" s="4" customFormat="1" ht="9">
      <c r="A12" s="123" t="s">
        <v>247</v>
      </c>
      <c r="B12" s="13"/>
      <c r="C12" s="22"/>
      <c r="D12" s="22"/>
      <c r="E12" s="13"/>
      <c r="F12" s="13"/>
      <c r="G12" s="42"/>
      <c r="H12" s="370"/>
      <c r="I12" s="370"/>
      <c r="J12" s="370"/>
      <c r="K12" s="208"/>
      <c r="L12" s="208"/>
      <c r="M12" s="43"/>
      <c r="N12" s="122"/>
    </row>
    <row r="13" spans="1:14" s="4" customFormat="1" ht="9" customHeight="1">
      <c r="A13" s="124" t="s">
        <v>266</v>
      </c>
      <c r="B13" s="13">
        <v>2</v>
      </c>
      <c r="C13" s="22">
        <v>0</v>
      </c>
      <c r="D13" s="22">
        <v>0</v>
      </c>
      <c r="E13" s="13">
        <v>1</v>
      </c>
      <c r="F13" s="13">
        <f>B13*E13</f>
        <v>2</v>
      </c>
      <c r="G13" s="42">
        <f>'Base Data'!$H$15+'Base Data'!$H$18</f>
        <v>5314</v>
      </c>
      <c r="H13" s="370">
        <f>F13*G13</f>
        <v>10628</v>
      </c>
      <c r="I13" s="370">
        <f>H13*0.1</f>
        <v>1062.8</v>
      </c>
      <c r="J13" s="370">
        <f>H13*0.05</f>
        <v>531.4</v>
      </c>
      <c r="K13" s="208">
        <f>(H13*'Base Data'!$C$5)+(I13*'Base Data'!$C$6)+(J13*'Base Data'!$C$7)</f>
        <v>1156087.27</v>
      </c>
      <c r="L13" s="208">
        <v>0</v>
      </c>
      <c r="M13" s="43">
        <f>E13*G13</f>
        <v>5314</v>
      </c>
      <c r="N13" s="122" t="s">
        <v>214</v>
      </c>
    </row>
    <row r="14" spans="1:14" s="4" customFormat="1" ht="9">
      <c r="A14" s="124" t="s">
        <v>208</v>
      </c>
      <c r="B14" s="13">
        <v>8</v>
      </c>
      <c r="C14" s="22">
        <v>0</v>
      </c>
      <c r="D14" s="23">
        <v>0</v>
      </c>
      <c r="E14" s="13">
        <v>1</v>
      </c>
      <c r="F14" s="13">
        <f>B14*E14</f>
        <v>8</v>
      </c>
      <c r="G14" s="42">
        <v>0</v>
      </c>
      <c r="H14" s="370">
        <f>F14*G14</f>
        <v>0</v>
      </c>
      <c r="I14" s="370">
        <f>H14*0.1</f>
        <v>0</v>
      </c>
      <c r="J14" s="370">
        <f>H14*0.05</f>
        <v>0</v>
      </c>
      <c r="K14" s="208">
        <f>(H14*'Base Data'!$C$5)+(I14*'Base Data'!$C$6)+(J14*'Base Data'!$C$7)</f>
        <v>0</v>
      </c>
      <c r="L14" s="208">
        <v>0</v>
      </c>
      <c r="M14" s="43">
        <f>E14*G14</f>
        <v>0</v>
      </c>
      <c r="N14" s="122" t="s">
        <v>97</v>
      </c>
    </row>
    <row r="15" spans="1:14" s="4" customFormat="1" ht="9">
      <c r="A15" s="124" t="s">
        <v>148</v>
      </c>
      <c r="B15" s="13">
        <v>5</v>
      </c>
      <c r="C15" s="48">
        <v>0</v>
      </c>
      <c r="D15" s="22">
        <v>0</v>
      </c>
      <c r="E15" s="201">
        <v>0.5</v>
      </c>
      <c r="F15" s="13">
        <f>B15*E15</f>
        <v>2.5</v>
      </c>
      <c r="G15" s="42">
        <v>0</v>
      </c>
      <c r="H15" s="370">
        <f>F15*G15</f>
        <v>0</v>
      </c>
      <c r="I15" s="370">
        <f>H15*0.1</f>
        <v>0</v>
      </c>
      <c r="J15" s="370">
        <f>H15*0.05</f>
        <v>0</v>
      </c>
      <c r="K15" s="208">
        <f>(H15*'Base Data'!$C$5)+(I15*'Base Data'!$C$6)+(J15*'Base Data'!$C$7)</f>
        <v>0</v>
      </c>
      <c r="L15" s="208">
        <v>0</v>
      </c>
      <c r="M15" s="43">
        <f>E15*G15</f>
        <v>0</v>
      </c>
      <c r="N15" s="122" t="s">
        <v>97</v>
      </c>
    </row>
    <row r="16" spans="1:14" s="4" customFormat="1" ht="9">
      <c r="A16" s="126" t="s">
        <v>24</v>
      </c>
      <c r="B16" s="13"/>
      <c r="C16" s="22"/>
      <c r="D16" s="142"/>
      <c r="E16" s="13"/>
      <c r="F16" s="13"/>
      <c r="G16" s="42"/>
      <c r="H16" s="370">
        <f>SUM(H7:H15)</f>
        <v>223188</v>
      </c>
      <c r="I16" s="370">
        <f t="shared" ref="I16:L16" si="0">SUM(I7:I15)</f>
        <v>22318.799999999999</v>
      </c>
      <c r="J16" s="370">
        <f t="shared" si="0"/>
        <v>11159.4</v>
      </c>
      <c r="K16" s="208">
        <f t="shared" si="0"/>
        <v>24277832.669999998</v>
      </c>
      <c r="L16" s="208">
        <f t="shared" si="0"/>
        <v>0</v>
      </c>
      <c r="M16" s="43">
        <f>SUM(M12:M15)</f>
        <v>5314</v>
      </c>
      <c r="N16" s="122"/>
    </row>
    <row r="17" spans="1:14" s="4" customFormat="1" ht="9">
      <c r="A17" s="121" t="s">
        <v>261</v>
      </c>
      <c r="B17" s="13"/>
      <c r="C17" s="22"/>
      <c r="D17" s="22"/>
      <c r="E17" s="13"/>
      <c r="F17" s="13"/>
      <c r="G17" s="43"/>
      <c r="H17" s="371"/>
      <c r="I17" s="371"/>
      <c r="J17" s="371"/>
      <c r="K17" s="32"/>
      <c r="L17" s="32"/>
      <c r="M17" s="32"/>
      <c r="N17" s="122"/>
    </row>
    <row r="18" spans="1:14" s="4" customFormat="1" ht="9">
      <c r="A18" s="121" t="s">
        <v>248</v>
      </c>
      <c r="B18" s="13" t="s">
        <v>252</v>
      </c>
      <c r="C18" s="22"/>
      <c r="D18" s="22"/>
      <c r="E18" s="13"/>
      <c r="F18" s="13"/>
      <c r="G18" s="43"/>
      <c r="H18" s="371"/>
      <c r="I18" s="371"/>
      <c r="J18" s="371"/>
      <c r="K18" s="32"/>
      <c r="L18" s="32"/>
      <c r="M18" s="32"/>
      <c r="N18" s="122"/>
    </row>
    <row r="19" spans="1:14" s="4" customFormat="1" ht="9">
      <c r="A19" s="121" t="s">
        <v>249</v>
      </c>
      <c r="B19" s="13" t="s">
        <v>264</v>
      </c>
      <c r="C19" s="22"/>
      <c r="D19" s="22"/>
      <c r="E19" s="13"/>
      <c r="F19" s="13"/>
      <c r="G19" s="43"/>
      <c r="H19" s="371"/>
      <c r="I19" s="371"/>
      <c r="J19" s="371"/>
      <c r="K19" s="32"/>
      <c r="L19" s="32"/>
      <c r="M19" s="32"/>
      <c r="N19" s="122"/>
    </row>
    <row r="20" spans="1:14" s="4" customFormat="1" ht="9">
      <c r="A20" s="121" t="s">
        <v>250</v>
      </c>
      <c r="B20" s="13" t="s">
        <v>264</v>
      </c>
      <c r="C20" s="22"/>
      <c r="D20" s="22"/>
      <c r="E20" s="13"/>
      <c r="F20" s="13"/>
      <c r="G20" s="43"/>
      <c r="H20" s="371"/>
      <c r="I20" s="371"/>
      <c r="J20" s="371"/>
      <c r="K20" s="32"/>
      <c r="L20" s="32"/>
      <c r="M20" s="32"/>
      <c r="N20" s="122" t="s">
        <v>215</v>
      </c>
    </row>
    <row r="21" spans="1:14" s="4" customFormat="1" ht="9">
      <c r="A21" s="121" t="s">
        <v>251</v>
      </c>
      <c r="B21" s="13"/>
      <c r="C21" s="22"/>
      <c r="D21" s="22"/>
      <c r="E21" s="13"/>
      <c r="F21" s="13"/>
      <c r="G21" s="43"/>
      <c r="H21" s="371"/>
      <c r="I21" s="371"/>
      <c r="J21" s="371"/>
      <c r="K21" s="32"/>
      <c r="L21" s="32"/>
      <c r="M21" s="32"/>
      <c r="N21" s="122"/>
    </row>
    <row r="22" spans="1:14" s="4" customFormat="1" ht="9" customHeight="1">
      <c r="A22" s="124" t="s">
        <v>323</v>
      </c>
      <c r="B22" s="13">
        <v>2</v>
      </c>
      <c r="C22" s="22">
        <v>0</v>
      </c>
      <c r="D22" s="22">
        <v>0</v>
      </c>
      <c r="E22" s="13">
        <v>1</v>
      </c>
      <c r="F22" s="13">
        <f>B22*E22</f>
        <v>2</v>
      </c>
      <c r="G22" s="43">
        <v>0</v>
      </c>
      <c r="H22" s="371">
        <f>F22*G22</f>
        <v>0</v>
      </c>
      <c r="I22" s="371">
        <f>H22*0.1</f>
        <v>0</v>
      </c>
      <c r="J22" s="371">
        <f>H22*0.05</f>
        <v>0</v>
      </c>
      <c r="K22" s="32">
        <f>(H22*'Base Data'!$C$5)+(I22*'Base Data'!$C$6)+(J22*'Base Data'!$C$7)</f>
        <v>0</v>
      </c>
      <c r="L22" s="32">
        <v>0</v>
      </c>
      <c r="M22" s="43">
        <f>E22*G22</f>
        <v>0</v>
      </c>
      <c r="N22" s="122" t="s">
        <v>97</v>
      </c>
    </row>
    <row r="23" spans="1:14" s="4" customFormat="1" ht="9">
      <c r="A23" s="124" t="s">
        <v>322</v>
      </c>
      <c r="B23" s="13">
        <v>0.5</v>
      </c>
      <c r="C23" s="22">
        <v>0</v>
      </c>
      <c r="D23" s="22">
        <v>0</v>
      </c>
      <c r="E23" s="13">
        <v>0.5</v>
      </c>
      <c r="F23" s="13">
        <f>B23*E23</f>
        <v>0.25</v>
      </c>
      <c r="G23" s="43">
        <v>0</v>
      </c>
      <c r="H23" s="371">
        <f>F23*G23</f>
        <v>0</v>
      </c>
      <c r="I23" s="371">
        <f>H23*0.1</f>
        <v>0</v>
      </c>
      <c r="J23" s="371">
        <f>H23*0.05</f>
        <v>0</v>
      </c>
      <c r="K23" s="32">
        <f>(H23*'Base Data'!$C$5)+(I23*'Base Data'!$C$6)+(J23*'Base Data'!$C$7)</f>
        <v>0</v>
      </c>
      <c r="L23" s="32">
        <v>0</v>
      </c>
      <c r="M23" s="43">
        <f>E23*G23</f>
        <v>0</v>
      </c>
      <c r="N23" s="122" t="s">
        <v>97</v>
      </c>
    </row>
    <row r="24" spans="1:14" s="4" customFormat="1" ht="9">
      <c r="A24" s="140" t="s">
        <v>255</v>
      </c>
      <c r="B24" s="13" t="s">
        <v>264</v>
      </c>
      <c r="C24" s="22"/>
      <c r="D24" s="22"/>
      <c r="E24" s="13"/>
      <c r="F24" s="13"/>
      <c r="G24" s="42"/>
      <c r="H24" s="371"/>
      <c r="I24" s="371"/>
      <c r="J24" s="371"/>
      <c r="K24" s="32"/>
      <c r="L24" s="32"/>
      <c r="M24" s="32"/>
      <c r="N24" s="122"/>
    </row>
    <row r="25" spans="1:14" s="4" customFormat="1" ht="9">
      <c r="A25" s="140" t="s">
        <v>256</v>
      </c>
      <c r="B25" s="13" t="s">
        <v>264</v>
      </c>
      <c r="C25" s="22"/>
      <c r="D25" s="22"/>
      <c r="E25" s="13"/>
      <c r="F25" s="13"/>
      <c r="G25" s="43"/>
      <c r="H25" s="371"/>
      <c r="I25" s="371"/>
      <c r="J25" s="371"/>
      <c r="K25" s="32"/>
      <c r="L25" s="32"/>
      <c r="M25" s="32"/>
      <c r="N25" s="122"/>
    </row>
    <row r="26" spans="1:14" s="4" customFormat="1" ht="9.75" thickBot="1">
      <c r="A26" s="204" t="s">
        <v>26</v>
      </c>
      <c r="B26" s="205"/>
      <c r="C26" s="161"/>
      <c r="D26" s="161"/>
      <c r="E26" s="205"/>
      <c r="F26" s="205"/>
      <c r="G26" s="160"/>
      <c r="H26" s="210">
        <f>SUM(H22:H23)</f>
        <v>0</v>
      </c>
      <c r="I26" s="210">
        <f t="shared" ref="I26:L26" si="1">SUM(I22:I23)</f>
        <v>0</v>
      </c>
      <c r="J26" s="210">
        <f t="shared" si="1"/>
        <v>0</v>
      </c>
      <c r="K26" s="160">
        <f t="shared" si="1"/>
        <v>0</v>
      </c>
      <c r="L26" s="160">
        <f t="shared" si="1"/>
        <v>0</v>
      </c>
      <c r="M26" s="160">
        <f>SUM(M22:M23)</f>
        <v>0</v>
      </c>
      <c r="N26" s="206"/>
    </row>
    <row r="27" spans="1:14" s="2" customFormat="1" ht="12" thickBot="1">
      <c r="A27" s="149" t="s">
        <v>236</v>
      </c>
      <c r="B27" s="150"/>
      <c r="C27" s="150"/>
      <c r="D27" s="151"/>
      <c r="E27" s="150"/>
      <c r="F27" s="150"/>
      <c r="G27" s="152"/>
      <c r="H27" s="211">
        <f>H16+H26</f>
        <v>223188</v>
      </c>
      <c r="I27" s="211">
        <f t="shared" ref="I27:M27" si="2">I16+I26</f>
        <v>22318.799999999999</v>
      </c>
      <c r="J27" s="211">
        <f t="shared" si="2"/>
        <v>11159.4</v>
      </c>
      <c r="K27" s="154">
        <f t="shared" si="2"/>
        <v>24277832.669999998</v>
      </c>
      <c r="L27" s="154">
        <f t="shared" si="2"/>
        <v>0</v>
      </c>
      <c r="M27" s="153">
        <f t="shared" si="2"/>
        <v>5314</v>
      </c>
      <c r="N27" s="155"/>
    </row>
    <row r="28" spans="1:14" ht="6" customHeight="1">
      <c r="B28" s="34"/>
      <c r="C28" s="34"/>
      <c r="D28" s="34"/>
      <c r="E28" s="34"/>
      <c r="F28" s="34"/>
      <c r="G28" s="35"/>
      <c r="H28" s="5"/>
      <c r="I28" s="5"/>
      <c r="J28" s="5"/>
      <c r="K28" s="5"/>
      <c r="M28" s="49"/>
      <c r="N28" s="5"/>
    </row>
    <row r="29" spans="1:14" s="9" customFormat="1" ht="9">
      <c r="A29" s="33" t="s">
        <v>19</v>
      </c>
      <c r="B29" s="36"/>
      <c r="C29" s="36"/>
      <c r="D29" s="36"/>
      <c r="E29" s="36"/>
      <c r="F29" s="36"/>
      <c r="G29" s="37"/>
      <c r="H29" s="10"/>
      <c r="I29" s="10"/>
      <c r="J29" s="10"/>
      <c r="K29" s="10"/>
      <c r="L29" s="12"/>
      <c r="M29" s="12"/>
      <c r="N29" s="10"/>
    </row>
    <row r="30" spans="1:14" s="9" customFormat="1" ht="21" customHeight="1">
      <c r="A30" s="409" t="s">
        <v>367</v>
      </c>
      <c r="B30" s="409"/>
      <c r="C30" s="409"/>
      <c r="D30" s="409"/>
      <c r="E30" s="409"/>
      <c r="F30" s="409"/>
      <c r="G30" s="409"/>
      <c r="H30" s="409"/>
      <c r="I30" s="409"/>
      <c r="J30" s="409"/>
      <c r="K30" s="409"/>
      <c r="L30" s="196"/>
      <c r="M30" s="196"/>
      <c r="N30" s="10"/>
    </row>
    <row r="31" spans="1:14" s="9" customFormat="1" ht="10.5" customHeight="1">
      <c r="A31" s="9" t="s">
        <v>370</v>
      </c>
      <c r="B31" s="10"/>
      <c r="C31" s="10"/>
      <c r="D31" s="10"/>
      <c r="E31" s="10"/>
      <c r="F31" s="10"/>
      <c r="G31" s="11"/>
      <c r="H31" s="10"/>
      <c r="I31" s="10"/>
      <c r="J31" s="10"/>
      <c r="K31" s="10"/>
      <c r="L31" s="12"/>
      <c r="M31" s="12"/>
      <c r="N31" s="10"/>
    </row>
    <row r="32" spans="1:14" s="9" customFormat="1" ht="16.5" customHeight="1">
      <c r="A32" s="409"/>
      <c r="B32" s="409"/>
      <c r="C32" s="409"/>
      <c r="D32" s="409"/>
      <c r="E32" s="409"/>
      <c r="F32" s="409"/>
      <c r="G32" s="409"/>
      <c r="H32" s="409"/>
      <c r="I32" s="409"/>
      <c r="J32" s="409"/>
      <c r="K32" s="409"/>
      <c r="L32" s="409"/>
      <c r="M32" s="409"/>
      <c r="N32" s="409"/>
    </row>
    <row r="33" spans="2:14" s="9" customFormat="1">
      <c r="B33" s="10"/>
      <c r="C33" s="10"/>
      <c r="D33" s="10"/>
      <c r="E33" s="10"/>
      <c r="F33" s="11"/>
      <c r="G33" s="10"/>
      <c r="H33" s="10"/>
      <c r="I33" s="10"/>
      <c r="J33" s="10"/>
      <c r="K33" s="10"/>
      <c r="L33" s="12"/>
      <c r="M33" s="50"/>
      <c r="N33" s="1"/>
    </row>
    <row r="34" spans="2:14" s="9" customFormat="1" ht="10.5" customHeight="1">
      <c r="B34" s="10"/>
      <c r="C34" s="10"/>
      <c r="D34" s="10"/>
      <c r="E34" s="10"/>
      <c r="F34" s="11"/>
      <c r="G34" s="10"/>
      <c r="H34" s="10"/>
      <c r="I34" s="10"/>
      <c r="J34" s="10"/>
      <c r="K34" s="10"/>
      <c r="L34" s="12"/>
      <c r="M34" s="12"/>
      <c r="N34" s="1"/>
    </row>
    <row r="35" spans="2:14" s="9" customFormat="1">
      <c r="B35" s="10"/>
      <c r="C35" s="10"/>
      <c r="D35" s="10"/>
      <c r="E35" s="10"/>
      <c r="F35" s="10"/>
      <c r="G35" s="11"/>
      <c r="H35" s="10"/>
      <c r="I35" s="10"/>
      <c r="J35" s="10"/>
      <c r="K35" s="10"/>
      <c r="L35" s="12"/>
      <c r="M35" s="12"/>
      <c r="N35" s="1"/>
    </row>
    <row r="36" spans="2:14" s="9" customFormat="1">
      <c r="B36" s="10"/>
      <c r="C36" s="10"/>
      <c r="D36" s="10"/>
      <c r="E36" s="10"/>
      <c r="F36" s="10"/>
      <c r="G36" s="11"/>
      <c r="H36" s="10"/>
      <c r="I36" s="10"/>
      <c r="J36" s="10"/>
      <c r="K36" s="10"/>
      <c r="L36" s="12"/>
      <c r="M36" s="12"/>
      <c r="N36" s="1"/>
    </row>
    <row r="37" spans="2:14" s="9" customFormat="1">
      <c r="B37" s="10"/>
      <c r="C37" s="10"/>
      <c r="D37" s="10"/>
      <c r="E37" s="10"/>
      <c r="F37" s="10"/>
      <c r="G37" s="11"/>
      <c r="H37" s="10"/>
      <c r="I37" s="10"/>
      <c r="J37" s="10"/>
      <c r="K37" s="10"/>
      <c r="L37" s="12"/>
      <c r="M37" s="12"/>
      <c r="N37" s="1"/>
    </row>
    <row r="38" spans="2:14" s="9" customFormat="1">
      <c r="B38" s="10"/>
      <c r="C38" s="10"/>
      <c r="D38" s="10"/>
      <c r="E38" s="10"/>
      <c r="F38" s="10"/>
      <c r="G38" s="11"/>
      <c r="H38" s="10"/>
      <c r="I38" s="10"/>
      <c r="J38" s="10"/>
      <c r="K38" s="10"/>
      <c r="L38" s="12"/>
      <c r="M38" s="12"/>
      <c r="N38" s="1"/>
    </row>
    <row r="39" spans="2:14" s="9" customFormat="1">
      <c r="B39" s="10"/>
      <c r="C39" s="10"/>
      <c r="D39" s="10"/>
      <c r="E39" s="10"/>
      <c r="F39" s="10"/>
      <c r="G39" s="11"/>
      <c r="H39" s="10"/>
      <c r="I39" s="10"/>
      <c r="J39" s="10"/>
      <c r="K39" s="10"/>
      <c r="L39" s="12"/>
      <c r="M39" s="12"/>
      <c r="N39" s="1"/>
    </row>
    <row r="40" spans="2:14" s="9" customFormat="1">
      <c r="B40" s="10"/>
      <c r="C40" s="10"/>
      <c r="D40" s="10"/>
      <c r="E40" s="10"/>
      <c r="F40" s="10"/>
      <c r="G40" s="11"/>
      <c r="H40" s="10"/>
      <c r="I40" s="10"/>
      <c r="J40" s="10"/>
      <c r="K40" s="10"/>
      <c r="L40" s="12"/>
      <c r="M40" s="12"/>
      <c r="N40" s="1"/>
    </row>
    <row r="41" spans="2:14" s="9" customFormat="1">
      <c r="B41" s="10"/>
      <c r="C41" s="10"/>
      <c r="D41" s="10"/>
      <c r="E41" s="10"/>
      <c r="F41" s="10"/>
      <c r="G41" s="11"/>
      <c r="H41" s="10"/>
      <c r="I41" s="10"/>
      <c r="J41" s="10"/>
      <c r="K41" s="10"/>
      <c r="L41" s="12"/>
      <c r="M41" s="12"/>
      <c r="N41" s="1"/>
    </row>
    <row r="42" spans="2:14" s="9" customFormat="1">
      <c r="B42" s="10"/>
      <c r="C42" s="10"/>
      <c r="D42" s="10"/>
      <c r="E42" s="10"/>
      <c r="F42" s="10"/>
      <c r="G42" s="11"/>
      <c r="H42" s="10"/>
      <c r="I42" s="10"/>
      <c r="J42" s="10"/>
      <c r="K42" s="10"/>
      <c r="L42" s="12"/>
      <c r="M42" s="12"/>
      <c r="N42" s="1"/>
    </row>
    <row r="43" spans="2:14" s="9" customFormat="1">
      <c r="B43" s="10"/>
      <c r="C43" s="10"/>
      <c r="D43" s="10"/>
      <c r="E43" s="10"/>
      <c r="F43" s="10"/>
      <c r="G43" s="11"/>
      <c r="H43" s="10"/>
      <c r="I43" s="10"/>
      <c r="J43" s="10"/>
      <c r="K43" s="10"/>
      <c r="L43" s="12"/>
      <c r="M43" s="12"/>
      <c r="N43" s="1"/>
    </row>
    <row r="44" spans="2:14" s="9" customFormat="1">
      <c r="B44" s="10"/>
      <c r="C44" s="10"/>
      <c r="D44" s="10"/>
      <c r="E44" s="10"/>
      <c r="F44" s="10"/>
      <c r="G44" s="11"/>
      <c r="H44" s="10"/>
      <c r="I44" s="10"/>
      <c r="J44" s="10"/>
      <c r="K44" s="10"/>
      <c r="L44" s="12"/>
      <c r="M44" s="12"/>
      <c r="N44" s="1"/>
    </row>
  </sheetData>
  <mergeCells count="4">
    <mergeCell ref="A32:N32"/>
    <mergeCell ref="A30:K30"/>
    <mergeCell ref="A1:N1"/>
    <mergeCell ref="A2:N2"/>
  </mergeCells>
  <phoneticPr fontId="7" type="noConversion"/>
  <printOptions horizontalCentered="1"/>
  <pageMargins left="0.25" right="0.25" top="0.5" bottom="0.5" header="0.5" footer="0.5"/>
  <pageSetup scale="94" orientation="landscape" r:id="rId1"/>
  <headerFooter alignWithMargins="0"/>
</worksheet>
</file>

<file path=xl/worksheets/sheet18.xml><?xml version="1.0" encoding="utf-8"?>
<worksheet xmlns="http://schemas.openxmlformats.org/spreadsheetml/2006/main" xmlns:r="http://schemas.openxmlformats.org/officeDocument/2006/relationships">
  <sheetPr>
    <pageSetUpPr fitToPage="1"/>
  </sheetPr>
  <dimension ref="A1:P39"/>
  <sheetViews>
    <sheetView zoomScaleNormal="100" workbookViewId="0">
      <pane xSplit="1" ySplit="3" topLeftCell="B4" activePane="bottomRight" state="frozen"/>
      <selection sqref="A1:P1"/>
      <selection pane="topRight" sqref="A1:P1"/>
      <selection pane="bottomLeft" sqref="A1:P1"/>
      <selection pane="bottomRight" activeCell="L30" sqref="L30"/>
    </sheetView>
  </sheetViews>
  <sheetFormatPr defaultRowHeight="11.25"/>
  <cols>
    <col min="1" max="1" width="35.28515625" style="1" customWidth="1"/>
    <col min="2" max="2" width="9" style="5" bestFit="1" customWidth="1"/>
    <col min="3" max="3" width="8.28515625" style="5" bestFit="1" customWidth="1"/>
    <col min="4" max="4" width="9.7109375" style="5" customWidth="1"/>
    <col min="5" max="5" width="8.7109375" style="5" bestFit="1" customWidth="1"/>
    <col min="6" max="6" width="8.85546875" style="5" bestFit="1" customWidth="1"/>
    <col min="7" max="7" width="9" style="5" customWidth="1"/>
    <col min="8" max="8" width="10" style="6" bestFit="1" customWidth="1"/>
    <col min="9" max="9" width="7" style="6" bestFit="1" customWidth="1"/>
    <col min="10" max="10" width="9" style="6" bestFit="1" customWidth="1"/>
    <col min="11" max="12" width="10.85546875" style="6" bestFit="1" customWidth="1"/>
    <col min="13" max="13" width="8.85546875" style="5" customWidth="1"/>
    <col min="14" max="14" width="2.5703125" style="1" bestFit="1" customWidth="1"/>
    <col min="15" max="15" width="9.42578125" style="1" customWidth="1"/>
    <col min="16" max="16" width="5" style="1" customWidth="1"/>
    <col min="17" max="17" width="9.140625" style="1" customWidth="1"/>
    <col min="18" max="16384" width="9.140625" style="1"/>
  </cols>
  <sheetData>
    <row r="1" spans="1:16">
      <c r="A1" s="407" t="s">
        <v>73</v>
      </c>
      <c r="B1" s="407"/>
      <c r="C1" s="407"/>
      <c r="D1" s="407"/>
      <c r="E1" s="407"/>
      <c r="F1" s="407"/>
      <c r="G1" s="407"/>
      <c r="H1" s="407"/>
      <c r="I1" s="407"/>
      <c r="J1" s="407"/>
      <c r="K1" s="407"/>
      <c r="L1" s="407"/>
      <c r="M1" s="407"/>
      <c r="N1" s="407"/>
      <c r="O1" s="207"/>
      <c r="P1" s="207"/>
    </row>
    <row r="2" spans="1:16" ht="12" thickBot="1">
      <c r="A2" s="408" t="s">
        <v>331</v>
      </c>
      <c r="B2" s="408"/>
      <c r="C2" s="408"/>
      <c r="D2" s="408"/>
      <c r="E2" s="408"/>
      <c r="F2" s="408"/>
      <c r="G2" s="408"/>
      <c r="H2" s="408"/>
      <c r="I2" s="408"/>
      <c r="J2" s="408"/>
      <c r="K2" s="408"/>
      <c r="L2" s="408"/>
      <c r="M2" s="408"/>
      <c r="N2" s="408"/>
      <c r="O2" s="209"/>
      <c r="P2" s="209"/>
    </row>
    <row r="3" spans="1:16" s="3" customFormat="1" ht="54.75" thickBot="1">
      <c r="A3" s="212" t="s">
        <v>229</v>
      </c>
      <c r="B3" s="144" t="s">
        <v>230</v>
      </c>
      <c r="C3" s="144" t="s">
        <v>355</v>
      </c>
      <c r="D3" s="144" t="s">
        <v>356</v>
      </c>
      <c r="E3" s="129" t="s">
        <v>357</v>
      </c>
      <c r="F3" s="144" t="s">
        <v>358</v>
      </c>
      <c r="G3" s="145" t="s">
        <v>359</v>
      </c>
      <c r="H3" s="146" t="s">
        <v>360</v>
      </c>
      <c r="I3" s="146" t="s">
        <v>361</v>
      </c>
      <c r="J3" s="146" t="s">
        <v>362</v>
      </c>
      <c r="K3" s="144" t="s">
        <v>363</v>
      </c>
      <c r="L3" s="146" t="s">
        <v>364</v>
      </c>
      <c r="M3" s="146" t="s">
        <v>365</v>
      </c>
      <c r="N3" s="147" t="s">
        <v>231</v>
      </c>
    </row>
    <row r="4" spans="1:16" s="4" customFormat="1" ht="9">
      <c r="A4" s="156" t="s">
        <v>237</v>
      </c>
      <c r="B4" s="157" t="s">
        <v>264</v>
      </c>
      <c r="C4" s="158"/>
      <c r="D4" s="158"/>
      <c r="E4" s="157"/>
      <c r="F4" s="157"/>
      <c r="G4" s="159"/>
      <c r="H4" s="159"/>
      <c r="I4" s="159"/>
      <c r="J4" s="159"/>
      <c r="K4" s="158"/>
      <c r="L4" s="158"/>
      <c r="M4" s="158"/>
      <c r="N4" s="203"/>
    </row>
    <row r="5" spans="1:16" s="4" customFormat="1" ht="9">
      <c r="A5" s="140" t="s">
        <v>238</v>
      </c>
      <c r="B5" s="13" t="s">
        <v>264</v>
      </c>
      <c r="C5" s="22"/>
      <c r="D5" s="22"/>
      <c r="E5" s="13"/>
      <c r="F5" s="13"/>
      <c r="G5" s="43"/>
      <c r="H5" s="43"/>
      <c r="I5" s="43"/>
      <c r="J5" s="43"/>
      <c r="K5" s="32"/>
      <c r="L5" s="32"/>
      <c r="M5" s="32"/>
      <c r="N5" s="122"/>
    </row>
    <row r="6" spans="1:16" s="4" customFormat="1" ht="9">
      <c r="A6" s="140" t="s">
        <v>239</v>
      </c>
      <c r="B6" s="13"/>
      <c r="C6" s="22"/>
      <c r="D6" s="22"/>
      <c r="E6" s="13"/>
      <c r="F6" s="13"/>
      <c r="G6" s="43"/>
      <c r="H6" s="43"/>
      <c r="I6" s="43"/>
      <c r="J6" s="43"/>
      <c r="K6" s="32"/>
      <c r="L6" s="32"/>
      <c r="M6" s="32"/>
      <c r="N6" s="122"/>
    </row>
    <row r="7" spans="1:16" s="4" customFormat="1" ht="9">
      <c r="A7" s="148" t="s">
        <v>240</v>
      </c>
      <c r="B7" s="13">
        <v>40</v>
      </c>
      <c r="C7" s="22">
        <v>0</v>
      </c>
      <c r="D7" s="22">
        <v>0</v>
      </c>
      <c r="E7" s="13">
        <v>1</v>
      </c>
      <c r="F7" s="13">
        <f>B7*E7</f>
        <v>40</v>
      </c>
      <c r="G7" s="42">
        <v>0</v>
      </c>
      <c r="H7" s="43">
        <f>F7*G7</f>
        <v>0</v>
      </c>
      <c r="I7" s="43">
        <f>H7*0.1</f>
        <v>0</v>
      </c>
      <c r="J7" s="42">
        <f>H7*0.05</f>
        <v>0</v>
      </c>
      <c r="K7" s="32">
        <f>(H7*'Base Data'!$C$5)+(I7*'Base Data'!$C$6)+(J7*'Base Data'!$C$7)</f>
        <v>0</v>
      </c>
      <c r="L7" s="32">
        <v>0</v>
      </c>
      <c r="M7" s="43">
        <v>0</v>
      </c>
      <c r="N7" s="122" t="s">
        <v>214</v>
      </c>
    </row>
    <row r="8" spans="1:16" s="4" customFormat="1" ht="9">
      <c r="A8" s="148" t="s">
        <v>241</v>
      </c>
      <c r="B8" s="13"/>
      <c r="C8" s="22"/>
      <c r="D8" s="22"/>
      <c r="E8" s="13"/>
      <c r="F8" s="13"/>
      <c r="G8" s="43"/>
      <c r="H8" s="43"/>
      <c r="I8" s="43"/>
      <c r="J8" s="43"/>
      <c r="K8" s="32"/>
      <c r="L8" s="32"/>
      <c r="M8" s="32"/>
      <c r="N8" s="122"/>
    </row>
    <row r="9" spans="1:16" s="4" customFormat="1" ht="9">
      <c r="A9" s="123" t="s">
        <v>354</v>
      </c>
      <c r="B9" s="13">
        <v>12</v>
      </c>
      <c r="C9" s="22">
        <v>2228</v>
      </c>
      <c r="D9" s="22">
        <v>0</v>
      </c>
      <c r="E9" s="13">
        <v>0.5</v>
      </c>
      <c r="F9" s="13">
        <f>B9*E9</f>
        <v>6</v>
      </c>
      <c r="G9" s="42">
        <f>ROUND(SUM('Base Data'!$D$15,'Base Data'!$D$18)/2,0)</f>
        <v>5315</v>
      </c>
      <c r="H9" s="43">
        <f>F9*G9</f>
        <v>31890</v>
      </c>
      <c r="I9" s="43">
        <f>H9*0.1</f>
        <v>3189</v>
      </c>
      <c r="J9" s="43">
        <f>H9*0.05</f>
        <v>1594.5</v>
      </c>
      <c r="K9" s="32">
        <f>(H9*'Base Data'!$C$5)+(I9*'Base Data'!$C$6)+(J9*'Base Data'!$C$7)</f>
        <v>3468914.4750000001</v>
      </c>
      <c r="L9" s="32">
        <f>C9*E9*G9</f>
        <v>5920910</v>
      </c>
      <c r="M9" s="43">
        <v>0</v>
      </c>
      <c r="N9" s="122" t="s">
        <v>97</v>
      </c>
    </row>
    <row r="10" spans="1:16" s="4" customFormat="1" ht="9">
      <c r="A10" s="123" t="s">
        <v>245</v>
      </c>
      <c r="B10" s="13" t="s">
        <v>264</v>
      </c>
      <c r="C10" s="22"/>
      <c r="D10" s="22"/>
      <c r="E10" s="13"/>
      <c r="F10" s="13"/>
      <c r="G10" s="43"/>
      <c r="H10" s="43"/>
      <c r="I10" s="43"/>
      <c r="J10" s="43"/>
      <c r="K10" s="32"/>
      <c r="L10" s="32"/>
      <c r="M10" s="32"/>
      <c r="N10" s="122"/>
    </row>
    <row r="11" spans="1:16" s="4" customFormat="1" ht="9">
      <c r="A11" s="123" t="s">
        <v>246</v>
      </c>
      <c r="B11" s="13" t="s">
        <v>264</v>
      </c>
      <c r="C11" s="22"/>
      <c r="D11" s="22"/>
      <c r="E11" s="13"/>
      <c r="F11" s="13"/>
      <c r="G11" s="43"/>
      <c r="H11" s="43"/>
      <c r="I11" s="43"/>
      <c r="J11" s="43"/>
      <c r="K11" s="32"/>
      <c r="L11" s="32"/>
      <c r="M11" s="32"/>
      <c r="N11" s="122"/>
      <c r="O11" s="46"/>
    </row>
    <row r="12" spans="1:16" s="4" customFormat="1" ht="9">
      <c r="A12" s="123" t="s">
        <v>247</v>
      </c>
      <c r="B12" s="13"/>
      <c r="C12" s="22"/>
      <c r="D12" s="22"/>
      <c r="E12" s="13"/>
      <c r="F12" s="13"/>
      <c r="G12" s="42"/>
      <c r="H12" s="43"/>
      <c r="I12" s="43"/>
      <c r="J12" s="43"/>
      <c r="K12" s="32"/>
      <c r="L12" s="32"/>
      <c r="M12" s="43"/>
      <c r="N12" s="122"/>
      <c r="O12" s="46"/>
    </row>
    <row r="13" spans="1:16" s="4" customFormat="1" ht="9" customHeight="1">
      <c r="A13" s="124" t="s">
        <v>266</v>
      </c>
      <c r="B13" s="13">
        <v>2</v>
      </c>
      <c r="C13" s="22">
        <v>0</v>
      </c>
      <c r="D13" s="22">
        <v>0</v>
      </c>
      <c r="E13" s="13">
        <v>1</v>
      </c>
      <c r="F13" s="13">
        <f>B13*E13</f>
        <v>2</v>
      </c>
      <c r="G13" s="42">
        <v>0</v>
      </c>
      <c r="H13" s="43">
        <f>F13*G13</f>
        <v>0</v>
      </c>
      <c r="I13" s="43">
        <f>H13*0.1</f>
        <v>0</v>
      </c>
      <c r="J13" s="43">
        <f>H13*0.05</f>
        <v>0</v>
      </c>
      <c r="K13" s="32">
        <f>(H13*'Base Data'!$C$5)+(I13*'Base Data'!$C$6)+(J13*'Base Data'!$C$7)</f>
        <v>0</v>
      </c>
      <c r="L13" s="32">
        <v>0</v>
      </c>
      <c r="M13" s="43">
        <f>E13*G13</f>
        <v>0</v>
      </c>
      <c r="N13" s="122" t="s">
        <v>214</v>
      </c>
      <c r="O13" s="46"/>
    </row>
    <row r="14" spans="1:16" s="4" customFormat="1" ht="9">
      <c r="A14" s="124" t="s">
        <v>208</v>
      </c>
      <c r="B14" s="13">
        <v>8</v>
      </c>
      <c r="C14" s="22">
        <v>0</v>
      </c>
      <c r="D14" s="23">
        <v>0</v>
      </c>
      <c r="E14" s="13">
        <v>1</v>
      </c>
      <c r="F14" s="13">
        <f>B14*E14</f>
        <v>8</v>
      </c>
      <c r="G14" s="42">
        <v>0</v>
      </c>
      <c r="H14" s="43">
        <f>F14*G14</f>
        <v>0</v>
      </c>
      <c r="I14" s="43">
        <f>H14*0.1</f>
        <v>0</v>
      </c>
      <c r="J14" s="43">
        <f>H14*0.05</f>
        <v>0</v>
      </c>
      <c r="K14" s="32">
        <f>(H14*'Base Data'!$C$5)+(I14*'Base Data'!$C$6)+(J14*'Base Data'!$C$7)</f>
        <v>0</v>
      </c>
      <c r="L14" s="32">
        <v>0</v>
      </c>
      <c r="M14" s="43">
        <f>E14*G14</f>
        <v>0</v>
      </c>
      <c r="N14" s="122" t="s">
        <v>97</v>
      </c>
      <c r="O14" s="46"/>
    </row>
    <row r="15" spans="1:16" s="4" customFormat="1" ht="9">
      <c r="A15" s="124" t="s">
        <v>148</v>
      </c>
      <c r="B15" s="13">
        <v>5</v>
      </c>
      <c r="C15" s="48">
        <v>0</v>
      </c>
      <c r="D15" s="22">
        <v>0</v>
      </c>
      <c r="E15" s="201">
        <v>0.5</v>
      </c>
      <c r="F15" s="13">
        <f>B15*E15</f>
        <v>2.5</v>
      </c>
      <c r="G15" s="42">
        <v>0</v>
      </c>
      <c r="H15" s="43">
        <f>F15*G15</f>
        <v>0</v>
      </c>
      <c r="I15" s="43">
        <f>H15*0.1</f>
        <v>0</v>
      </c>
      <c r="J15" s="43">
        <f>H15*0.05</f>
        <v>0</v>
      </c>
      <c r="K15" s="32">
        <f>(H15*'Base Data'!$C$5)+(I15*'Base Data'!$C$6)+(J15*'Base Data'!$C$7)</f>
        <v>0</v>
      </c>
      <c r="L15" s="32">
        <v>0</v>
      </c>
      <c r="M15" s="43">
        <f>E15*G15</f>
        <v>0</v>
      </c>
      <c r="N15" s="122" t="s">
        <v>97</v>
      </c>
      <c r="O15" s="46"/>
    </row>
    <row r="16" spans="1:16" s="4" customFormat="1" ht="9">
      <c r="A16" s="126" t="s">
        <v>24</v>
      </c>
      <c r="B16" s="13"/>
      <c r="C16" s="22"/>
      <c r="D16" s="142"/>
      <c r="E16" s="13"/>
      <c r="F16" s="13"/>
      <c r="G16" s="42"/>
      <c r="H16" s="43">
        <f>SUM(H7:H15)</f>
        <v>31890</v>
      </c>
      <c r="I16" s="43">
        <f>SUM(I7:I15)</f>
        <v>3189</v>
      </c>
      <c r="J16" s="43">
        <f>SUM(J7:J15)</f>
        <v>1594.5</v>
      </c>
      <c r="K16" s="32">
        <f>SUM(K7:K15)</f>
        <v>3468914.4750000001</v>
      </c>
      <c r="L16" s="32">
        <f>SUM(L7:L15)</f>
        <v>5920910</v>
      </c>
      <c r="M16" s="43">
        <f>SUM(M12:M15)</f>
        <v>0</v>
      </c>
      <c r="N16" s="122"/>
      <c r="O16" s="46"/>
    </row>
    <row r="17" spans="1:15" s="4" customFormat="1" ht="9">
      <c r="A17" s="121" t="s">
        <v>261</v>
      </c>
      <c r="B17" s="13"/>
      <c r="C17" s="22"/>
      <c r="D17" s="22"/>
      <c r="E17" s="13"/>
      <c r="F17" s="13"/>
      <c r="G17" s="43"/>
      <c r="H17" s="43"/>
      <c r="I17" s="43"/>
      <c r="J17" s="43"/>
      <c r="K17" s="32"/>
      <c r="L17" s="32"/>
      <c r="M17" s="32"/>
      <c r="N17" s="122"/>
      <c r="O17" s="46"/>
    </row>
    <row r="18" spans="1:15" s="4" customFormat="1" ht="9">
      <c r="A18" s="121" t="s">
        <v>248</v>
      </c>
      <c r="B18" s="13" t="s">
        <v>252</v>
      </c>
      <c r="C18" s="22"/>
      <c r="D18" s="22"/>
      <c r="E18" s="13"/>
      <c r="F18" s="13"/>
      <c r="G18" s="43"/>
      <c r="H18" s="43"/>
      <c r="I18" s="43"/>
      <c r="J18" s="43"/>
      <c r="K18" s="32"/>
      <c r="L18" s="32"/>
      <c r="M18" s="32"/>
      <c r="N18" s="122"/>
      <c r="O18" s="46"/>
    </row>
    <row r="19" spans="1:15" s="4" customFormat="1" ht="9">
      <c r="A19" s="121" t="s">
        <v>249</v>
      </c>
      <c r="B19" s="13" t="s">
        <v>264</v>
      </c>
      <c r="C19" s="22"/>
      <c r="D19" s="22"/>
      <c r="E19" s="13"/>
      <c r="F19" s="13"/>
      <c r="G19" s="43"/>
      <c r="H19" s="43"/>
      <c r="I19" s="43"/>
      <c r="J19" s="43"/>
      <c r="K19" s="32"/>
      <c r="L19" s="32"/>
      <c r="M19" s="32"/>
      <c r="N19" s="122"/>
      <c r="O19" s="46"/>
    </row>
    <row r="20" spans="1:15" s="4" customFormat="1" ht="9">
      <c r="A20" s="121" t="s">
        <v>250</v>
      </c>
      <c r="B20" s="13" t="s">
        <v>264</v>
      </c>
      <c r="C20" s="22"/>
      <c r="D20" s="22"/>
      <c r="E20" s="13"/>
      <c r="F20" s="13"/>
      <c r="G20" s="43"/>
      <c r="H20" s="43"/>
      <c r="I20" s="43"/>
      <c r="J20" s="43"/>
      <c r="K20" s="32"/>
      <c r="L20" s="32"/>
      <c r="M20" s="32"/>
      <c r="N20" s="122" t="s">
        <v>215</v>
      </c>
      <c r="O20" s="46"/>
    </row>
    <row r="21" spans="1:15" s="4" customFormat="1" ht="9">
      <c r="A21" s="121" t="s">
        <v>251</v>
      </c>
      <c r="B21" s="13"/>
      <c r="C21" s="22"/>
      <c r="D21" s="22"/>
      <c r="E21" s="13"/>
      <c r="F21" s="13"/>
      <c r="G21" s="43"/>
      <c r="H21" s="43"/>
      <c r="I21" s="43"/>
      <c r="J21" s="43"/>
      <c r="K21" s="32"/>
      <c r="L21" s="32"/>
      <c r="M21" s="32"/>
      <c r="N21" s="122"/>
      <c r="O21" s="46"/>
    </row>
    <row r="22" spans="1:15" s="4" customFormat="1" ht="9">
      <c r="A22" s="124" t="s">
        <v>323</v>
      </c>
      <c r="B22" s="13">
        <v>2</v>
      </c>
      <c r="C22" s="22">
        <v>0</v>
      </c>
      <c r="D22" s="22">
        <v>0</v>
      </c>
      <c r="E22" s="13">
        <v>1</v>
      </c>
      <c r="F22" s="13">
        <f>B22*E22</f>
        <v>2</v>
      </c>
      <c r="G22" s="43">
        <v>0</v>
      </c>
      <c r="H22" s="42">
        <f>F22*G22</f>
        <v>0</v>
      </c>
      <c r="I22" s="42">
        <f>H22*0.1</f>
        <v>0</v>
      </c>
      <c r="J22" s="42">
        <f>H22*0.05</f>
        <v>0</v>
      </c>
      <c r="K22" s="32">
        <f>(H22*'Base Data'!$C$5)+(I22*'Base Data'!$C$6)+(J22*'Base Data'!$C$7)</f>
        <v>0</v>
      </c>
      <c r="L22" s="32">
        <v>0</v>
      </c>
      <c r="M22" s="43">
        <f>E22*G22</f>
        <v>0</v>
      </c>
      <c r="N22" s="122" t="s">
        <v>97</v>
      </c>
    </row>
    <row r="23" spans="1:15" s="4" customFormat="1" ht="9">
      <c r="A23" s="124" t="s">
        <v>322</v>
      </c>
      <c r="B23" s="13">
        <v>0.5</v>
      </c>
      <c r="C23" s="22">
        <v>0</v>
      </c>
      <c r="D23" s="22">
        <v>0</v>
      </c>
      <c r="E23" s="13">
        <v>0.5</v>
      </c>
      <c r="F23" s="13">
        <f>B23*E23</f>
        <v>0.25</v>
      </c>
      <c r="G23" s="43">
        <v>0</v>
      </c>
      <c r="H23" s="42">
        <f>F23*G23</f>
        <v>0</v>
      </c>
      <c r="I23" s="42">
        <f>H23*0.1</f>
        <v>0</v>
      </c>
      <c r="J23" s="42">
        <f>H23*0.05</f>
        <v>0</v>
      </c>
      <c r="K23" s="32">
        <f>(H23*'Base Data'!$C$5)+(I23*'Base Data'!$C$6)+(J23*'Base Data'!$C$7)</f>
        <v>0</v>
      </c>
      <c r="L23" s="32">
        <v>0</v>
      </c>
      <c r="M23" s="43">
        <f>E23*G23</f>
        <v>0</v>
      </c>
      <c r="N23" s="122" t="s">
        <v>97</v>
      </c>
    </row>
    <row r="24" spans="1:15" s="4" customFormat="1" ht="9">
      <c r="A24" s="140" t="s">
        <v>255</v>
      </c>
      <c r="B24" s="13" t="s">
        <v>264</v>
      </c>
      <c r="C24" s="22"/>
      <c r="D24" s="22"/>
      <c r="E24" s="13"/>
      <c r="F24" s="13"/>
      <c r="G24" s="42"/>
      <c r="H24" s="43"/>
      <c r="I24" s="43"/>
      <c r="J24" s="43"/>
      <c r="K24" s="32"/>
      <c r="L24" s="32"/>
      <c r="M24" s="32"/>
      <c r="N24" s="122"/>
      <c r="O24" s="46"/>
    </row>
    <row r="25" spans="1:15" s="4" customFormat="1" ht="9">
      <c r="A25" s="140" t="s">
        <v>256</v>
      </c>
      <c r="B25" s="13" t="s">
        <v>264</v>
      </c>
      <c r="C25" s="22"/>
      <c r="D25" s="22"/>
      <c r="E25" s="13"/>
      <c r="F25" s="13"/>
      <c r="G25" s="43"/>
      <c r="H25" s="43"/>
      <c r="I25" s="43"/>
      <c r="J25" s="43"/>
      <c r="K25" s="32"/>
      <c r="L25" s="32"/>
      <c r="M25" s="32"/>
      <c r="N25" s="122"/>
    </row>
    <row r="26" spans="1:15" s="4" customFormat="1" ht="9.75" thickBot="1">
      <c r="A26" s="204" t="s">
        <v>26</v>
      </c>
      <c r="B26" s="205"/>
      <c r="C26" s="161"/>
      <c r="D26" s="161"/>
      <c r="E26" s="205"/>
      <c r="F26" s="205"/>
      <c r="G26" s="138"/>
      <c r="H26" s="138">
        <f>SUM(H22:H23)</f>
        <v>0</v>
      </c>
      <c r="I26" s="138">
        <f t="shared" ref="I26:L26" si="0">SUM(I22:I23)</f>
        <v>0</v>
      </c>
      <c r="J26" s="138">
        <f t="shared" si="0"/>
        <v>0</v>
      </c>
      <c r="K26" s="138">
        <f t="shared" si="0"/>
        <v>0</v>
      </c>
      <c r="L26" s="138">
        <f t="shared" si="0"/>
        <v>0</v>
      </c>
      <c r="M26" s="138">
        <f>SUM(M22:M23)</f>
        <v>0</v>
      </c>
      <c r="N26" s="232"/>
    </row>
    <row r="27" spans="1:15" s="2" customFormat="1" ht="12" thickBot="1">
      <c r="A27" s="149" t="s">
        <v>236</v>
      </c>
      <c r="B27" s="150"/>
      <c r="C27" s="150"/>
      <c r="D27" s="151"/>
      <c r="E27" s="150"/>
      <c r="F27" s="150"/>
      <c r="G27" s="152"/>
      <c r="H27" s="153">
        <f>H16+H26</f>
        <v>31890</v>
      </c>
      <c r="I27" s="153">
        <f t="shared" ref="I27:M27" si="1">I16+I26</f>
        <v>3189</v>
      </c>
      <c r="J27" s="153">
        <f t="shared" si="1"/>
        <v>1594.5</v>
      </c>
      <c r="K27" s="154">
        <f t="shared" si="1"/>
        <v>3468914.4750000001</v>
      </c>
      <c r="L27" s="154">
        <f t="shared" si="1"/>
        <v>5920910</v>
      </c>
      <c r="M27" s="153">
        <f t="shared" si="1"/>
        <v>0</v>
      </c>
      <c r="N27" s="155"/>
    </row>
    <row r="28" spans="1:15" ht="6" customHeight="1">
      <c r="B28" s="34"/>
      <c r="C28" s="34"/>
      <c r="D28" s="34"/>
      <c r="E28" s="34"/>
      <c r="F28" s="34"/>
      <c r="G28" s="35"/>
      <c r="H28" s="5"/>
      <c r="I28" s="5"/>
      <c r="J28" s="5"/>
      <c r="K28" s="5"/>
      <c r="M28" s="49"/>
      <c r="N28" s="5"/>
    </row>
    <row r="29" spans="1:15" s="4" customFormat="1" ht="7.5" customHeight="1">
      <c r="A29" s="9" t="s">
        <v>219</v>
      </c>
      <c r="B29" s="10"/>
      <c r="C29" s="10"/>
      <c r="D29" s="10"/>
      <c r="E29" s="10"/>
      <c r="F29" s="11"/>
      <c r="G29" s="10"/>
      <c r="H29" s="10"/>
      <c r="I29" s="10"/>
      <c r="J29" s="10"/>
      <c r="K29" s="10"/>
      <c r="L29" s="12"/>
      <c r="M29" s="12"/>
      <c r="N29" s="10"/>
    </row>
    <row r="30" spans="1:15" s="9" customFormat="1" ht="29.25" customHeight="1">
      <c r="A30" s="409" t="s">
        <v>373</v>
      </c>
      <c r="B30" s="409"/>
      <c r="C30" s="409"/>
      <c r="D30" s="409"/>
      <c r="E30" s="409"/>
      <c r="F30" s="409"/>
      <c r="G30" s="409"/>
      <c r="H30" s="409"/>
      <c r="I30" s="409"/>
      <c r="J30" s="409"/>
      <c r="K30" s="409"/>
      <c r="L30" s="196"/>
      <c r="M30" s="196"/>
      <c r="N30" s="10"/>
    </row>
    <row r="31" spans="1:15" s="9" customFormat="1" ht="10.5" customHeight="1">
      <c r="A31" s="9" t="s">
        <v>370</v>
      </c>
      <c r="B31" s="10"/>
      <c r="C31" s="10"/>
      <c r="D31" s="10"/>
      <c r="E31" s="10"/>
      <c r="F31" s="10"/>
      <c r="G31" s="11"/>
      <c r="H31" s="10"/>
      <c r="I31" s="10"/>
      <c r="J31" s="10"/>
      <c r="K31" s="10"/>
      <c r="L31" s="12"/>
      <c r="M31" s="12"/>
      <c r="N31" s="10"/>
    </row>
    <row r="32" spans="1:15">
      <c r="G32" s="6"/>
      <c r="K32" s="5"/>
      <c r="L32" s="1"/>
      <c r="M32" s="1"/>
    </row>
    <row r="33" spans="7:13">
      <c r="G33" s="6"/>
      <c r="K33" s="5"/>
      <c r="L33" s="1"/>
      <c r="M33" s="1"/>
    </row>
    <row r="34" spans="7:13">
      <c r="G34" s="6"/>
      <c r="K34" s="5"/>
      <c r="L34" s="1"/>
      <c r="M34" s="1"/>
    </row>
    <row r="35" spans="7:13">
      <c r="G35" s="6"/>
      <c r="K35" s="5"/>
      <c r="L35" s="1"/>
      <c r="M35" s="1"/>
    </row>
    <row r="36" spans="7:13">
      <c r="M36" s="12"/>
    </row>
    <row r="37" spans="7:13">
      <c r="M37" s="12"/>
    </row>
    <row r="38" spans="7:13">
      <c r="M38" s="12"/>
    </row>
    <row r="39" spans="7:13">
      <c r="M39" s="12"/>
    </row>
  </sheetData>
  <mergeCells count="3">
    <mergeCell ref="A30:K30"/>
    <mergeCell ref="A2:N2"/>
    <mergeCell ref="A1:N1"/>
  </mergeCells>
  <phoneticPr fontId="7" type="noConversion"/>
  <printOptions horizontalCentered="1"/>
  <pageMargins left="0.25" right="0.25" top="0.5" bottom="0.5" header="0.5" footer="0.5"/>
  <pageSetup scale="91" orientation="landscape" r:id="rId1"/>
  <headerFooter alignWithMargins="0"/>
</worksheet>
</file>

<file path=xl/worksheets/sheet19.xml><?xml version="1.0" encoding="utf-8"?>
<worksheet xmlns="http://schemas.openxmlformats.org/spreadsheetml/2006/main" xmlns:r="http://schemas.openxmlformats.org/officeDocument/2006/relationships">
  <sheetPr>
    <pageSetUpPr fitToPage="1"/>
  </sheetPr>
  <dimension ref="A1:P44"/>
  <sheetViews>
    <sheetView zoomScaleNormal="100" workbookViewId="0">
      <pane xSplit="1" ySplit="3" topLeftCell="B4" activePane="bottomRight" state="frozen"/>
      <selection sqref="A1:P1"/>
      <selection pane="topRight" sqref="A1:P1"/>
      <selection pane="bottomLeft" sqref="A1:P1"/>
      <selection pane="bottomRight" activeCell="D9" sqref="D9"/>
    </sheetView>
  </sheetViews>
  <sheetFormatPr defaultRowHeight="11.25"/>
  <cols>
    <col min="1" max="1" width="34.85546875" style="1" customWidth="1"/>
    <col min="2" max="2" width="9" style="5" bestFit="1" customWidth="1"/>
    <col min="3" max="3" width="8.28515625" style="5" bestFit="1" customWidth="1"/>
    <col min="4" max="4" width="9.7109375" style="5" customWidth="1"/>
    <col min="5" max="5" width="8.7109375" style="5" bestFit="1" customWidth="1"/>
    <col min="6" max="6" width="8.85546875" style="5" bestFit="1" customWidth="1"/>
    <col min="7" max="7" width="9" style="5" customWidth="1"/>
    <col min="8" max="8" width="9.28515625" style="6" customWidth="1"/>
    <col min="9" max="9" width="7.7109375" style="6" customWidth="1"/>
    <col min="10" max="10" width="9.5703125" style="6" customWidth="1"/>
    <col min="11" max="11" width="11.85546875" style="6" bestFit="1" customWidth="1"/>
    <col min="12" max="12" width="10.85546875" style="6" bestFit="1" customWidth="1"/>
    <col min="13" max="13" width="8.85546875" style="5" customWidth="1"/>
    <col min="14" max="14" width="2.5703125" style="1" bestFit="1" customWidth="1"/>
    <col min="15" max="15" width="10.140625" style="1" customWidth="1"/>
    <col min="16" max="16" width="4.42578125" style="1" customWidth="1"/>
    <col min="17" max="17" width="9.140625" style="1" customWidth="1"/>
    <col min="18" max="16384" width="9.140625" style="1"/>
  </cols>
  <sheetData>
    <row r="1" spans="1:16">
      <c r="A1" s="407" t="s">
        <v>75</v>
      </c>
      <c r="B1" s="407"/>
      <c r="C1" s="407"/>
      <c r="D1" s="407"/>
      <c r="E1" s="407"/>
      <c r="F1" s="407"/>
      <c r="G1" s="407"/>
      <c r="H1" s="407"/>
      <c r="I1" s="407"/>
      <c r="J1" s="407"/>
      <c r="K1" s="407"/>
      <c r="L1" s="407"/>
      <c r="M1" s="407"/>
      <c r="N1" s="407"/>
      <c r="O1" s="207"/>
      <c r="P1" s="207"/>
    </row>
    <row r="2" spans="1:16" ht="12" thickBot="1">
      <c r="A2" s="408" t="s">
        <v>332</v>
      </c>
      <c r="B2" s="408"/>
      <c r="C2" s="408"/>
      <c r="D2" s="408"/>
      <c r="E2" s="408"/>
      <c r="F2" s="408"/>
      <c r="G2" s="408"/>
      <c r="H2" s="408"/>
      <c r="I2" s="408"/>
      <c r="J2" s="408"/>
      <c r="K2" s="408"/>
      <c r="L2" s="408"/>
      <c r="M2" s="408"/>
      <c r="N2" s="408"/>
      <c r="O2" s="209"/>
      <c r="P2" s="209"/>
    </row>
    <row r="3" spans="1:16" s="3" customFormat="1" ht="54.75" thickBot="1">
      <c r="A3" s="212" t="s">
        <v>229</v>
      </c>
      <c r="B3" s="144" t="s">
        <v>230</v>
      </c>
      <c r="C3" s="144" t="s">
        <v>355</v>
      </c>
      <c r="D3" s="144" t="s">
        <v>356</v>
      </c>
      <c r="E3" s="129" t="s">
        <v>357</v>
      </c>
      <c r="F3" s="144" t="s">
        <v>358</v>
      </c>
      <c r="G3" s="145" t="s">
        <v>359</v>
      </c>
      <c r="H3" s="146" t="s">
        <v>360</v>
      </c>
      <c r="I3" s="146" t="s">
        <v>361</v>
      </c>
      <c r="J3" s="146" t="s">
        <v>362</v>
      </c>
      <c r="K3" s="144" t="s">
        <v>363</v>
      </c>
      <c r="L3" s="146" t="s">
        <v>364</v>
      </c>
      <c r="M3" s="146" t="s">
        <v>365</v>
      </c>
      <c r="N3" s="147" t="s">
        <v>231</v>
      </c>
    </row>
    <row r="4" spans="1:16" s="4" customFormat="1" ht="9">
      <c r="A4" s="234" t="s">
        <v>237</v>
      </c>
      <c r="B4" s="235" t="s">
        <v>264</v>
      </c>
      <c r="C4" s="236"/>
      <c r="D4" s="236"/>
      <c r="E4" s="235"/>
      <c r="F4" s="235"/>
      <c r="G4" s="237"/>
      <c r="H4" s="237"/>
      <c r="I4" s="237"/>
      <c r="J4" s="237"/>
      <c r="K4" s="236"/>
      <c r="L4" s="236"/>
      <c r="M4" s="236"/>
      <c r="N4" s="229"/>
    </row>
    <row r="5" spans="1:16" s="4" customFormat="1" ht="9">
      <c r="A5" s="121" t="s">
        <v>238</v>
      </c>
      <c r="B5" s="28" t="s">
        <v>264</v>
      </c>
      <c r="C5" s="32"/>
      <c r="D5" s="32"/>
      <c r="E5" s="28"/>
      <c r="F5" s="28"/>
      <c r="G5" s="43"/>
      <c r="H5" s="43"/>
      <c r="I5" s="43"/>
      <c r="J5" s="43"/>
      <c r="K5" s="32"/>
      <c r="L5" s="32"/>
      <c r="M5" s="32"/>
      <c r="N5" s="122"/>
    </row>
    <row r="6" spans="1:16" s="4" customFormat="1" ht="9">
      <c r="A6" s="121" t="s">
        <v>239</v>
      </c>
      <c r="B6" s="28"/>
      <c r="C6" s="32"/>
      <c r="D6" s="32"/>
      <c r="E6" s="28"/>
      <c r="F6" s="28"/>
      <c r="G6" s="43"/>
      <c r="H6" s="43"/>
      <c r="I6" s="43"/>
      <c r="J6" s="43"/>
      <c r="K6" s="32"/>
      <c r="L6" s="32"/>
      <c r="M6" s="32"/>
      <c r="N6" s="122"/>
    </row>
    <row r="7" spans="1:16" s="4" customFormat="1" ht="9">
      <c r="A7" s="123" t="s">
        <v>240</v>
      </c>
      <c r="B7" s="28">
        <v>40</v>
      </c>
      <c r="C7" s="32">
        <v>0</v>
      </c>
      <c r="D7" s="32">
        <v>0</v>
      </c>
      <c r="E7" s="28">
        <v>1</v>
      </c>
      <c r="F7" s="28">
        <f>B7*E7</f>
        <v>40</v>
      </c>
      <c r="G7" s="42">
        <v>0</v>
      </c>
      <c r="H7" s="43">
        <f>F7*G7</f>
        <v>0</v>
      </c>
      <c r="I7" s="43">
        <f>H7*0.1</f>
        <v>0</v>
      </c>
      <c r="J7" s="42">
        <f>H7*0.05</f>
        <v>0</v>
      </c>
      <c r="K7" s="32">
        <f>(H7*'Base Data'!$C$5)+(I7*'Base Data'!$C$6)+(J7*'Base Data'!$C$7)</f>
        <v>0</v>
      </c>
      <c r="L7" s="32">
        <v>0</v>
      </c>
      <c r="M7" s="43">
        <v>0</v>
      </c>
      <c r="N7" s="122" t="s">
        <v>214</v>
      </c>
    </row>
    <row r="8" spans="1:16" s="4" customFormat="1" ht="9">
      <c r="A8" s="123" t="s">
        <v>241</v>
      </c>
      <c r="B8" s="28"/>
      <c r="C8" s="32"/>
      <c r="D8" s="32"/>
      <c r="E8" s="28"/>
      <c r="F8" s="28"/>
      <c r="G8" s="43"/>
      <c r="H8" s="43"/>
      <c r="I8" s="43"/>
      <c r="J8" s="43"/>
      <c r="K8" s="32"/>
      <c r="L8" s="32"/>
      <c r="M8" s="32"/>
      <c r="N8" s="122"/>
    </row>
    <row r="9" spans="1:16" s="4" customFormat="1" ht="9">
      <c r="A9" s="123" t="s">
        <v>354</v>
      </c>
      <c r="B9" s="28">
        <v>12</v>
      </c>
      <c r="C9" s="32">
        <v>2228</v>
      </c>
      <c r="D9" s="32">
        <v>0</v>
      </c>
      <c r="E9" s="28">
        <v>0.5</v>
      </c>
      <c r="F9" s="28">
        <f>B9*E9</f>
        <v>6</v>
      </c>
      <c r="G9" s="42">
        <f>ROUND(SUM('Base Data'!$D$15,'Base Data'!$D$18)/2,0)-1</f>
        <v>5314</v>
      </c>
      <c r="H9" s="43">
        <f>F9*G9</f>
        <v>31884</v>
      </c>
      <c r="I9" s="43">
        <f>H9*0.1</f>
        <v>3188.4</v>
      </c>
      <c r="J9" s="43">
        <f>H9*0.05</f>
        <v>1594.2</v>
      </c>
      <c r="K9" s="32">
        <f>(H9*'Base Data'!$C$5)+(I9*'Base Data'!$C$6)+(J9*'Base Data'!$C$7)</f>
        <v>3468261.8100000005</v>
      </c>
      <c r="L9" s="32">
        <f>C9*E9*G9</f>
        <v>5919796</v>
      </c>
      <c r="M9" s="43">
        <v>0</v>
      </c>
      <c r="N9" s="122" t="s">
        <v>97</v>
      </c>
    </row>
    <row r="10" spans="1:16" s="4" customFormat="1" ht="9">
      <c r="A10" s="123" t="s">
        <v>245</v>
      </c>
      <c r="B10" s="28" t="s">
        <v>264</v>
      </c>
      <c r="C10" s="32"/>
      <c r="D10" s="32"/>
      <c r="E10" s="28"/>
      <c r="F10" s="28"/>
      <c r="G10" s="43"/>
      <c r="H10" s="43"/>
      <c r="I10" s="43"/>
      <c r="J10" s="43"/>
      <c r="K10" s="32"/>
      <c r="L10" s="32"/>
      <c r="M10" s="32"/>
      <c r="N10" s="122"/>
    </row>
    <row r="11" spans="1:16" s="4" customFormat="1" ht="9">
      <c r="A11" s="123" t="s">
        <v>246</v>
      </c>
      <c r="B11" s="28" t="s">
        <v>264</v>
      </c>
      <c r="C11" s="32"/>
      <c r="D11" s="32"/>
      <c r="E11" s="28"/>
      <c r="F11" s="28"/>
      <c r="G11" s="43"/>
      <c r="H11" s="43"/>
      <c r="I11" s="43"/>
      <c r="J11" s="43"/>
      <c r="K11" s="32"/>
      <c r="L11" s="32"/>
      <c r="M11" s="32"/>
      <c r="N11" s="122"/>
      <c r="O11" s="46"/>
    </row>
    <row r="12" spans="1:16" s="4" customFormat="1" ht="9">
      <c r="A12" s="123" t="s">
        <v>247</v>
      </c>
      <c r="B12" s="28"/>
      <c r="C12" s="32"/>
      <c r="D12" s="32"/>
      <c r="E12" s="28"/>
      <c r="F12" s="28"/>
      <c r="G12" s="42"/>
      <c r="H12" s="43"/>
      <c r="I12" s="43"/>
      <c r="J12" s="43"/>
      <c r="K12" s="32"/>
      <c r="L12" s="32"/>
      <c r="M12" s="43"/>
      <c r="N12" s="122"/>
      <c r="O12" s="46"/>
    </row>
    <row r="13" spans="1:16" s="4" customFormat="1" ht="9" customHeight="1">
      <c r="A13" s="124" t="s">
        <v>266</v>
      </c>
      <c r="B13" s="28">
        <v>2</v>
      </c>
      <c r="C13" s="32">
        <v>0</v>
      </c>
      <c r="D13" s="32">
        <v>0</v>
      </c>
      <c r="E13" s="28">
        <v>1</v>
      </c>
      <c r="F13" s="28">
        <f>B13*E13</f>
        <v>2</v>
      </c>
      <c r="G13" s="42">
        <v>0</v>
      </c>
      <c r="H13" s="43">
        <f>F13*G13</f>
        <v>0</v>
      </c>
      <c r="I13" s="43">
        <f>H13*0.1</f>
        <v>0</v>
      </c>
      <c r="J13" s="43">
        <f>H13*0.05</f>
        <v>0</v>
      </c>
      <c r="K13" s="32">
        <f>(H13*'Base Data'!$C$5)+(I13*'Base Data'!$C$6)+(J13*'Base Data'!$C$7)</f>
        <v>0</v>
      </c>
      <c r="L13" s="32">
        <v>0</v>
      </c>
      <c r="M13" s="43">
        <f>E13*G13</f>
        <v>0</v>
      </c>
      <c r="N13" s="122" t="s">
        <v>214</v>
      </c>
      <c r="O13" s="46"/>
    </row>
    <row r="14" spans="1:16" s="4" customFormat="1" ht="9">
      <c r="A14" s="124" t="s">
        <v>208</v>
      </c>
      <c r="B14" s="28">
        <v>8</v>
      </c>
      <c r="C14" s="32">
        <v>0</v>
      </c>
      <c r="D14" s="361">
        <v>0</v>
      </c>
      <c r="E14" s="28">
        <v>1</v>
      </c>
      <c r="F14" s="28">
        <f>B14*E14</f>
        <v>8</v>
      </c>
      <c r="G14" s="42">
        <f>'Base Data'!$H$15+'Base Data'!$H$18</f>
        <v>5314</v>
      </c>
      <c r="H14" s="43">
        <f>F14*G14</f>
        <v>42512</v>
      </c>
      <c r="I14" s="43">
        <f>H14*0.1</f>
        <v>4251.2</v>
      </c>
      <c r="J14" s="43">
        <f>H14*0.05</f>
        <v>2125.6</v>
      </c>
      <c r="K14" s="32">
        <f>(H14*'Base Data'!$C$5)+(I14*'Base Data'!$C$6)+(J14*'Base Data'!$C$7)</f>
        <v>4624349.08</v>
      </c>
      <c r="L14" s="32">
        <v>0</v>
      </c>
      <c r="M14" s="43">
        <f>E14*G14</f>
        <v>5314</v>
      </c>
      <c r="N14" s="122" t="s">
        <v>97</v>
      </c>
      <c r="O14" s="46"/>
    </row>
    <row r="15" spans="1:16" s="4" customFormat="1" ht="9">
      <c r="A15" s="124" t="s">
        <v>148</v>
      </c>
      <c r="B15" s="28">
        <v>5</v>
      </c>
      <c r="C15" s="362">
        <v>0</v>
      </c>
      <c r="D15" s="32">
        <v>0</v>
      </c>
      <c r="E15" s="363">
        <v>0.5</v>
      </c>
      <c r="F15" s="28">
        <f>B15*E15</f>
        <v>2.5</v>
      </c>
      <c r="G15" s="42">
        <f>'Base Data'!$H$15+'Base Data'!$H$18</f>
        <v>5314</v>
      </c>
      <c r="H15" s="43">
        <f>F15*G15</f>
        <v>13285</v>
      </c>
      <c r="I15" s="43">
        <f>H15*0.1</f>
        <v>1328.5</v>
      </c>
      <c r="J15" s="43">
        <f>H15*0.05</f>
        <v>664.25</v>
      </c>
      <c r="K15" s="32">
        <f>(H15*'Base Data'!$C$5)+(I15*'Base Data'!$C$6)+(J15*'Base Data'!$C$7)</f>
        <v>1445109.0874999999</v>
      </c>
      <c r="L15" s="32">
        <v>0</v>
      </c>
      <c r="M15" s="43">
        <f>E15*G15</f>
        <v>2657</v>
      </c>
      <c r="N15" s="122" t="s">
        <v>97</v>
      </c>
      <c r="O15" s="46"/>
    </row>
    <row r="16" spans="1:16" s="4" customFormat="1" ht="9">
      <c r="A16" s="126" t="s">
        <v>24</v>
      </c>
      <c r="B16" s="28"/>
      <c r="C16" s="32"/>
      <c r="D16" s="364"/>
      <c r="E16" s="28"/>
      <c r="F16" s="28"/>
      <c r="G16" s="42"/>
      <c r="H16" s="43">
        <f>SUM(H7:H15)</f>
        <v>87681</v>
      </c>
      <c r="I16" s="43">
        <f t="shared" ref="I16:L16" si="0">SUM(I7:I15)</f>
        <v>8768.1</v>
      </c>
      <c r="J16" s="43">
        <f t="shared" si="0"/>
        <v>4384.05</v>
      </c>
      <c r="K16" s="32">
        <f t="shared" si="0"/>
        <v>9537719.977500001</v>
      </c>
      <c r="L16" s="32">
        <f t="shared" si="0"/>
        <v>5919796</v>
      </c>
      <c r="M16" s="43">
        <f>SUM(M12:M15)</f>
        <v>7971</v>
      </c>
      <c r="N16" s="122"/>
      <c r="O16" s="46"/>
    </row>
    <row r="17" spans="1:15" s="4" customFormat="1" ht="9">
      <c r="A17" s="121" t="s">
        <v>261</v>
      </c>
      <c r="B17" s="28"/>
      <c r="C17" s="32"/>
      <c r="D17" s="32"/>
      <c r="E17" s="28"/>
      <c r="F17" s="28"/>
      <c r="G17" s="43"/>
      <c r="H17" s="43"/>
      <c r="I17" s="43"/>
      <c r="J17" s="43"/>
      <c r="K17" s="32"/>
      <c r="L17" s="32"/>
      <c r="M17" s="32"/>
      <c r="N17" s="122"/>
      <c r="O17" s="46"/>
    </row>
    <row r="18" spans="1:15" s="4" customFormat="1" ht="9">
      <c r="A18" s="121" t="s">
        <v>248</v>
      </c>
      <c r="B18" s="28" t="s">
        <v>252</v>
      </c>
      <c r="C18" s="32"/>
      <c r="D18" s="32"/>
      <c r="E18" s="28"/>
      <c r="F18" s="28"/>
      <c r="G18" s="43"/>
      <c r="H18" s="43"/>
      <c r="I18" s="43"/>
      <c r="J18" s="43"/>
      <c r="K18" s="32"/>
      <c r="L18" s="32"/>
      <c r="M18" s="32"/>
      <c r="N18" s="122"/>
      <c r="O18" s="46"/>
    </row>
    <row r="19" spans="1:15" s="4" customFormat="1" ht="9">
      <c r="A19" s="121" t="s">
        <v>249</v>
      </c>
      <c r="B19" s="28" t="s">
        <v>264</v>
      </c>
      <c r="C19" s="32"/>
      <c r="D19" s="32"/>
      <c r="E19" s="28"/>
      <c r="F19" s="28"/>
      <c r="G19" s="43"/>
      <c r="H19" s="43"/>
      <c r="I19" s="43"/>
      <c r="J19" s="43"/>
      <c r="K19" s="32"/>
      <c r="L19" s="32"/>
      <c r="M19" s="32"/>
      <c r="N19" s="122"/>
      <c r="O19" s="46"/>
    </row>
    <row r="20" spans="1:15" s="4" customFormat="1" ht="9">
      <c r="A20" s="121" t="s">
        <v>250</v>
      </c>
      <c r="B20" s="28" t="s">
        <v>264</v>
      </c>
      <c r="C20" s="32"/>
      <c r="D20" s="32"/>
      <c r="E20" s="28"/>
      <c r="F20" s="28"/>
      <c r="G20" s="43"/>
      <c r="H20" s="43"/>
      <c r="I20" s="43"/>
      <c r="J20" s="43"/>
      <c r="K20" s="32"/>
      <c r="L20" s="32"/>
      <c r="M20" s="32"/>
      <c r="N20" s="122" t="s">
        <v>215</v>
      </c>
      <c r="O20" s="46"/>
    </row>
    <row r="21" spans="1:15" s="4" customFormat="1" ht="9">
      <c r="A21" s="121" t="s">
        <v>251</v>
      </c>
      <c r="B21" s="28"/>
      <c r="C21" s="32"/>
      <c r="D21" s="32"/>
      <c r="E21" s="28"/>
      <c r="F21" s="28"/>
      <c r="G21" s="43"/>
      <c r="H21" s="43"/>
      <c r="I21" s="43"/>
      <c r="J21" s="43"/>
      <c r="K21" s="32"/>
      <c r="L21" s="32"/>
      <c r="M21" s="32"/>
      <c r="N21" s="122"/>
      <c r="O21" s="46"/>
    </row>
    <row r="22" spans="1:15" s="4" customFormat="1" ht="9">
      <c r="A22" s="124" t="s">
        <v>323</v>
      </c>
      <c r="B22" s="28">
        <v>2</v>
      </c>
      <c r="C22" s="32">
        <v>0</v>
      </c>
      <c r="D22" s="32">
        <v>0</v>
      </c>
      <c r="E22" s="28">
        <v>1</v>
      </c>
      <c r="F22" s="28">
        <f>B22*E22</f>
        <v>2</v>
      </c>
      <c r="G22" s="42">
        <f>'Base Data'!$D$15+'Base Data'!$D$18</f>
        <v>10629</v>
      </c>
      <c r="H22" s="42">
        <f>F22*G22</f>
        <v>21258</v>
      </c>
      <c r="I22" s="42">
        <f>H22*0.1</f>
        <v>2125.8000000000002</v>
      </c>
      <c r="J22" s="42">
        <f>H22*0.05</f>
        <v>1062.9000000000001</v>
      </c>
      <c r="K22" s="32">
        <f>(H22*'Base Data'!$C$5)+(I22*'Base Data'!$C$6)+(J22*'Base Data'!$C$7)</f>
        <v>2312392.0950000002</v>
      </c>
      <c r="L22" s="32">
        <v>0</v>
      </c>
      <c r="M22" s="43">
        <v>0</v>
      </c>
      <c r="N22" s="122" t="s">
        <v>97</v>
      </c>
    </row>
    <row r="23" spans="1:15" s="4" customFormat="1" ht="9">
      <c r="A23" s="124" t="s">
        <v>322</v>
      </c>
      <c r="B23" s="28">
        <v>0.5</v>
      </c>
      <c r="C23" s="32">
        <v>0</v>
      </c>
      <c r="D23" s="32">
        <v>0</v>
      </c>
      <c r="E23" s="28">
        <v>0.5</v>
      </c>
      <c r="F23" s="28">
        <f>B23*E23</f>
        <v>0.25</v>
      </c>
      <c r="G23" s="42">
        <f>'Base Data'!$D$15+'Base Data'!$D$18</f>
        <v>10629</v>
      </c>
      <c r="H23" s="42">
        <f>F23*G23</f>
        <v>2657.25</v>
      </c>
      <c r="I23" s="42">
        <f>H23*0.1</f>
        <v>265.72500000000002</v>
      </c>
      <c r="J23" s="42">
        <f>H23*0.05</f>
        <v>132.86250000000001</v>
      </c>
      <c r="K23" s="32">
        <f>(H23*'Base Data'!$C$5)+(I23*'Base Data'!$C$6)+(J23*'Base Data'!$C$7)</f>
        <v>289049.01187500003</v>
      </c>
      <c r="L23" s="32">
        <v>0</v>
      </c>
      <c r="M23" s="43">
        <v>0</v>
      </c>
      <c r="N23" s="122" t="s">
        <v>97</v>
      </c>
    </row>
    <row r="24" spans="1:15" s="4" customFormat="1" ht="9">
      <c r="A24" s="121" t="s">
        <v>255</v>
      </c>
      <c r="B24" s="28" t="s">
        <v>264</v>
      </c>
      <c r="C24" s="32"/>
      <c r="D24" s="32"/>
      <c r="E24" s="28"/>
      <c r="F24" s="28"/>
      <c r="G24" s="42"/>
      <c r="H24" s="43"/>
      <c r="I24" s="43"/>
      <c r="J24" s="43"/>
      <c r="K24" s="32"/>
      <c r="L24" s="32"/>
      <c r="M24" s="32"/>
      <c r="N24" s="122"/>
      <c r="O24" s="46"/>
    </row>
    <row r="25" spans="1:15" s="4" customFormat="1" ht="9">
      <c r="A25" s="121" t="s">
        <v>256</v>
      </c>
      <c r="B25" s="28" t="s">
        <v>264</v>
      </c>
      <c r="C25" s="32"/>
      <c r="D25" s="32"/>
      <c r="E25" s="28"/>
      <c r="F25" s="28"/>
      <c r="G25" s="43"/>
      <c r="H25" s="43"/>
      <c r="I25" s="43"/>
      <c r="J25" s="43"/>
      <c r="K25" s="32"/>
      <c r="L25" s="32"/>
      <c r="M25" s="32"/>
      <c r="N25" s="122"/>
    </row>
    <row r="26" spans="1:15" s="4" customFormat="1" ht="9.75" thickBot="1">
      <c r="A26" s="230" t="s">
        <v>26</v>
      </c>
      <c r="B26" s="231"/>
      <c r="C26" s="139"/>
      <c r="D26" s="139"/>
      <c r="E26" s="231"/>
      <c r="F26" s="231"/>
      <c r="G26" s="138"/>
      <c r="H26" s="138">
        <f>SUM(H22:H23)</f>
        <v>23915.25</v>
      </c>
      <c r="I26" s="138">
        <f t="shared" ref="I26:L26" si="1">SUM(I22:I23)</f>
        <v>2391.5250000000001</v>
      </c>
      <c r="J26" s="138">
        <f t="shared" si="1"/>
        <v>1195.7625</v>
      </c>
      <c r="K26" s="138">
        <f t="shared" si="1"/>
        <v>2601441.1068750001</v>
      </c>
      <c r="L26" s="138">
        <f t="shared" si="1"/>
        <v>0</v>
      </c>
      <c r="M26" s="138">
        <f>SUM(M22:M23)</f>
        <v>0</v>
      </c>
      <c r="N26" s="232"/>
    </row>
    <row r="27" spans="1:15" s="2" customFormat="1" ht="12" thickBot="1">
      <c r="A27" s="131" t="s">
        <v>236</v>
      </c>
      <c r="B27" s="132"/>
      <c r="C27" s="132"/>
      <c r="D27" s="133"/>
      <c r="E27" s="132"/>
      <c r="F27" s="132"/>
      <c r="G27" s="134"/>
      <c r="H27" s="135">
        <f>H16+H26</f>
        <v>111596.25</v>
      </c>
      <c r="I27" s="135">
        <f t="shared" ref="I27:M27" si="2">I16+I26</f>
        <v>11159.625</v>
      </c>
      <c r="J27" s="135">
        <f t="shared" si="2"/>
        <v>5579.8125</v>
      </c>
      <c r="K27" s="136">
        <f t="shared" si="2"/>
        <v>12139161.084375001</v>
      </c>
      <c r="L27" s="136">
        <f t="shared" si="2"/>
        <v>5919796</v>
      </c>
      <c r="M27" s="135">
        <f t="shared" si="2"/>
        <v>7971</v>
      </c>
      <c r="N27" s="137"/>
    </row>
    <row r="28" spans="1:15" ht="6" customHeight="1">
      <c r="A28" s="73"/>
      <c r="B28" s="34"/>
      <c r="C28" s="34"/>
      <c r="D28" s="34"/>
      <c r="E28" s="34"/>
      <c r="F28" s="34"/>
      <c r="G28" s="35"/>
      <c r="H28" s="34"/>
      <c r="I28" s="34"/>
      <c r="J28" s="34"/>
      <c r="K28" s="34"/>
      <c r="L28" s="355"/>
      <c r="M28" s="372"/>
      <c r="N28" s="34"/>
    </row>
    <row r="29" spans="1:15" s="4" customFormat="1" ht="7.5" customHeight="1">
      <c r="A29" s="33" t="s">
        <v>219</v>
      </c>
      <c r="B29" s="36"/>
      <c r="C29" s="36"/>
      <c r="D29" s="36"/>
      <c r="E29" s="36"/>
      <c r="F29" s="37"/>
      <c r="G29" s="36"/>
      <c r="H29" s="36"/>
      <c r="I29" s="36"/>
      <c r="J29" s="36"/>
      <c r="K29" s="36"/>
      <c r="L29" s="356"/>
      <c r="M29" s="356"/>
      <c r="N29" s="36"/>
    </row>
    <row r="30" spans="1:15" s="9" customFormat="1" ht="29.25" customHeight="1">
      <c r="A30" s="404" t="s">
        <v>373</v>
      </c>
      <c r="B30" s="404"/>
      <c r="C30" s="404"/>
      <c r="D30" s="404"/>
      <c r="E30" s="404"/>
      <c r="F30" s="404"/>
      <c r="G30" s="404"/>
      <c r="H30" s="404"/>
      <c r="I30" s="404"/>
      <c r="J30" s="404"/>
      <c r="K30" s="404"/>
      <c r="L30" s="357"/>
      <c r="M30" s="357"/>
      <c r="N30" s="36"/>
    </row>
    <row r="31" spans="1:15" s="9" customFormat="1" ht="10.5" customHeight="1">
      <c r="A31" s="9" t="s">
        <v>370</v>
      </c>
      <c r="B31" s="10"/>
      <c r="C31" s="10"/>
      <c r="D31" s="10"/>
      <c r="E31" s="10"/>
      <c r="F31" s="10"/>
      <c r="G31" s="11"/>
      <c r="H31" s="10"/>
      <c r="I31" s="10"/>
      <c r="J31" s="10"/>
      <c r="K31" s="10"/>
      <c r="L31" s="12"/>
      <c r="M31" s="12"/>
      <c r="N31" s="10"/>
    </row>
    <row r="32" spans="1:15">
      <c r="G32" s="6"/>
      <c r="K32" s="5"/>
      <c r="L32" s="1"/>
      <c r="M32" s="1"/>
    </row>
    <row r="33" spans="1:14">
      <c r="G33" s="6"/>
      <c r="K33" s="5"/>
      <c r="L33" s="1"/>
      <c r="M33" s="1"/>
    </row>
    <row r="34" spans="1:14">
      <c r="G34" s="6"/>
      <c r="K34" s="5"/>
      <c r="L34" s="1"/>
      <c r="M34" s="1"/>
    </row>
    <row r="35" spans="1:14">
      <c r="G35" s="6"/>
      <c r="K35" s="5"/>
      <c r="L35" s="1"/>
      <c r="M35" s="1"/>
    </row>
    <row r="36" spans="1:14" s="9" customFormat="1">
      <c r="B36" s="10"/>
      <c r="C36" s="10"/>
      <c r="D36" s="10"/>
      <c r="E36" s="10"/>
      <c r="F36" s="10"/>
      <c r="G36" s="11"/>
      <c r="H36" s="10"/>
      <c r="I36" s="10"/>
      <c r="J36" s="10"/>
      <c r="K36" s="10"/>
      <c r="L36" s="12"/>
      <c r="M36" s="12"/>
      <c r="N36" s="1"/>
    </row>
    <row r="37" spans="1:14" s="9" customFormat="1">
      <c r="B37" s="10"/>
      <c r="C37" s="10"/>
      <c r="D37" s="10"/>
      <c r="E37" s="10"/>
      <c r="F37" s="11"/>
      <c r="G37" s="10"/>
      <c r="H37" s="10"/>
      <c r="I37" s="10"/>
      <c r="J37" s="10"/>
      <c r="K37" s="10"/>
      <c r="L37" s="12"/>
      <c r="M37" s="12"/>
      <c r="N37" s="1"/>
    </row>
    <row r="38" spans="1:14" s="9" customFormat="1">
      <c r="A38" s="33"/>
      <c r="B38" s="10"/>
      <c r="C38" s="10"/>
      <c r="D38" s="10"/>
      <c r="E38" s="10"/>
      <c r="F38" s="10"/>
      <c r="G38" s="11"/>
      <c r="H38" s="10"/>
      <c r="I38" s="10"/>
      <c r="J38" s="10"/>
      <c r="K38" s="10"/>
      <c r="L38" s="12"/>
      <c r="M38" s="12"/>
      <c r="N38" s="1"/>
    </row>
    <row r="39" spans="1:14" s="9" customFormat="1">
      <c r="B39" s="10"/>
      <c r="C39" s="10"/>
      <c r="D39" s="10"/>
      <c r="E39" s="10"/>
      <c r="F39" s="10"/>
      <c r="G39" s="11"/>
      <c r="H39" s="10"/>
      <c r="I39" s="10"/>
      <c r="J39" s="10"/>
      <c r="K39" s="10"/>
      <c r="L39" s="12"/>
      <c r="M39" s="12"/>
      <c r="N39" s="1"/>
    </row>
    <row r="40" spans="1:14" s="9" customFormat="1">
      <c r="B40" s="10"/>
      <c r="C40" s="10"/>
      <c r="D40" s="10"/>
      <c r="E40" s="10"/>
      <c r="F40" s="10"/>
      <c r="G40" s="11"/>
      <c r="H40" s="10"/>
      <c r="I40" s="10"/>
      <c r="J40" s="10"/>
      <c r="K40" s="10"/>
      <c r="L40" s="12"/>
      <c r="M40" s="12"/>
      <c r="N40" s="1"/>
    </row>
    <row r="41" spans="1:14" s="9" customFormat="1">
      <c r="B41" s="10"/>
      <c r="C41" s="10"/>
      <c r="D41" s="10"/>
      <c r="E41" s="10"/>
      <c r="F41" s="10"/>
      <c r="G41" s="11"/>
      <c r="H41" s="10"/>
      <c r="I41" s="10"/>
      <c r="J41" s="10"/>
      <c r="K41" s="10"/>
      <c r="L41" s="12"/>
      <c r="M41" s="12"/>
      <c r="N41" s="1"/>
    </row>
    <row r="42" spans="1:14">
      <c r="M42" s="12"/>
    </row>
    <row r="43" spans="1:14">
      <c r="M43" s="12"/>
    </row>
    <row r="44" spans="1:14">
      <c r="M44" s="12"/>
    </row>
  </sheetData>
  <mergeCells count="3">
    <mergeCell ref="A30:K30"/>
    <mergeCell ref="A1:N1"/>
    <mergeCell ref="A2:N2"/>
  </mergeCells>
  <phoneticPr fontId="7" type="noConversion"/>
  <printOptions horizontalCentered="1"/>
  <pageMargins left="0.25" right="0.25" top="0.5" bottom="0.5" header="0.5" footer="0.5"/>
  <pageSetup scale="90" orientation="landscape" r:id="rId1"/>
  <headerFooter alignWithMargins="0"/>
</worksheet>
</file>

<file path=xl/worksheets/sheet2.xml><?xml version="1.0" encoding="utf-8"?>
<worksheet xmlns="http://schemas.openxmlformats.org/spreadsheetml/2006/main" xmlns:r="http://schemas.openxmlformats.org/officeDocument/2006/relationships">
  <dimension ref="A1:E11"/>
  <sheetViews>
    <sheetView workbookViewId="0">
      <selection activeCell="E11" sqref="A1:E11"/>
    </sheetView>
  </sheetViews>
  <sheetFormatPr defaultRowHeight="12.75"/>
  <cols>
    <col min="1" max="1" width="13.42578125" customWidth="1"/>
    <col min="2" max="3" width="16.5703125" customWidth="1"/>
    <col min="4" max="4" width="12.7109375" customWidth="1"/>
    <col min="5" max="5" width="17" customWidth="1"/>
  </cols>
  <sheetData>
    <row r="1" spans="1:5" ht="13.5" thickBot="1">
      <c r="A1" s="88" t="s">
        <v>165</v>
      </c>
      <c r="B1" s="89" t="s">
        <v>167</v>
      </c>
      <c r="C1" s="88" t="s">
        <v>168</v>
      </c>
      <c r="D1" s="88" t="s">
        <v>169</v>
      </c>
      <c r="E1" s="88" t="s">
        <v>181</v>
      </c>
    </row>
    <row r="2" spans="1:5" ht="63.75" customHeight="1" thickBot="1">
      <c r="A2" s="187" t="s">
        <v>166</v>
      </c>
      <c r="B2" s="188" t="s">
        <v>183</v>
      </c>
      <c r="C2" s="187" t="s">
        <v>178</v>
      </c>
      <c r="D2" s="187" t="s">
        <v>179</v>
      </c>
      <c r="E2" s="97" t="s">
        <v>180</v>
      </c>
    </row>
    <row r="3" spans="1:5" ht="25.5">
      <c r="A3" s="184" t="s">
        <v>170</v>
      </c>
      <c r="B3" s="185">
        <f>SUM('Base Data'!H16:H17,'Base Data'!H19)</f>
        <v>2020</v>
      </c>
      <c r="C3" s="291">
        <f>'Fac-ExistLrgSolid-Yr1'!O47+'Fac-ExistLrgSolid-Yr2'!O47+'Fac-ExistLrgSolid-Yr3'!O47</f>
        <v>20730258</v>
      </c>
      <c r="D3" s="291">
        <f>'Fac-ExistLrgSolid-Yr1'!O21+'Fac-ExistLrgSolid-Yr2'!O21+'Fac-ExistLrgSolid-Yr3'!O21</f>
        <v>2040000</v>
      </c>
      <c r="E3" s="186">
        <f>C3/3</f>
        <v>6910086</v>
      </c>
    </row>
    <row r="4" spans="1:5" ht="25.5">
      <c r="A4" s="90" t="s">
        <v>171</v>
      </c>
      <c r="B4" s="99">
        <f>SUM('Base Data'!H40:H41)</f>
        <v>30</v>
      </c>
      <c r="C4" s="292">
        <f>'Fac-NewLrgSolid-Yr1'!L46+'Fac-NewLrgSolid-Yr2'!L46+'Fac-NewLrgSolid-Yr3'!L46</f>
        <v>313700</v>
      </c>
      <c r="D4" s="292">
        <f>'Fac-NewLrgSolid-Yr1'!L20+'Fac-NewLrgSolid-Yr1'!L23+'Fac-NewLrgSolid-Yr2'!L20+'Fac-NewLrgSolid-Yr2'!L23+'Fac-NewLrgSolid-Yr3'!L20+'Fac-NewLrgSolid-Yr3'!L23</f>
        <v>474100</v>
      </c>
      <c r="E4" s="95">
        <f t="shared" ref="E4:E10" si="0">C4/3</f>
        <v>104566.66666666667</v>
      </c>
    </row>
    <row r="5" spans="1:5" ht="25.5">
      <c r="A5" s="90" t="s">
        <v>172</v>
      </c>
      <c r="B5" s="91">
        <f>SUM('Base Data'!H15,'Base Data'!H18)</f>
        <v>5314</v>
      </c>
      <c r="C5" s="292">
        <f>'Fac - ExistSmlSolid-Yr1'!L27+'Fac - ExistSmlSolid-Yr2'!L27+'Fac - ExistSmlSolid-Yr3'!L27</f>
        <v>11840706</v>
      </c>
      <c r="D5" s="292">
        <v>0</v>
      </c>
      <c r="E5" s="95">
        <f t="shared" si="0"/>
        <v>3946902</v>
      </c>
    </row>
    <row r="6" spans="1:5" ht="25.5">
      <c r="A6" s="90" t="s">
        <v>173</v>
      </c>
      <c r="B6" s="100">
        <f>SUM('Base Data'!H39,'Base Data'!H42)</f>
        <v>148</v>
      </c>
      <c r="C6" s="293">
        <f>'Fac-NewSmlSolid-Yr1'!L27+'Fac-NewSmlSolid-Yr2'!L27+'Fac-NewSmlSolid-Yr3'!L27</f>
        <v>657260</v>
      </c>
      <c r="D6" s="293">
        <v>0</v>
      </c>
      <c r="E6" s="95">
        <f t="shared" si="0"/>
        <v>219086.66666666666</v>
      </c>
    </row>
    <row r="7" spans="1:5" ht="29.25" customHeight="1">
      <c r="A7" s="90" t="s">
        <v>174</v>
      </c>
      <c r="B7" s="92">
        <f>SUM('Base Data'!H21:H22)</f>
        <v>4615</v>
      </c>
      <c r="C7" s="293">
        <f>'Fac-ExistLrgLiquid-Yr1'!M30+'Fac-ExistLrgLiquid-Yr2'!M30+'Fac-ExistLrgLiquid-Yr3'!M30</f>
        <v>37226089.5</v>
      </c>
      <c r="D7" s="293">
        <v>0</v>
      </c>
      <c r="E7" s="95">
        <f t="shared" si="0"/>
        <v>12408696.5</v>
      </c>
    </row>
    <row r="8" spans="1:5" ht="25.5">
      <c r="A8" s="90" t="s">
        <v>175</v>
      </c>
      <c r="B8" s="100">
        <f>SUM('Base Data'!H44)</f>
        <v>244</v>
      </c>
      <c r="C8" s="293">
        <f>'Fac-NewLrgLiquid-Yr1'!L40+'Fac-NewLrgLiquid-Yr2'!L40+'Fac-NewLrgLiquid-Yr3'!L40</f>
        <v>21622400</v>
      </c>
      <c r="D8" s="293">
        <f>'Fac-NewLrgLiquid-Yr1'!L14+'Fac-NewLrgLiquid-Yr1'!L17+'Fac-NewLrgLiquid-Yr2'!L14+'Fac-NewLrgLiquid-Yr2'!L17+'Fac-NewLrgLiquid-Yr3'!L14+'Fac-NewLrgLiquid-Yr3'!L17</f>
        <v>20154600</v>
      </c>
      <c r="E8" s="95">
        <f t="shared" si="0"/>
        <v>7207466.666666667</v>
      </c>
    </row>
    <row r="9" spans="1:5" ht="31.5" customHeight="1">
      <c r="A9" s="90" t="s">
        <v>176</v>
      </c>
      <c r="B9" s="92">
        <f>SUM('Base Data'!H20)</f>
        <v>79387</v>
      </c>
      <c r="C9" s="293">
        <f>'Fac - ExistSmlLiquid-Yr1'!L27+'Fac - ExistSmlLiquid-Yr2'!L27+'Fac - ExistSmlLiquid-Yr3'!L27</f>
        <v>353748472</v>
      </c>
      <c r="D9" s="293">
        <v>0</v>
      </c>
      <c r="E9" s="95">
        <f t="shared" si="0"/>
        <v>117916157.33333333</v>
      </c>
    </row>
    <row r="10" spans="1:5" ht="26.25" thickBot="1">
      <c r="A10" s="93" t="s">
        <v>177</v>
      </c>
      <c r="B10" s="94">
        <f>'Base Data'!H43</f>
        <v>2968</v>
      </c>
      <c r="C10" s="294">
        <f>'Fac-NewSmlLiquid-Yr1'!L27+'Fac-NewSmlLiquid-Yr2'!L27+'Fac-NewSmlLiquid-Yr3'!L27</f>
        <v>13227636</v>
      </c>
      <c r="D10" s="294">
        <v>0</v>
      </c>
      <c r="E10" s="96">
        <f t="shared" si="0"/>
        <v>4409212</v>
      </c>
    </row>
    <row r="11" spans="1:5" ht="13.5" thickBot="1">
      <c r="A11" s="97" t="s">
        <v>182</v>
      </c>
      <c r="B11" s="111">
        <f>SUM(B3:B10)</f>
        <v>94726</v>
      </c>
      <c r="C11" s="98">
        <f>SUM(C3:C10)</f>
        <v>459366521.5</v>
      </c>
      <c r="D11" s="98">
        <f>SUM(D3:D10)</f>
        <v>22668700</v>
      </c>
      <c r="E11" s="98">
        <f>SUM(E3:E10)</f>
        <v>153122173.83333334</v>
      </c>
    </row>
  </sheetData>
  <phoneticPr fontId="7" type="noConversion"/>
  <pageMargins left="0.75" right="0.75" top="1" bottom="1" header="0.5" footer="0.5"/>
  <pageSetup orientation="portrait" r:id="rId1"/>
  <headerFooter alignWithMargins="0"/>
</worksheet>
</file>

<file path=xl/worksheets/sheet20.xml><?xml version="1.0" encoding="utf-8"?>
<worksheet xmlns="http://schemas.openxmlformats.org/spreadsheetml/2006/main" xmlns:r="http://schemas.openxmlformats.org/officeDocument/2006/relationships">
  <sheetPr>
    <pageSetUpPr fitToPage="1"/>
  </sheetPr>
  <dimension ref="A1:N31"/>
  <sheetViews>
    <sheetView zoomScaleNormal="100" workbookViewId="0">
      <pane xSplit="1" ySplit="3" topLeftCell="B4" activePane="bottomRight" state="frozen"/>
      <selection sqref="A1:P1"/>
      <selection pane="topRight" sqref="A1:P1"/>
      <selection pane="bottomLeft" sqref="A1:P1"/>
      <selection pane="bottomRight" activeCell="F13" sqref="F13"/>
    </sheetView>
  </sheetViews>
  <sheetFormatPr defaultRowHeight="11.25"/>
  <cols>
    <col min="1" max="1" width="34.5703125" style="1" customWidth="1"/>
    <col min="2" max="2" width="9" style="5" bestFit="1" customWidth="1"/>
    <col min="3" max="3" width="8.28515625" style="5" bestFit="1" customWidth="1"/>
    <col min="4" max="4" width="8" style="5" bestFit="1" customWidth="1"/>
    <col min="5" max="5" width="9.42578125" style="5" bestFit="1" customWidth="1"/>
    <col min="6" max="6" width="8.85546875" style="5" bestFit="1" customWidth="1"/>
    <col min="7" max="7" width="9.5703125" style="6" bestFit="1" customWidth="1"/>
    <col min="8" max="8" width="8.140625" style="6" customWidth="1"/>
    <col min="9" max="10" width="8" style="6" bestFit="1" customWidth="1"/>
    <col min="11" max="11" width="12.7109375" style="5" bestFit="1" customWidth="1"/>
    <col min="12" max="12" width="9.5703125" style="1" bestFit="1" customWidth="1"/>
    <col min="13" max="13" width="8.5703125" style="1" customWidth="1"/>
    <col min="14" max="14" width="2.5703125" style="1" bestFit="1" customWidth="1"/>
    <col min="15" max="16384" width="9.140625" style="1"/>
  </cols>
  <sheetData>
    <row r="1" spans="1:14">
      <c r="A1" s="407" t="s">
        <v>76</v>
      </c>
      <c r="B1" s="407"/>
      <c r="C1" s="407"/>
      <c r="D1" s="407"/>
      <c r="E1" s="407"/>
      <c r="F1" s="407"/>
      <c r="G1" s="407"/>
      <c r="H1" s="407"/>
      <c r="I1" s="407"/>
      <c r="J1" s="407"/>
      <c r="K1" s="407"/>
      <c r="L1" s="407"/>
      <c r="M1" s="407"/>
      <c r="N1" s="407"/>
    </row>
    <row r="2" spans="1:14" ht="12" thickBot="1">
      <c r="A2" s="415" t="s">
        <v>333</v>
      </c>
      <c r="B2" s="415"/>
      <c r="C2" s="415"/>
      <c r="D2" s="415"/>
      <c r="E2" s="415"/>
      <c r="F2" s="415"/>
      <c r="G2" s="415"/>
      <c r="H2" s="415"/>
      <c r="I2" s="415"/>
      <c r="J2" s="415"/>
      <c r="K2" s="415"/>
      <c r="L2" s="415"/>
      <c r="M2" s="415"/>
      <c r="N2" s="415"/>
    </row>
    <row r="3" spans="1:14" s="3" customFormat="1" ht="54.75" thickBot="1">
      <c r="A3" s="212" t="s">
        <v>229</v>
      </c>
      <c r="B3" s="144" t="s">
        <v>230</v>
      </c>
      <c r="C3" s="144" t="s">
        <v>355</v>
      </c>
      <c r="D3" s="144" t="s">
        <v>356</v>
      </c>
      <c r="E3" s="129" t="s">
        <v>357</v>
      </c>
      <c r="F3" s="144" t="s">
        <v>358</v>
      </c>
      <c r="G3" s="145" t="s">
        <v>359</v>
      </c>
      <c r="H3" s="233" t="s">
        <v>360</v>
      </c>
      <c r="I3" s="233" t="s">
        <v>361</v>
      </c>
      <c r="J3" s="233" t="s">
        <v>362</v>
      </c>
      <c r="K3" s="218" t="s">
        <v>363</v>
      </c>
      <c r="L3" s="233" t="s">
        <v>364</v>
      </c>
      <c r="M3" s="233" t="s">
        <v>365</v>
      </c>
      <c r="N3" s="354" t="s">
        <v>231</v>
      </c>
    </row>
    <row r="4" spans="1:14" s="4" customFormat="1" ht="9">
      <c r="A4" s="164" t="s">
        <v>237</v>
      </c>
      <c r="B4" s="157" t="s">
        <v>264</v>
      </c>
      <c r="C4" s="158"/>
      <c r="D4" s="158"/>
      <c r="E4" s="157"/>
      <c r="F4" s="157"/>
      <c r="G4" s="237"/>
      <c r="H4" s="235"/>
      <c r="I4" s="235"/>
      <c r="J4" s="235"/>
      <c r="K4" s="236"/>
      <c r="L4" s="236"/>
      <c r="M4" s="237"/>
      <c r="N4" s="229"/>
    </row>
    <row r="5" spans="1:14" s="4" customFormat="1" ht="9">
      <c r="A5" s="148" t="s">
        <v>238</v>
      </c>
      <c r="B5" s="13" t="s">
        <v>264</v>
      </c>
      <c r="C5" s="22"/>
      <c r="D5" s="22"/>
      <c r="E5" s="13"/>
      <c r="F5" s="13"/>
      <c r="G5" s="43"/>
      <c r="H5" s="28"/>
      <c r="I5" s="28"/>
      <c r="J5" s="28"/>
      <c r="K5" s="32"/>
      <c r="L5" s="32"/>
      <c r="M5" s="43"/>
      <c r="N5" s="122"/>
    </row>
    <row r="6" spans="1:14" s="4" customFormat="1" ht="9">
      <c r="A6" s="148" t="s">
        <v>239</v>
      </c>
      <c r="B6" s="13"/>
      <c r="C6" s="22"/>
      <c r="D6" s="22"/>
      <c r="E6" s="13"/>
      <c r="F6" s="13"/>
      <c r="G6" s="43"/>
      <c r="H6" s="28"/>
      <c r="I6" s="28"/>
      <c r="J6" s="28"/>
      <c r="K6" s="32"/>
      <c r="L6" s="32"/>
      <c r="M6" s="43"/>
      <c r="N6" s="122"/>
    </row>
    <row r="7" spans="1:14" s="4" customFormat="1" ht="9">
      <c r="A7" s="148" t="s">
        <v>240</v>
      </c>
      <c r="B7" s="13">
        <v>40</v>
      </c>
      <c r="C7" s="22">
        <v>0</v>
      </c>
      <c r="D7" s="22">
        <v>0</v>
      </c>
      <c r="E7" s="13">
        <v>1</v>
      </c>
      <c r="F7" s="13">
        <f>B7*E7</f>
        <v>40</v>
      </c>
      <c r="G7" s="42">
        <f>ROUND('Base Data'!$H$20,0)</f>
        <v>79387</v>
      </c>
      <c r="H7" s="42">
        <f>F7*G7</f>
        <v>3175480</v>
      </c>
      <c r="I7" s="42">
        <f>H7*0.1</f>
        <v>317548</v>
      </c>
      <c r="J7" s="42">
        <f>H7*0.05</f>
        <v>158774</v>
      </c>
      <c r="K7" s="32">
        <f>(H7*'Base Data'!$C$5)+(I7*'Base Data'!$C$6)+(J7*'Base Data'!$C$7)</f>
        <v>345420775.69999999</v>
      </c>
      <c r="L7" s="32">
        <v>0</v>
      </c>
      <c r="M7" s="43">
        <v>0</v>
      </c>
      <c r="N7" s="122" t="s">
        <v>214</v>
      </c>
    </row>
    <row r="8" spans="1:14" s="4" customFormat="1" ht="9">
      <c r="A8" s="148" t="s">
        <v>241</v>
      </c>
      <c r="B8" s="13"/>
      <c r="C8" s="22"/>
      <c r="D8" s="22"/>
      <c r="E8" s="13"/>
      <c r="F8" s="13"/>
      <c r="G8" s="43"/>
      <c r="H8" s="28"/>
      <c r="I8" s="28"/>
      <c r="J8" s="28"/>
      <c r="K8" s="32"/>
      <c r="L8" s="32"/>
      <c r="M8" s="43"/>
      <c r="N8" s="122"/>
    </row>
    <row r="9" spans="1:14" s="4" customFormat="1" ht="9">
      <c r="A9" s="123" t="s">
        <v>354</v>
      </c>
      <c r="B9" s="13">
        <v>12</v>
      </c>
      <c r="C9" s="22">
        <v>2228</v>
      </c>
      <c r="D9" s="22">
        <v>0</v>
      </c>
      <c r="E9" s="13">
        <v>0.5</v>
      </c>
      <c r="F9" s="13">
        <f>B9*E9</f>
        <v>6</v>
      </c>
      <c r="G9" s="43">
        <v>0</v>
      </c>
      <c r="H9" s="42">
        <f>F9*G9</f>
        <v>0</v>
      </c>
      <c r="I9" s="42">
        <f>H9*0.1</f>
        <v>0</v>
      </c>
      <c r="J9" s="42">
        <f>H9*0.05</f>
        <v>0</v>
      </c>
      <c r="K9" s="32">
        <f>(H9*'Base Data'!$C$5)+(I9*'Base Data'!$C$6)+(J9*'Base Data'!$C$7)</f>
        <v>0</v>
      </c>
      <c r="L9" s="32">
        <f>C9*G9</f>
        <v>0</v>
      </c>
      <c r="M9" s="43">
        <v>0</v>
      </c>
      <c r="N9" s="122" t="s">
        <v>97</v>
      </c>
    </row>
    <row r="10" spans="1:14" s="4" customFormat="1" ht="9">
      <c r="A10" s="123" t="s">
        <v>245</v>
      </c>
      <c r="B10" s="13" t="s">
        <v>264</v>
      </c>
      <c r="C10" s="22"/>
      <c r="D10" s="22"/>
      <c r="E10" s="13"/>
      <c r="F10" s="13"/>
      <c r="G10" s="43"/>
      <c r="H10" s="28"/>
      <c r="I10" s="28"/>
      <c r="J10" s="28"/>
      <c r="K10" s="32"/>
      <c r="L10" s="32"/>
      <c r="M10" s="43"/>
      <c r="N10" s="122"/>
    </row>
    <row r="11" spans="1:14" s="4" customFormat="1" ht="9">
      <c r="A11" s="123" t="s">
        <v>246</v>
      </c>
      <c r="B11" s="13" t="s">
        <v>264</v>
      </c>
      <c r="C11" s="22"/>
      <c r="D11" s="22"/>
      <c r="E11" s="13"/>
      <c r="F11" s="13"/>
      <c r="G11" s="43"/>
      <c r="H11" s="28"/>
      <c r="I11" s="28"/>
      <c r="J11" s="28"/>
      <c r="K11" s="32"/>
      <c r="L11" s="32"/>
      <c r="M11" s="43"/>
      <c r="N11" s="122"/>
    </row>
    <row r="12" spans="1:14" s="4" customFormat="1" ht="9">
      <c r="A12" s="123" t="s">
        <v>247</v>
      </c>
      <c r="B12" s="13"/>
      <c r="C12" s="22"/>
      <c r="D12" s="22"/>
      <c r="E12" s="13"/>
      <c r="F12" s="13"/>
      <c r="G12" s="43"/>
      <c r="H12" s="28"/>
      <c r="I12" s="28"/>
      <c r="J12" s="28"/>
      <c r="K12" s="32"/>
      <c r="L12" s="32"/>
      <c r="M12" s="43"/>
      <c r="N12" s="122"/>
    </row>
    <row r="13" spans="1:14" s="4" customFormat="1" ht="9">
      <c r="A13" s="124" t="s">
        <v>266</v>
      </c>
      <c r="B13" s="13">
        <v>2</v>
      </c>
      <c r="C13" s="22">
        <v>0</v>
      </c>
      <c r="D13" s="22">
        <v>0</v>
      </c>
      <c r="E13" s="13">
        <v>1</v>
      </c>
      <c r="F13" s="13">
        <f>B13*E13</f>
        <v>2</v>
      </c>
      <c r="G13" s="42">
        <f>ROUND('Base Data'!$H$20,0)</f>
        <v>79387</v>
      </c>
      <c r="H13" s="42">
        <f>F13*G13</f>
        <v>158774</v>
      </c>
      <c r="I13" s="42">
        <f>H13*0.1</f>
        <v>15877.400000000001</v>
      </c>
      <c r="J13" s="42">
        <f>H13*0.05</f>
        <v>7938.7000000000007</v>
      </c>
      <c r="K13" s="32">
        <f>(H13*'Base Data'!$C$5)+(I13*'Base Data'!$C$6)+(J13*'Base Data'!$C$7)</f>
        <v>17271038.785</v>
      </c>
      <c r="L13" s="32">
        <v>0</v>
      </c>
      <c r="M13" s="43">
        <f>E13*G13</f>
        <v>79387</v>
      </c>
      <c r="N13" s="122" t="s">
        <v>214</v>
      </c>
    </row>
    <row r="14" spans="1:14" s="4" customFormat="1" ht="9">
      <c r="A14" s="124" t="s">
        <v>208</v>
      </c>
      <c r="B14" s="13">
        <v>8</v>
      </c>
      <c r="C14" s="22">
        <v>0</v>
      </c>
      <c r="D14" s="22">
        <v>0</v>
      </c>
      <c r="E14" s="13">
        <v>1</v>
      </c>
      <c r="F14" s="13">
        <f>B14*E14</f>
        <v>8</v>
      </c>
      <c r="G14" s="43">
        <v>0</v>
      </c>
      <c r="H14" s="42">
        <f>F14*G14</f>
        <v>0</v>
      </c>
      <c r="I14" s="42">
        <f>H14*0.1</f>
        <v>0</v>
      </c>
      <c r="J14" s="42">
        <f>H14*0.05</f>
        <v>0</v>
      </c>
      <c r="K14" s="32">
        <f>(H14*'Base Data'!$C$5)+(I14*'Base Data'!$C$6)+(J14*'Base Data'!$C$7)</f>
        <v>0</v>
      </c>
      <c r="L14" s="32">
        <v>0</v>
      </c>
      <c r="M14" s="43">
        <f>E14*G14</f>
        <v>0</v>
      </c>
      <c r="N14" s="122" t="s">
        <v>97</v>
      </c>
    </row>
    <row r="15" spans="1:14" s="4" customFormat="1" ht="9">
      <c r="A15" s="124" t="s">
        <v>148</v>
      </c>
      <c r="B15" s="13">
        <v>5</v>
      </c>
      <c r="C15" s="22">
        <v>0</v>
      </c>
      <c r="D15" s="22">
        <v>0</v>
      </c>
      <c r="E15" s="13">
        <v>0.5</v>
      </c>
      <c r="F15" s="13">
        <f>B15*E15</f>
        <v>2.5</v>
      </c>
      <c r="G15" s="43">
        <v>0</v>
      </c>
      <c r="H15" s="42">
        <f>F15*G15</f>
        <v>0</v>
      </c>
      <c r="I15" s="42">
        <f>H15*0.1</f>
        <v>0</v>
      </c>
      <c r="J15" s="42">
        <f>H15*0.05</f>
        <v>0</v>
      </c>
      <c r="K15" s="361">
        <f>(H15*'Base Data'!$C$5)+(I15*'Base Data'!$C$6)+(J15*'Base Data'!$C$7)</f>
        <v>0</v>
      </c>
      <c r="L15" s="361">
        <v>0</v>
      </c>
      <c r="M15" s="43">
        <f>E15*G15</f>
        <v>0</v>
      </c>
      <c r="N15" s="122" t="s">
        <v>97</v>
      </c>
    </row>
    <row r="16" spans="1:14" s="4" customFormat="1" ht="9">
      <c r="A16" s="165" t="s">
        <v>24</v>
      </c>
      <c r="B16" s="13"/>
      <c r="C16" s="22"/>
      <c r="D16" s="22"/>
      <c r="E16" s="13"/>
      <c r="F16" s="13"/>
      <c r="G16" s="43"/>
      <c r="H16" s="42">
        <f t="shared" ref="H16:M16" si="0">SUM(H4:H15)</f>
        <v>3334254</v>
      </c>
      <c r="I16" s="42">
        <f t="shared" si="0"/>
        <v>333425.40000000002</v>
      </c>
      <c r="J16" s="42">
        <f t="shared" si="0"/>
        <v>166712.70000000001</v>
      </c>
      <c r="K16" s="32">
        <f t="shared" si="0"/>
        <v>362691814.48500001</v>
      </c>
      <c r="L16" s="32">
        <f t="shared" si="0"/>
        <v>0</v>
      </c>
      <c r="M16" s="373">
        <f t="shared" si="0"/>
        <v>79387</v>
      </c>
      <c r="N16" s="122"/>
    </row>
    <row r="17" spans="1:14" s="4" customFormat="1" ht="9">
      <c r="A17" s="123" t="s">
        <v>261</v>
      </c>
      <c r="B17" s="13"/>
      <c r="C17" s="22"/>
      <c r="D17" s="22"/>
      <c r="E17" s="13"/>
      <c r="F17" s="13"/>
      <c r="G17" s="43"/>
      <c r="H17" s="28"/>
      <c r="I17" s="28"/>
      <c r="J17" s="28"/>
      <c r="K17" s="364"/>
      <c r="L17" s="364"/>
      <c r="M17" s="43"/>
      <c r="N17" s="122"/>
    </row>
    <row r="18" spans="1:14" s="4" customFormat="1" ht="9">
      <c r="A18" s="123" t="s">
        <v>248</v>
      </c>
      <c r="B18" s="13" t="s">
        <v>252</v>
      </c>
      <c r="C18" s="22"/>
      <c r="D18" s="22"/>
      <c r="E18" s="13"/>
      <c r="F18" s="13"/>
      <c r="G18" s="43"/>
      <c r="H18" s="28"/>
      <c r="I18" s="28"/>
      <c r="J18" s="28"/>
      <c r="K18" s="32"/>
      <c r="L18" s="32"/>
      <c r="M18" s="43"/>
      <c r="N18" s="122"/>
    </row>
    <row r="19" spans="1:14" s="4" customFormat="1" ht="9">
      <c r="A19" s="123" t="s">
        <v>249</v>
      </c>
      <c r="B19" s="13" t="s">
        <v>264</v>
      </c>
      <c r="C19" s="22"/>
      <c r="D19" s="22"/>
      <c r="E19" s="13"/>
      <c r="F19" s="13"/>
      <c r="G19" s="43"/>
      <c r="H19" s="28"/>
      <c r="I19" s="28"/>
      <c r="J19" s="28"/>
      <c r="K19" s="32"/>
      <c r="L19" s="32"/>
      <c r="M19" s="43"/>
      <c r="N19" s="122"/>
    </row>
    <row r="20" spans="1:14" s="4" customFormat="1" ht="9">
      <c r="A20" s="123" t="s">
        <v>250</v>
      </c>
      <c r="B20" s="13" t="s">
        <v>264</v>
      </c>
      <c r="C20" s="22"/>
      <c r="D20" s="22"/>
      <c r="E20" s="13"/>
      <c r="F20" s="13"/>
      <c r="G20" s="43"/>
      <c r="H20" s="28"/>
      <c r="I20" s="28"/>
      <c r="J20" s="28"/>
      <c r="K20" s="32"/>
      <c r="L20" s="32"/>
      <c r="M20" s="43"/>
      <c r="N20" s="122" t="s">
        <v>215</v>
      </c>
    </row>
    <row r="21" spans="1:14" s="4" customFormat="1" ht="9">
      <c r="A21" s="123" t="s">
        <v>251</v>
      </c>
      <c r="B21" s="13"/>
      <c r="C21" s="22"/>
      <c r="D21" s="22"/>
      <c r="E21" s="13"/>
      <c r="F21" s="13"/>
      <c r="G21" s="43"/>
      <c r="H21" s="28"/>
      <c r="I21" s="28"/>
      <c r="J21" s="28"/>
      <c r="K21" s="32"/>
      <c r="L21" s="32"/>
      <c r="M21" s="43"/>
      <c r="N21" s="122"/>
    </row>
    <row r="22" spans="1:14" s="4" customFormat="1" ht="9">
      <c r="A22" s="124" t="s">
        <v>323</v>
      </c>
      <c r="B22" s="13">
        <v>2</v>
      </c>
      <c r="C22" s="22">
        <v>0</v>
      </c>
      <c r="D22" s="22">
        <v>0</v>
      </c>
      <c r="E22" s="13">
        <v>1</v>
      </c>
      <c r="F22" s="13">
        <f>B22*E22</f>
        <v>2</v>
      </c>
      <c r="G22" s="43">
        <v>0</v>
      </c>
      <c r="H22" s="42">
        <f>F22*G22</f>
        <v>0</v>
      </c>
      <c r="I22" s="42">
        <f>H22*0.1</f>
        <v>0</v>
      </c>
      <c r="J22" s="42">
        <f>H22*0.05</f>
        <v>0</v>
      </c>
      <c r="K22" s="32">
        <f>(H22*'Base Data'!$C$5)+(I22*'Base Data'!$C$6)+(J22*'Base Data'!$C$7)</f>
        <v>0</v>
      </c>
      <c r="L22" s="32">
        <v>0</v>
      </c>
      <c r="M22" s="43">
        <f>E22*G22</f>
        <v>0</v>
      </c>
      <c r="N22" s="122" t="s">
        <v>97</v>
      </c>
    </row>
    <row r="23" spans="1:14" s="4" customFormat="1" ht="9">
      <c r="A23" s="124" t="s">
        <v>322</v>
      </c>
      <c r="B23" s="13">
        <v>0.5</v>
      </c>
      <c r="C23" s="22">
        <v>0</v>
      </c>
      <c r="D23" s="22">
        <v>0</v>
      </c>
      <c r="E23" s="13">
        <v>0.5</v>
      </c>
      <c r="F23" s="13">
        <f>B23*E23</f>
        <v>0.25</v>
      </c>
      <c r="G23" s="43">
        <v>0</v>
      </c>
      <c r="H23" s="42">
        <f>F23*G23</f>
        <v>0</v>
      </c>
      <c r="I23" s="42">
        <f>H23*0.1</f>
        <v>0</v>
      </c>
      <c r="J23" s="42">
        <f>H23*0.05</f>
        <v>0</v>
      </c>
      <c r="K23" s="32">
        <f>(H23*'Base Data'!$C$5)+(I23*'Base Data'!$C$6)+(J23*'Base Data'!$C$7)</f>
        <v>0</v>
      </c>
      <c r="L23" s="32">
        <v>0</v>
      </c>
      <c r="M23" s="43">
        <f>E23*G23</f>
        <v>0</v>
      </c>
      <c r="N23" s="122" t="s">
        <v>97</v>
      </c>
    </row>
    <row r="24" spans="1:14" s="4" customFormat="1" ht="9">
      <c r="A24" s="123" t="s">
        <v>255</v>
      </c>
      <c r="B24" s="13" t="s">
        <v>264</v>
      </c>
      <c r="C24" s="22"/>
      <c r="D24" s="22"/>
      <c r="E24" s="13"/>
      <c r="F24" s="13"/>
      <c r="G24" s="43"/>
      <c r="H24" s="28"/>
      <c r="I24" s="28"/>
      <c r="J24" s="28"/>
      <c r="K24" s="32"/>
      <c r="L24" s="32"/>
      <c r="M24" s="43"/>
      <c r="N24" s="122"/>
    </row>
    <row r="25" spans="1:14" s="4" customFormat="1" ht="9">
      <c r="A25" s="123" t="s">
        <v>256</v>
      </c>
      <c r="B25" s="13" t="s">
        <v>264</v>
      </c>
      <c r="C25" s="22"/>
      <c r="D25" s="22"/>
      <c r="E25" s="13"/>
      <c r="F25" s="13"/>
      <c r="G25" s="43"/>
      <c r="H25" s="28"/>
      <c r="I25" s="28"/>
      <c r="J25" s="28"/>
      <c r="K25" s="32"/>
      <c r="L25" s="32"/>
      <c r="M25" s="43"/>
      <c r="N25" s="122"/>
    </row>
    <row r="26" spans="1:14" s="4" customFormat="1" ht="9.75" thickBot="1">
      <c r="A26" s="216" t="s">
        <v>26</v>
      </c>
      <c r="B26" s="205"/>
      <c r="C26" s="161"/>
      <c r="D26" s="161"/>
      <c r="E26" s="205"/>
      <c r="F26" s="205"/>
      <c r="G26" s="138"/>
      <c r="H26" s="231">
        <f>SUM(H18:H25)</f>
        <v>0</v>
      </c>
      <c r="I26" s="231">
        <f t="shared" ref="I26:M26" si="1">SUM(I18:I25)</f>
        <v>0</v>
      </c>
      <c r="J26" s="231">
        <f t="shared" si="1"/>
        <v>0</v>
      </c>
      <c r="K26" s="139">
        <f t="shared" si="1"/>
        <v>0</v>
      </c>
      <c r="L26" s="139">
        <f t="shared" si="1"/>
        <v>0</v>
      </c>
      <c r="M26" s="138">
        <f t="shared" si="1"/>
        <v>0</v>
      </c>
      <c r="N26" s="232"/>
    </row>
    <row r="27" spans="1:14" s="4" customFormat="1" ht="12" thickBot="1">
      <c r="A27" s="149" t="s">
        <v>236</v>
      </c>
      <c r="B27" s="150"/>
      <c r="C27" s="150"/>
      <c r="D27" s="150"/>
      <c r="E27" s="150"/>
      <c r="F27" s="150"/>
      <c r="G27" s="134"/>
      <c r="H27" s="135">
        <f t="shared" ref="H27:M27" si="2">SUM(H16,H26)</f>
        <v>3334254</v>
      </c>
      <c r="I27" s="135">
        <f t="shared" si="2"/>
        <v>333425.40000000002</v>
      </c>
      <c r="J27" s="135">
        <f t="shared" si="2"/>
        <v>166712.70000000001</v>
      </c>
      <c r="K27" s="136">
        <f t="shared" si="2"/>
        <v>362691814.48500001</v>
      </c>
      <c r="L27" s="136">
        <f t="shared" si="2"/>
        <v>0</v>
      </c>
      <c r="M27" s="135">
        <f t="shared" si="2"/>
        <v>79387</v>
      </c>
      <c r="N27" s="137"/>
    </row>
    <row r="28" spans="1:14" s="4" customFormat="1">
      <c r="A28" s="1"/>
      <c r="B28" s="5"/>
      <c r="C28" s="5"/>
      <c r="D28" s="5"/>
      <c r="E28" s="5"/>
      <c r="F28" s="5"/>
      <c r="G28" s="8"/>
      <c r="H28" s="5"/>
      <c r="I28" s="5"/>
      <c r="J28" s="5"/>
      <c r="K28" s="5"/>
      <c r="L28" s="6"/>
      <c r="M28" s="6"/>
      <c r="N28" s="5"/>
    </row>
    <row r="29" spans="1:14" s="4" customFormat="1" ht="9">
      <c r="A29" s="33" t="s">
        <v>29</v>
      </c>
      <c r="B29" s="10"/>
      <c r="C29" s="10"/>
      <c r="D29" s="10"/>
      <c r="E29" s="10"/>
      <c r="F29" s="10"/>
      <c r="G29" s="11"/>
      <c r="H29" s="10"/>
      <c r="I29" s="10"/>
      <c r="J29" s="10"/>
      <c r="K29" s="10"/>
      <c r="L29" s="12"/>
      <c r="M29" s="12"/>
      <c r="N29" s="10"/>
    </row>
    <row r="30" spans="1:14" s="9" customFormat="1" ht="21" customHeight="1">
      <c r="A30" s="409" t="s">
        <v>367</v>
      </c>
      <c r="B30" s="409"/>
      <c r="C30" s="409"/>
      <c r="D30" s="409"/>
      <c r="E30" s="409"/>
      <c r="F30" s="409"/>
      <c r="G30" s="409"/>
      <c r="H30" s="409"/>
      <c r="I30" s="409"/>
      <c r="J30" s="409"/>
      <c r="K30" s="409"/>
      <c r="L30" s="41"/>
      <c r="M30" s="41"/>
      <c r="N30" s="10"/>
    </row>
    <row r="31" spans="1:14" s="9" customFormat="1" ht="10.5" customHeight="1">
      <c r="A31" s="9" t="s">
        <v>370</v>
      </c>
      <c r="B31" s="10"/>
      <c r="C31" s="10"/>
      <c r="D31" s="10"/>
      <c r="E31" s="10"/>
      <c r="F31" s="10"/>
      <c r="G31" s="11"/>
      <c r="H31" s="10"/>
      <c r="I31" s="10"/>
      <c r="J31" s="10"/>
      <c r="K31" s="10"/>
      <c r="L31" s="12"/>
      <c r="M31" s="12"/>
      <c r="N31" s="10"/>
    </row>
  </sheetData>
  <mergeCells count="3">
    <mergeCell ref="A1:N1"/>
    <mergeCell ref="A2:N2"/>
    <mergeCell ref="A30:K30"/>
  </mergeCells>
  <phoneticPr fontId="7" type="noConversion"/>
  <printOptions horizontalCentered="1"/>
  <pageMargins left="0.25" right="0.25" top="0.5" bottom="0.5" header="0.5" footer="0.5"/>
  <pageSetup scale="94" orientation="landscape" r:id="rId1"/>
  <headerFooter alignWithMargins="0"/>
</worksheet>
</file>

<file path=xl/worksheets/sheet21.xml><?xml version="1.0" encoding="utf-8"?>
<worksheet xmlns="http://schemas.openxmlformats.org/spreadsheetml/2006/main" xmlns:r="http://schemas.openxmlformats.org/officeDocument/2006/relationships">
  <sheetPr>
    <pageSetUpPr fitToPage="1"/>
  </sheetPr>
  <dimension ref="A1:N31"/>
  <sheetViews>
    <sheetView zoomScaleNormal="100" workbookViewId="0">
      <pane xSplit="1" ySplit="3" topLeftCell="B4" activePane="bottomRight" state="frozen"/>
      <selection sqref="A1:P1"/>
      <selection pane="topRight" sqref="A1:P1"/>
      <selection pane="bottomLeft" sqref="A1:P1"/>
      <selection pane="bottomRight" activeCell="E11" sqref="E11"/>
    </sheetView>
  </sheetViews>
  <sheetFormatPr defaultRowHeight="11.25"/>
  <cols>
    <col min="1" max="1" width="34.42578125" style="1" customWidth="1"/>
    <col min="2" max="2" width="9" style="5" bestFit="1" customWidth="1"/>
    <col min="3" max="3" width="8.28515625" style="5" bestFit="1" customWidth="1"/>
    <col min="4" max="4" width="8" style="5" bestFit="1" customWidth="1"/>
    <col min="5" max="5" width="8.140625" style="5" customWidth="1"/>
    <col min="6" max="6" width="8.85546875" style="5" bestFit="1" customWidth="1"/>
    <col min="7" max="7" width="8.7109375" style="6" customWidth="1"/>
    <col min="8" max="8" width="7.7109375" style="6" customWidth="1"/>
    <col min="9" max="9" width="7" style="6" bestFit="1" customWidth="1"/>
    <col min="10" max="10" width="8.5703125" style="6" customWidth="1"/>
    <col min="11" max="11" width="11.85546875" style="5" bestFit="1" customWidth="1"/>
    <col min="12" max="12" width="12.7109375" style="1" bestFit="1" customWidth="1"/>
    <col min="13" max="13" width="8.5703125" style="1" customWidth="1"/>
    <col min="14" max="14" width="2.5703125" style="1" bestFit="1" customWidth="1"/>
    <col min="15" max="16384" width="9.140625" style="1"/>
  </cols>
  <sheetData>
    <row r="1" spans="1:14">
      <c r="A1" s="407" t="s">
        <v>77</v>
      </c>
      <c r="B1" s="407"/>
      <c r="C1" s="407"/>
      <c r="D1" s="407"/>
      <c r="E1" s="407"/>
      <c r="F1" s="407"/>
      <c r="G1" s="407"/>
      <c r="H1" s="407"/>
      <c r="I1" s="407"/>
      <c r="J1" s="407"/>
      <c r="K1" s="407"/>
      <c r="L1" s="407"/>
      <c r="M1" s="407"/>
      <c r="N1" s="407"/>
    </row>
    <row r="2" spans="1:14" ht="12" thickBot="1">
      <c r="A2" s="415" t="s">
        <v>334</v>
      </c>
      <c r="B2" s="415"/>
      <c r="C2" s="415"/>
      <c r="D2" s="415"/>
      <c r="E2" s="415"/>
      <c r="F2" s="415"/>
      <c r="G2" s="415"/>
      <c r="H2" s="415"/>
      <c r="I2" s="415"/>
      <c r="J2" s="415"/>
      <c r="K2" s="415"/>
      <c r="L2" s="415"/>
      <c r="M2" s="415"/>
      <c r="N2" s="415"/>
    </row>
    <row r="3" spans="1:14" s="3" customFormat="1" ht="54.75" thickBot="1">
      <c r="A3" s="212" t="s">
        <v>229</v>
      </c>
      <c r="B3" s="144" t="s">
        <v>230</v>
      </c>
      <c r="C3" s="144" t="s">
        <v>355</v>
      </c>
      <c r="D3" s="144" t="s">
        <v>356</v>
      </c>
      <c r="E3" s="129" t="s">
        <v>357</v>
      </c>
      <c r="F3" s="144" t="s">
        <v>358</v>
      </c>
      <c r="G3" s="145" t="s">
        <v>359</v>
      </c>
      <c r="H3" s="146" t="s">
        <v>360</v>
      </c>
      <c r="I3" s="146" t="s">
        <v>361</v>
      </c>
      <c r="J3" s="146" t="s">
        <v>362</v>
      </c>
      <c r="K3" s="144" t="s">
        <v>363</v>
      </c>
      <c r="L3" s="146" t="s">
        <v>364</v>
      </c>
      <c r="M3" s="146" t="s">
        <v>365</v>
      </c>
      <c r="N3" s="147" t="s">
        <v>231</v>
      </c>
    </row>
    <row r="4" spans="1:14" s="4" customFormat="1" ht="9">
      <c r="A4" s="164" t="s">
        <v>237</v>
      </c>
      <c r="B4" s="157" t="s">
        <v>264</v>
      </c>
      <c r="C4" s="158"/>
      <c r="D4" s="158"/>
      <c r="E4" s="157"/>
      <c r="F4" s="157"/>
      <c r="G4" s="159"/>
      <c r="H4" s="157"/>
      <c r="I4" s="157"/>
      <c r="J4" s="157"/>
      <c r="K4" s="158"/>
      <c r="L4" s="158"/>
      <c r="M4" s="159"/>
      <c r="N4" s="203"/>
    </row>
    <row r="5" spans="1:14" s="4" customFormat="1" ht="9">
      <c r="A5" s="148" t="s">
        <v>238</v>
      </c>
      <c r="B5" s="13" t="s">
        <v>264</v>
      </c>
      <c r="C5" s="22"/>
      <c r="D5" s="22"/>
      <c r="E5" s="13"/>
      <c r="F5" s="13"/>
      <c r="G5" s="43"/>
      <c r="H5" s="28"/>
      <c r="I5" s="28"/>
      <c r="J5" s="28"/>
      <c r="K5" s="32"/>
      <c r="L5" s="32"/>
      <c r="M5" s="43"/>
      <c r="N5" s="122"/>
    </row>
    <row r="6" spans="1:14" s="4" customFormat="1" ht="9">
      <c r="A6" s="148" t="s">
        <v>239</v>
      </c>
      <c r="B6" s="13"/>
      <c r="C6" s="22"/>
      <c r="D6" s="22"/>
      <c r="E6" s="13"/>
      <c r="F6" s="13"/>
      <c r="G6" s="43"/>
      <c r="H6" s="28"/>
      <c r="I6" s="28"/>
      <c r="J6" s="28"/>
      <c r="K6" s="32"/>
      <c r="L6" s="32"/>
      <c r="M6" s="43"/>
      <c r="N6" s="122"/>
    </row>
    <row r="7" spans="1:14" s="4" customFormat="1" ht="9">
      <c r="A7" s="148" t="s">
        <v>240</v>
      </c>
      <c r="B7" s="13">
        <v>40</v>
      </c>
      <c r="C7" s="22">
        <v>0</v>
      </c>
      <c r="D7" s="22">
        <v>0</v>
      </c>
      <c r="E7" s="13">
        <v>1</v>
      </c>
      <c r="F7" s="13">
        <f>B7*E7</f>
        <v>40</v>
      </c>
      <c r="G7" s="42">
        <v>0</v>
      </c>
      <c r="H7" s="42">
        <f>F7*G7</f>
        <v>0</v>
      </c>
      <c r="I7" s="42">
        <f>H7*0.1</f>
        <v>0</v>
      </c>
      <c r="J7" s="42">
        <f>H7*0.05</f>
        <v>0</v>
      </c>
      <c r="K7" s="32">
        <f>(H7*'Base Data'!$C$5)+(I7*'Base Data'!$C$6)+(J7*'Base Data'!$C$7)</f>
        <v>0</v>
      </c>
      <c r="L7" s="32">
        <v>0</v>
      </c>
      <c r="M7" s="43">
        <v>0</v>
      </c>
      <c r="N7" s="122" t="s">
        <v>214</v>
      </c>
    </row>
    <row r="8" spans="1:14" s="4" customFormat="1" ht="9">
      <c r="A8" s="148" t="s">
        <v>241</v>
      </c>
      <c r="B8" s="13"/>
      <c r="C8" s="22"/>
      <c r="D8" s="22"/>
      <c r="E8" s="13"/>
      <c r="F8" s="13"/>
      <c r="G8" s="43"/>
      <c r="H8" s="28"/>
      <c r="I8" s="28"/>
      <c r="J8" s="28"/>
      <c r="K8" s="32"/>
      <c r="L8" s="32"/>
      <c r="M8" s="43"/>
      <c r="N8" s="122"/>
    </row>
    <row r="9" spans="1:14" s="4" customFormat="1" ht="9">
      <c r="A9" s="123" t="s">
        <v>354</v>
      </c>
      <c r="B9" s="13">
        <v>12</v>
      </c>
      <c r="C9" s="22">
        <v>2228</v>
      </c>
      <c r="D9" s="22">
        <v>0</v>
      </c>
      <c r="E9" s="13">
        <v>0.5</v>
      </c>
      <c r="F9" s="13">
        <f>B9*E9</f>
        <v>6</v>
      </c>
      <c r="G9" s="42">
        <f>ROUND('Base Data'!$D$20/2,0)</f>
        <v>79387</v>
      </c>
      <c r="H9" s="42">
        <f>F9*G9</f>
        <v>476322</v>
      </c>
      <c r="I9" s="42">
        <f>H9*0.1</f>
        <v>47632.200000000004</v>
      </c>
      <c r="J9" s="42">
        <f>H9*0.05</f>
        <v>23816.100000000002</v>
      </c>
      <c r="K9" s="32">
        <f>(H9*'Base Data'!$C$5)+(I9*'Base Data'!$C$6)+(J9*'Base Data'!$C$7)</f>
        <v>51813116.354999997</v>
      </c>
      <c r="L9" s="32">
        <f>C9*G9</f>
        <v>176874236</v>
      </c>
      <c r="M9" s="43">
        <v>0</v>
      </c>
      <c r="N9" s="122" t="s">
        <v>97</v>
      </c>
    </row>
    <row r="10" spans="1:14" s="4" customFormat="1" ht="9">
      <c r="A10" s="123" t="s">
        <v>245</v>
      </c>
      <c r="B10" s="13" t="s">
        <v>264</v>
      </c>
      <c r="C10" s="22"/>
      <c r="D10" s="22"/>
      <c r="E10" s="13"/>
      <c r="F10" s="13"/>
      <c r="G10" s="43"/>
      <c r="H10" s="28"/>
      <c r="I10" s="28"/>
      <c r="J10" s="28"/>
      <c r="K10" s="32"/>
      <c r="L10" s="32"/>
      <c r="M10" s="43"/>
      <c r="N10" s="122"/>
    </row>
    <row r="11" spans="1:14" s="4" customFormat="1" ht="9">
      <c r="A11" s="123" t="s">
        <v>246</v>
      </c>
      <c r="B11" s="13" t="s">
        <v>264</v>
      </c>
      <c r="C11" s="22"/>
      <c r="D11" s="22"/>
      <c r="E11" s="13"/>
      <c r="F11" s="13"/>
      <c r="G11" s="43"/>
      <c r="H11" s="28"/>
      <c r="I11" s="28"/>
      <c r="J11" s="28"/>
      <c r="K11" s="32"/>
      <c r="L11" s="32"/>
      <c r="M11" s="43"/>
      <c r="N11" s="122"/>
    </row>
    <row r="12" spans="1:14" s="4" customFormat="1" ht="9">
      <c r="A12" s="123" t="s">
        <v>247</v>
      </c>
      <c r="B12" s="13"/>
      <c r="C12" s="22"/>
      <c r="D12" s="22"/>
      <c r="E12" s="13"/>
      <c r="F12" s="13"/>
      <c r="G12" s="43"/>
      <c r="H12" s="28"/>
      <c r="I12" s="28"/>
      <c r="J12" s="28"/>
      <c r="K12" s="32"/>
      <c r="L12" s="32"/>
      <c r="M12" s="43"/>
      <c r="N12" s="122"/>
    </row>
    <row r="13" spans="1:14" s="4" customFormat="1" ht="9">
      <c r="A13" s="124" t="s">
        <v>266</v>
      </c>
      <c r="B13" s="13">
        <v>2</v>
      </c>
      <c r="C13" s="22">
        <v>0</v>
      </c>
      <c r="D13" s="22">
        <v>0</v>
      </c>
      <c r="E13" s="13">
        <v>1</v>
      </c>
      <c r="F13" s="13">
        <f>B13*E13</f>
        <v>2</v>
      </c>
      <c r="G13" s="42">
        <v>0</v>
      </c>
      <c r="H13" s="42">
        <f>F13*G13</f>
        <v>0</v>
      </c>
      <c r="I13" s="42">
        <f>H13*0.1</f>
        <v>0</v>
      </c>
      <c r="J13" s="42">
        <f>H13*0.05</f>
        <v>0</v>
      </c>
      <c r="K13" s="32">
        <f>(H13*'Base Data'!$C$5)+(I13*'Base Data'!$C$6)+(J13*'Base Data'!$C$7)</f>
        <v>0</v>
      </c>
      <c r="L13" s="32">
        <v>0</v>
      </c>
      <c r="M13" s="43">
        <f>E13*G13</f>
        <v>0</v>
      </c>
      <c r="N13" s="122" t="s">
        <v>214</v>
      </c>
    </row>
    <row r="14" spans="1:14" s="4" customFormat="1" ht="9">
      <c r="A14" s="124" t="s">
        <v>208</v>
      </c>
      <c r="B14" s="13">
        <v>8</v>
      </c>
      <c r="C14" s="22">
        <v>0</v>
      </c>
      <c r="D14" s="22">
        <v>0</v>
      </c>
      <c r="E14" s="13">
        <v>1</v>
      </c>
      <c r="F14" s="13">
        <f>B14*E14</f>
        <v>8</v>
      </c>
      <c r="G14" s="43">
        <v>0</v>
      </c>
      <c r="H14" s="42">
        <f>F14*G14</f>
        <v>0</v>
      </c>
      <c r="I14" s="42">
        <f>H14*0.1</f>
        <v>0</v>
      </c>
      <c r="J14" s="42">
        <f>H14*0.05</f>
        <v>0</v>
      </c>
      <c r="K14" s="32">
        <f>(H14*'Base Data'!$C$5)+(I14*'Base Data'!$C$6)+(J14*'Base Data'!$C$7)</f>
        <v>0</v>
      </c>
      <c r="L14" s="32">
        <v>0</v>
      </c>
      <c r="M14" s="43">
        <f>E14*G14</f>
        <v>0</v>
      </c>
      <c r="N14" s="122" t="s">
        <v>97</v>
      </c>
    </row>
    <row r="15" spans="1:14" s="4" customFormat="1" ht="9">
      <c r="A15" s="124" t="s">
        <v>148</v>
      </c>
      <c r="B15" s="13">
        <v>5</v>
      </c>
      <c r="C15" s="22">
        <v>0</v>
      </c>
      <c r="D15" s="22">
        <v>0</v>
      </c>
      <c r="E15" s="13">
        <v>0.5</v>
      </c>
      <c r="F15" s="13">
        <f>B15*E15</f>
        <v>2.5</v>
      </c>
      <c r="G15" s="43">
        <v>0</v>
      </c>
      <c r="H15" s="42">
        <f>F15*G15</f>
        <v>0</v>
      </c>
      <c r="I15" s="42">
        <f>H15*0.1</f>
        <v>0</v>
      </c>
      <c r="J15" s="42">
        <f>H15*0.05</f>
        <v>0</v>
      </c>
      <c r="K15" s="32">
        <f>(H15*'Base Data'!$C$5)+(I15*'Base Data'!$C$6)+(J15*'Base Data'!$C$7)</f>
        <v>0</v>
      </c>
      <c r="L15" s="32">
        <v>0</v>
      </c>
      <c r="M15" s="43">
        <f>E15*G15</f>
        <v>0</v>
      </c>
      <c r="N15" s="122" t="s">
        <v>97</v>
      </c>
    </row>
    <row r="16" spans="1:14" s="4" customFormat="1" ht="9">
      <c r="A16" s="165" t="s">
        <v>24</v>
      </c>
      <c r="B16" s="13"/>
      <c r="C16" s="22"/>
      <c r="D16" s="22"/>
      <c r="E16" s="13"/>
      <c r="F16" s="13"/>
      <c r="G16" s="43"/>
      <c r="H16" s="42">
        <f t="shared" ref="H16:M16" si="0">SUM(H4:H15)</f>
        <v>476322</v>
      </c>
      <c r="I16" s="42">
        <f t="shared" si="0"/>
        <v>47632.200000000004</v>
      </c>
      <c r="J16" s="42">
        <f t="shared" si="0"/>
        <v>23816.100000000002</v>
      </c>
      <c r="K16" s="32">
        <f t="shared" si="0"/>
        <v>51813116.354999997</v>
      </c>
      <c r="L16" s="32">
        <f t="shared" si="0"/>
        <v>176874236</v>
      </c>
      <c r="M16" s="373">
        <f t="shared" si="0"/>
        <v>0</v>
      </c>
      <c r="N16" s="122"/>
    </row>
    <row r="17" spans="1:14" s="4" customFormat="1" ht="9">
      <c r="A17" s="123" t="s">
        <v>261</v>
      </c>
      <c r="B17" s="13"/>
      <c r="C17" s="22"/>
      <c r="D17" s="22"/>
      <c r="E17" s="13"/>
      <c r="F17" s="13"/>
      <c r="G17" s="43"/>
      <c r="H17" s="28"/>
      <c r="I17" s="28"/>
      <c r="J17" s="28"/>
      <c r="K17" s="32"/>
      <c r="L17" s="32"/>
      <c r="M17" s="43"/>
      <c r="N17" s="122"/>
    </row>
    <row r="18" spans="1:14" s="4" customFormat="1" ht="9">
      <c r="A18" s="123" t="s">
        <v>248</v>
      </c>
      <c r="B18" s="13" t="s">
        <v>252</v>
      </c>
      <c r="C18" s="22"/>
      <c r="D18" s="22"/>
      <c r="E18" s="13"/>
      <c r="F18" s="13"/>
      <c r="G18" s="43"/>
      <c r="H18" s="28"/>
      <c r="I18" s="28"/>
      <c r="J18" s="28"/>
      <c r="K18" s="32"/>
      <c r="L18" s="32"/>
      <c r="M18" s="43"/>
      <c r="N18" s="122"/>
    </row>
    <row r="19" spans="1:14" s="4" customFormat="1" ht="9">
      <c r="A19" s="123" t="s">
        <v>249</v>
      </c>
      <c r="B19" s="13" t="s">
        <v>264</v>
      </c>
      <c r="C19" s="22"/>
      <c r="D19" s="22"/>
      <c r="E19" s="13"/>
      <c r="F19" s="13"/>
      <c r="G19" s="43"/>
      <c r="H19" s="28"/>
      <c r="I19" s="28"/>
      <c r="J19" s="28"/>
      <c r="K19" s="32"/>
      <c r="L19" s="32"/>
      <c r="M19" s="43"/>
      <c r="N19" s="122"/>
    </row>
    <row r="20" spans="1:14" s="4" customFormat="1" ht="9">
      <c r="A20" s="123" t="s">
        <v>250</v>
      </c>
      <c r="B20" s="13" t="s">
        <v>264</v>
      </c>
      <c r="C20" s="22"/>
      <c r="D20" s="22"/>
      <c r="E20" s="13"/>
      <c r="F20" s="13"/>
      <c r="G20" s="43"/>
      <c r="H20" s="28"/>
      <c r="I20" s="28"/>
      <c r="J20" s="28"/>
      <c r="K20" s="32"/>
      <c r="L20" s="32"/>
      <c r="M20" s="43"/>
      <c r="N20" s="122" t="s">
        <v>215</v>
      </c>
    </row>
    <row r="21" spans="1:14" s="4" customFormat="1" ht="9">
      <c r="A21" s="123" t="s">
        <v>251</v>
      </c>
      <c r="B21" s="13"/>
      <c r="C21" s="22"/>
      <c r="D21" s="22"/>
      <c r="E21" s="13"/>
      <c r="F21" s="13"/>
      <c r="G21" s="43"/>
      <c r="H21" s="28"/>
      <c r="I21" s="28"/>
      <c r="J21" s="28"/>
      <c r="K21" s="32"/>
      <c r="L21" s="32"/>
      <c r="M21" s="43"/>
      <c r="N21" s="122"/>
    </row>
    <row r="22" spans="1:14" s="4" customFormat="1" ht="9">
      <c r="A22" s="124" t="s">
        <v>323</v>
      </c>
      <c r="B22" s="13">
        <v>2</v>
      </c>
      <c r="C22" s="22">
        <v>0</v>
      </c>
      <c r="D22" s="22">
        <v>0</v>
      </c>
      <c r="E22" s="13">
        <v>1</v>
      </c>
      <c r="F22" s="13">
        <f>B22*E22</f>
        <v>2</v>
      </c>
      <c r="G22" s="43">
        <v>0</v>
      </c>
      <c r="H22" s="42">
        <f>F22*G22</f>
        <v>0</v>
      </c>
      <c r="I22" s="42">
        <f>H22*0.1</f>
        <v>0</v>
      </c>
      <c r="J22" s="42">
        <f>H22*0.05</f>
        <v>0</v>
      </c>
      <c r="K22" s="32">
        <f>(H22*'Base Data'!$C$5)+(I22*'Base Data'!$C$6)+(J22*'Base Data'!$C$7)</f>
        <v>0</v>
      </c>
      <c r="L22" s="32">
        <v>0</v>
      </c>
      <c r="M22" s="43">
        <f>E22*G22</f>
        <v>0</v>
      </c>
      <c r="N22" s="122" t="s">
        <v>97</v>
      </c>
    </row>
    <row r="23" spans="1:14" s="4" customFormat="1" ht="9">
      <c r="A23" s="124" t="s">
        <v>322</v>
      </c>
      <c r="B23" s="13">
        <v>0.5</v>
      </c>
      <c r="C23" s="22">
        <v>0</v>
      </c>
      <c r="D23" s="22">
        <v>0</v>
      </c>
      <c r="E23" s="13">
        <v>0.5</v>
      </c>
      <c r="F23" s="13">
        <f>B23*E23</f>
        <v>0.25</v>
      </c>
      <c r="G23" s="43">
        <v>0</v>
      </c>
      <c r="H23" s="42">
        <f>F23*G23</f>
        <v>0</v>
      </c>
      <c r="I23" s="42">
        <f>H23*0.1</f>
        <v>0</v>
      </c>
      <c r="J23" s="42">
        <f>H23*0.05</f>
        <v>0</v>
      </c>
      <c r="K23" s="32">
        <f>(H23*'Base Data'!$C$5)+(I23*'Base Data'!$C$6)+(J23*'Base Data'!$C$7)</f>
        <v>0</v>
      </c>
      <c r="L23" s="32">
        <v>0</v>
      </c>
      <c r="M23" s="43">
        <f>E23*G23</f>
        <v>0</v>
      </c>
      <c r="N23" s="122" t="s">
        <v>97</v>
      </c>
    </row>
    <row r="24" spans="1:14" s="4" customFormat="1" ht="9">
      <c r="A24" s="123" t="s">
        <v>255</v>
      </c>
      <c r="B24" s="13" t="s">
        <v>264</v>
      </c>
      <c r="C24" s="22"/>
      <c r="D24" s="22"/>
      <c r="E24" s="13"/>
      <c r="F24" s="13"/>
      <c r="G24" s="43"/>
      <c r="H24" s="28"/>
      <c r="I24" s="28"/>
      <c r="J24" s="28"/>
      <c r="K24" s="32"/>
      <c r="L24" s="32"/>
      <c r="M24" s="43"/>
      <c r="N24" s="122"/>
    </row>
    <row r="25" spans="1:14" s="4" customFormat="1" ht="9">
      <c r="A25" s="123" t="s">
        <v>256</v>
      </c>
      <c r="B25" s="13" t="s">
        <v>264</v>
      </c>
      <c r="C25" s="22"/>
      <c r="D25" s="22"/>
      <c r="E25" s="13"/>
      <c r="F25" s="13"/>
      <c r="G25" s="43"/>
      <c r="H25" s="28"/>
      <c r="I25" s="28"/>
      <c r="J25" s="28"/>
      <c r="K25" s="32"/>
      <c r="L25" s="32"/>
      <c r="M25" s="43"/>
      <c r="N25" s="122"/>
    </row>
    <row r="26" spans="1:14" s="4" customFormat="1" ht="9.75" thickBot="1">
      <c r="A26" s="216" t="s">
        <v>26</v>
      </c>
      <c r="B26" s="205"/>
      <c r="C26" s="161"/>
      <c r="D26" s="161"/>
      <c r="E26" s="205"/>
      <c r="F26" s="205"/>
      <c r="G26" s="138"/>
      <c r="H26" s="231">
        <f>SUM(H18:H25)</f>
        <v>0</v>
      </c>
      <c r="I26" s="231">
        <f t="shared" ref="I26:M26" si="1">SUM(I18:I25)</f>
        <v>0</v>
      </c>
      <c r="J26" s="231">
        <f t="shared" si="1"/>
        <v>0</v>
      </c>
      <c r="K26" s="139">
        <f t="shared" si="1"/>
        <v>0</v>
      </c>
      <c r="L26" s="139">
        <f t="shared" si="1"/>
        <v>0</v>
      </c>
      <c r="M26" s="138">
        <f t="shared" si="1"/>
        <v>0</v>
      </c>
      <c r="N26" s="232"/>
    </row>
    <row r="27" spans="1:14" s="4" customFormat="1" ht="12" thickBot="1">
      <c r="A27" s="149" t="s">
        <v>236</v>
      </c>
      <c r="B27" s="150"/>
      <c r="C27" s="150"/>
      <c r="D27" s="150"/>
      <c r="E27" s="150"/>
      <c r="F27" s="150"/>
      <c r="G27" s="152"/>
      <c r="H27" s="153">
        <f t="shared" ref="H27:M27" si="2">SUM(H16,H26)</f>
        <v>476322</v>
      </c>
      <c r="I27" s="153">
        <f t="shared" si="2"/>
        <v>47632.200000000004</v>
      </c>
      <c r="J27" s="153">
        <f t="shared" si="2"/>
        <v>23816.100000000002</v>
      </c>
      <c r="K27" s="154">
        <f t="shared" si="2"/>
        <v>51813116.354999997</v>
      </c>
      <c r="L27" s="154">
        <f t="shared" si="2"/>
        <v>176874236</v>
      </c>
      <c r="M27" s="153">
        <f t="shared" si="2"/>
        <v>0</v>
      </c>
      <c r="N27" s="155"/>
    </row>
    <row r="28" spans="1:14" s="4" customFormat="1">
      <c r="A28" s="1"/>
      <c r="B28" s="5"/>
      <c r="C28" s="5"/>
      <c r="D28" s="5"/>
      <c r="E28" s="5"/>
      <c r="F28" s="5"/>
      <c r="G28" s="8"/>
      <c r="H28" s="5"/>
      <c r="I28" s="5"/>
      <c r="J28" s="5"/>
      <c r="K28" s="5"/>
      <c r="L28" s="6"/>
      <c r="M28" s="6"/>
      <c r="N28" s="5"/>
    </row>
    <row r="29" spans="1:14" s="4" customFormat="1" ht="7.5" customHeight="1">
      <c r="A29" s="9" t="s">
        <v>219</v>
      </c>
      <c r="B29" s="10"/>
      <c r="C29" s="10"/>
      <c r="D29" s="10"/>
      <c r="E29" s="10"/>
      <c r="F29" s="11"/>
      <c r="G29" s="10"/>
      <c r="H29" s="10"/>
      <c r="I29" s="10"/>
      <c r="J29" s="10"/>
      <c r="K29" s="10"/>
      <c r="L29" s="12"/>
      <c r="M29" s="12"/>
      <c r="N29" s="10"/>
    </row>
    <row r="30" spans="1:14" s="9" customFormat="1" ht="29.25" customHeight="1">
      <c r="A30" s="409" t="s">
        <v>373</v>
      </c>
      <c r="B30" s="409"/>
      <c r="C30" s="409"/>
      <c r="D30" s="409"/>
      <c r="E30" s="409"/>
      <c r="F30" s="409"/>
      <c r="G30" s="409"/>
      <c r="H30" s="409"/>
      <c r="I30" s="409"/>
      <c r="J30" s="409"/>
      <c r="K30" s="409"/>
      <c r="L30" s="41"/>
      <c r="M30" s="196"/>
      <c r="N30" s="10"/>
    </row>
    <row r="31" spans="1:14" s="9" customFormat="1" ht="10.5" customHeight="1">
      <c r="A31" s="9" t="s">
        <v>370</v>
      </c>
      <c r="B31" s="10"/>
      <c r="C31" s="10"/>
      <c r="D31" s="10"/>
      <c r="E31" s="10"/>
      <c r="F31" s="10"/>
      <c r="G31" s="11"/>
      <c r="H31" s="10"/>
      <c r="I31" s="10"/>
      <c r="J31" s="10"/>
      <c r="K31" s="10"/>
      <c r="L31" s="12"/>
      <c r="M31" s="12"/>
      <c r="N31" s="10"/>
    </row>
  </sheetData>
  <mergeCells count="3">
    <mergeCell ref="A1:N1"/>
    <mergeCell ref="A2:N2"/>
    <mergeCell ref="A30:K30"/>
  </mergeCells>
  <phoneticPr fontId="7" type="noConversion"/>
  <printOptions horizontalCentered="1"/>
  <pageMargins left="0.25" right="0.25" top="0.5" bottom="0.5" header="0.5" footer="0.5"/>
  <pageSetup scale="94" orientation="landscape" r:id="rId1"/>
  <headerFooter alignWithMargins="0"/>
</worksheet>
</file>

<file path=xl/worksheets/sheet22.xml><?xml version="1.0" encoding="utf-8"?>
<worksheet xmlns="http://schemas.openxmlformats.org/spreadsheetml/2006/main" xmlns:r="http://schemas.openxmlformats.org/officeDocument/2006/relationships">
  <sheetPr>
    <pageSetUpPr fitToPage="1"/>
  </sheetPr>
  <dimension ref="A1:N32"/>
  <sheetViews>
    <sheetView zoomScaleNormal="100" workbookViewId="0">
      <pane xSplit="1" ySplit="3" topLeftCell="B4" activePane="bottomRight" state="frozen"/>
      <selection sqref="A1:P1"/>
      <selection pane="topRight" sqref="A1:P1"/>
      <selection pane="bottomLeft" sqref="A1:P1"/>
      <selection pane="bottomRight" activeCell="E11" sqref="E11"/>
    </sheetView>
  </sheetViews>
  <sheetFormatPr defaultRowHeight="11.25"/>
  <cols>
    <col min="1" max="1" width="31.42578125" style="1" customWidth="1"/>
    <col min="2" max="2" width="9" style="5" bestFit="1" customWidth="1"/>
    <col min="3" max="3" width="8.28515625" style="5" bestFit="1" customWidth="1"/>
    <col min="4" max="4" width="8" style="5" bestFit="1" customWidth="1"/>
    <col min="5" max="5" width="8.5703125" style="5" customWidth="1"/>
    <col min="6" max="6" width="8.85546875" style="5" bestFit="1" customWidth="1"/>
    <col min="7" max="7" width="7.85546875" style="6" customWidth="1"/>
    <col min="8" max="8" width="9.7109375" style="6" bestFit="1" customWidth="1"/>
    <col min="9" max="9" width="8" style="6" bestFit="1" customWidth="1"/>
    <col min="10" max="10" width="8" style="6" customWidth="1"/>
    <col min="11" max="11" width="12.7109375" style="5" bestFit="1" customWidth="1"/>
    <col min="12" max="12" width="12.7109375" style="1" bestFit="1" customWidth="1"/>
    <col min="13" max="13" width="8.5703125" style="1" customWidth="1"/>
    <col min="14" max="14" width="2.5703125" style="1" bestFit="1" customWidth="1"/>
    <col min="15" max="16384" width="9.140625" style="1"/>
  </cols>
  <sheetData>
    <row r="1" spans="1:14">
      <c r="A1" s="407" t="s">
        <v>78</v>
      </c>
      <c r="B1" s="407"/>
      <c r="C1" s="407"/>
      <c r="D1" s="407"/>
      <c r="E1" s="407"/>
      <c r="F1" s="407"/>
      <c r="G1" s="407"/>
      <c r="H1" s="407"/>
      <c r="I1" s="407"/>
      <c r="J1" s="407"/>
      <c r="K1" s="407"/>
      <c r="L1" s="407"/>
      <c r="M1" s="407"/>
      <c r="N1" s="407"/>
    </row>
    <row r="2" spans="1:14" ht="12" thickBot="1">
      <c r="A2" s="415" t="s">
        <v>335</v>
      </c>
      <c r="B2" s="415"/>
      <c r="C2" s="415"/>
      <c r="D2" s="415"/>
      <c r="E2" s="415"/>
      <c r="F2" s="415"/>
      <c r="G2" s="415"/>
      <c r="H2" s="415"/>
      <c r="I2" s="415"/>
      <c r="J2" s="415"/>
      <c r="K2" s="415"/>
      <c r="L2" s="415"/>
      <c r="M2" s="415"/>
      <c r="N2" s="415"/>
    </row>
    <row r="3" spans="1:14" s="3" customFormat="1" ht="54.75" thickBot="1">
      <c r="A3" s="212" t="s">
        <v>229</v>
      </c>
      <c r="B3" s="144" t="s">
        <v>230</v>
      </c>
      <c r="C3" s="144" t="s">
        <v>355</v>
      </c>
      <c r="D3" s="144" t="s">
        <v>356</v>
      </c>
      <c r="E3" s="129" t="s">
        <v>357</v>
      </c>
      <c r="F3" s="144" t="s">
        <v>358</v>
      </c>
      <c r="G3" s="145" t="s">
        <v>359</v>
      </c>
      <c r="H3" s="146" t="s">
        <v>360</v>
      </c>
      <c r="I3" s="146" t="s">
        <v>361</v>
      </c>
      <c r="J3" s="146" t="s">
        <v>362</v>
      </c>
      <c r="K3" s="144" t="s">
        <v>363</v>
      </c>
      <c r="L3" s="146" t="s">
        <v>364</v>
      </c>
      <c r="M3" s="146" t="s">
        <v>365</v>
      </c>
      <c r="N3" s="147" t="s">
        <v>231</v>
      </c>
    </row>
    <row r="4" spans="1:14" s="4" customFormat="1" ht="9">
      <c r="A4" s="164" t="s">
        <v>237</v>
      </c>
      <c r="B4" s="157" t="s">
        <v>264</v>
      </c>
      <c r="C4" s="158"/>
      <c r="D4" s="158"/>
      <c r="E4" s="157"/>
      <c r="F4" s="157"/>
      <c r="G4" s="159"/>
      <c r="H4" s="157"/>
      <c r="I4" s="157"/>
      <c r="J4" s="157"/>
      <c r="K4" s="158"/>
      <c r="L4" s="158"/>
      <c r="M4" s="159"/>
      <c r="N4" s="203"/>
    </row>
    <row r="5" spans="1:14" s="4" customFormat="1" ht="9">
      <c r="A5" s="148" t="s">
        <v>238</v>
      </c>
      <c r="B5" s="13" t="s">
        <v>264</v>
      </c>
      <c r="C5" s="22"/>
      <c r="D5" s="22"/>
      <c r="E5" s="13"/>
      <c r="F5" s="13"/>
      <c r="G5" s="14"/>
      <c r="H5" s="13"/>
      <c r="I5" s="13"/>
      <c r="J5" s="13"/>
      <c r="K5" s="22"/>
      <c r="L5" s="22"/>
      <c r="M5" s="14"/>
      <c r="N5" s="141"/>
    </row>
    <row r="6" spans="1:14" s="4" customFormat="1" ht="9">
      <c r="A6" s="148" t="s">
        <v>239</v>
      </c>
      <c r="B6" s="13"/>
      <c r="C6" s="22"/>
      <c r="D6" s="22"/>
      <c r="E6" s="13"/>
      <c r="F6" s="13"/>
      <c r="G6" s="43"/>
      <c r="H6" s="28"/>
      <c r="I6" s="28"/>
      <c r="J6" s="28"/>
      <c r="K6" s="32"/>
      <c r="L6" s="32"/>
      <c r="M6" s="43"/>
      <c r="N6" s="122"/>
    </row>
    <row r="7" spans="1:14" s="4" customFormat="1" ht="9">
      <c r="A7" s="148" t="s">
        <v>240</v>
      </c>
      <c r="B7" s="13">
        <v>40</v>
      </c>
      <c r="C7" s="22">
        <v>0</v>
      </c>
      <c r="D7" s="22">
        <v>0</v>
      </c>
      <c r="E7" s="13">
        <v>1</v>
      </c>
      <c r="F7" s="13">
        <f>B7*E7</f>
        <v>40</v>
      </c>
      <c r="G7" s="42">
        <v>0</v>
      </c>
      <c r="H7" s="42">
        <f>F7*G7</f>
        <v>0</v>
      </c>
      <c r="I7" s="42">
        <f>H7*0.1</f>
        <v>0</v>
      </c>
      <c r="J7" s="42">
        <f>H7*0.05</f>
        <v>0</v>
      </c>
      <c r="K7" s="32">
        <f>(H7*'Base Data'!$C$5)+(I7*'Base Data'!$C$6)+(J7*'Base Data'!$C$7)</f>
        <v>0</v>
      </c>
      <c r="L7" s="32">
        <v>0</v>
      </c>
      <c r="M7" s="43">
        <v>0</v>
      </c>
      <c r="N7" s="122" t="s">
        <v>214</v>
      </c>
    </row>
    <row r="8" spans="1:14" s="4" customFormat="1" ht="9">
      <c r="A8" s="148" t="s">
        <v>241</v>
      </c>
      <c r="B8" s="13"/>
      <c r="C8" s="22"/>
      <c r="D8" s="22"/>
      <c r="E8" s="13"/>
      <c r="F8" s="13"/>
      <c r="G8" s="43"/>
      <c r="H8" s="28"/>
      <c r="I8" s="28"/>
      <c r="J8" s="28"/>
      <c r="K8" s="32"/>
      <c r="L8" s="32"/>
      <c r="M8" s="43"/>
      <c r="N8" s="122"/>
    </row>
    <row r="9" spans="1:14" s="4" customFormat="1" ht="9">
      <c r="A9" s="123" t="s">
        <v>354</v>
      </c>
      <c r="B9" s="13">
        <v>12</v>
      </c>
      <c r="C9" s="22">
        <v>2228</v>
      </c>
      <c r="D9" s="22">
        <v>0</v>
      </c>
      <c r="E9" s="13">
        <v>0.5</v>
      </c>
      <c r="F9" s="13">
        <f>B9*E9</f>
        <v>6</v>
      </c>
      <c r="G9" s="42">
        <f>ROUND('Base Data'!$D$20/2,0)</f>
        <v>79387</v>
      </c>
      <c r="H9" s="42">
        <f>F9*G9</f>
        <v>476322</v>
      </c>
      <c r="I9" s="42">
        <f>H9*0.1</f>
        <v>47632.200000000004</v>
      </c>
      <c r="J9" s="42">
        <f>H9*0.05</f>
        <v>23816.100000000002</v>
      </c>
      <c r="K9" s="32">
        <f>(H9*'Base Data'!$C$5)+(I9*'Base Data'!$C$6)+(J9*'Base Data'!$C$7)</f>
        <v>51813116.354999997</v>
      </c>
      <c r="L9" s="32">
        <f>C9*G9</f>
        <v>176874236</v>
      </c>
      <c r="M9" s="43">
        <v>0</v>
      </c>
      <c r="N9" s="122" t="s">
        <v>97</v>
      </c>
    </row>
    <row r="10" spans="1:14" s="4" customFormat="1" ht="9">
      <c r="A10" s="123" t="s">
        <v>245</v>
      </c>
      <c r="B10" s="13" t="s">
        <v>264</v>
      </c>
      <c r="C10" s="22"/>
      <c r="D10" s="22"/>
      <c r="E10" s="13"/>
      <c r="F10" s="13"/>
      <c r="G10" s="43"/>
      <c r="H10" s="28"/>
      <c r="I10" s="28"/>
      <c r="J10" s="28"/>
      <c r="K10" s="32"/>
      <c r="L10" s="32"/>
      <c r="M10" s="43"/>
      <c r="N10" s="122"/>
    </row>
    <row r="11" spans="1:14" s="4" customFormat="1" ht="9">
      <c r="A11" s="123" t="s">
        <v>246</v>
      </c>
      <c r="B11" s="13" t="s">
        <v>264</v>
      </c>
      <c r="C11" s="22"/>
      <c r="D11" s="22"/>
      <c r="E11" s="13"/>
      <c r="F11" s="13"/>
      <c r="G11" s="43"/>
      <c r="H11" s="28"/>
      <c r="I11" s="28"/>
      <c r="J11" s="28"/>
      <c r="K11" s="32"/>
      <c r="L11" s="32"/>
      <c r="M11" s="43"/>
      <c r="N11" s="122"/>
    </row>
    <row r="12" spans="1:14" s="4" customFormat="1" ht="9">
      <c r="A12" s="123" t="s">
        <v>247</v>
      </c>
      <c r="B12" s="13"/>
      <c r="C12" s="22"/>
      <c r="D12" s="22"/>
      <c r="E12" s="13"/>
      <c r="F12" s="13"/>
      <c r="G12" s="43"/>
      <c r="H12" s="28"/>
      <c r="I12" s="28"/>
      <c r="J12" s="28"/>
      <c r="K12" s="32"/>
      <c r="L12" s="32"/>
      <c r="M12" s="43"/>
      <c r="N12" s="122"/>
    </row>
    <row r="13" spans="1:14" s="4" customFormat="1" ht="9">
      <c r="A13" s="124" t="s">
        <v>266</v>
      </c>
      <c r="B13" s="13">
        <v>2</v>
      </c>
      <c r="C13" s="22">
        <v>0</v>
      </c>
      <c r="D13" s="22">
        <v>0</v>
      </c>
      <c r="E13" s="13">
        <v>1</v>
      </c>
      <c r="F13" s="13">
        <f>B13*E13</f>
        <v>2</v>
      </c>
      <c r="G13" s="42">
        <v>0</v>
      </c>
      <c r="H13" s="42">
        <f>F13*G13</f>
        <v>0</v>
      </c>
      <c r="I13" s="42">
        <f>H13*0.1</f>
        <v>0</v>
      </c>
      <c r="J13" s="42">
        <f>H13*0.05</f>
        <v>0</v>
      </c>
      <c r="K13" s="32">
        <f>(H13*'Base Data'!$C$5)+(I13*'Base Data'!$C$6)+(J13*'Base Data'!$C$7)</f>
        <v>0</v>
      </c>
      <c r="L13" s="32">
        <v>0</v>
      </c>
      <c r="M13" s="43">
        <f>E13*G13</f>
        <v>0</v>
      </c>
      <c r="N13" s="122" t="s">
        <v>214</v>
      </c>
    </row>
    <row r="14" spans="1:14" s="4" customFormat="1" ht="9">
      <c r="A14" s="124" t="s">
        <v>208</v>
      </c>
      <c r="B14" s="13">
        <v>8</v>
      </c>
      <c r="C14" s="22">
        <v>0</v>
      </c>
      <c r="D14" s="22">
        <v>0</v>
      </c>
      <c r="E14" s="13">
        <v>1</v>
      </c>
      <c r="F14" s="13">
        <f>B14*E14</f>
        <v>8</v>
      </c>
      <c r="G14" s="42">
        <f>'Base Data'!$H$20</f>
        <v>79387</v>
      </c>
      <c r="H14" s="42">
        <f>F14*G14</f>
        <v>635096</v>
      </c>
      <c r="I14" s="42">
        <f>H14*0.1</f>
        <v>63509.600000000006</v>
      </c>
      <c r="J14" s="42">
        <f>H14*0.05</f>
        <v>31754.800000000003</v>
      </c>
      <c r="K14" s="32">
        <f>(H14*'Base Data'!$C$5)+(I14*'Base Data'!$C$6)+(J14*'Base Data'!$C$7)</f>
        <v>69084155.140000001</v>
      </c>
      <c r="L14" s="32">
        <v>0</v>
      </c>
      <c r="M14" s="43">
        <f>E14*G14</f>
        <v>79387</v>
      </c>
      <c r="N14" s="122" t="s">
        <v>97</v>
      </c>
    </row>
    <row r="15" spans="1:14" s="4" customFormat="1" ht="9">
      <c r="A15" s="124" t="s">
        <v>148</v>
      </c>
      <c r="B15" s="13">
        <v>5</v>
      </c>
      <c r="C15" s="22">
        <v>0</v>
      </c>
      <c r="D15" s="22">
        <v>0</v>
      </c>
      <c r="E15" s="13">
        <v>0.5</v>
      </c>
      <c r="F15" s="13">
        <f>B15*E15</f>
        <v>2.5</v>
      </c>
      <c r="G15" s="42">
        <f>'Base Data'!$H$20</f>
        <v>79387</v>
      </c>
      <c r="H15" s="42">
        <f>F15*G15</f>
        <v>198467.5</v>
      </c>
      <c r="I15" s="42">
        <f>H15*0.1</f>
        <v>19846.75</v>
      </c>
      <c r="J15" s="42">
        <f>H15*0.05</f>
        <v>9923.375</v>
      </c>
      <c r="K15" s="32">
        <f>(H15*'Base Data'!$C$5)+(I15*'Base Data'!$C$6)+(J15*'Base Data'!$C$7)</f>
        <v>21588798.481249999</v>
      </c>
      <c r="L15" s="32">
        <v>0</v>
      </c>
      <c r="M15" s="43">
        <f>E15*G15</f>
        <v>39693.5</v>
      </c>
      <c r="N15" s="122" t="s">
        <v>97</v>
      </c>
    </row>
    <row r="16" spans="1:14" s="4" customFormat="1" ht="9">
      <c r="A16" s="165" t="s">
        <v>24</v>
      </c>
      <c r="B16" s="13"/>
      <c r="C16" s="22"/>
      <c r="D16" s="22"/>
      <c r="E16" s="13"/>
      <c r="F16" s="13"/>
      <c r="G16" s="43"/>
      <c r="H16" s="42">
        <f t="shared" ref="H16:M16" si="0">SUM(H4:H15)</f>
        <v>1309885.5</v>
      </c>
      <c r="I16" s="42">
        <f t="shared" si="0"/>
        <v>130988.55000000002</v>
      </c>
      <c r="J16" s="42">
        <f t="shared" si="0"/>
        <v>65494.275000000009</v>
      </c>
      <c r="K16" s="32">
        <f t="shared" si="0"/>
        <v>142486069.97624999</v>
      </c>
      <c r="L16" s="374">
        <f t="shared" si="0"/>
        <v>176874236</v>
      </c>
      <c r="M16" s="42">
        <f t="shared" si="0"/>
        <v>119080.5</v>
      </c>
      <c r="N16" s="122"/>
    </row>
    <row r="17" spans="1:14" s="4" customFormat="1" ht="9">
      <c r="A17" s="123" t="s">
        <v>261</v>
      </c>
      <c r="B17" s="13"/>
      <c r="C17" s="22"/>
      <c r="D17" s="22"/>
      <c r="E17" s="13"/>
      <c r="F17" s="13"/>
      <c r="G17" s="43"/>
      <c r="H17" s="28"/>
      <c r="I17" s="28"/>
      <c r="J17" s="28"/>
      <c r="K17" s="32"/>
      <c r="L17" s="32"/>
      <c r="M17" s="43"/>
      <c r="N17" s="122"/>
    </row>
    <row r="18" spans="1:14" s="4" customFormat="1" ht="9">
      <c r="A18" s="123" t="s">
        <v>248</v>
      </c>
      <c r="B18" s="13" t="s">
        <v>252</v>
      </c>
      <c r="C18" s="22"/>
      <c r="D18" s="22"/>
      <c r="E18" s="13"/>
      <c r="F18" s="13"/>
      <c r="G18" s="43"/>
      <c r="H18" s="28"/>
      <c r="I18" s="28"/>
      <c r="J18" s="28"/>
      <c r="K18" s="32"/>
      <c r="L18" s="32"/>
      <c r="M18" s="43"/>
      <c r="N18" s="122"/>
    </row>
    <row r="19" spans="1:14" s="4" customFormat="1" ht="9">
      <c r="A19" s="123" t="s">
        <v>249</v>
      </c>
      <c r="B19" s="13" t="s">
        <v>264</v>
      </c>
      <c r="C19" s="22"/>
      <c r="D19" s="22"/>
      <c r="E19" s="13"/>
      <c r="F19" s="13"/>
      <c r="G19" s="43"/>
      <c r="H19" s="28"/>
      <c r="I19" s="28"/>
      <c r="J19" s="28"/>
      <c r="K19" s="32"/>
      <c r="L19" s="32"/>
      <c r="M19" s="43"/>
      <c r="N19" s="122"/>
    </row>
    <row r="20" spans="1:14" s="4" customFormat="1" ht="9">
      <c r="A20" s="123" t="s">
        <v>250</v>
      </c>
      <c r="B20" s="13" t="s">
        <v>264</v>
      </c>
      <c r="C20" s="22"/>
      <c r="D20" s="22"/>
      <c r="E20" s="13"/>
      <c r="F20" s="13"/>
      <c r="G20" s="43"/>
      <c r="H20" s="28"/>
      <c r="I20" s="28"/>
      <c r="J20" s="28"/>
      <c r="K20" s="32"/>
      <c r="L20" s="32"/>
      <c r="M20" s="43"/>
      <c r="N20" s="122" t="s">
        <v>215</v>
      </c>
    </row>
    <row r="21" spans="1:14" s="4" customFormat="1" ht="9">
      <c r="A21" s="123" t="s">
        <v>251</v>
      </c>
      <c r="B21" s="13"/>
      <c r="C21" s="22"/>
      <c r="D21" s="22"/>
      <c r="E21" s="13"/>
      <c r="F21" s="13"/>
      <c r="G21" s="43"/>
      <c r="H21" s="28"/>
      <c r="I21" s="28"/>
      <c r="J21" s="28"/>
      <c r="K21" s="32"/>
      <c r="L21" s="32"/>
      <c r="M21" s="43"/>
      <c r="N21" s="122"/>
    </row>
    <row r="22" spans="1:14" s="4" customFormat="1" ht="9.75" customHeight="1">
      <c r="A22" s="124" t="s">
        <v>323</v>
      </c>
      <c r="B22" s="13">
        <v>2</v>
      </c>
      <c r="C22" s="22">
        <v>0</v>
      </c>
      <c r="D22" s="22">
        <v>0</v>
      </c>
      <c r="E22" s="13">
        <v>1</v>
      </c>
      <c r="F22" s="13">
        <f>B22*E22</f>
        <v>2</v>
      </c>
      <c r="G22" s="43">
        <f>'Base Data'!$D$20</f>
        <v>158774</v>
      </c>
      <c r="H22" s="42">
        <f>F22*G22</f>
        <v>317548</v>
      </c>
      <c r="I22" s="42">
        <f>H22*0.1</f>
        <v>31754.800000000003</v>
      </c>
      <c r="J22" s="42">
        <f>H22*0.05</f>
        <v>15877.400000000001</v>
      </c>
      <c r="K22" s="32">
        <f>(H22*'Base Data'!$C$5)+(I22*'Base Data'!$C$6)+(J22*'Base Data'!$C$7)</f>
        <v>34542077.57</v>
      </c>
      <c r="L22" s="32">
        <v>0</v>
      </c>
      <c r="M22" s="42">
        <v>0</v>
      </c>
      <c r="N22" s="122" t="s">
        <v>97</v>
      </c>
    </row>
    <row r="23" spans="1:14" s="4" customFormat="1" ht="9">
      <c r="A23" s="124" t="s">
        <v>322</v>
      </c>
      <c r="B23" s="13">
        <v>0.5</v>
      </c>
      <c r="C23" s="22">
        <v>0</v>
      </c>
      <c r="D23" s="22">
        <v>0</v>
      </c>
      <c r="E23" s="13">
        <v>0.5</v>
      </c>
      <c r="F23" s="13">
        <f>B23*E23</f>
        <v>0.25</v>
      </c>
      <c r="G23" s="43">
        <f>'Base Data'!$D$20</f>
        <v>158774</v>
      </c>
      <c r="H23" s="42">
        <f>F23*G23</f>
        <v>39693.5</v>
      </c>
      <c r="I23" s="42">
        <f>H23*0.1</f>
        <v>3969.3500000000004</v>
      </c>
      <c r="J23" s="42">
        <f>H23*0.05</f>
        <v>1984.6750000000002</v>
      </c>
      <c r="K23" s="32">
        <f>(H23*'Base Data'!$C$5)+(I23*'Base Data'!$C$6)+(J23*'Base Data'!$C$7)</f>
        <v>4317759.69625</v>
      </c>
      <c r="L23" s="362">
        <v>0</v>
      </c>
      <c r="M23" s="42">
        <v>0</v>
      </c>
      <c r="N23" s="122" t="s">
        <v>97</v>
      </c>
    </row>
    <row r="24" spans="1:14" s="4" customFormat="1" ht="9">
      <c r="A24" s="123" t="s">
        <v>255</v>
      </c>
      <c r="B24" s="13" t="s">
        <v>264</v>
      </c>
      <c r="C24" s="22"/>
      <c r="D24" s="22"/>
      <c r="E24" s="13"/>
      <c r="F24" s="13"/>
      <c r="G24" s="43"/>
      <c r="H24" s="28"/>
      <c r="I24" s="28"/>
      <c r="J24" s="28"/>
      <c r="K24" s="32"/>
      <c r="L24" s="32"/>
      <c r="M24" s="127"/>
      <c r="N24" s="122"/>
    </row>
    <row r="25" spans="1:14" s="4" customFormat="1" ht="9">
      <c r="A25" s="123" t="s">
        <v>256</v>
      </c>
      <c r="B25" s="13" t="s">
        <v>264</v>
      </c>
      <c r="C25" s="22"/>
      <c r="D25" s="22"/>
      <c r="E25" s="13"/>
      <c r="F25" s="13"/>
      <c r="G25" s="43"/>
      <c r="H25" s="28"/>
      <c r="I25" s="28"/>
      <c r="J25" s="28"/>
      <c r="K25" s="32"/>
      <c r="L25" s="32"/>
      <c r="M25" s="43"/>
      <c r="N25" s="122"/>
    </row>
    <row r="26" spans="1:14" s="4" customFormat="1" ht="9.75" thickBot="1">
      <c r="A26" s="216" t="s">
        <v>26</v>
      </c>
      <c r="B26" s="205"/>
      <c r="C26" s="161"/>
      <c r="D26" s="161"/>
      <c r="E26" s="205"/>
      <c r="F26" s="205"/>
      <c r="G26" s="138"/>
      <c r="H26" s="138">
        <f t="shared" ref="H26:M26" si="1">SUM(H18:H25)</f>
        <v>357241.5</v>
      </c>
      <c r="I26" s="138">
        <f>SUM(I18:I25)</f>
        <v>35724.15</v>
      </c>
      <c r="J26" s="138">
        <f t="shared" si="1"/>
        <v>17862.075000000001</v>
      </c>
      <c r="K26" s="139">
        <f t="shared" si="1"/>
        <v>38859837.266249999</v>
      </c>
      <c r="L26" s="139">
        <f t="shared" si="1"/>
        <v>0</v>
      </c>
      <c r="M26" s="138">
        <f t="shared" si="1"/>
        <v>0</v>
      </c>
      <c r="N26" s="232"/>
    </row>
    <row r="27" spans="1:14" s="4" customFormat="1" ht="12" thickBot="1">
      <c r="A27" s="149" t="s">
        <v>236</v>
      </c>
      <c r="B27" s="150"/>
      <c r="C27" s="150"/>
      <c r="D27" s="150"/>
      <c r="E27" s="150"/>
      <c r="F27" s="150"/>
      <c r="G27" s="134"/>
      <c r="H27" s="135">
        <f t="shared" ref="H27:M27" si="2">SUM(H16,H26)</f>
        <v>1667127</v>
      </c>
      <c r="I27" s="135">
        <f t="shared" si="2"/>
        <v>166712.70000000001</v>
      </c>
      <c r="J27" s="135">
        <f t="shared" si="2"/>
        <v>83356.350000000006</v>
      </c>
      <c r="K27" s="136">
        <f t="shared" si="2"/>
        <v>181345907.24250001</v>
      </c>
      <c r="L27" s="136">
        <f t="shared" si="2"/>
        <v>176874236</v>
      </c>
      <c r="M27" s="135">
        <f t="shared" si="2"/>
        <v>119080.5</v>
      </c>
      <c r="N27" s="137"/>
    </row>
    <row r="28" spans="1:14" s="4" customFormat="1">
      <c r="A28" s="1"/>
      <c r="B28" s="5"/>
      <c r="C28" s="5"/>
      <c r="D28" s="5"/>
      <c r="E28" s="5"/>
      <c r="F28" s="5"/>
      <c r="G28" s="35"/>
      <c r="H28" s="34"/>
      <c r="I28" s="34"/>
      <c r="J28" s="34"/>
      <c r="K28" s="34"/>
      <c r="L28" s="355"/>
      <c r="M28" s="355"/>
      <c r="N28" s="34"/>
    </row>
    <row r="29" spans="1:14" s="4" customFormat="1" ht="7.5" customHeight="1">
      <c r="A29" s="9" t="s">
        <v>219</v>
      </c>
      <c r="B29" s="10"/>
      <c r="C29" s="10"/>
      <c r="D29" s="10"/>
      <c r="E29" s="10"/>
      <c r="F29" s="11"/>
      <c r="G29" s="36"/>
      <c r="H29" s="36"/>
      <c r="I29" s="36"/>
      <c r="J29" s="36"/>
      <c r="K29" s="36"/>
      <c r="L29" s="356"/>
      <c r="M29" s="356"/>
      <c r="N29" s="36"/>
    </row>
    <row r="30" spans="1:14" s="9" customFormat="1" ht="29.25" customHeight="1">
      <c r="A30" s="409" t="s">
        <v>373</v>
      </c>
      <c r="B30" s="409"/>
      <c r="C30" s="409"/>
      <c r="D30" s="409"/>
      <c r="E30" s="409"/>
      <c r="F30" s="409"/>
      <c r="G30" s="409"/>
      <c r="H30" s="409"/>
      <c r="I30" s="409"/>
      <c r="J30" s="409"/>
      <c r="K30" s="409"/>
      <c r="L30" s="196"/>
      <c r="M30" s="196"/>
      <c r="N30" s="10"/>
    </row>
    <row r="31" spans="1:14" s="9" customFormat="1" ht="10.5" customHeight="1">
      <c r="A31" s="9" t="s">
        <v>370</v>
      </c>
      <c r="B31" s="10"/>
      <c r="C31" s="10"/>
      <c r="D31" s="10"/>
      <c r="E31" s="10"/>
      <c r="F31" s="10"/>
      <c r="G31" s="11"/>
      <c r="H31" s="10"/>
      <c r="I31" s="10"/>
      <c r="J31" s="10"/>
      <c r="K31" s="10"/>
      <c r="L31" s="12"/>
      <c r="M31" s="12"/>
      <c r="N31" s="10"/>
    </row>
    <row r="32" spans="1:14">
      <c r="A32" s="9"/>
    </row>
  </sheetData>
  <mergeCells count="3">
    <mergeCell ref="A1:N1"/>
    <mergeCell ref="A2:N2"/>
    <mergeCell ref="A30:K30"/>
  </mergeCells>
  <phoneticPr fontId="7" type="noConversion"/>
  <printOptions horizontalCentered="1"/>
  <pageMargins left="0.25" right="0.25" top="0.5" bottom="0.5" header="0.5" footer="0.5"/>
  <pageSetup scale="94" orientation="landscape" r:id="rId1"/>
  <headerFooter alignWithMargins="0"/>
</worksheet>
</file>

<file path=xl/worksheets/sheet23.xml><?xml version="1.0" encoding="utf-8"?>
<worksheet xmlns="http://schemas.openxmlformats.org/spreadsheetml/2006/main" xmlns:r="http://schemas.openxmlformats.org/officeDocument/2006/relationships">
  <sheetPr>
    <pageSetUpPr fitToPage="1"/>
  </sheetPr>
  <dimension ref="A1:N33"/>
  <sheetViews>
    <sheetView zoomScaleNormal="100" workbookViewId="0">
      <selection activeCell="A29" sqref="A29"/>
    </sheetView>
  </sheetViews>
  <sheetFormatPr defaultRowHeight="11.25"/>
  <cols>
    <col min="1" max="1" width="35.140625" style="1" customWidth="1"/>
    <col min="2" max="2" width="8.85546875" style="5" bestFit="1" customWidth="1"/>
    <col min="3" max="3" width="8" style="5" customWidth="1"/>
    <col min="4" max="4" width="8.140625" style="5" customWidth="1"/>
    <col min="5" max="5" width="8.28515625" style="5" customWidth="1"/>
    <col min="6" max="6" width="8.140625" style="5" customWidth="1"/>
    <col min="7" max="7" width="9" style="5" customWidth="1"/>
    <col min="8" max="8" width="8.140625" style="6" bestFit="1" customWidth="1"/>
    <col min="9" max="9" width="7.140625" style="6" customWidth="1"/>
    <col min="10" max="10" width="8.28515625" style="6" customWidth="1"/>
    <col min="11" max="11" width="9.85546875" style="6" bestFit="1" customWidth="1"/>
    <col min="12" max="12" width="9.7109375" style="6" customWidth="1"/>
    <col min="13" max="13" width="9" style="6" customWidth="1"/>
    <col min="14" max="14" width="2.5703125" style="5" bestFit="1" customWidth="1"/>
    <col min="15" max="16" width="9.140625" style="1" customWidth="1"/>
    <col min="17" max="16384" width="9.140625" style="1"/>
  </cols>
  <sheetData>
    <row r="1" spans="1:14">
      <c r="A1" s="407" t="s">
        <v>267</v>
      </c>
      <c r="B1" s="407"/>
      <c r="C1" s="407"/>
      <c r="D1" s="407"/>
      <c r="E1" s="407"/>
      <c r="F1" s="407"/>
      <c r="G1" s="407"/>
      <c r="H1" s="407"/>
      <c r="I1" s="407"/>
      <c r="J1" s="407"/>
      <c r="K1" s="407"/>
      <c r="L1" s="407"/>
      <c r="M1" s="407"/>
      <c r="N1" s="407"/>
    </row>
    <row r="2" spans="1:14" ht="12" thickBot="1">
      <c r="A2" s="415" t="s">
        <v>268</v>
      </c>
      <c r="B2" s="415"/>
      <c r="C2" s="415"/>
      <c r="D2" s="415"/>
      <c r="E2" s="415"/>
      <c r="F2" s="415"/>
      <c r="G2" s="415"/>
      <c r="H2" s="415"/>
      <c r="I2" s="415"/>
      <c r="J2" s="415"/>
      <c r="K2" s="415"/>
      <c r="L2" s="415"/>
      <c r="M2" s="415"/>
      <c r="N2" s="415"/>
    </row>
    <row r="3" spans="1:14" s="3" customFormat="1" ht="54.75" thickBot="1">
      <c r="A3" s="212" t="s">
        <v>229</v>
      </c>
      <c r="B3" s="144" t="s">
        <v>230</v>
      </c>
      <c r="C3" s="144" t="s">
        <v>355</v>
      </c>
      <c r="D3" s="144" t="s">
        <v>356</v>
      </c>
      <c r="E3" s="129" t="s">
        <v>357</v>
      </c>
      <c r="F3" s="144" t="s">
        <v>358</v>
      </c>
      <c r="G3" s="145" t="s">
        <v>359</v>
      </c>
      <c r="H3" s="233" t="s">
        <v>360</v>
      </c>
      <c r="I3" s="233" t="s">
        <v>361</v>
      </c>
      <c r="J3" s="233" t="s">
        <v>362</v>
      </c>
      <c r="K3" s="218" t="s">
        <v>363</v>
      </c>
      <c r="L3" s="233" t="s">
        <v>364</v>
      </c>
      <c r="M3" s="233" t="s">
        <v>365</v>
      </c>
      <c r="N3" s="354" t="s">
        <v>231</v>
      </c>
    </row>
    <row r="4" spans="1:14" s="4" customFormat="1" ht="9">
      <c r="A4" s="164" t="s">
        <v>237</v>
      </c>
      <c r="B4" s="157" t="s">
        <v>264</v>
      </c>
      <c r="C4" s="158"/>
      <c r="D4" s="158"/>
      <c r="E4" s="157"/>
      <c r="F4" s="157"/>
      <c r="G4" s="237"/>
      <c r="H4" s="235"/>
      <c r="I4" s="235"/>
      <c r="J4" s="235"/>
      <c r="K4" s="236"/>
      <c r="L4" s="236"/>
      <c r="M4" s="237"/>
      <c r="N4" s="229"/>
    </row>
    <row r="5" spans="1:14" s="4" customFormat="1" ht="9">
      <c r="A5" s="148" t="s">
        <v>238</v>
      </c>
      <c r="B5" s="13" t="s">
        <v>264</v>
      </c>
      <c r="C5" s="22"/>
      <c r="D5" s="22"/>
      <c r="E5" s="13"/>
      <c r="F5" s="13"/>
      <c r="G5" s="43"/>
      <c r="H5" s="28"/>
      <c r="I5" s="28"/>
      <c r="J5" s="28"/>
      <c r="K5" s="32"/>
      <c r="L5" s="32"/>
      <c r="M5" s="43"/>
      <c r="N5" s="122"/>
    </row>
    <row r="6" spans="1:14" s="4" customFormat="1" ht="9">
      <c r="A6" s="148" t="s">
        <v>239</v>
      </c>
      <c r="B6" s="13"/>
      <c r="C6" s="22"/>
      <c r="D6" s="22"/>
      <c r="E6" s="13"/>
      <c r="F6" s="13"/>
      <c r="G6" s="43"/>
      <c r="H6" s="28"/>
      <c r="I6" s="28"/>
      <c r="J6" s="28"/>
      <c r="K6" s="32"/>
      <c r="L6" s="32"/>
      <c r="M6" s="43"/>
      <c r="N6" s="122"/>
    </row>
    <row r="7" spans="1:14" s="4" customFormat="1" ht="9">
      <c r="A7" s="148" t="s">
        <v>240</v>
      </c>
      <c r="B7" s="13">
        <v>40</v>
      </c>
      <c r="C7" s="22">
        <v>0</v>
      </c>
      <c r="D7" s="22">
        <v>0</v>
      </c>
      <c r="E7" s="13">
        <v>1</v>
      </c>
      <c r="F7" s="13">
        <f>B7*E7</f>
        <v>40</v>
      </c>
      <c r="G7" s="42">
        <f>ROUND(SUM('Base Data'!$H$39,'Base Data'!$H$42)/3,0)</f>
        <v>49</v>
      </c>
      <c r="H7" s="42">
        <f>F7*G7</f>
        <v>1960</v>
      </c>
      <c r="I7" s="42">
        <f>H7*0.1</f>
        <v>196</v>
      </c>
      <c r="J7" s="42">
        <f>H7*0.05</f>
        <v>98</v>
      </c>
      <c r="K7" s="32">
        <f>(H7*'Base Data'!$C$5)+(I7*'Base Data'!$C$6)+(J7*'Base Data'!$C$7)</f>
        <v>213203.9</v>
      </c>
      <c r="L7" s="32">
        <v>0</v>
      </c>
      <c r="M7" s="43">
        <v>0</v>
      </c>
      <c r="N7" s="122" t="s">
        <v>214</v>
      </c>
    </row>
    <row r="8" spans="1:14" s="4" customFormat="1" ht="9">
      <c r="A8" s="148" t="s">
        <v>241</v>
      </c>
      <c r="B8" s="13"/>
      <c r="C8" s="22"/>
      <c r="D8" s="22"/>
      <c r="E8" s="13"/>
      <c r="F8" s="13"/>
      <c r="G8" s="43"/>
      <c r="H8" s="28"/>
      <c r="I8" s="28"/>
      <c r="J8" s="28"/>
      <c r="K8" s="32"/>
      <c r="L8" s="32"/>
      <c r="M8" s="43"/>
      <c r="N8" s="122"/>
    </row>
    <row r="9" spans="1:14" s="4" customFormat="1" ht="9">
      <c r="A9" s="123" t="s">
        <v>354</v>
      </c>
      <c r="B9" s="13">
        <v>12</v>
      </c>
      <c r="C9" s="22">
        <v>2228</v>
      </c>
      <c r="D9" s="22">
        <v>0</v>
      </c>
      <c r="E9" s="13">
        <v>0.5</v>
      </c>
      <c r="F9" s="13">
        <f>B9*E9</f>
        <v>6</v>
      </c>
      <c r="G9" s="42">
        <f>ROUND(SUM('Base Data'!$D$39,'Base Data'!$D$42)/3,0)</f>
        <v>98</v>
      </c>
      <c r="H9" s="42">
        <f>F9*G9</f>
        <v>588</v>
      </c>
      <c r="I9" s="42">
        <f>H9*0.1</f>
        <v>58.800000000000004</v>
      </c>
      <c r="J9" s="42">
        <f>H9*0.05</f>
        <v>29.400000000000002</v>
      </c>
      <c r="K9" s="32">
        <f>(H9*'Base Data'!$C$5)+(I9*'Base Data'!$C$6)+(J9*'Base Data'!$C$7)</f>
        <v>63961.17</v>
      </c>
      <c r="L9" s="32">
        <f>C9*G9</f>
        <v>218344</v>
      </c>
      <c r="M9" s="43">
        <v>0</v>
      </c>
      <c r="N9" s="122" t="s">
        <v>97</v>
      </c>
    </row>
    <row r="10" spans="1:14" s="4" customFormat="1" ht="9">
      <c r="A10" s="123" t="s">
        <v>245</v>
      </c>
      <c r="B10" s="13" t="s">
        <v>264</v>
      </c>
      <c r="C10" s="22"/>
      <c r="D10" s="22"/>
      <c r="E10" s="13"/>
      <c r="F10" s="13"/>
      <c r="G10" s="43"/>
      <c r="H10" s="28"/>
      <c r="I10" s="28"/>
      <c r="J10" s="28"/>
      <c r="K10" s="32"/>
      <c r="L10" s="32"/>
      <c r="M10" s="43"/>
      <c r="N10" s="122"/>
    </row>
    <row r="11" spans="1:14" s="4" customFormat="1" ht="9">
      <c r="A11" s="123" t="s">
        <v>246</v>
      </c>
      <c r="B11" s="13" t="s">
        <v>264</v>
      </c>
      <c r="C11" s="22"/>
      <c r="D11" s="22"/>
      <c r="E11" s="13"/>
      <c r="F11" s="13"/>
      <c r="G11" s="43"/>
      <c r="H11" s="28"/>
      <c r="I11" s="28"/>
      <c r="J11" s="28"/>
      <c r="K11" s="32"/>
      <c r="L11" s="32"/>
      <c r="M11" s="43"/>
      <c r="N11" s="122"/>
    </row>
    <row r="12" spans="1:14" s="4" customFormat="1" ht="9">
      <c r="A12" s="123" t="s">
        <v>247</v>
      </c>
      <c r="B12" s="13"/>
      <c r="C12" s="22"/>
      <c r="D12" s="22"/>
      <c r="E12" s="13"/>
      <c r="F12" s="13"/>
      <c r="G12" s="43"/>
      <c r="H12" s="28"/>
      <c r="I12" s="28"/>
      <c r="J12" s="28"/>
      <c r="K12" s="32"/>
      <c r="L12" s="32"/>
      <c r="M12" s="43"/>
      <c r="N12" s="122"/>
    </row>
    <row r="13" spans="1:14" s="4" customFormat="1" ht="9">
      <c r="A13" s="124" t="s">
        <v>266</v>
      </c>
      <c r="B13" s="13">
        <v>2</v>
      </c>
      <c r="C13" s="22">
        <v>0</v>
      </c>
      <c r="D13" s="22">
        <v>0</v>
      </c>
      <c r="E13" s="13">
        <v>1</v>
      </c>
      <c r="F13" s="13">
        <f>B13*E13</f>
        <v>2</v>
      </c>
      <c r="G13" s="42">
        <f>$G$7</f>
        <v>49</v>
      </c>
      <c r="H13" s="42">
        <f>F13*G13</f>
        <v>98</v>
      </c>
      <c r="I13" s="42">
        <f>H13*0.1</f>
        <v>9.8000000000000007</v>
      </c>
      <c r="J13" s="42">
        <f>H13*0.05</f>
        <v>4.9000000000000004</v>
      </c>
      <c r="K13" s="32">
        <f>(H13*'Base Data'!$C$5)+(I13*'Base Data'!$C$6)+(J13*'Base Data'!$C$7)</f>
        <v>10660.195</v>
      </c>
      <c r="L13" s="32">
        <v>0</v>
      </c>
      <c r="M13" s="43">
        <f>E13*G13</f>
        <v>49</v>
      </c>
      <c r="N13" s="122" t="s">
        <v>97</v>
      </c>
    </row>
    <row r="14" spans="1:14" s="4" customFormat="1" ht="9">
      <c r="A14" s="124" t="s">
        <v>208</v>
      </c>
      <c r="B14" s="13">
        <v>8</v>
      </c>
      <c r="C14" s="22">
        <v>0</v>
      </c>
      <c r="D14" s="22">
        <v>0</v>
      </c>
      <c r="E14" s="13">
        <v>1</v>
      </c>
      <c r="F14" s="13">
        <f>B14*E14</f>
        <v>8</v>
      </c>
      <c r="G14" s="42">
        <f>$G$7</f>
        <v>49</v>
      </c>
      <c r="H14" s="42">
        <f>F14*G14</f>
        <v>392</v>
      </c>
      <c r="I14" s="42">
        <f>H14*0.1</f>
        <v>39.200000000000003</v>
      </c>
      <c r="J14" s="42">
        <f>H14*0.05</f>
        <v>19.600000000000001</v>
      </c>
      <c r="K14" s="32">
        <f>(H14*'Base Data'!$C$5)+(I14*'Base Data'!$C$6)+(J14*'Base Data'!$C$7)</f>
        <v>42640.78</v>
      </c>
      <c r="L14" s="32">
        <v>0</v>
      </c>
      <c r="M14" s="43">
        <f>E14*G14</f>
        <v>49</v>
      </c>
      <c r="N14" s="122" t="s">
        <v>97</v>
      </c>
    </row>
    <row r="15" spans="1:14" s="4" customFormat="1" ht="9">
      <c r="A15" s="124" t="s">
        <v>148</v>
      </c>
      <c r="B15" s="13">
        <v>5</v>
      </c>
      <c r="C15" s="22">
        <v>0</v>
      </c>
      <c r="D15" s="22">
        <v>0</v>
      </c>
      <c r="E15" s="13">
        <v>0.5</v>
      </c>
      <c r="F15" s="13">
        <f>B15*E15</f>
        <v>2.5</v>
      </c>
      <c r="G15" s="42">
        <f>$G$7</f>
        <v>49</v>
      </c>
      <c r="H15" s="42">
        <f>F15*G15</f>
        <v>122.5</v>
      </c>
      <c r="I15" s="42">
        <f>H15*0.1</f>
        <v>12.25</v>
      </c>
      <c r="J15" s="42">
        <f>H15*0.05</f>
        <v>6.125</v>
      </c>
      <c r="K15" s="361">
        <f>(H15*'Base Data'!$C$5)+(I15*'Base Data'!$C$6)+(J15*'Base Data'!$C$7)</f>
        <v>13325.24375</v>
      </c>
      <c r="L15" s="361">
        <v>0</v>
      </c>
      <c r="M15" s="43">
        <f>E15*G15</f>
        <v>24.5</v>
      </c>
      <c r="N15" s="122" t="s">
        <v>97</v>
      </c>
    </row>
    <row r="16" spans="1:14" s="4" customFormat="1" ht="9">
      <c r="A16" s="165" t="s">
        <v>24</v>
      </c>
      <c r="B16" s="13"/>
      <c r="C16" s="22"/>
      <c r="D16" s="22"/>
      <c r="E16" s="13"/>
      <c r="F16" s="13"/>
      <c r="G16" s="43"/>
      <c r="H16" s="42">
        <f t="shared" ref="H16:M16" si="0">SUM(H4:H15)</f>
        <v>3160.5</v>
      </c>
      <c r="I16" s="42">
        <f t="shared" si="0"/>
        <v>316.05</v>
      </c>
      <c r="J16" s="42">
        <f t="shared" si="0"/>
        <v>158.02500000000001</v>
      </c>
      <c r="K16" s="32">
        <f t="shared" si="0"/>
        <v>343791.28875000007</v>
      </c>
      <c r="L16" s="32">
        <f t="shared" si="0"/>
        <v>218344</v>
      </c>
      <c r="M16" s="373">
        <f t="shared" si="0"/>
        <v>122.5</v>
      </c>
      <c r="N16" s="122"/>
    </row>
    <row r="17" spans="1:14" s="4" customFormat="1" ht="9">
      <c r="A17" s="123" t="s">
        <v>261</v>
      </c>
      <c r="B17" s="13"/>
      <c r="C17" s="22"/>
      <c r="D17" s="22"/>
      <c r="E17" s="13"/>
      <c r="F17" s="13"/>
      <c r="G17" s="43"/>
      <c r="H17" s="28"/>
      <c r="I17" s="28"/>
      <c r="J17" s="28"/>
      <c r="K17" s="364"/>
      <c r="L17" s="364"/>
      <c r="M17" s="43"/>
      <c r="N17" s="122"/>
    </row>
    <row r="18" spans="1:14" s="4" customFormat="1" ht="9">
      <c r="A18" s="123" t="s">
        <v>248</v>
      </c>
      <c r="B18" s="13" t="s">
        <v>252</v>
      </c>
      <c r="C18" s="22"/>
      <c r="D18" s="22"/>
      <c r="E18" s="13"/>
      <c r="F18" s="13"/>
      <c r="G18" s="43"/>
      <c r="H18" s="28"/>
      <c r="I18" s="28"/>
      <c r="J18" s="28"/>
      <c r="K18" s="32"/>
      <c r="L18" s="32"/>
      <c r="M18" s="43"/>
      <c r="N18" s="122"/>
    </row>
    <row r="19" spans="1:14" s="4" customFormat="1" ht="9">
      <c r="A19" s="123" t="s">
        <v>249</v>
      </c>
      <c r="B19" s="13" t="s">
        <v>264</v>
      </c>
      <c r="C19" s="22"/>
      <c r="D19" s="22"/>
      <c r="E19" s="13"/>
      <c r="F19" s="13"/>
      <c r="G19" s="43"/>
      <c r="H19" s="28"/>
      <c r="I19" s="28"/>
      <c r="J19" s="28"/>
      <c r="K19" s="32"/>
      <c r="L19" s="32"/>
      <c r="M19" s="43"/>
      <c r="N19" s="122"/>
    </row>
    <row r="20" spans="1:14" s="4" customFormat="1" ht="9">
      <c r="A20" s="123" t="s">
        <v>250</v>
      </c>
      <c r="B20" s="13" t="s">
        <v>264</v>
      </c>
      <c r="C20" s="22"/>
      <c r="D20" s="22"/>
      <c r="E20" s="13"/>
      <c r="F20" s="13"/>
      <c r="G20" s="43"/>
      <c r="H20" s="28"/>
      <c r="I20" s="28"/>
      <c r="J20" s="28"/>
      <c r="K20" s="32"/>
      <c r="L20" s="32"/>
      <c r="M20" s="43"/>
      <c r="N20" s="122" t="s">
        <v>215</v>
      </c>
    </row>
    <row r="21" spans="1:14" s="4" customFormat="1" ht="9">
      <c r="A21" s="123" t="s">
        <v>251</v>
      </c>
      <c r="B21" s="13"/>
      <c r="C21" s="22"/>
      <c r="D21" s="22"/>
      <c r="E21" s="13"/>
      <c r="F21" s="13"/>
      <c r="G21" s="43"/>
      <c r="H21" s="28"/>
      <c r="I21" s="28"/>
      <c r="J21" s="28"/>
      <c r="K21" s="32"/>
      <c r="L21" s="32"/>
      <c r="M21" s="43"/>
      <c r="N21" s="122"/>
    </row>
    <row r="22" spans="1:14" s="4" customFormat="1" ht="9">
      <c r="A22" s="124" t="s">
        <v>323</v>
      </c>
      <c r="B22" s="13">
        <v>2</v>
      </c>
      <c r="C22" s="22">
        <v>0</v>
      </c>
      <c r="D22" s="22">
        <v>0</v>
      </c>
      <c r="E22" s="13">
        <v>1</v>
      </c>
      <c r="F22" s="13">
        <f>B22*E22</f>
        <v>2</v>
      </c>
      <c r="G22" s="43">
        <f>$G$9</f>
        <v>98</v>
      </c>
      <c r="H22" s="42">
        <f>F22*G22</f>
        <v>196</v>
      </c>
      <c r="I22" s="42">
        <f>H22*0.1</f>
        <v>19.600000000000001</v>
      </c>
      <c r="J22" s="42">
        <f>H22*0.05</f>
        <v>9.8000000000000007</v>
      </c>
      <c r="K22" s="32">
        <f>(H22*'Base Data'!$C$5)+(I22*'Base Data'!$C$6)+(J22*'Base Data'!$C$7)</f>
        <v>21320.39</v>
      </c>
      <c r="L22" s="32">
        <v>0</v>
      </c>
      <c r="M22" s="43">
        <v>0</v>
      </c>
      <c r="N22" s="122" t="s">
        <v>97</v>
      </c>
    </row>
    <row r="23" spans="1:14" s="4" customFormat="1" ht="9">
      <c r="A23" s="124" t="s">
        <v>322</v>
      </c>
      <c r="B23" s="13">
        <v>0.5</v>
      </c>
      <c r="C23" s="22">
        <v>0</v>
      </c>
      <c r="D23" s="22">
        <v>0</v>
      </c>
      <c r="E23" s="13">
        <v>0.5</v>
      </c>
      <c r="F23" s="13">
        <f>B23*E23</f>
        <v>0.25</v>
      </c>
      <c r="G23" s="43">
        <f>$G$9</f>
        <v>98</v>
      </c>
      <c r="H23" s="42">
        <f>F23*G23</f>
        <v>24.5</v>
      </c>
      <c r="I23" s="42">
        <f>H23*0.1</f>
        <v>2.4500000000000002</v>
      </c>
      <c r="J23" s="42">
        <f>H23*0.05</f>
        <v>1.2250000000000001</v>
      </c>
      <c r="K23" s="32">
        <f>(H23*'Base Data'!$C$5)+(I23*'Base Data'!$C$6)+(J23*'Base Data'!$C$7)</f>
        <v>2665.0487499999999</v>
      </c>
      <c r="L23" s="32">
        <v>0</v>
      </c>
      <c r="M23" s="43">
        <v>0</v>
      </c>
      <c r="N23" s="122" t="s">
        <v>97</v>
      </c>
    </row>
    <row r="24" spans="1:14" s="4" customFormat="1" ht="9">
      <c r="A24" s="123" t="s">
        <v>255</v>
      </c>
      <c r="B24" s="13" t="s">
        <v>264</v>
      </c>
      <c r="C24" s="22"/>
      <c r="D24" s="22"/>
      <c r="E24" s="13"/>
      <c r="F24" s="13"/>
      <c r="G24" s="43"/>
      <c r="H24" s="28"/>
      <c r="I24" s="28"/>
      <c r="J24" s="28"/>
      <c r="K24" s="32"/>
      <c r="L24" s="32"/>
      <c r="M24" s="43"/>
      <c r="N24" s="122"/>
    </row>
    <row r="25" spans="1:14" s="4" customFormat="1" ht="9">
      <c r="A25" s="123" t="s">
        <v>256</v>
      </c>
      <c r="B25" s="13" t="s">
        <v>264</v>
      </c>
      <c r="C25" s="22"/>
      <c r="D25" s="22"/>
      <c r="E25" s="13"/>
      <c r="F25" s="13"/>
      <c r="G25" s="43"/>
      <c r="H25" s="28"/>
      <c r="I25" s="28"/>
      <c r="J25" s="28"/>
      <c r="K25" s="32"/>
      <c r="L25" s="32"/>
      <c r="M25" s="43"/>
      <c r="N25" s="122"/>
    </row>
    <row r="26" spans="1:14" s="4" customFormat="1" ht="9.75" thickBot="1">
      <c r="A26" s="216" t="s">
        <v>26</v>
      </c>
      <c r="B26" s="205"/>
      <c r="C26" s="161"/>
      <c r="D26" s="161"/>
      <c r="E26" s="205"/>
      <c r="F26" s="205"/>
      <c r="G26" s="138"/>
      <c r="H26" s="231">
        <f>SUM(H18:H25)</f>
        <v>220.5</v>
      </c>
      <c r="I26" s="231">
        <f t="shared" ref="I26:M26" si="1">SUM(I18:I25)</f>
        <v>22.05</v>
      </c>
      <c r="J26" s="231">
        <f t="shared" si="1"/>
        <v>11.025</v>
      </c>
      <c r="K26" s="139">
        <f t="shared" si="1"/>
        <v>23985.438750000001</v>
      </c>
      <c r="L26" s="139">
        <f t="shared" si="1"/>
        <v>0</v>
      </c>
      <c r="M26" s="138">
        <f t="shared" si="1"/>
        <v>0</v>
      </c>
      <c r="N26" s="232"/>
    </row>
    <row r="27" spans="1:14" s="4" customFormat="1" ht="12" thickBot="1">
      <c r="A27" s="149" t="s">
        <v>236</v>
      </c>
      <c r="B27" s="150"/>
      <c r="C27" s="150"/>
      <c r="D27" s="150"/>
      <c r="E27" s="150"/>
      <c r="F27" s="150"/>
      <c r="G27" s="134"/>
      <c r="H27" s="135">
        <f t="shared" ref="H27:M27" si="2">SUM(H16,H26)</f>
        <v>3381</v>
      </c>
      <c r="I27" s="135">
        <f t="shared" si="2"/>
        <v>338.1</v>
      </c>
      <c r="J27" s="135">
        <f t="shared" si="2"/>
        <v>169.05</v>
      </c>
      <c r="K27" s="136">
        <f t="shared" si="2"/>
        <v>367776.72750000004</v>
      </c>
      <c r="L27" s="136">
        <f t="shared" si="2"/>
        <v>218344</v>
      </c>
      <c r="M27" s="135">
        <f t="shared" si="2"/>
        <v>122.5</v>
      </c>
      <c r="N27" s="137"/>
    </row>
    <row r="28" spans="1:14" s="4" customFormat="1">
      <c r="A28" s="1"/>
      <c r="B28" s="5"/>
      <c r="C28" s="5"/>
      <c r="D28" s="5"/>
      <c r="E28" s="5"/>
      <c r="F28" s="5"/>
      <c r="G28" s="8"/>
      <c r="H28" s="5"/>
      <c r="I28" s="5"/>
      <c r="J28" s="5"/>
      <c r="K28" s="5"/>
      <c r="L28" s="6"/>
      <c r="M28" s="6"/>
      <c r="N28" s="5"/>
    </row>
    <row r="29" spans="1:14" s="4" customFormat="1" ht="9">
      <c r="A29" s="33" t="s">
        <v>366</v>
      </c>
      <c r="B29" s="10"/>
      <c r="C29" s="10"/>
      <c r="D29" s="10"/>
      <c r="E29" s="10"/>
      <c r="F29" s="10"/>
      <c r="G29" s="11"/>
      <c r="H29" s="10"/>
      <c r="I29" s="10"/>
      <c r="J29" s="10"/>
      <c r="K29" s="10"/>
      <c r="L29" s="12"/>
      <c r="M29" s="12"/>
      <c r="N29" s="10"/>
    </row>
    <row r="30" spans="1:14" s="9" customFormat="1" ht="9">
      <c r="A30" s="409" t="s">
        <v>369</v>
      </c>
      <c r="B30" s="409"/>
      <c r="C30" s="409"/>
      <c r="D30" s="409"/>
      <c r="E30" s="409"/>
      <c r="F30" s="409"/>
      <c r="G30" s="409"/>
      <c r="H30" s="409"/>
      <c r="I30" s="409"/>
      <c r="J30" s="409"/>
      <c r="K30" s="409"/>
      <c r="L30" s="196"/>
      <c r="M30" s="196"/>
      <c r="N30" s="10"/>
    </row>
    <row r="31" spans="1:14" s="9" customFormat="1" ht="10.5" customHeight="1">
      <c r="A31" s="9" t="s">
        <v>370</v>
      </c>
      <c r="B31" s="10"/>
      <c r="C31" s="10"/>
      <c r="D31" s="10"/>
      <c r="E31" s="10"/>
      <c r="F31" s="10"/>
      <c r="G31" s="11"/>
      <c r="H31" s="10"/>
      <c r="I31" s="10"/>
      <c r="J31" s="10"/>
      <c r="K31" s="10"/>
      <c r="L31" s="12"/>
      <c r="M31" s="12"/>
      <c r="N31" s="10"/>
    </row>
    <row r="32" spans="1:14">
      <c r="A32" s="4"/>
    </row>
    <row r="33" spans="1:1">
      <c r="A33" s="9"/>
    </row>
  </sheetData>
  <mergeCells count="3">
    <mergeCell ref="A1:N1"/>
    <mergeCell ref="A2:N2"/>
    <mergeCell ref="A30:K30"/>
  </mergeCells>
  <phoneticPr fontId="7" type="noConversion"/>
  <printOptions horizontalCentered="1"/>
  <pageMargins left="0" right="0" top="0.5" bottom="0.5" header="0.5" footer="0.5"/>
  <pageSetup scale="97" orientation="landscape" r:id="rId1"/>
  <headerFooter alignWithMargins="0"/>
</worksheet>
</file>

<file path=xl/worksheets/sheet24.xml><?xml version="1.0" encoding="utf-8"?>
<worksheet xmlns="http://schemas.openxmlformats.org/spreadsheetml/2006/main" xmlns:r="http://schemas.openxmlformats.org/officeDocument/2006/relationships">
  <sheetPr>
    <pageSetUpPr fitToPage="1"/>
  </sheetPr>
  <dimension ref="A1:N31"/>
  <sheetViews>
    <sheetView zoomScaleNormal="100" workbookViewId="0">
      <selection activeCell="A29" sqref="A29"/>
    </sheetView>
  </sheetViews>
  <sheetFormatPr defaultRowHeight="11.25"/>
  <cols>
    <col min="1" max="1" width="35" style="1" customWidth="1"/>
    <col min="2" max="2" width="8.85546875" style="5" bestFit="1" customWidth="1"/>
    <col min="3" max="3" width="8" style="5" customWidth="1"/>
    <col min="4" max="4" width="8.140625" style="5" customWidth="1"/>
    <col min="5" max="5" width="8.28515625" style="5" customWidth="1"/>
    <col min="6" max="6" width="8.140625" style="5" customWidth="1"/>
    <col min="7" max="7" width="9" style="5" customWidth="1"/>
    <col min="8" max="9" width="6.85546875" style="6" customWidth="1"/>
    <col min="10" max="10" width="7" style="6" customWidth="1"/>
    <col min="11" max="11" width="9.85546875" style="6" bestFit="1" customWidth="1"/>
    <col min="12" max="12" width="10.85546875" style="6" bestFit="1" customWidth="1"/>
    <col min="13" max="13" width="9" style="6" customWidth="1"/>
    <col min="14" max="14" width="2.5703125" style="5" bestFit="1" customWidth="1"/>
    <col min="15" max="15" width="9.140625" style="1" customWidth="1"/>
    <col min="16" max="16384" width="9.140625" style="1"/>
  </cols>
  <sheetData>
    <row r="1" spans="1:14">
      <c r="A1" s="407" t="s">
        <v>79</v>
      </c>
      <c r="B1" s="407"/>
      <c r="C1" s="407"/>
      <c r="D1" s="407"/>
      <c r="E1" s="407"/>
      <c r="F1" s="407"/>
      <c r="G1" s="407"/>
      <c r="H1" s="407"/>
      <c r="I1" s="407"/>
      <c r="J1" s="407"/>
      <c r="K1" s="407"/>
      <c r="L1" s="407"/>
      <c r="M1" s="407"/>
      <c r="N1" s="407"/>
    </row>
    <row r="2" spans="1:14" ht="12" thickBot="1">
      <c r="A2" s="415" t="s">
        <v>272</v>
      </c>
      <c r="B2" s="415"/>
      <c r="C2" s="415"/>
      <c r="D2" s="415"/>
      <c r="E2" s="415"/>
      <c r="F2" s="415"/>
      <c r="G2" s="415"/>
      <c r="H2" s="415"/>
      <c r="I2" s="415"/>
      <c r="J2" s="415"/>
      <c r="K2" s="415"/>
      <c r="L2" s="415"/>
      <c r="M2" s="415"/>
      <c r="N2" s="415"/>
    </row>
    <row r="3" spans="1:14" s="3" customFormat="1" ht="54.75" thickBot="1">
      <c r="A3" s="212" t="s">
        <v>229</v>
      </c>
      <c r="B3" s="144" t="s">
        <v>230</v>
      </c>
      <c r="C3" s="144" t="s">
        <v>355</v>
      </c>
      <c r="D3" s="144" t="s">
        <v>356</v>
      </c>
      <c r="E3" s="129" t="s">
        <v>357</v>
      </c>
      <c r="F3" s="144" t="s">
        <v>358</v>
      </c>
      <c r="G3" s="145" t="s">
        <v>359</v>
      </c>
      <c r="H3" s="233" t="s">
        <v>360</v>
      </c>
      <c r="I3" s="233" t="s">
        <v>361</v>
      </c>
      <c r="J3" s="233" t="s">
        <v>362</v>
      </c>
      <c r="K3" s="218" t="s">
        <v>363</v>
      </c>
      <c r="L3" s="233" t="s">
        <v>364</v>
      </c>
      <c r="M3" s="233" t="s">
        <v>365</v>
      </c>
      <c r="N3" s="354" t="s">
        <v>231</v>
      </c>
    </row>
    <row r="4" spans="1:14" s="4" customFormat="1" ht="9">
      <c r="A4" s="164" t="s">
        <v>237</v>
      </c>
      <c r="B4" s="157" t="s">
        <v>264</v>
      </c>
      <c r="C4" s="158"/>
      <c r="D4" s="158"/>
      <c r="E4" s="157"/>
      <c r="F4" s="157"/>
      <c r="G4" s="237"/>
      <c r="H4" s="235"/>
      <c r="I4" s="235"/>
      <c r="J4" s="235"/>
      <c r="K4" s="236"/>
      <c r="L4" s="236"/>
      <c r="M4" s="237"/>
      <c r="N4" s="229"/>
    </row>
    <row r="5" spans="1:14" s="4" customFormat="1" ht="9">
      <c r="A5" s="148" t="s">
        <v>238</v>
      </c>
      <c r="B5" s="13" t="s">
        <v>264</v>
      </c>
      <c r="C5" s="22"/>
      <c r="D5" s="22"/>
      <c r="E5" s="13"/>
      <c r="F5" s="13"/>
      <c r="G5" s="43"/>
      <c r="H5" s="28"/>
      <c r="I5" s="28"/>
      <c r="J5" s="28"/>
      <c r="K5" s="32"/>
      <c r="L5" s="32"/>
      <c r="M5" s="43"/>
      <c r="N5" s="122"/>
    </row>
    <row r="6" spans="1:14" s="4" customFormat="1" ht="9">
      <c r="A6" s="148" t="s">
        <v>239</v>
      </c>
      <c r="B6" s="13"/>
      <c r="C6" s="22"/>
      <c r="D6" s="22"/>
      <c r="E6" s="13"/>
      <c r="F6" s="13"/>
      <c r="G6" s="43"/>
      <c r="H6" s="28"/>
      <c r="I6" s="28"/>
      <c r="J6" s="28"/>
      <c r="K6" s="32"/>
      <c r="L6" s="32"/>
      <c r="M6" s="43"/>
      <c r="N6" s="122"/>
    </row>
    <row r="7" spans="1:14" s="4" customFormat="1" ht="9">
      <c r="A7" s="148" t="s">
        <v>240</v>
      </c>
      <c r="B7" s="13">
        <v>40</v>
      </c>
      <c r="C7" s="22">
        <v>0</v>
      </c>
      <c r="D7" s="22">
        <v>0</v>
      </c>
      <c r="E7" s="13">
        <v>1</v>
      </c>
      <c r="F7" s="13">
        <f>B7*E7</f>
        <v>40</v>
      </c>
      <c r="G7" s="42">
        <f>ROUND(SUM('Base Data'!H39,'Base Data'!H42)/3,0)</f>
        <v>49</v>
      </c>
      <c r="H7" s="42">
        <f>F7*G7</f>
        <v>1960</v>
      </c>
      <c r="I7" s="42">
        <f>H7*0.1</f>
        <v>196</v>
      </c>
      <c r="J7" s="42">
        <f>H7*0.05</f>
        <v>98</v>
      </c>
      <c r="K7" s="32">
        <f>(H7*'Base Data'!$C$5)+(I7*'Base Data'!$C$6)+(J7*'Base Data'!$C$7)</f>
        <v>213203.9</v>
      </c>
      <c r="L7" s="32">
        <v>0</v>
      </c>
      <c r="M7" s="43">
        <v>0</v>
      </c>
      <c r="N7" s="122" t="s">
        <v>214</v>
      </c>
    </row>
    <row r="8" spans="1:14" s="4" customFormat="1" ht="9">
      <c r="A8" s="148" t="s">
        <v>241</v>
      </c>
      <c r="B8" s="13"/>
      <c r="C8" s="22"/>
      <c r="D8" s="22"/>
      <c r="E8" s="13"/>
      <c r="F8" s="13"/>
      <c r="G8" s="43"/>
      <c r="H8" s="28"/>
      <c r="I8" s="28"/>
      <c r="J8" s="28"/>
      <c r="K8" s="32"/>
      <c r="L8" s="32"/>
      <c r="M8" s="43"/>
      <c r="N8" s="122"/>
    </row>
    <row r="9" spans="1:14" s="4" customFormat="1" ht="9">
      <c r="A9" s="123" t="s">
        <v>354</v>
      </c>
      <c r="B9" s="13">
        <v>12</v>
      </c>
      <c r="C9" s="22">
        <v>2228</v>
      </c>
      <c r="D9" s="22">
        <v>0</v>
      </c>
      <c r="E9" s="13">
        <v>0.5</v>
      </c>
      <c r="F9" s="13">
        <f>B9*E9</f>
        <v>6</v>
      </c>
      <c r="G9" s="42">
        <f>ROUND(SUM('Base Data'!$D$39,'Base Data'!$D$42)/3,0)</f>
        <v>98</v>
      </c>
      <c r="H9" s="42">
        <f>F9*G9</f>
        <v>588</v>
      </c>
      <c r="I9" s="42">
        <f>H9*0.1</f>
        <v>58.800000000000004</v>
      </c>
      <c r="J9" s="42">
        <f>H9*0.05</f>
        <v>29.400000000000002</v>
      </c>
      <c r="K9" s="32">
        <f>(H9*'Base Data'!$C$5)+(I9*'Base Data'!$C$6)+(J9*'Base Data'!$C$7)</f>
        <v>63961.17</v>
      </c>
      <c r="L9" s="32">
        <f>C9*G9</f>
        <v>218344</v>
      </c>
      <c r="M9" s="43">
        <v>0</v>
      </c>
      <c r="N9" s="122" t="s">
        <v>97</v>
      </c>
    </row>
    <row r="10" spans="1:14" s="4" customFormat="1" ht="9">
      <c r="A10" s="123" t="s">
        <v>245</v>
      </c>
      <c r="B10" s="13" t="s">
        <v>264</v>
      </c>
      <c r="C10" s="22"/>
      <c r="D10" s="22"/>
      <c r="E10" s="13"/>
      <c r="F10" s="13"/>
      <c r="G10" s="43"/>
      <c r="H10" s="28"/>
      <c r="I10" s="28"/>
      <c r="J10" s="28"/>
      <c r="K10" s="32"/>
      <c r="L10" s="32"/>
      <c r="M10" s="43"/>
      <c r="N10" s="122"/>
    </row>
    <row r="11" spans="1:14" s="4" customFormat="1" ht="9">
      <c r="A11" s="123" t="s">
        <v>246</v>
      </c>
      <c r="B11" s="13" t="s">
        <v>264</v>
      </c>
      <c r="C11" s="22"/>
      <c r="D11" s="22"/>
      <c r="E11" s="13"/>
      <c r="F11" s="13"/>
      <c r="G11" s="43"/>
      <c r="H11" s="28"/>
      <c r="I11" s="28"/>
      <c r="J11" s="28"/>
      <c r="K11" s="32"/>
      <c r="L11" s="32"/>
      <c r="M11" s="43"/>
      <c r="N11" s="122"/>
    </row>
    <row r="12" spans="1:14" s="4" customFormat="1" ht="9">
      <c r="A12" s="123" t="s">
        <v>247</v>
      </c>
      <c r="B12" s="13"/>
      <c r="C12" s="22"/>
      <c r="D12" s="22"/>
      <c r="E12" s="13"/>
      <c r="F12" s="13"/>
      <c r="G12" s="43"/>
      <c r="H12" s="28"/>
      <c r="I12" s="28"/>
      <c r="J12" s="28"/>
      <c r="K12" s="32"/>
      <c r="L12" s="32"/>
      <c r="M12" s="43"/>
      <c r="N12" s="122"/>
    </row>
    <row r="13" spans="1:14" s="4" customFormat="1" ht="9">
      <c r="A13" s="124" t="s">
        <v>266</v>
      </c>
      <c r="B13" s="13">
        <v>2</v>
      </c>
      <c r="C13" s="22">
        <v>0</v>
      </c>
      <c r="D13" s="22">
        <v>0</v>
      </c>
      <c r="E13" s="13">
        <v>1</v>
      </c>
      <c r="F13" s="13">
        <f>B13*E13</f>
        <v>2</v>
      </c>
      <c r="G13" s="42">
        <f>$G$7</f>
        <v>49</v>
      </c>
      <c r="H13" s="42">
        <f>F13*G13</f>
        <v>98</v>
      </c>
      <c r="I13" s="42">
        <f>H13*0.1</f>
        <v>9.8000000000000007</v>
      </c>
      <c r="J13" s="42">
        <f>H13*0.05</f>
        <v>4.9000000000000004</v>
      </c>
      <c r="K13" s="32">
        <f>(H13*'Base Data'!$C$5)+(I13*'Base Data'!$C$6)+(J13*'Base Data'!$C$7)</f>
        <v>10660.195</v>
      </c>
      <c r="L13" s="32">
        <v>0</v>
      </c>
      <c r="M13" s="43">
        <f>E13*G13</f>
        <v>49</v>
      </c>
      <c r="N13" s="122" t="s">
        <v>97</v>
      </c>
    </row>
    <row r="14" spans="1:14" s="4" customFormat="1" ht="9">
      <c r="A14" s="124" t="s">
        <v>208</v>
      </c>
      <c r="B14" s="13">
        <v>8</v>
      </c>
      <c r="C14" s="22">
        <v>0</v>
      </c>
      <c r="D14" s="22">
        <v>0</v>
      </c>
      <c r="E14" s="13">
        <v>1</v>
      </c>
      <c r="F14" s="13">
        <f>B14*E14</f>
        <v>8</v>
      </c>
      <c r="G14" s="42">
        <f>$G$7</f>
        <v>49</v>
      </c>
      <c r="H14" s="42">
        <f>F14*G14</f>
        <v>392</v>
      </c>
      <c r="I14" s="42">
        <f>H14*0.1</f>
        <v>39.200000000000003</v>
      </c>
      <c r="J14" s="42">
        <f>H14*0.05</f>
        <v>19.600000000000001</v>
      </c>
      <c r="K14" s="32">
        <f>(H14*'Base Data'!$C$5)+(I14*'Base Data'!$C$6)+(J14*'Base Data'!$C$7)</f>
        <v>42640.78</v>
      </c>
      <c r="L14" s="32">
        <v>0</v>
      </c>
      <c r="M14" s="43">
        <f>E14*G14</f>
        <v>49</v>
      </c>
      <c r="N14" s="122" t="s">
        <v>97</v>
      </c>
    </row>
    <row r="15" spans="1:14" s="4" customFormat="1" ht="9">
      <c r="A15" s="124" t="s">
        <v>148</v>
      </c>
      <c r="B15" s="13">
        <v>5</v>
      </c>
      <c r="C15" s="22">
        <v>0</v>
      </c>
      <c r="D15" s="22">
        <v>0</v>
      </c>
      <c r="E15" s="13">
        <v>0.5</v>
      </c>
      <c r="F15" s="13">
        <f>B15*E15</f>
        <v>2.5</v>
      </c>
      <c r="G15" s="42">
        <f>$G$7+'Fac-NewSmlSolid-Yr1'!G15</f>
        <v>98</v>
      </c>
      <c r="H15" s="42">
        <f>F15*G15</f>
        <v>245</v>
      </c>
      <c r="I15" s="42">
        <f>H15*0.1</f>
        <v>24.5</v>
      </c>
      <c r="J15" s="42">
        <f>H15*0.05</f>
        <v>12.25</v>
      </c>
      <c r="K15" s="32">
        <f>(H15*'Base Data'!$C$5)+(I15*'Base Data'!$C$6)+(J15*'Base Data'!$C$7)</f>
        <v>26650.487499999999</v>
      </c>
      <c r="L15" s="32">
        <v>0</v>
      </c>
      <c r="M15" s="43">
        <f>E15*G15</f>
        <v>49</v>
      </c>
      <c r="N15" s="122" t="s">
        <v>97</v>
      </c>
    </row>
    <row r="16" spans="1:14" s="4" customFormat="1" ht="9">
      <c r="A16" s="165" t="s">
        <v>24</v>
      </c>
      <c r="B16" s="13"/>
      <c r="C16" s="22"/>
      <c r="D16" s="22"/>
      <c r="E16" s="13"/>
      <c r="F16" s="13"/>
      <c r="G16" s="43"/>
      <c r="H16" s="42">
        <f t="shared" ref="H16:M16" si="0">SUM(H4:H15)</f>
        <v>3283</v>
      </c>
      <c r="I16" s="42">
        <f t="shared" si="0"/>
        <v>328.3</v>
      </c>
      <c r="J16" s="42">
        <f t="shared" si="0"/>
        <v>164.15</v>
      </c>
      <c r="K16" s="32">
        <f t="shared" si="0"/>
        <v>357116.53250000003</v>
      </c>
      <c r="L16" s="32">
        <f t="shared" si="0"/>
        <v>218344</v>
      </c>
      <c r="M16" s="373">
        <f t="shared" si="0"/>
        <v>147</v>
      </c>
      <c r="N16" s="122"/>
    </row>
    <row r="17" spans="1:14" s="4" customFormat="1" ht="9">
      <c r="A17" s="123" t="s">
        <v>261</v>
      </c>
      <c r="B17" s="13"/>
      <c r="C17" s="22"/>
      <c r="D17" s="22"/>
      <c r="E17" s="13"/>
      <c r="F17" s="13"/>
      <c r="G17" s="43"/>
      <c r="H17" s="28"/>
      <c r="I17" s="28"/>
      <c r="J17" s="28"/>
      <c r="K17" s="32"/>
      <c r="L17" s="32"/>
      <c r="M17" s="43"/>
      <c r="N17" s="122"/>
    </row>
    <row r="18" spans="1:14" s="4" customFormat="1" ht="9">
      <c r="A18" s="123" t="s">
        <v>248</v>
      </c>
      <c r="B18" s="13" t="s">
        <v>252</v>
      </c>
      <c r="C18" s="22"/>
      <c r="D18" s="22"/>
      <c r="E18" s="13"/>
      <c r="F18" s="13"/>
      <c r="G18" s="43"/>
      <c r="H18" s="28"/>
      <c r="I18" s="28"/>
      <c r="J18" s="28"/>
      <c r="K18" s="32"/>
      <c r="L18" s="32"/>
      <c r="M18" s="43"/>
      <c r="N18" s="122"/>
    </row>
    <row r="19" spans="1:14" s="4" customFormat="1" ht="9">
      <c r="A19" s="123" t="s">
        <v>249</v>
      </c>
      <c r="B19" s="13" t="s">
        <v>264</v>
      </c>
      <c r="C19" s="22"/>
      <c r="D19" s="22"/>
      <c r="E19" s="13"/>
      <c r="F19" s="13"/>
      <c r="G19" s="43"/>
      <c r="H19" s="28"/>
      <c r="I19" s="28"/>
      <c r="J19" s="28"/>
      <c r="K19" s="32"/>
      <c r="L19" s="32"/>
      <c r="M19" s="43"/>
      <c r="N19" s="122"/>
    </row>
    <row r="20" spans="1:14" s="4" customFormat="1" ht="9">
      <c r="A20" s="123" t="s">
        <v>250</v>
      </c>
      <c r="B20" s="13" t="s">
        <v>264</v>
      </c>
      <c r="C20" s="22"/>
      <c r="D20" s="22"/>
      <c r="E20" s="13"/>
      <c r="F20" s="13"/>
      <c r="G20" s="43"/>
      <c r="H20" s="28"/>
      <c r="I20" s="28"/>
      <c r="J20" s="28"/>
      <c r="K20" s="32"/>
      <c r="L20" s="32"/>
      <c r="M20" s="43"/>
      <c r="N20" s="122" t="s">
        <v>215</v>
      </c>
    </row>
    <row r="21" spans="1:14" s="4" customFormat="1" ht="9">
      <c r="A21" s="123" t="s">
        <v>251</v>
      </c>
      <c r="B21" s="13"/>
      <c r="C21" s="22"/>
      <c r="D21" s="22"/>
      <c r="E21" s="13"/>
      <c r="F21" s="13"/>
      <c r="G21" s="43"/>
      <c r="H21" s="28"/>
      <c r="I21" s="28"/>
      <c r="J21" s="28"/>
      <c r="K21" s="32"/>
      <c r="L21" s="32"/>
      <c r="M21" s="43"/>
      <c r="N21" s="122"/>
    </row>
    <row r="22" spans="1:14" s="4" customFormat="1" ht="9">
      <c r="A22" s="124" t="s">
        <v>323</v>
      </c>
      <c r="B22" s="13">
        <v>2</v>
      </c>
      <c r="C22" s="22">
        <v>0</v>
      </c>
      <c r="D22" s="22">
        <v>0</v>
      </c>
      <c r="E22" s="13">
        <v>1</v>
      </c>
      <c r="F22" s="13">
        <f>B22*E22</f>
        <v>2</v>
      </c>
      <c r="G22" s="43">
        <f>$G$9+'Fac-NewSmlSolid-Yr1'!G22</f>
        <v>196</v>
      </c>
      <c r="H22" s="42">
        <f>F22*G22</f>
        <v>392</v>
      </c>
      <c r="I22" s="42">
        <f>H22*0.1</f>
        <v>39.200000000000003</v>
      </c>
      <c r="J22" s="42">
        <f>H22*0.05</f>
        <v>19.600000000000001</v>
      </c>
      <c r="K22" s="32">
        <f>(H22*'Base Data'!$C$5)+(I22*'Base Data'!$C$6)+(J22*'Base Data'!$C$7)</f>
        <v>42640.78</v>
      </c>
      <c r="L22" s="32">
        <v>0</v>
      </c>
      <c r="M22" s="43">
        <v>0</v>
      </c>
      <c r="N22" s="122" t="s">
        <v>97</v>
      </c>
    </row>
    <row r="23" spans="1:14" s="4" customFormat="1" ht="9">
      <c r="A23" s="124" t="s">
        <v>322</v>
      </c>
      <c r="B23" s="13">
        <v>0.5</v>
      </c>
      <c r="C23" s="22">
        <v>0</v>
      </c>
      <c r="D23" s="22">
        <v>0</v>
      </c>
      <c r="E23" s="13">
        <v>0.5</v>
      </c>
      <c r="F23" s="13">
        <f>B23*E23</f>
        <v>0.25</v>
      </c>
      <c r="G23" s="43">
        <f>$G$9+'Fac-NewSmlSolid-Yr1'!G23</f>
        <v>196</v>
      </c>
      <c r="H23" s="42">
        <f>F23*G23</f>
        <v>49</v>
      </c>
      <c r="I23" s="42">
        <f>H23*0.1</f>
        <v>4.9000000000000004</v>
      </c>
      <c r="J23" s="42">
        <f>H23*0.05</f>
        <v>2.4500000000000002</v>
      </c>
      <c r="K23" s="32">
        <f>(H23*'Base Data'!$C$5)+(I23*'Base Data'!$C$6)+(J23*'Base Data'!$C$7)</f>
        <v>5330.0974999999999</v>
      </c>
      <c r="L23" s="32">
        <v>0</v>
      </c>
      <c r="M23" s="43">
        <v>0</v>
      </c>
      <c r="N23" s="122" t="s">
        <v>97</v>
      </c>
    </row>
    <row r="24" spans="1:14" s="4" customFormat="1" ht="9">
      <c r="A24" s="123" t="s">
        <v>255</v>
      </c>
      <c r="B24" s="13" t="s">
        <v>264</v>
      </c>
      <c r="C24" s="22"/>
      <c r="D24" s="22"/>
      <c r="E24" s="13"/>
      <c r="F24" s="13"/>
      <c r="G24" s="43"/>
      <c r="H24" s="28"/>
      <c r="I24" s="28"/>
      <c r="J24" s="28"/>
      <c r="K24" s="32"/>
      <c r="L24" s="32"/>
      <c r="M24" s="43"/>
      <c r="N24" s="122"/>
    </row>
    <row r="25" spans="1:14" s="4" customFormat="1" ht="9">
      <c r="A25" s="123" t="s">
        <v>256</v>
      </c>
      <c r="B25" s="13" t="s">
        <v>264</v>
      </c>
      <c r="C25" s="22"/>
      <c r="D25" s="22"/>
      <c r="E25" s="13"/>
      <c r="F25" s="13"/>
      <c r="G25" s="43"/>
      <c r="H25" s="28"/>
      <c r="I25" s="28"/>
      <c r="J25" s="28"/>
      <c r="K25" s="32"/>
      <c r="L25" s="32"/>
      <c r="M25" s="43"/>
      <c r="N25" s="122"/>
    </row>
    <row r="26" spans="1:14" s="4" customFormat="1" ht="9.75" thickBot="1">
      <c r="A26" s="216" t="s">
        <v>26</v>
      </c>
      <c r="B26" s="205"/>
      <c r="C26" s="161"/>
      <c r="D26" s="161"/>
      <c r="E26" s="205"/>
      <c r="F26" s="205"/>
      <c r="G26" s="138"/>
      <c r="H26" s="231">
        <f>SUM(H18:H25)</f>
        <v>441</v>
      </c>
      <c r="I26" s="231">
        <f t="shared" ref="I26:M26" si="1">SUM(I18:I25)</f>
        <v>44.1</v>
      </c>
      <c r="J26" s="231">
        <f t="shared" si="1"/>
        <v>22.05</v>
      </c>
      <c r="K26" s="139">
        <f t="shared" si="1"/>
        <v>47970.877500000002</v>
      </c>
      <c r="L26" s="139">
        <f t="shared" si="1"/>
        <v>0</v>
      </c>
      <c r="M26" s="138">
        <f t="shared" si="1"/>
        <v>0</v>
      </c>
      <c r="N26" s="232"/>
    </row>
    <row r="27" spans="1:14" s="4" customFormat="1" ht="12" thickBot="1">
      <c r="A27" s="149" t="s">
        <v>236</v>
      </c>
      <c r="B27" s="150"/>
      <c r="C27" s="150"/>
      <c r="D27" s="150"/>
      <c r="E27" s="150"/>
      <c r="F27" s="150"/>
      <c r="G27" s="134"/>
      <c r="H27" s="135">
        <f t="shared" ref="H27:M27" si="2">SUM(H16,H26)</f>
        <v>3724</v>
      </c>
      <c r="I27" s="135">
        <f t="shared" si="2"/>
        <v>372.40000000000003</v>
      </c>
      <c r="J27" s="135">
        <f t="shared" si="2"/>
        <v>186.20000000000002</v>
      </c>
      <c r="K27" s="136">
        <f t="shared" si="2"/>
        <v>405087.41000000003</v>
      </c>
      <c r="L27" s="136">
        <f t="shared" si="2"/>
        <v>218344</v>
      </c>
      <c r="M27" s="135">
        <f t="shared" si="2"/>
        <v>147</v>
      </c>
      <c r="N27" s="137"/>
    </row>
    <row r="28" spans="1:14" s="4" customFormat="1">
      <c r="A28" s="1"/>
      <c r="B28" s="5"/>
      <c r="C28" s="5"/>
      <c r="D28" s="5"/>
      <c r="E28" s="5"/>
      <c r="F28" s="5"/>
      <c r="G28" s="35"/>
      <c r="H28" s="34"/>
      <c r="I28" s="34"/>
      <c r="J28" s="34"/>
      <c r="K28" s="34"/>
      <c r="L28" s="355"/>
      <c r="M28" s="355"/>
      <c r="N28" s="34"/>
    </row>
    <row r="29" spans="1:14" s="4" customFormat="1" ht="9">
      <c r="A29" s="33" t="s">
        <v>366</v>
      </c>
      <c r="B29" s="10"/>
      <c r="C29" s="10"/>
      <c r="D29" s="10"/>
      <c r="E29" s="10"/>
      <c r="F29" s="10"/>
      <c r="G29" s="37"/>
      <c r="H29" s="36"/>
      <c r="I29" s="36"/>
      <c r="J29" s="36"/>
      <c r="K29" s="36"/>
      <c r="L29" s="356"/>
      <c r="M29" s="356"/>
      <c r="N29" s="36"/>
    </row>
    <row r="30" spans="1:14" s="9" customFormat="1" ht="9">
      <c r="A30" s="409" t="s">
        <v>369</v>
      </c>
      <c r="B30" s="409"/>
      <c r="C30" s="409"/>
      <c r="D30" s="409"/>
      <c r="E30" s="409"/>
      <c r="F30" s="409"/>
      <c r="G30" s="409"/>
      <c r="H30" s="409"/>
      <c r="I30" s="409"/>
      <c r="J30" s="409"/>
      <c r="K30" s="409"/>
      <c r="L30" s="196"/>
      <c r="M30" s="196"/>
      <c r="N30" s="10"/>
    </row>
    <row r="31" spans="1:14" s="9" customFormat="1" ht="10.5" customHeight="1">
      <c r="A31" s="9" t="s">
        <v>370</v>
      </c>
      <c r="B31" s="10"/>
      <c r="C31" s="10"/>
      <c r="D31" s="10"/>
      <c r="E31" s="10"/>
      <c r="F31" s="10"/>
      <c r="G31" s="11"/>
      <c r="H31" s="10"/>
      <c r="I31" s="10"/>
      <c r="J31" s="10"/>
      <c r="K31" s="10"/>
      <c r="L31" s="12"/>
      <c r="M31" s="12"/>
      <c r="N31" s="10"/>
    </row>
  </sheetData>
  <mergeCells count="3">
    <mergeCell ref="A1:N1"/>
    <mergeCell ref="A2:N2"/>
    <mergeCell ref="A30:K30"/>
  </mergeCells>
  <phoneticPr fontId="7" type="noConversion"/>
  <printOptions horizontalCentered="1"/>
  <pageMargins left="0" right="0" top="0.5" bottom="0.5" header="0.5" footer="0.5"/>
  <pageSetup fitToHeight="2" orientation="landscape" r:id="rId1"/>
  <headerFooter alignWithMargins="0"/>
</worksheet>
</file>

<file path=xl/worksheets/sheet25.xml><?xml version="1.0" encoding="utf-8"?>
<worksheet xmlns="http://schemas.openxmlformats.org/spreadsheetml/2006/main" xmlns:r="http://schemas.openxmlformats.org/officeDocument/2006/relationships">
  <sheetPr>
    <pageSetUpPr fitToPage="1"/>
  </sheetPr>
  <dimension ref="A1:N31"/>
  <sheetViews>
    <sheetView zoomScaleNormal="100" workbookViewId="0">
      <selection activeCell="G29" sqref="G29"/>
    </sheetView>
  </sheetViews>
  <sheetFormatPr defaultRowHeight="11.25"/>
  <cols>
    <col min="1" max="1" width="35" style="1" customWidth="1"/>
    <col min="2" max="2" width="8.85546875" style="5" bestFit="1" customWidth="1"/>
    <col min="3" max="3" width="8" style="5" customWidth="1"/>
    <col min="4" max="4" width="8.140625" style="5" customWidth="1"/>
    <col min="5" max="5" width="8.28515625" style="5" customWidth="1"/>
    <col min="6" max="6" width="8.140625" style="5" customWidth="1"/>
    <col min="7" max="7" width="9" style="5" customWidth="1"/>
    <col min="8" max="8" width="7.5703125" style="6" bestFit="1" customWidth="1"/>
    <col min="9" max="9" width="6.5703125" style="6" customWidth="1"/>
    <col min="10" max="10" width="7.85546875" style="6" customWidth="1"/>
    <col min="11" max="11" width="10.85546875" style="6" bestFit="1" customWidth="1"/>
    <col min="12" max="12" width="12" style="6" customWidth="1"/>
    <col min="13" max="13" width="9" style="6" customWidth="1"/>
    <col min="14" max="14" width="2.5703125" style="5" bestFit="1" customWidth="1"/>
    <col min="15" max="16" width="9.140625" style="1" customWidth="1"/>
    <col min="17" max="16384" width="9.140625" style="1"/>
  </cols>
  <sheetData>
    <row r="1" spans="1:14">
      <c r="A1" s="407" t="s">
        <v>80</v>
      </c>
      <c r="B1" s="407"/>
      <c r="C1" s="407"/>
      <c r="D1" s="407"/>
      <c r="E1" s="407"/>
      <c r="F1" s="407"/>
      <c r="G1" s="407"/>
      <c r="H1" s="407"/>
      <c r="I1" s="407"/>
      <c r="J1" s="407"/>
      <c r="K1" s="407"/>
      <c r="L1" s="407"/>
      <c r="M1" s="407"/>
      <c r="N1" s="407"/>
    </row>
    <row r="2" spans="1:14" ht="12" thickBot="1">
      <c r="A2" s="415" t="s">
        <v>61</v>
      </c>
      <c r="B2" s="415"/>
      <c r="C2" s="415"/>
      <c r="D2" s="415"/>
      <c r="E2" s="415"/>
      <c r="F2" s="415"/>
      <c r="G2" s="415"/>
      <c r="H2" s="415"/>
      <c r="I2" s="415"/>
      <c r="J2" s="415"/>
      <c r="K2" s="415"/>
      <c r="L2" s="415"/>
      <c r="M2" s="415"/>
      <c r="N2" s="415"/>
    </row>
    <row r="3" spans="1:14" s="3" customFormat="1" ht="54.75" thickBot="1">
      <c r="A3" s="212" t="s">
        <v>229</v>
      </c>
      <c r="B3" s="144" t="s">
        <v>230</v>
      </c>
      <c r="C3" s="144" t="s">
        <v>355</v>
      </c>
      <c r="D3" s="144" t="s">
        <v>356</v>
      </c>
      <c r="E3" s="129" t="s">
        <v>357</v>
      </c>
      <c r="F3" s="144" t="s">
        <v>358</v>
      </c>
      <c r="G3" s="145" t="s">
        <v>359</v>
      </c>
      <c r="H3" s="146" t="s">
        <v>360</v>
      </c>
      <c r="I3" s="146" t="s">
        <v>361</v>
      </c>
      <c r="J3" s="146" t="s">
        <v>362</v>
      </c>
      <c r="K3" s="144" t="s">
        <v>363</v>
      </c>
      <c r="L3" s="146" t="s">
        <v>364</v>
      </c>
      <c r="M3" s="146" t="s">
        <v>365</v>
      </c>
      <c r="N3" s="147" t="s">
        <v>231</v>
      </c>
    </row>
    <row r="4" spans="1:14" s="4" customFormat="1" ht="9">
      <c r="A4" s="164" t="s">
        <v>237</v>
      </c>
      <c r="B4" s="157" t="s">
        <v>264</v>
      </c>
      <c r="C4" s="158"/>
      <c r="D4" s="158"/>
      <c r="E4" s="157"/>
      <c r="F4" s="157"/>
      <c r="G4" s="159"/>
      <c r="H4" s="157"/>
      <c r="I4" s="157"/>
      <c r="J4" s="157"/>
      <c r="K4" s="158"/>
      <c r="L4" s="158"/>
      <c r="M4" s="159"/>
      <c r="N4" s="203"/>
    </row>
    <row r="5" spans="1:14" s="4" customFormat="1" ht="9">
      <c r="A5" s="148" t="s">
        <v>238</v>
      </c>
      <c r="B5" s="13" t="s">
        <v>264</v>
      </c>
      <c r="C5" s="22"/>
      <c r="D5" s="22"/>
      <c r="E5" s="13"/>
      <c r="F5" s="13"/>
      <c r="G5" s="14"/>
      <c r="H5" s="13"/>
      <c r="I5" s="13"/>
      <c r="J5" s="13"/>
      <c r="K5" s="22"/>
      <c r="L5" s="22"/>
      <c r="M5" s="14"/>
      <c r="N5" s="141"/>
    </row>
    <row r="6" spans="1:14" s="4" customFormat="1" ht="9">
      <c r="A6" s="148" t="s">
        <v>239</v>
      </c>
      <c r="B6" s="13"/>
      <c r="C6" s="22"/>
      <c r="D6" s="22"/>
      <c r="E6" s="13"/>
      <c r="F6" s="13"/>
      <c r="G6" s="43"/>
      <c r="H6" s="28"/>
      <c r="I6" s="28"/>
      <c r="J6" s="28"/>
      <c r="K6" s="32"/>
      <c r="L6" s="32"/>
      <c r="M6" s="43"/>
      <c r="N6" s="122"/>
    </row>
    <row r="7" spans="1:14" s="4" customFormat="1" ht="9">
      <c r="A7" s="148" t="s">
        <v>240</v>
      </c>
      <c r="B7" s="13">
        <v>40</v>
      </c>
      <c r="C7" s="22">
        <v>0</v>
      </c>
      <c r="D7" s="22">
        <v>0</v>
      </c>
      <c r="E7" s="13">
        <v>1</v>
      </c>
      <c r="F7" s="13">
        <f>B7*E7</f>
        <v>40</v>
      </c>
      <c r="G7" s="42">
        <f>ROUNDUP(SUM('Base Data'!H39,'Base Data'!H42)/3,0)</f>
        <v>50</v>
      </c>
      <c r="H7" s="42">
        <f>F7*G7</f>
        <v>2000</v>
      </c>
      <c r="I7" s="42">
        <f>H7*0.1</f>
        <v>200</v>
      </c>
      <c r="J7" s="42">
        <f>H7*0.05</f>
        <v>100</v>
      </c>
      <c r="K7" s="32">
        <f>(H7*'Base Data'!$C$5)+(I7*'Base Data'!$C$6)+(J7*'Base Data'!$C$7)</f>
        <v>217555</v>
      </c>
      <c r="L7" s="32">
        <v>0</v>
      </c>
      <c r="M7" s="43">
        <v>0</v>
      </c>
      <c r="N7" s="122" t="s">
        <v>214</v>
      </c>
    </row>
    <row r="8" spans="1:14" s="4" customFormat="1" ht="9">
      <c r="A8" s="148" t="s">
        <v>241</v>
      </c>
      <c r="B8" s="13"/>
      <c r="C8" s="22"/>
      <c r="D8" s="22"/>
      <c r="E8" s="13"/>
      <c r="F8" s="13"/>
      <c r="G8" s="43"/>
      <c r="H8" s="28"/>
      <c r="I8" s="28"/>
      <c r="J8" s="28"/>
      <c r="K8" s="32"/>
      <c r="L8" s="32"/>
      <c r="M8" s="43"/>
      <c r="N8" s="122"/>
    </row>
    <row r="9" spans="1:14" s="4" customFormat="1" ht="9">
      <c r="A9" s="123" t="s">
        <v>354</v>
      </c>
      <c r="B9" s="13">
        <v>12</v>
      </c>
      <c r="C9" s="22">
        <v>2228</v>
      </c>
      <c r="D9" s="22">
        <v>0</v>
      </c>
      <c r="E9" s="13">
        <v>0.5</v>
      </c>
      <c r="F9" s="13">
        <f>B9*E9</f>
        <v>6</v>
      </c>
      <c r="G9" s="42">
        <f>ROUNDUP(SUM('Base Data'!$D$39,'Base Data'!$D$42)/3,0)</f>
        <v>99</v>
      </c>
      <c r="H9" s="42">
        <f>F9*G9</f>
        <v>594</v>
      </c>
      <c r="I9" s="42">
        <f>H9*0.1</f>
        <v>59.400000000000006</v>
      </c>
      <c r="J9" s="42">
        <f>H9*0.05</f>
        <v>29.700000000000003</v>
      </c>
      <c r="K9" s="32">
        <f>(H9*'Base Data'!$C$5)+(I9*'Base Data'!$C$6)+(J9*'Base Data'!$C$7)</f>
        <v>64613.835000000006</v>
      </c>
      <c r="L9" s="32">
        <f>C9*G9</f>
        <v>220572</v>
      </c>
      <c r="M9" s="43">
        <v>0</v>
      </c>
      <c r="N9" s="122" t="s">
        <v>97</v>
      </c>
    </row>
    <row r="10" spans="1:14" s="4" customFormat="1" ht="9">
      <c r="A10" s="123" t="s">
        <v>245</v>
      </c>
      <c r="B10" s="13" t="s">
        <v>264</v>
      </c>
      <c r="C10" s="22"/>
      <c r="D10" s="22"/>
      <c r="E10" s="13"/>
      <c r="F10" s="13"/>
      <c r="G10" s="43"/>
      <c r="H10" s="28"/>
      <c r="I10" s="28"/>
      <c r="J10" s="28"/>
      <c r="K10" s="32"/>
      <c r="L10" s="32"/>
      <c r="M10" s="43"/>
      <c r="N10" s="122"/>
    </row>
    <row r="11" spans="1:14" s="4" customFormat="1" ht="9">
      <c r="A11" s="123" t="s">
        <v>246</v>
      </c>
      <c r="B11" s="13" t="s">
        <v>264</v>
      </c>
      <c r="C11" s="22"/>
      <c r="D11" s="22"/>
      <c r="E11" s="13"/>
      <c r="F11" s="13"/>
      <c r="G11" s="43"/>
      <c r="H11" s="28"/>
      <c r="I11" s="28"/>
      <c r="J11" s="28"/>
      <c r="K11" s="32"/>
      <c r="L11" s="32"/>
      <c r="M11" s="43"/>
      <c r="N11" s="122"/>
    </row>
    <row r="12" spans="1:14" s="4" customFormat="1" ht="9">
      <c r="A12" s="123" t="s">
        <v>247</v>
      </c>
      <c r="B12" s="13"/>
      <c r="C12" s="22"/>
      <c r="D12" s="22"/>
      <c r="E12" s="13"/>
      <c r="F12" s="13"/>
      <c r="G12" s="43"/>
      <c r="H12" s="28"/>
      <c r="I12" s="28"/>
      <c r="J12" s="28"/>
      <c r="K12" s="32"/>
      <c r="L12" s="32"/>
      <c r="M12" s="43"/>
      <c r="N12" s="122"/>
    </row>
    <row r="13" spans="1:14" s="4" customFormat="1" ht="9">
      <c r="A13" s="124" t="s">
        <v>266</v>
      </c>
      <c r="B13" s="13">
        <v>2</v>
      </c>
      <c r="C13" s="22">
        <v>0</v>
      </c>
      <c r="D13" s="22">
        <v>0</v>
      </c>
      <c r="E13" s="13">
        <v>1</v>
      </c>
      <c r="F13" s="13">
        <f>B13*E13</f>
        <v>2</v>
      </c>
      <c r="G13" s="42">
        <f>$G$7</f>
        <v>50</v>
      </c>
      <c r="H13" s="42">
        <f>F13*G13</f>
        <v>100</v>
      </c>
      <c r="I13" s="42">
        <f>H13*0.1</f>
        <v>10</v>
      </c>
      <c r="J13" s="42">
        <f>H13*0.05</f>
        <v>5</v>
      </c>
      <c r="K13" s="32">
        <f>(H13*'Base Data'!$C$5)+(I13*'Base Data'!$C$6)+(J13*'Base Data'!$C$7)</f>
        <v>10877.75</v>
      </c>
      <c r="L13" s="32">
        <v>0</v>
      </c>
      <c r="M13" s="43">
        <f>E13*G13</f>
        <v>50</v>
      </c>
      <c r="N13" s="122" t="s">
        <v>97</v>
      </c>
    </row>
    <row r="14" spans="1:14" s="4" customFormat="1" ht="9">
      <c r="A14" s="124" t="s">
        <v>208</v>
      </c>
      <c r="B14" s="13">
        <v>8</v>
      </c>
      <c r="C14" s="22">
        <v>0</v>
      </c>
      <c r="D14" s="22">
        <v>0</v>
      </c>
      <c r="E14" s="13">
        <v>1</v>
      </c>
      <c r="F14" s="13">
        <f>B14*E14</f>
        <v>8</v>
      </c>
      <c r="G14" s="42">
        <f>$G$7</f>
        <v>50</v>
      </c>
      <c r="H14" s="42">
        <f>F14*G14</f>
        <v>400</v>
      </c>
      <c r="I14" s="42">
        <f>H14*0.1</f>
        <v>40</v>
      </c>
      <c r="J14" s="42">
        <f>H14*0.05</f>
        <v>20</v>
      </c>
      <c r="K14" s="32">
        <f>(H14*'Base Data'!$C$5)+(I14*'Base Data'!$C$6)+(J14*'Base Data'!$C$7)</f>
        <v>43511</v>
      </c>
      <c r="L14" s="32">
        <v>0</v>
      </c>
      <c r="M14" s="43">
        <f>E14*G14</f>
        <v>50</v>
      </c>
      <c r="N14" s="122" t="s">
        <v>97</v>
      </c>
    </row>
    <row r="15" spans="1:14" s="4" customFormat="1" ht="9">
      <c r="A15" s="124" t="s">
        <v>148</v>
      </c>
      <c r="B15" s="13">
        <v>5</v>
      </c>
      <c r="C15" s="22">
        <v>0</v>
      </c>
      <c r="D15" s="22">
        <v>0</v>
      </c>
      <c r="E15" s="13">
        <v>0.5</v>
      </c>
      <c r="F15" s="13">
        <f>B15*E15</f>
        <v>2.5</v>
      </c>
      <c r="G15" s="42">
        <f>$G$7+'Fac-NewSmlSolid-Yr2'!G15</f>
        <v>148</v>
      </c>
      <c r="H15" s="42">
        <f>F15*G15</f>
        <v>370</v>
      </c>
      <c r="I15" s="42">
        <f>H15*0.1</f>
        <v>37</v>
      </c>
      <c r="J15" s="42">
        <f>H15*0.05</f>
        <v>18.5</v>
      </c>
      <c r="K15" s="32">
        <f>(H15*'Base Data'!$C$5)+(I15*'Base Data'!$C$6)+(J15*'Base Data'!$C$7)</f>
        <v>40247.675000000003</v>
      </c>
      <c r="L15" s="32">
        <v>0</v>
      </c>
      <c r="M15" s="43">
        <f>E15*G15</f>
        <v>74</v>
      </c>
      <c r="N15" s="122" t="s">
        <v>97</v>
      </c>
    </row>
    <row r="16" spans="1:14" s="4" customFormat="1" ht="9">
      <c r="A16" s="165" t="s">
        <v>24</v>
      </c>
      <c r="B16" s="13"/>
      <c r="C16" s="22"/>
      <c r="D16" s="22"/>
      <c r="E16" s="13"/>
      <c r="F16" s="13"/>
      <c r="G16" s="43"/>
      <c r="H16" s="42">
        <f t="shared" ref="H16:M16" si="0">SUM(H4:H15)</f>
        <v>3464</v>
      </c>
      <c r="I16" s="42">
        <f t="shared" si="0"/>
        <v>346.4</v>
      </c>
      <c r="J16" s="42">
        <f t="shared" si="0"/>
        <v>173.2</v>
      </c>
      <c r="K16" s="32">
        <f t="shared" si="0"/>
        <v>376805.26</v>
      </c>
      <c r="L16" s="374">
        <f t="shared" si="0"/>
        <v>220572</v>
      </c>
      <c r="M16" s="42">
        <f t="shared" si="0"/>
        <v>174</v>
      </c>
      <c r="N16" s="122"/>
    </row>
    <row r="17" spans="1:14" s="4" customFormat="1" ht="9">
      <c r="A17" s="123" t="s">
        <v>261</v>
      </c>
      <c r="B17" s="13"/>
      <c r="C17" s="22"/>
      <c r="D17" s="22"/>
      <c r="E17" s="13"/>
      <c r="F17" s="13"/>
      <c r="G17" s="43"/>
      <c r="H17" s="28"/>
      <c r="I17" s="28"/>
      <c r="J17" s="28"/>
      <c r="K17" s="32"/>
      <c r="L17" s="32"/>
      <c r="M17" s="43"/>
      <c r="N17" s="122"/>
    </row>
    <row r="18" spans="1:14" s="4" customFormat="1" ht="9">
      <c r="A18" s="123" t="s">
        <v>248</v>
      </c>
      <c r="B18" s="13" t="s">
        <v>252</v>
      </c>
      <c r="C18" s="22"/>
      <c r="D18" s="22"/>
      <c r="E18" s="13"/>
      <c r="F18" s="13"/>
      <c r="G18" s="43"/>
      <c r="H18" s="28"/>
      <c r="I18" s="28"/>
      <c r="J18" s="28"/>
      <c r="K18" s="32"/>
      <c r="L18" s="32"/>
      <c r="M18" s="43"/>
      <c r="N18" s="122"/>
    </row>
    <row r="19" spans="1:14" s="4" customFormat="1" ht="9">
      <c r="A19" s="123" t="s">
        <v>249</v>
      </c>
      <c r="B19" s="13" t="s">
        <v>264</v>
      </c>
      <c r="C19" s="22"/>
      <c r="D19" s="22"/>
      <c r="E19" s="13"/>
      <c r="F19" s="13"/>
      <c r="G19" s="43"/>
      <c r="H19" s="28"/>
      <c r="I19" s="28"/>
      <c r="J19" s="28"/>
      <c r="K19" s="32"/>
      <c r="L19" s="32"/>
      <c r="M19" s="43"/>
      <c r="N19" s="122"/>
    </row>
    <row r="20" spans="1:14" s="4" customFormat="1" ht="9">
      <c r="A20" s="123" t="s">
        <v>250</v>
      </c>
      <c r="B20" s="13" t="s">
        <v>264</v>
      </c>
      <c r="C20" s="22"/>
      <c r="D20" s="22"/>
      <c r="E20" s="13"/>
      <c r="F20" s="13"/>
      <c r="G20" s="43"/>
      <c r="H20" s="28"/>
      <c r="I20" s="28"/>
      <c r="J20" s="28"/>
      <c r="K20" s="32"/>
      <c r="L20" s="32"/>
      <c r="M20" s="43"/>
      <c r="N20" s="122" t="s">
        <v>215</v>
      </c>
    </row>
    <row r="21" spans="1:14" s="4" customFormat="1" ht="9">
      <c r="A21" s="123" t="s">
        <v>251</v>
      </c>
      <c r="B21" s="13"/>
      <c r="C21" s="22"/>
      <c r="D21" s="22"/>
      <c r="E21" s="13"/>
      <c r="F21" s="13"/>
      <c r="G21" s="43"/>
      <c r="H21" s="28"/>
      <c r="I21" s="28"/>
      <c r="J21" s="28"/>
      <c r="K21" s="32"/>
      <c r="L21" s="32"/>
      <c r="M21" s="43"/>
      <c r="N21" s="122"/>
    </row>
    <row r="22" spans="1:14" s="4" customFormat="1" ht="9.75" customHeight="1">
      <c r="A22" s="124" t="s">
        <v>323</v>
      </c>
      <c r="B22" s="13">
        <v>2</v>
      </c>
      <c r="C22" s="22">
        <v>0</v>
      </c>
      <c r="D22" s="22">
        <v>0</v>
      </c>
      <c r="E22" s="13">
        <v>1</v>
      </c>
      <c r="F22" s="13">
        <f>B22*E22</f>
        <v>2</v>
      </c>
      <c r="G22" s="43">
        <f>$G$9+'Fac-NewSmlSolid-Yr2'!G22</f>
        <v>295</v>
      </c>
      <c r="H22" s="42">
        <f>F22*G22</f>
        <v>590</v>
      </c>
      <c r="I22" s="42">
        <f>H22*0.1</f>
        <v>59</v>
      </c>
      <c r="J22" s="42">
        <f>H22*0.05</f>
        <v>29.5</v>
      </c>
      <c r="K22" s="32">
        <f>(H22*'Base Data'!$C$5)+(I22*'Base Data'!$C$6)+(J22*'Base Data'!$C$7)</f>
        <v>64178.724999999999</v>
      </c>
      <c r="L22" s="32">
        <v>0</v>
      </c>
      <c r="M22" s="42">
        <v>0</v>
      </c>
      <c r="N22" s="122" t="s">
        <v>97</v>
      </c>
    </row>
    <row r="23" spans="1:14" s="4" customFormat="1" ht="9">
      <c r="A23" s="124" t="s">
        <v>322</v>
      </c>
      <c r="B23" s="13">
        <v>0.5</v>
      </c>
      <c r="C23" s="22">
        <v>0</v>
      </c>
      <c r="D23" s="22">
        <v>0</v>
      </c>
      <c r="E23" s="13">
        <v>0.5</v>
      </c>
      <c r="F23" s="13">
        <f>B23*E23</f>
        <v>0.25</v>
      </c>
      <c r="G23" s="43">
        <f>$G$9+'Fac-NewSmlSolid-Yr2'!G23</f>
        <v>295</v>
      </c>
      <c r="H23" s="42">
        <f>F23*G23</f>
        <v>73.75</v>
      </c>
      <c r="I23" s="42">
        <f>H23*0.1</f>
        <v>7.375</v>
      </c>
      <c r="J23" s="42">
        <f>H23*0.05</f>
        <v>3.6875</v>
      </c>
      <c r="K23" s="32">
        <f>(H23*'Base Data'!$C$5)+(I23*'Base Data'!$C$6)+(J23*'Base Data'!$C$7)</f>
        <v>8022.3406249999998</v>
      </c>
      <c r="L23" s="362">
        <v>0</v>
      </c>
      <c r="M23" s="42">
        <v>0</v>
      </c>
      <c r="N23" s="122" t="s">
        <v>97</v>
      </c>
    </row>
    <row r="24" spans="1:14" s="4" customFormat="1" ht="9">
      <c r="A24" s="123" t="s">
        <v>255</v>
      </c>
      <c r="B24" s="13" t="s">
        <v>264</v>
      </c>
      <c r="C24" s="22"/>
      <c r="D24" s="22"/>
      <c r="E24" s="13"/>
      <c r="F24" s="13"/>
      <c r="G24" s="43"/>
      <c r="H24" s="28"/>
      <c r="I24" s="28"/>
      <c r="J24" s="28"/>
      <c r="K24" s="32"/>
      <c r="L24" s="32"/>
      <c r="M24" s="127"/>
      <c r="N24" s="122"/>
    </row>
    <row r="25" spans="1:14" s="4" customFormat="1" ht="9">
      <c r="A25" s="123" t="s">
        <v>256</v>
      </c>
      <c r="B25" s="13" t="s">
        <v>264</v>
      </c>
      <c r="C25" s="22"/>
      <c r="D25" s="22"/>
      <c r="E25" s="13"/>
      <c r="F25" s="13"/>
      <c r="G25" s="43"/>
      <c r="H25" s="28"/>
      <c r="I25" s="28"/>
      <c r="J25" s="28"/>
      <c r="K25" s="32"/>
      <c r="L25" s="32"/>
      <c r="M25" s="43"/>
      <c r="N25" s="122"/>
    </row>
    <row r="26" spans="1:14" s="4" customFormat="1" ht="9.75" thickBot="1">
      <c r="A26" s="216" t="s">
        <v>26</v>
      </c>
      <c r="B26" s="205"/>
      <c r="C26" s="161"/>
      <c r="D26" s="161"/>
      <c r="E26" s="205"/>
      <c r="F26" s="205"/>
      <c r="G26" s="138"/>
      <c r="H26" s="138">
        <f t="shared" ref="H26:M26" si="1">SUM(H18:H25)</f>
        <v>663.75</v>
      </c>
      <c r="I26" s="138">
        <f>SUM(I18:I25)</f>
        <v>66.375</v>
      </c>
      <c r="J26" s="138">
        <f t="shared" si="1"/>
        <v>33.1875</v>
      </c>
      <c r="K26" s="139">
        <f t="shared" si="1"/>
        <v>72201.065625000003</v>
      </c>
      <c r="L26" s="139">
        <f t="shared" si="1"/>
        <v>0</v>
      </c>
      <c r="M26" s="138">
        <f t="shared" si="1"/>
        <v>0</v>
      </c>
      <c r="N26" s="232"/>
    </row>
    <row r="27" spans="1:14" s="4" customFormat="1" ht="12" thickBot="1">
      <c r="A27" s="149" t="s">
        <v>236</v>
      </c>
      <c r="B27" s="150"/>
      <c r="C27" s="150"/>
      <c r="D27" s="150"/>
      <c r="E27" s="150"/>
      <c r="F27" s="150"/>
      <c r="G27" s="134"/>
      <c r="H27" s="135">
        <f t="shared" ref="H27:M27" si="2">SUM(H16,H26)</f>
        <v>4127.75</v>
      </c>
      <c r="I27" s="135">
        <f t="shared" si="2"/>
        <v>412.77499999999998</v>
      </c>
      <c r="J27" s="135">
        <f t="shared" si="2"/>
        <v>206.38749999999999</v>
      </c>
      <c r="K27" s="136">
        <f t="shared" si="2"/>
        <v>449006.325625</v>
      </c>
      <c r="L27" s="136">
        <f t="shared" si="2"/>
        <v>220572</v>
      </c>
      <c r="M27" s="135">
        <f t="shared" si="2"/>
        <v>174</v>
      </c>
      <c r="N27" s="137"/>
    </row>
    <row r="28" spans="1:14" s="4" customFormat="1">
      <c r="A28" s="1"/>
      <c r="B28" s="5"/>
      <c r="C28" s="5"/>
      <c r="D28" s="5"/>
      <c r="E28" s="5"/>
      <c r="F28" s="5"/>
      <c r="G28" s="8"/>
      <c r="H28" s="5"/>
      <c r="I28" s="5"/>
      <c r="J28" s="5"/>
      <c r="K28" s="5"/>
      <c r="L28" s="6"/>
      <c r="M28" s="6"/>
      <c r="N28" s="5"/>
    </row>
    <row r="29" spans="1:14" s="4" customFormat="1" ht="9">
      <c r="A29" s="33" t="s">
        <v>366</v>
      </c>
      <c r="B29" s="10"/>
      <c r="C29" s="10"/>
      <c r="D29" s="10"/>
      <c r="E29" s="10"/>
      <c r="F29" s="10"/>
      <c r="G29" s="11"/>
      <c r="H29" s="10"/>
      <c r="I29" s="10"/>
      <c r="J29" s="10"/>
      <c r="K29" s="10"/>
      <c r="L29" s="12"/>
      <c r="M29" s="12"/>
      <c r="N29" s="10"/>
    </row>
    <row r="30" spans="1:14" s="9" customFormat="1" ht="9">
      <c r="A30" s="409" t="s">
        <v>369</v>
      </c>
      <c r="B30" s="409"/>
      <c r="C30" s="409"/>
      <c r="D30" s="409"/>
      <c r="E30" s="409"/>
      <c r="F30" s="409"/>
      <c r="G30" s="409"/>
      <c r="H30" s="409"/>
      <c r="I30" s="409"/>
      <c r="J30" s="409"/>
      <c r="K30" s="409"/>
      <c r="L30" s="196"/>
      <c r="M30" s="196"/>
      <c r="N30" s="10"/>
    </row>
    <row r="31" spans="1:14" s="9" customFormat="1" ht="10.5" customHeight="1">
      <c r="A31" s="9" t="s">
        <v>370</v>
      </c>
      <c r="B31" s="10"/>
      <c r="C31" s="10"/>
      <c r="D31" s="10"/>
      <c r="E31" s="10"/>
      <c r="F31" s="10"/>
      <c r="G31" s="11"/>
      <c r="H31" s="10"/>
      <c r="I31" s="10"/>
      <c r="J31" s="10"/>
      <c r="K31" s="10"/>
      <c r="L31" s="12"/>
      <c r="M31" s="12"/>
      <c r="N31" s="10"/>
    </row>
  </sheetData>
  <mergeCells count="3">
    <mergeCell ref="A1:N1"/>
    <mergeCell ref="A2:N2"/>
    <mergeCell ref="A30:K30"/>
  </mergeCells>
  <phoneticPr fontId="7" type="noConversion"/>
  <printOptions horizontalCentered="1"/>
  <pageMargins left="0" right="0" top="0.5" bottom="0.5" header="0.5" footer="0.5"/>
  <pageSetup scale="96" fitToHeight="2" orientation="landscape" r:id="rId1"/>
  <headerFooter alignWithMargins="0"/>
</worksheet>
</file>

<file path=xl/worksheets/sheet26.xml><?xml version="1.0" encoding="utf-8"?>
<worksheet xmlns="http://schemas.openxmlformats.org/spreadsheetml/2006/main" xmlns:r="http://schemas.openxmlformats.org/officeDocument/2006/relationships">
  <sheetPr>
    <pageSetUpPr fitToPage="1"/>
  </sheetPr>
  <dimension ref="A1:O33"/>
  <sheetViews>
    <sheetView topLeftCell="A3" zoomScaleNormal="100" workbookViewId="0">
      <selection activeCell="D9" sqref="D9"/>
    </sheetView>
  </sheetViews>
  <sheetFormatPr defaultRowHeight="11.25"/>
  <cols>
    <col min="1" max="1" width="34.85546875" style="1" customWidth="1"/>
    <col min="2" max="2" width="9" style="5" bestFit="1" customWidth="1"/>
    <col min="3" max="3" width="8" style="5" customWidth="1"/>
    <col min="4" max="4" width="8" style="5" bestFit="1" customWidth="1"/>
    <col min="5" max="5" width="8.28515625" style="5" customWidth="1"/>
    <col min="6" max="6" width="8.5703125" style="5" customWidth="1"/>
    <col min="7" max="7" width="9" style="5" customWidth="1"/>
    <col min="8" max="8" width="6.85546875" style="6" customWidth="1"/>
    <col min="9" max="9" width="7" style="6" bestFit="1" customWidth="1"/>
    <col min="10" max="10" width="9" style="6" customWidth="1"/>
    <col min="11" max="12" width="10.85546875" style="6" bestFit="1" customWidth="1"/>
    <col min="13" max="13" width="8" style="6" bestFit="1" customWidth="1"/>
    <col min="14" max="14" width="2.5703125" style="6" bestFit="1" customWidth="1"/>
    <col min="15" max="15" width="7.42578125" style="5" customWidth="1"/>
    <col min="16" max="17" width="9.140625" style="1" customWidth="1"/>
    <col min="18" max="16384" width="9.140625" style="1"/>
  </cols>
  <sheetData>
    <row r="1" spans="1:15">
      <c r="A1" s="407" t="s">
        <v>81</v>
      </c>
      <c r="B1" s="407"/>
      <c r="C1" s="407"/>
      <c r="D1" s="407"/>
      <c r="E1" s="407"/>
      <c r="F1" s="407"/>
      <c r="G1" s="407"/>
      <c r="H1" s="407"/>
      <c r="I1" s="407"/>
      <c r="J1" s="407"/>
      <c r="K1" s="407"/>
      <c r="L1" s="407"/>
      <c r="M1" s="407"/>
      <c r="N1" s="407"/>
      <c r="O1" s="407"/>
    </row>
    <row r="2" spans="1:15" ht="12" thickBot="1">
      <c r="A2" s="415" t="s">
        <v>207</v>
      </c>
      <c r="B2" s="415"/>
      <c r="C2" s="415"/>
      <c r="D2" s="415"/>
      <c r="E2" s="415"/>
      <c r="F2" s="415"/>
      <c r="G2" s="415"/>
      <c r="H2" s="415"/>
      <c r="I2" s="415"/>
      <c r="J2" s="415"/>
      <c r="K2" s="415"/>
      <c r="L2" s="415"/>
      <c r="M2" s="415"/>
      <c r="N2" s="415"/>
      <c r="O2" s="415"/>
    </row>
    <row r="3" spans="1:15" s="3" customFormat="1" ht="54.75" thickBot="1">
      <c r="A3" s="143" t="s">
        <v>229</v>
      </c>
      <c r="B3" s="218" t="s">
        <v>230</v>
      </c>
      <c r="C3" s="218" t="s">
        <v>355</v>
      </c>
      <c r="D3" s="218" t="s">
        <v>356</v>
      </c>
      <c r="E3" s="358" t="s">
        <v>357</v>
      </c>
      <c r="F3" s="218" t="s">
        <v>358</v>
      </c>
      <c r="G3" s="145" t="s">
        <v>359</v>
      </c>
      <c r="H3" s="233" t="s">
        <v>360</v>
      </c>
      <c r="I3" s="233" t="s">
        <v>361</v>
      </c>
      <c r="J3" s="233" t="s">
        <v>362</v>
      </c>
      <c r="K3" s="218" t="s">
        <v>363</v>
      </c>
      <c r="L3" s="233" t="s">
        <v>364</v>
      </c>
      <c r="M3" s="233" t="s">
        <v>365</v>
      </c>
      <c r="N3" s="354" t="s">
        <v>231</v>
      </c>
    </row>
    <row r="4" spans="1:15" s="4" customFormat="1" ht="9">
      <c r="A4" s="375" t="s">
        <v>237</v>
      </c>
      <c r="B4" s="235" t="s">
        <v>264</v>
      </c>
      <c r="C4" s="236"/>
      <c r="D4" s="236"/>
      <c r="E4" s="235"/>
      <c r="F4" s="235"/>
      <c r="G4" s="237"/>
      <c r="H4" s="235"/>
      <c r="I4" s="235"/>
      <c r="J4" s="235"/>
      <c r="K4" s="236"/>
      <c r="L4" s="236"/>
      <c r="M4" s="237"/>
      <c r="N4" s="229"/>
    </row>
    <row r="5" spans="1:15" s="4" customFormat="1" ht="9">
      <c r="A5" s="123" t="s">
        <v>238</v>
      </c>
      <c r="B5" s="28" t="s">
        <v>264</v>
      </c>
      <c r="C5" s="32"/>
      <c r="D5" s="32"/>
      <c r="E5" s="28"/>
      <c r="F5" s="28"/>
      <c r="G5" s="43"/>
      <c r="H5" s="28"/>
      <c r="I5" s="28"/>
      <c r="J5" s="28"/>
      <c r="K5" s="32"/>
      <c r="L5" s="32"/>
      <c r="M5" s="43"/>
      <c r="N5" s="122"/>
    </row>
    <row r="6" spans="1:15" s="4" customFormat="1" ht="9">
      <c r="A6" s="123" t="s">
        <v>239</v>
      </c>
      <c r="B6" s="28"/>
      <c r="C6" s="32"/>
      <c r="D6" s="32"/>
      <c r="E6" s="28"/>
      <c r="F6" s="28"/>
      <c r="G6" s="43"/>
      <c r="H6" s="28"/>
      <c r="I6" s="28"/>
      <c r="J6" s="28"/>
      <c r="K6" s="32"/>
      <c r="L6" s="32"/>
      <c r="M6" s="43"/>
      <c r="N6" s="122"/>
    </row>
    <row r="7" spans="1:15" s="4" customFormat="1" ht="9">
      <c r="A7" s="123" t="s">
        <v>240</v>
      </c>
      <c r="B7" s="28">
        <v>40</v>
      </c>
      <c r="C7" s="32">
        <v>0</v>
      </c>
      <c r="D7" s="32">
        <v>0</v>
      </c>
      <c r="E7" s="28">
        <v>1</v>
      </c>
      <c r="F7" s="28">
        <f>B7*E7</f>
        <v>40</v>
      </c>
      <c r="G7" s="42">
        <f>ROUND('Base Data'!$H$43/3,0)</f>
        <v>989</v>
      </c>
      <c r="H7" s="42">
        <f>F7*G7</f>
        <v>39560</v>
      </c>
      <c r="I7" s="42">
        <f>H7*0.1</f>
        <v>3956</v>
      </c>
      <c r="J7" s="42">
        <f>H7*0.05</f>
        <v>1978</v>
      </c>
      <c r="K7" s="32">
        <f>(H7*'Base Data'!$C$5)+(I7*'Base Data'!$C$6)+(J7*'Base Data'!$C$7)</f>
        <v>4303237.9000000004</v>
      </c>
      <c r="L7" s="32">
        <v>0</v>
      </c>
      <c r="M7" s="43">
        <v>0</v>
      </c>
      <c r="N7" s="122" t="s">
        <v>214</v>
      </c>
    </row>
    <row r="8" spans="1:15" s="4" customFormat="1" ht="9">
      <c r="A8" s="123" t="s">
        <v>241</v>
      </c>
      <c r="B8" s="28"/>
      <c r="C8" s="32"/>
      <c r="D8" s="32"/>
      <c r="E8" s="28"/>
      <c r="F8" s="28"/>
      <c r="G8" s="43"/>
      <c r="H8" s="28"/>
      <c r="I8" s="28"/>
      <c r="J8" s="28"/>
      <c r="K8" s="32"/>
      <c r="L8" s="32"/>
      <c r="M8" s="43"/>
      <c r="N8" s="122"/>
    </row>
    <row r="9" spans="1:15" s="4" customFormat="1" ht="9">
      <c r="A9" s="123" t="s">
        <v>354</v>
      </c>
      <c r="B9" s="28">
        <v>12</v>
      </c>
      <c r="C9" s="32">
        <v>2228</v>
      </c>
      <c r="D9" s="32">
        <v>0</v>
      </c>
      <c r="E9" s="28">
        <v>0.5</v>
      </c>
      <c r="F9" s="28">
        <f>B9*E9</f>
        <v>6</v>
      </c>
      <c r="G9" s="42">
        <f>ROUND('Base Data'!$D$43/3,0)</f>
        <v>1979</v>
      </c>
      <c r="H9" s="42">
        <f>F9*G9</f>
        <v>11874</v>
      </c>
      <c r="I9" s="42">
        <f>H9*0.1</f>
        <v>1187.4000000000001</v>
      </c>
      <c r="J9" s="42">
        <f>H9*0.05</f>
        <v>593.70000000000005</v>
      </c>
      <c r="K9" s="32">
        <f>(H9*'Base Data'!$C$5)+(I9*'Base Data'!$C$6)+(J9*'Base Data'!$C$7)</f>
        <v>1291624.0350000001</v>
      </c>
      <c r="L9" s="32">
        <f>C9*G9</f>
        <v>4409212</v>
      </c>
      <c r="M9" s="43">
        <v>0</v>
      </c>
      <c r="N9" s="122" t="s">
        <v>97</v>
      </c>
    </row>
    <row r="10" spans="1:15" s="4" customFormat="1" ht="9">
      <c r="A10" s="123" t="s">
        <v>245</v>
      </c>
      <c r="B10" s="28" t="s">
        <v>264</v>
      </c>
      <c r="C10" s="32"/>
      <c r="D10" s="32"/>
      <c r="E10" s="28"/>
      <c r="F10" s="28"/>
      <c r="G10" s="43"/>
      <c r="H10" s="28"/>
      <c r="I10" s="28"/>
      <c r="J10" s="28"/>
      <c r="K10" s="32"/>
      <c r="L10" s="32"/>
      <c r="M10" s="43"/>
      <c r="N10" s="122"/>
    </row>
    <row r="11" spans="1:15" s="4" customFormat="1" ht="9">
      <c r="A11" s="123" t="s">
        <v>246</v>
      </c>
      <c r="B11" s="28" t="s">
        <v>264</v>
      </c>
      <c r="C11" s="32"/>
      <c r="D11" s="32"/>
      <c r="E11" s="28"/>
      <c r="F11" s="28"/>
      <c r="G11" s="43"/>
      <c r="H11" s="28"/>
      <c r="I11" s="28"/>
      <c r="J11" s="28"/>
      <c r="K11" s="32"/>
      <c r="L11" s="32"/>
      <c r="M11" s="43"/>
      <c r="N11" s="122"/>
    </row>
    <row r="12" spans="1:15" s="4" customFormat="1" ht="9">
      <c r="A12" s="123" t="s">
        <v>247</v>
      </c>
      <c r="B12" s="28"/>
      <c r="C12" s="32"/>
      <c r="D12" s="32"/>
      <c r="E12" s="28"/>
      <c r="F12" s="28"/>
      <c r="G12" s="43"/>
      <c r="H12" s="28"/>
      <c r="I12" s="28"/>
      <c r="J12" s="28"/>
      <c r="K12" s="32"/>
      <c r="L12" s="32"/>
      <c r="M12" s="43"/>
      <c r="N12" s="122"/>
    </row>
    <row r="13" spans="1:15" s="4" customFormat="1" ht="9">
      <c r="A13" s="124" t="s">
        <v>266</v>
      </c>
      <c r="B13" s="28">
        <v>2</v>
      </c>
      <c r="C13" s="32">
        <v>0</v>
      </c>
      <c r="D13" s="32">
        <v>0</v>
      </c>
      <c r="E13" s="28">
        <v>1</v>
      </c>
      <c r="F13" s="28">
        <f>B13*E13</f>
        <v>2</v>
      </c>
      <c r="G13" s="42">
        <f>$G$7</f>
        <v>989</v>
      </c>
      <c r="H13" s="42">
        <f>F13*G13</f>
        <v>1978</v>
      </c>
      <c r="I13" s="42">
        <f>H13*0.1</f>
        <v>197.8</v>
      </c>
      <c r="J13" s="42">
        <f>H13*0.05</f>
        <v>98.9</v>
      </c>
      <c r="K13" s="32">
        <f>(H13*'Base Data'!$C$5)+(I13*'Base Data'!$C$6)+(J13*'Base Data'!$C$7)</f>
        <v>215161.89499999999</v>
      </c>
      <c r="L13" s="32">
        <v>0</v>
      </c>
      <c r="M13" s="43">
        <f>E13*G13</f>
        <v>989</v>
      </c>
      <c r="N13" s="122" t="s">
        <v>97</v>
      </c>
    </row>
    <row r="14" spans="1:15" s="4" customFormat="1" ht="9">
      <c r="A14" s="124" t="s">
        <v>208</v>
      </c>
      <c r="B14" s="28">
        <v>8</v>
      </c>
      <c r="C14" s="32">
        <v>0</v>
      </c>
      <c r="D14" s="32">
        <v>0</v>
      </c>
      <c r="E14" s="28">
        <v>1</v>
      </c>
      <c r="F14" s="28">
        <f>B14*E14</f>
        <v>8</v>
      </c>
      <c r="G14" s="42">
        <f>$G$7</f>
        <v>989</v>
      </c>
      <c r="H14" s="42">
        <f>F14*G14</f>
        <v>7912</v>
      </c>
      <c r="I14" s="42">
        <f>H14*0.1</f>
        <v>791.2</v>
      </c>
      <c r="J14" s="42">
        <f>H14*0.05</f>
        <v>395.6</v>
      </c>
      <c r="K14" s="32">
        <f>(H14*'Base Data'!$C$5)+(I14*'Base Data'!$C$6)+(J14*'Base Data'!$C$7)</f>
        <v>860647.58</v>
      </c>
      <c r="L14" s="32">
        <v>0</v>
      </c>
      <c r="M14" s="43">
        <f>E14*G14</f>
        <v>989</v>
      </c>
      <c r="N14" s="122" t="s">
        <v>97</v>
      </c>
    </row>
    <row r="15" spans="1:15" s="4" customFormat="1" ht="9">
      <c r="A15" s="124" t="s">
        <v>148</v>
      </c>
      <c r="B15" s="28">
        <v>5</v>
      </c>
      <c r="C15" s="32">
        <v>0</v>
      </c>
      <c r="D15" s="32">
        <v>0</v>
      </c>
      <c r="E15" s="28">
        <v>0.5</v>
      </c>
      <c r="F15" s="28">
        <f>B15*E15</f>
        <v>2.5</v>
      </c>
      <c r="G15" s="42">
        <f>$G$7</f>
        <v>989</v>
      </c>
      <c r="H15" s="42">
        <f>F15*G15</f>
        <v>2472.5</v>
      </c>
      <c r="I15" s="42">
        <f>H15*0.1</f>
        <v>247.25</v>
      </c>
      <c r="J15" s="42">
        <f>H15*0.05</f>
        <v>123.625</v>
      </c>
      <c r="K15" s="361">
        <f>(H15*'Base Data'!$C$5)+(I15*'Base Data'!$C$6)+(J15*'Base Data'!$C$7)</f>
        <v>268952.36875000002</v>
      </c>
      <c r="L15" s="361">
        <v>0</v>
      </c>
      <c r="M15" s="43">
        <f>E15*G15</f>
        <v>494.5</v>
      </c>
      <c r="N15" s="122" t="s">
        <v>97</v>
      </c>
    </row>
    <row r="16" spans="1:15" s="4" customFormat="1" ht="9">
      <c r="A16" s="165" t="s">
        <v>24</v>
      </c>
      <c r="B16" s="28"/>
      <c r="C16" s="32"/>
      <c r="D16" s="32"/>
      <c r="E16" s="28"/>
      <c r="F16" s="28"/>
      <c r="G16" s="43"/>
      <c r="H16" s="42">
        <f t="shared" ref="H16:M16" si="0">SUM(H4:H15)</f>
        <v>63796.5</v>
      </c>
      <c r="I16" s="42">
        <f t="shared" si="0"/>
        <v>6379.65</v>
      </c>
      <c r="J16" s="42">
        <f t="shared" si="0"/>
        <v>3189.8249999999998</v>
      </c>
      <c r="K16" s="32">
        <f t="shared" si="0"/>
        <v>6939623.7787500005</v>
      </c>
      <c r="L16" s="32">
        <f t="shared" si="0"/>
        <v>4409212</v>
      </c>
      <c r="M16" s="373">
        <f t="shared" si="0"/>
        <v>2472.5</v>
      </c>
      <c r="N16" s="122"/>
    </row>
    <row r="17" spans="1:14" s="4" customFormat="1" ht="9">
      <c r="A17" s="123" t="s">
        <v>261</v>
      </c>
      <c r="B17" s="28"/>
      <c r="C17" s="32"/>
      <c r="D17" s="32"/>
      <c r="E17" s="28"/>
      <c r="F17" s="28"/>
      <c r="G17" s="43"/>
      <c r="H17" s="28"/>
      <c r="I17" s="28"/>
      <c r="J17" s="28"/>
      <c r="K17" s="364"/>
      <c r="L17" s="364"/>
      <c r="M17" s="43"/>
      <c r="N17" s="122"/>
    </row>
    <row r="18" spans="1:14" s="4" customFormat="1" ht="9">
      <c r="A18" s="123" t="s">
        <v>248</v>
      </c>
      <c r="B18" s="28" t="s">
        <v>252</v>
      </c>
      <c r="C18" s="32"/>
      <c r="D18" s="32"/>
      <c r="E18" s="28"/>
      <c r="F18" s="28"/>
      <c r="G18" s="43"/>
      <c r="H18" s="28"/>
      <c r="I18" s="28"/>
      <c r="J18" s="28"/>
      <c r="K18" s="32"/>
      <c r="L18" s="32"/>
      <c r="M18" s="43"/>
      <c r="N18" s="122"/>
    </row>
    <row r="19" spans="1:14" s="4" customFormat="1" ht="9">
      <c r="A19" s="123" t="s">
        <v>249</v>
      </c>
      <c r="B19" s="28" t="s">
        <v>264</v>
      </c>
      <c r="C19" s="32"/>
      <c r="D19" s="32"/>
      <c r="E19" s="28"/>
      <c r="F19" s="28"/>
      <c r="G19" s="43"/>
      <c r="H19" s="28"/>
      <c r="I19" s="28"/>
      <c r="J19" s="28"/>
      <c r="K19" s="32"/>
      <c r="L19" s="32"/>
      <c r="M19" s="43"/>
      <c r="N19" s="122"/>
    </row>
    <row r="20" spans="1:14" s="4" customFormat="1" ht="9">
      <c r="A20" s="123" t="s">
        <v>250</v>
      </c>
      <c r="B20" s="28" t="s">
        <v>264</v>
      </c>
      <c r="C20" s="32"/>
      <c r="D20" s="32"/>
      <c r="E20" s="28"/>
      <c r="F20" s="28"/>
      <c r="G20" s="43"/>
      <c r="H20" s="28"/>
      <c r="I20" s="28"/>
      <c r="J20" s="28"/>
      <c r="K20" s="32"/>
      <c r="L20" s="32"/>
      <c r="M20" s="43"/>
      <c r="N20" s="122" t="s">
        <v>215</v>
      </c>
    </row>
    <row r="21" spans="1:14" s="4" customFormat="1" ht="9">
      <c r="A21" s="123" t="s">
        <v>251</v>
      </c>
      <c r="B21" s="28"/>
      <c r="C21" s="32"/>
      <c r="D21" s="32"/>
      <c r="E21" s="28"/>
      <c r="F21" s="28"/>
      <c r="G21" s="43"/>
      <c r="H21" s="28"/>
      <c r="I21" s="28"/>
      <c r="J21" s="28"/>
      <c r="K21" s="32"/>
      <c r="L21" s="32"/>
      <c r="M21" s="43"/>
      <c r="N21" s="122"/>
    </row>
    <row r="22" spans="1:14" s="4" customFormat="1" ht="9">
      <c r="A22" s="124" t="s">
        <v>323</v>
      </c>
      <c r="B22" s="28">
        <v>2</v>
      </c>
      <c r="C22" s="32">
        <v>0</v>
      </c>
      <c r="D22" s="32">
        <v>0</v>
      </c>
      <c r="E22" s="28">
        <v>1</v>
      </c>
      <c r="F22" s="28">
        <f>B22*E22</f>
        <v>2</v>
      </c>
      <c r="G22" s="43">
        <f>$G$9</f>
        <v>1979</v>
      </c>
      <c r="H22" s="42">
        <f>F22*G22</f>
        <v>3958</v>
      </c>
      <c r="I22" s="42">
        <f>H22*0.1</f>
        <v>395.8</v>
      </c>
      <c r="J22" s="42">
        <f>H22*0.05</f>
        <v>197.9</v>
      </c>
      <c r="K22" s="32">
        <f>(H22*'Base Data'!$C$5)+(I22*'Base Data'!$C$6)+(J22*'Base Data'!$C$7)</f>
        <v>430541.34500000003</v>
      </c>
      <c r="L22" s="32">
        <v>0</v>
      </c>
      <c r="M22" s="43">
        <v>0</v>
      </c>
      <c r="N22" s="122" t="s">
        <v>97</v>
      </c>
    </row>
    <row r="23" spans="1:14" s="4" customFormat="1" ht="9">
      <c r="A23" s="124" t="s">
        <v>322</v>
      </c>
      <c r="B23" s="28">
        <v>0.5</v>
      </c>
      <c r="C23" s="32">
        <v>0</v>
      </c>
      <c r="D23" s="32">
        <v>0</v>
      </c>
      <c r="E23" s="28">
        <v>0.5</v>
      </c>
      <c r="F23" s="28">
        <f>B23*E23</f>
        <v>0.25</v>
      </c>
      <c r="G23" s="43">
        <f>$G$9</f>
        <v>1979</v>
      </c>
      <c r="H23" s="42">
        <f>F23*G23</f>
        <v>494.75</v>
      </c>
      <c r="I23" s="42">
        <f>H23*0.1</f>
        <v>49.475000000000001</v>
      </c>
      <c r="J23" s="42">
        <f>H23*0.05</f>
        <v>24.737500000000001</v>
      </c>
      <c r="K23" s="32">
        <f>(H23*'Base Data'!$C$5)+(I23*'Base Data'!$C$6)+(J23*'Base Data'!$C$7)</f>
        <v>53817.668125000004</v>
      </c>
      <c r="L23" s="32">
        <v>0</v>
      </c>
      <c r="M23" s="43">
        <v>0</v>
      </c>
      <c r="N23" s="122" t="s">
        <v>97</v>
      </c>
    </row>
    <row r="24" spans="1:14" s="4" customFormat="1" ht="9">
      <c r="A24" s="123" t="s">
        <v>255</v>
      </c>
      <c r="B24" s="28" t="s">
        <v>264</v>
      </c>
      <c r="C24" s="32"/>
      <c r="D24" s="32"/>
      <c r="E24" s="28"/>
      <c r="F24" s="28"/>
      <c r="G24" s="43"/>
      <c r="H24" s="28"/>
      <c r="I24" s="28"/>
      <c r="J24" s="28"/>
      <c r="K24" s="32"/>
      <c r="L24" s="32"/>
      <c r="M24" s="43"/>
      <c r="N24" s="122"/>
    </row>
    <row r="25" spans="1:14" s="4" customFormat="1" ht="9">
      <c r="A25" s="123" t="s">
        <v>256</v>
      </c>
      <c r="B25" s="28" t="s">
        <v>264</v>
      </c>
      <c r="C25" s="32"/>
      <c r="D25" s="32"/>
      <c r="E25" s="28"/>
      <c r="F25" s="28"/>
      <c r="G25" s="43"/>
      <c r="H25" s="28"/>
      <c r="I25" s="28"/>
      <c r="J25" s="28"/>
      <c r="K25" s="32"/>
      <c r="L25" s="32"/>
      <c r="M25" s="43"/>
      <c r="N25" s="122"/>
    </row>
    <row r="26" spans="1:14" s="4" customFormat="1" ht="9.75" thickBot="1">
      <c r="A26" s="216" t="s">
        <v>26</v>
      </c>
      <c r="B26" s="231"/>
      <c r="C26" s="139"/>
      <c r="D26" s="139"/>
      <c r="E26" s="231"/>
      <c r="F26" s="231"/>
      <c r="G26" s="138"/>
      <c r="H26" s="231">
        <f>SUM(H18:H25)</f>
        <v>4452.75</v>
      </c>
      <c r="I26" s="231">
        <f t="shared" ref="I26:M26" si="1">SUM(I18:I25)</f>
        <v>445.27500000000003</v>
      </c>
      <c r="J26" s="231">
        <f t="shared" si="1"/>
        <v>222.63750000000002</v>
      </c>
      <c r="K26" s="139">
        <f>SUM(K18:K25)</f>
        <v>484359.01312500006</v>
      </c>
      <c r="L26" s="139">
        <f t="shared" si="1"/>
        <v>0</v>
      </c>
      <c r="M26" s="138">
        <f t="shared" si="1"/>
        <v>0</v>
      </c>
      <c r="N26" s="232"/>
    </row>
    <row r="27" spans="1:14" s="4" customFormat="1" ht="12" thickBot="1">
      <c r="A27" s="131" t="s">
        <v>236</v>
      </c>
      <c r="B27" s="132"/>
      <c r="C27" s="132"/>
      <c r="D27" s="132"/>
      <c r="E27" s="132"/>
      <c r="F27" s="132"/>
      <c r="G27" s="134"/>
      <c r="H27" s="135">
        <f t="shared" ref="H27:M27" si="2">SUM(H16,H26)</f>
        <v>68249.25</v>
      </c>
      <c r="I27" s="135">
        <f t="shared" si="2"/>
        <v>6824.9249999999993</v>
      </c>
      <c r="J27" s="135">
        <f t="shared" si="2"/>
        <v>3412.4624999999996</v>
      </c>
      <c r="K27" s="136">
        <f t="shared" si="2"/>
        <v>7423982.791875001</v>
      </c>
      <c r="L27" s="136">
        <f t="shared" si="2"/>
        <v>4409212</v>
      </c>
      <c r="M27" s="135">
        <f t="shared" si="2"/>
        <v>2472.5</v>
      </c>
      <c r="N27" s="137"/>
    </row>
    <row r="28" spans="1:14" s="4" customFormat="1">
      <c r="A28" s="73"/>
      <c r="B28" s="34"/>
      <c r="C28" s="34"/>
      <c r="D28" s="34"/>
      <c r="E28" s="34"/>
      <c r="F28" s="34"/>
      <c r="G28" s="35"/>
      <c r="H28" s="34"/>
      <c r="I28" s="34"/>
      <c r="J28" s="34"/>
      <c r="K28" s="34"/>
      <c r="L28" s="355"/>
      <c r="M28" s="355"/>
      <c r="N28" s="34"/>
    </row>
    <row r="29" spans="1:14" s="4" customFormat="1" ht="9">
      <c r="A29" s="33" t="s">
        <v>371</v>
      </c>
      <c r="B29" s="36"/>
      <c r="C29" s="36"/>
      <c r="D29" s="36"/>
      <c r="E29" s="36"/>
      <c r="F29" s="36"/>
      <c r="G29" s="37"/>
      <c r="H29" s="36"/>
      <c r="I29" s="36"/>
      <c r="J29" s="36"/>
      <c r="K29" s="36"/>
      <c r="L29" s="356"/>
      <c r="M29" s="356"/>
      <c r="N29" s="36"/>
    </row>
    <row r="30" spans="1:14" s="9" customFormat="1" ht="9">
      <c r="A30" s="404" t="s">
        <v>369</v>
      </c>
      <c r="B30" s="404"/>
      <c r="C30" s="404"/>
      <c r="D30" s="404"/>
      <c r="E30" s="404"/>
      <c r="F30" s="404"/>
      <c r="G30" s="404"/>
      <c r="H30" s="404"/>
      <c r="I30" s="404"/>
      <c r="J30" s="404"/>
      <c r="K30" s="404"/>
      <c r="L30" s="357"/>
      <c r="M30" s="357"/>
      <c r="N30" s="36"/>
    </row>
    <row r="31" spans="1:14" s="9" customFormat="1" ht="10.5" customHeight="1">
      <c r="A31" s="33" t="s">
        <v>370</v>
      </c>
      <c r="B31" s="36"/>
      <c r="C31" s="36"/>
      <c r="D31" s="36"/>
      <c r="E31" s="36"/>
      <c r="F31" s="36"/>
      <c r="G31" s="37"/>
      <c r="H31" s="36"/>
      <c r="I31" s="36"/>
      <c r="J31" s="36"/>
      <c r="K31" s="36"/>
      <c r="L31" s="356"/>
      <c r="M31" s="356"/>
      <c r="N31" s="36"/>
    </row>
    <row r="32" spans="1:14">
      <c r="A32" s="33"/>
      <c r="B32" s="34"/>
      <c r="C32" s="34"/>
      <c r="D32" s="34"/>
      <c r="E32" s="34"/>
      <c r="F32" s="34"/>
      <c r="G32" s="34"/>
      <c r="H32" s="355"/>
      <c r="I32" s="355"/>
      <c r="J32" s="355"/>
      <c r="K32" s="355"/>
      <c r="L32" s="355"/>
      <c r="M32" s="355"/>
      <c r="N32" s="355"/>
    </row>
    <row r="33" spans="1:14">
      <c r="A33" s="73"/>
      <c r="B33" s="34"/>
      <c r="C33" s="34"/>
      <c r="D33" s="34"/>
      <c r="E33" s="34"/>
      <c r="F33" s="34"/>
      <c r="G33" s="34"/>
      <c r="H33" s="355"/>
      <c r="I33" s="355"/>
      <c r="J33" s="355"/>
      <c r="K33" s="355"/>
      <c r="L33" s="355"/>
      <c r="M33" s="355"/>
      <c r="N33" s="355"/>
    </row>
  </sheetData>
  <mergeCells count="3">
    <mergeCell ref="A1:O1"/>
    <mergeCell ref="A2:O2"/>
    <mergeCell ref="A30:K30"/>
  </mergeCells>
  <phoneticPr fontId="7" type="noConversion"/>
  <printOptions horizontalCentered="1"/>
  <pageMargins left="0" right="0" top="0.5" bottom="0.5" header="0.5" footer="0.5"/>
  <pageSetup scale="96" fitToHeight="2" orientation="landscape" r:id="rId1"/>
  <headerFooter alignWithMargins="0"/>
</worksheet>
</file>

<file path=xl/worksheets/sheet27.xml><?xml version="1.0" encoding="utf-8"?>
<worksheet xmlns="http://schemas.openxmlformats.org/spreadsheetml/2006/main" xmlns:r="http://schemas.openxmlformats.org/officeDocument/2006/relationships">
  <sheetPr>
    <pageSetUpPr fitToPage="1"/>
  </sheetPr>
  <dimension ref="A1:O33"/>
  <sheetViews>
    <sheetView zoomScaleNormal="100" workbookViewId="0">
      <selection activeCell="G15" sqref="G15"/>
    </sheetView>
  </sheetViews>
  <sheetFormatPr defaultRowHeight="11.25"/>
  <cols>
    <col min="1" max="1" width="35.140625" style="1" customWidth="1"/>
    <col min="2" max="2" width="9" style="5" bestFit="1" customWidth="1"/>
    <col min="3" max="3" width="8" style="5" customWidth="1"/>
    <col min="4" max="4" width="8" style="5" bestFit="1" customWidth="1"/>
    <col min="5" max="5" width="8.28515625" style="5" customWidth="1"/>
    <col min="6" max="6" width="8" style="5" bestFit="1" customWidth="1"/>
    <col min="7" max="7" width="9" style="5" customWidth="1"/>
    <col min="8" max="8" width="6.85546875" style="6" customWidth="1"/>
    <col min="9" max="9" width="7" style="6" bestFit="1" customWidth="1"/>
    <col min="10" max="10" width="9.28515625" style="6" customWidth="1"/>
    <col min="11" max="11" width="10.140625" style="6" customWidth="1"/>
    <col min="12" max="12" width="10.85546875" style="6" bestFit="1" customWidth="1"/>
    <col min="13" max="13" width="8" style="6" bestFit="1" customWidth="1"/>
    <col min="14" max="14" width="2.5703125" style="6" bestFit="1" customWidth="1"/>
    <col min="15" max="15" width="7.42578125" style="5" customWidth="1"/>
    <col min="16" max="17" width="9.140625" style="1" customWidth="1"/>
    <col min="18" max="16384" width="9.140625" style="1"/>
  </cols>
  <sheetData>
    <row r="1" spans="1:15">
      <c r="A1" s="407" t="s">
        <v>82</v>
      </c>
      <c r="B1" s="407"/>
      <c r="C1" s="407"/>
      <c r="D1" s="407"/>
      <c r="E1" s="407"/>
      <c r="F1" s="407"/>
      <c r="G1" s="407"/>
      <c r="H1" s="407"/>
      <c r="I1" s="407"/>
      <c r="J1" s="407"/>
      <c r="K1" s="407"/>
      <c r="L1" s="407"/>
      <c r="M1" s="407"/>
      <c r="N1" s="407"/>
      <c r="O1" s="407"/>
    </row>
    <row r="2" spans="1:15" ht="12" thickBot="1">
      <c r="A2" s="415" t="s">
        <v>8</v>
      </c>
      <c r="B2" s="415"/>
      <c r="C2" s="415"/>
      <c r="D2" s="415"/>
      <c r="E2" s="415"/>
      <c r="F2" s="415"/>
      <c r="G2" s="415"/>
      <c r="H2" s="415"/>
      <c r="I2" s="415"/>
      <c r="J2" s="415"/>
      <c r="K2" s="415"/>
      <c r="L2" s="415"/>
      <c r="M2" s="415"/>
      <c r="N2" s="415"/>
      <c r="O2" s="415"/>
    </row>
    <row r="3" spans="1:15" s="3" customFormat="1" ht="54.75" thickBot="1">
      <c r="A3" s="212" t="s">
        <v>229</v>
      </c>
      <c r="B3" s="144" t="s">
        <v>230</v>
      </c>
      <c r="C3" s="144" t="s">
        <v>355</v>
      </c>
      <c r="D3" s="144" t="s">
        <v>356</v>
      </c>
      <c r="E3" s="129" t="s">
        <v>357</v>
      </c>
      <c r="F3" s="144" t="s">
        <v>358</v>
      </c>
      <c r="G3" s="145" t="s">
        <v>359</v>
      </c>
      <c r="H3" s="146" t="s">
        <v>360</v>
      </c>
      <c r="I3" s="146" t="s">
        <v>361</v>
      </c>
      <c r="J3" s="146" t="s">
        <v>362</v>
      </c>
      <c r="K3" s="144" t="s">
        <v>363</v>
      </c>
      <c r="L3" s="146" t="s">
        <v>364</v>
      </c>
      <c r="M3" s="146" t="s">
        <v>365</v>
      </c>
      <c r="N3" s="147" t="s">
        <v>231</v>
      </c>
    </row>
    <row r="4" spans="1:15" s="4" customFormat="1" ht="9">
      <c r="A4" s="375" t="s">
        <v>237</v>
      </c>
      <c r="B4" s="235" t="s">
        <v>264</v>
      </c>
      <c r="C4" s="236"/>
      <c r="D4" s="236"/>
      <c r="E4" s="235"/>
      <c r="F4" s="235"/>
      <c r="G4" s="237"/>
      <c r="H4" s="235"/>
      <c r="I4" s="235"/>
      <c r="J4" s="235"/>
      <c r="K4" s="236"/>
      <c r="L4" s="236"/>
      <c r="M4" s="237"/>
      <c r="N4" s="229"/>
      <c r="O4" s="46"/>
    </row>
    <row r="5" spans="1:15" s="4" customFormat="1" ht="9">
      <c r="A5" s="123" t="s">
        <v>238</v>
      </c>
      <c r="B5" s="28" t="s">
        <v>264</v>
      </c>
      <c r="C5" s="32"/>
      <c r="D5" s="32"/>
      <c r="E5" s="28"/>
      <c r="F5" s="28"/>
      <c r="G5" s="43"/>
      <c r="H5" s="28"/>
      <c r="I5" s="28"/>
      <c r="J5" s="28"/>
      <c r="K5" s="32"/>
      <c r="L5" s="32"/>
      <c r="M5" s="43"/>
      <c r="N5" s="122"/>
      <c r="O5" s="46"/>
    </row>
    <row r="6" spans="1:15" s="4" customFormat="1" ht="9">
      <c r="A6" s="123" t="s">
        <v>239</v>
      </c>
      <c r="B6" s="28"/>
      <c r="C6" s="32"/>
      <c r="D6" s="32"/>
      <c r="E6" s="28"/>
      <c r="F6" s="28"/>
      <c r="G6" s="43"/>
      <c r="H6" s="28"/>
      <c r="I6" s="28"/>
      <c r="J6" s="28"/>
      <c r="K6" s="32"/>
      <c r="L6" s="32"/>
      <c r="M6" s="43"/>
      <c r="N6" s="122"/>
      <c r="O6" s="46"/>
    </row>
    <row r="7" spans="1:15" s="4" customFormat="1" ht="9">
      <c r="A7" s="123" t="s">
        <v>240</v>
      </c>
      <c r="B7" s="28">
        <v>40</v>
      </c>
      <c r="C7" s="32">
        <v>0</v>
      </c>
      <c r="D7" s="32">
        <v>0</v>
      </c>
      <c r="E7" s="28">
        <v>1</v>
      </c>
      <c r="F7" s="28">
        <f>B7*E7</f>
        <v>40</v>
      </c>
      <c r="G7" s="42">
        <f>ROUND('Base Data'!$H$43/3,0)</f>
        <v>989</v>
      </c>
      <c r="H7" s="42">
        <f>F7*G7</f>
        <v>39560</v>
      </c>
      <c r="I7" s="42">
        <f>H7*0.1</f>
        <v>3956</v>
      </c>
      <c r="J7" s="42">
        <f>H7*0.05</f>
        <v>1978</v>
      </c>
      <c r="K7" s="32">
        <f>(H7*'Base Data'!$C$5)+(I7*'Base Data'!$C$6)+(J7*'Base Data'!$C$7)</f>
        <v>4303237.9000000004</v>
      </c>
      <c r="L7" s="32">
        <v>0</v>
      </c>
      <c r="M7" s="43">
        <v>0</v>
      </c>
      <c r="N7" s="122" t="s">
        <v>214</v>
      </c>
      <c r="O7" s="46"/>
    </row>
    <row r="8" spans="1:15" s="4" customFormat="1" ht="9">
      <c r="A8" s="123" t="s">
        <v>241</v>
      </c>
      <c r="B8" s="28"/>
      <c r="C8" s="32"/>
      <c r="D8" s="32"/>
      <c r="E8" s="28"/>
      <c r="F8" s="28"/>
      <c r="G8" s="43"/>
      <c r="H8" s="28"/>
      <c r="I8" s="28"/>
      <c r="J8" s="28"/>
      <c r="K8" s="32"/>
      <c r="L8" s="32"/>
      <c r="M8" s="43"/>
      <c r="N8" s="122"/>
      <c r="O8" s="46"/>
    </row>
    <row r="9" spans="1:15" s="4" customFormat="1" ht="9">
      <c r="A9" s="123" t="s">
        <v>354</v>
      </c>
      <c r="B9" s="28">
        <v>12</v>
      </c>
      <c r="C9" s="32">
        <v>2228</v>
      </c>
      <c r="D9" s="32">
        <v>0</v>
      </c>
      <c r="E9" s="28">
        <v>0.5</v>
      </c>
      <c r="F9" s="28">
        <f>B9*E9</f>
        <v>6</v>
      </c>
      <c r="G9" s="42">
        <f>ROUND('Base Data'!$D$43/3,0)</f>
        <v>1979</v>
      </c>
      <c r="H9" s="42">
        <f>F9*G9</f>
        <v>11874</v>
      </c>
      <c r="I9" s="42">
        <f>H9*0.1</f>
        <v>1187.4000000000001</v>
      </c>
      <c r="J9" s="42">
        <f>H9*0.05</f>
        <v>593.70000000000005</v>
      </c>
      <c r="K9" s="32">
        <f>(H9*'Base Data'!$C$5)+(I9*'Base Data'!$C$6)+(J9*'Base Data'!$C$7)</f>
        <v>1291624.0350000001</v>
      </c>
      <c r="L9" s="32">
        <f>C9*G9</f>
        <v>4409212</v>
      </c>
      <c r="M9" s="43">
        <v>0</v>
      </c>
      <c r="N9" s="122" t="s">
        <v>97</v>
      </c>
      <c r="O9" s="46"/>
    </row>
    <row r="10" spans="1:15" s="4" customFormat="1" ht="9">
      <c r="A10" s="123" t="s">
        <v>245</v>
      </c>
      <c r="B10" s="28" t="s">
        <v>264</v>
      </c>
      <c r="C10" s="32"/>
      <c r="D10" s="32"/>
      <c r="E10" s="28"/>
      <c r="F10" s="28"/>
      <c r="G10" s="43"/>
      <c r="H10" s="28"/>
      <c r="I10" s="28"/>
      <c r="J10" s="28"/>
      <c r="K10" s="32"/>
      <c r="L10" s="32"/>
      <c r="M10" s="43"/>
      <c r="N10" s="122"/>
      <c r="O10" s="46"/>
    </row>
    <row r="11" spans="1:15" s="4" customFormat="1" ht="9">
      <c r="A11" s="123" t="s">
        <v>246</v>
      </c>
      <c r="B11" s="28" t="s">
        <v>264</v>
      </c>
      <c r="C11" s="32"/>
      <c r="D11" s="32"/>
      <c r="E11" s="28"/>
      <c r="F11" s="28"/>
      <c r="G11" s="43"/>
      <c r="H11" s="28"/>
      <c r="I11" s="28"/>
      <c r="J11" s="28"/>
      <c r="K11" s="32"/>
      <c r="L11" s="32"/>
      <c r="M11" s="43"/>
      <c r="N11" s="122"/>
      <c r="O11" s="46"/>
    </row>
    <row r="12" spans="1:15" s="4" customFormat="1" ht="9">
      <c r="A12" s="123" t="s">
        <v>247</v>
      </c>
      <c r="B12" s="28"/>
      <c r="C12" s="32"/>
      <c r="D12" s="32"/>
      <c r="E12" s="28"/>
      <c r="F12" s="28"/>
      <c r="G12" s="43"/>
      <c r="H12" s="28"/>
      <c r="I12" s="28"/>
      <c r="J12" s="28"/>
      <c r="K12" s="32"/>
      <c r="L12" s="32"/>
      <c r="M12" s="43"/>
      <c r="N12" s="122"/>
      <c r="O12" s="46"/>
    </row>
    <row r="13" spans="1:15" s="4" customFormat="1" ht="9">
      <c r="A13" s="124" t="s">
        <v>266</v>
      </c>
      <c r="B13" s="28">
        <v>2</v>
      </c>
      <c r="C13" s="32">
        <v>0</v>
      </c>
      <c r="D13" s="32">
        <v>0</v>
      </c>
      <c r="E13" s="28">
        <v>1</v>
      </c>
      <c r="F13" s="28">
        <f>B13*E13</f>
        <v>2</v>
      </c>
      <c r="G13" s="42">
        <f>$G$7</f>
        <v>989</v>
      </c>
      <c r="H13" s="42">
        <f>F13*G13</f>
        <v>1978</v>
      </c>
      <c r="I13" s="42">
        <f>H13*0.1</f>
        <v>197.8</v>
      </c>
      <c r="J13" s="42">
        <f>H13*0.05</f>
        <v>98.9</v>
      </c>
      <c r="K13" s="32">
        <f>(H13*'Base Data'!$C$5)+(I13*'Base Data'!$C$6)+(J13*'Base Data'!$C$7)</f>
        <v>215161.89499999999</v>
      </c>
      <c r="L13" s="32">
        <v>0</v>
      </c>
      <c r="M13" s="43">
        <f>E13*G13</f>
        <v>989</v>
      </c>
      <c r="N13" s="122" t="s">
        <v>97</v>
      </c>
      <c r="O13" s="46"/>
    </row>
    <row r="14" spans="1:15" s="4" customFormat="1" ht="9">
      <c r="A14" s="124" t="s">
        <v>208</v>
      </c>
      <c r="B14" s="28">
        <v>8</v>
      </c>
      <c r="C14" s="32">
        <v>0</v>
      </c>
      <c r="D14" s="32">
        <v>0</v>
      </c>
      <c r="E14" s="28">
        <v>1</v>
      </c>
      <c r="F14" s="28">
        <f>B14*E14</f>
        <v>8</v>
      </c>
      <c r="G14" s="42">
        <f>$G$7</f>
        <v>989</v>
      </c>
      <c r="H14" s="42">
        <f>F14*G14</f>
        <v>7912</v>
      </c>
      <c r="I14" s="42">
        <f>H14*0.1</f>
        <v>791.2</v>
      </c>
      <c r="J14" s="42">
        <f>H14*0.05</f>
        <v>395.6</v>
      </c>
      <c r="K14" s="32">
        <f>(H14*'Base Data'!$C$5)+(I14*'Base Data'!$C$6)+(J14*'Base Data'!$C$7)</f>
        <v>860647.58</v>
      </c>
      <c r="L14" s="32">
        <v>0</v>
      </c>
      <c r="M14" s="43">
        <f>E14*G14</f>
        <v>989</v>
      </c>
      <c r="N14" s="122" t="s">
        <v>97</v>
      </c>
      <c r="O14" s="46"/>
    </row>
    <row r="15" spans="1:15" s="4" customFormat="1" ht="9">
      <c r="A15" s="124" t="s">
        <v>148</v>
      </c>
      <c r="B15" s="28">
        <v>5</v>
      </c>
      <c r="C15" s="32">
        <v>0</v>
      </c>
      <c r="D15" s="32">
        <v>0</v>
      </c>
      <c r="E15" s="28">
        <v>0.5</v>
      </c>
      <c r="F15" s="28">
        <f>B15*E15</f>
        <v>2.5</v>
      </c>
      <c r="G15" s="42">
        <f>$G$7+'Fac-NewSmlLiquid-Yr1'!G15</f>
        <v>1978</v>
      </c>
      <c r="H15" s="42">
        <f>F15*G15</f>
        <v>4945</v>
      </c>
      <c r="I15" s="42">
        <f>H15*0.1</f>
        <v>494.5</v>
      </c>
      <c r="J15" s="42">
        <f>H15*0.05</f>
        <v>247.25</v>
      </c>
      <c r="K15" s="32">
        <f>(H15*'Base Data'!$C$5)+(I15*'Base Data'!$C$6)+(J15*'Base Data'!$C$7)</f>
        <v>537904.73750000005</v>
      </c>
      <c r="L15" s="32">
        <v>0</v>
      </c>
      <c r="M15" s="43">
        <f>E15*G15</f>
        <v>989</v>
      </c>
      <c r="N15" s="122" t="s">
        <v>97</v>
      </c>
      <c r="O15" s="46"/>
    </row>
    <row r="16" spans="1:15" s="4" customFormat="1" ht="9">
      <c r="A16" s="165" t="s">
        <v>24</v>
      </c>
      <c r="B16" s="28"/>
      <c r="C16" s="32"/>
      <c r="D16" s="32"/>
      <c r="E16" s="28"/>
      <c r="F16" s="28"/>
      <c r="G16" s="43"/>
      <c r="H16" s="42">
        <f t="shared" ref="H16:M16" si="0">SUM(H4:H15)</f>
        <v>66269</v>
      </c>
      <c r="I16" s="42">
        <f t="shared" si="0"/>
        <v>6626.9</v>
      </c>
      <c r="J16" s="42">
        <f t="shared" si="0"/>
        <v>3313.45</v>
      </c>
      <c r="K16" s="32">
        <f t="shared" si="0"/>
        <v>7208576.1475</v>
      </c>
      <c r="L16" s="32">
        <f t="shared" si="0"/>
        <v>4409212</v>
      </c>
      <c r="M16" s="373">
        <f t="shared" si="0"/>
        <v>2967</v>
      </c>
      <c r="N16" s="122"/>
      <c r="O16" s="46"/>
    </row>
    <row r="17" spans="1:15" s="4" customFormat="1" ht="9">
      <c r="A17" s="123" t="s">
        <v>261</v>
      </c>
      <c r="B17" s="28"/>
      <c r="C17" s="32"/>
      <c r="D17" s="32"/>
      <c r="E17" s="28"/>
      <c r="F17" s="28"/>
      <c r="G17" s="43"/>
      <c r="H17" s="28"/>
      <c r="I17" s="28"/>
      <c r="J17" s="28"/>
      <c r="K17" s="32"/>
      <c r="L17" s="32"/>
      <c r="M17" s="43"/>
      <c r="N17" s="122"/>
      <c r="O17" s="46"/>
    </row>
    <row r="18" spans="1:15" s="4" customFormat="1" ht="9">
      <c r="A18" s="123" t="s">
        <v>248</v>
      </c>
      <c r="B18" s="28" t="s">
        <v>252</v>
      </c>
      <c r="C18" s="32"/>
      <c r="D18" s="32"/>
      <c r="E18" s="28"/>
      <c r="F18" s="28"/>
      <c r="G18" s="43"/>
      <c r="H18" s="28"/>
      <c r="I18" s="28"/>
      <c r="J18" s="28"/>
      <c r="K18" s="32"/>
      <c r="L18" s="32"/>
      <c r="M18" s="43"/>
      <c r="N18" s="122"/>
      <c r="O18" s="46"/>
    </row>
    <row r="19" spans="1:15" s="4" customFormat="1" ht="9">
      <c r="A19" s="123" t="s">
        <v>249</v>
      </c>
      <c r="B19" s="28" t="s">
        <v>264</v>
      </c>
      <c r="C19" s="32"/>
      <c r="D19" s="32"/>
      <c r="E19" s="28"/>
      <c r="F19" s="28"/>
      <c r="G19" s="43"/>
      <c r="H19" s="28"/>
      <c r="I19" s="28"/>
      <c r="J19" s="28"/>
      <c r="K19" s="32"/>
      <c r="L19" s="32"/>
      <c r="M19" s="43"/>
      <c r="N19" s="122"/>
      <c r="O19" s="46"/>
    </row>
    <row r="20" spans="1:15" s="4" customFormat="1" ht="9">
      <c r="A20" s="123" t="s">
        <v>250</v>
      </c>
      <c r="B20" s="28" t="s">
        <v>264</v>
      </c>
      <c r="C20" s="32"/>
      <c r="D20" s="32"/>
      <c r="E20" s="28"/>
      <c r="F20" s="28"/>
      <c r="G20" s="43"/>
      <c r="H20" s="28"/>
      <c r="I20" s="28"/>
      <c r="J20" s="28"/>
      <c r="K20" s="32"/>
      <c r="L20" s="32"/>
      <c r="M20" s="43"/>
      <c r="N20" s="122" t="s">
        <v>215</v>
      </c>
      <c r="O20" s="46"/>
    </row>
    <row r="21" spans="1:15" s="4" customFormat="1" ht="9">
      <c r="A21" s="123" t="s">
        <v>251</v>
      </c>
      <c r="B21" s="28"/>
      <c r="C21" s="32"/>
      <c r="D21" s="32"/>
      <c r="E21" s="28"/>
      <c r="F21" s="28"/>
      <c r="G21" s="43"/>
      <c r="H21" s="28"/>
      <c r="I21" s="28"/>
      <c r="J21" s="28"/>
      <c r="K21" s="32"/>
      <c r="L21" s="32"/>
      <c r="M21" s="43"/>
      <c r="N21" s="122"/>
      <c r="O21" s="46"/>
    </row>
    <row r="22" spans="1:15" s="4" customFormat="1" ht="9">
      <c r="A22" s="124" t="s">
        <v>323</v>
      </c>
      <c r="B22" s="28">
        <v>2</v>
      </c>
      <c r="C22" s="32">
        <v>0</v>
      </c>
      <c r="D22" s="32">
        <v>0</v>
      </c>
      <c r="E22" s="28">
        <v>1</v>
      </c>
      <c r="F22" s="28">
        <f>B22*E22</f>
        <v>2</v>
      </c>
      <c r="G22" s="43">
        <f>$G$9+'Fac-NewSmlLiquid-Yr1'!G22</f>
        <v>3958</v>
      </c>
      <c r="H22" s="42">
        <f>F22*G22</f>
        <v>7916</v>
      </c>
      <c r="I22" s="42">
        <f>H22*0.1</f>
        <v>791.6</v>
      </c>
      <c r="J22" s="42">
        <f>H22*0.05</f>
        <v>395.8</v>
      </c>
      <c r="K22" s="32">
        <f>(H22*'Base Data'!$C$5)+(I22*'Base Data'!$C$6)+(J22*'Base Data'!$C$7)</f>
        <v>861082.69000000006</v>
      </c>
      <c r="L22" s="32">
        <v>0</v>
      </c>
      <c r="M22" s="43">
        <v>0</v>
      </c>
      <c r="N22" s="122" t="s">
        <v>97</v>
      </c>
      <c r="O22" s="46"/>
    </row>
    <row r="23" spans="1:15" s="4" customFormat="1" ht="9">
      <c r="A23" s="124" t="s">
        <v>322</v>
      </c>
      <c r="B23" s="28">
        <v>0.5</v>
      </c>
      <c r="C23" s="32">
        <v>0</v>
      </c>
      <c r="D23" s="32">
        <v>0</v>
      </c>
      <c r="E23" s="28">
        <v>0.5</v>
      </c>
      <c r="F23" s="28">
        <f>B23*E23</f>
        <v>0.25</v>
      </c>
      <c r="G23" s="43">
        <f>$G$9+'Fac-NewSmlLiquid-Yr1'!G23</f>
        <v>3958</v>
      </c>
      <c r="H23" s="42">
        <f>F23*G23</f>
        <v>989.5</v>
      </c>
      <c r="I23" s="42">
        <f>H23*0.1</f>
        <v>98.95</v>
      </c>
      <c r="J23" s="42">
        <f>H23*0.05</f>
        <v>49.475000000000001</v>
      </c>
      <c r="K23" s="32">
        <f>(H23*'Base Data'!$C$5)+(I23*'Base Data'!$C$6)+(J23*'Base Data'!$C$7)</f>
        <v>107635.33625000001</v>
      </c>
      <c r="L23" s="32">
        <v>0</v>
      </c>
      <c r="M23" s="43">
        <v>0</v>
      </c>
      <c r="N23" s="122" t="s">
        <v>97</v>
      </c>
      <c r="O23" s="46"/>
    </row>
    <row r="24" spans="1:15" s="4" customFormat="1" ht="9">
      <c r="A24" s="123" t="s">
        <v>255</v>
      </c>
      <c r="B24" s="28" t="s">
        <v>264</v>
      </c>
      <c r="C24" s="32"/>
      <c r="D24" s="32"/>
      <c r="E24" s="28"/>
      <c r="F24" s="28"/>
      <c r="G24" s="43"/>
      <c r="H24" s="28"/>
      <c r="I24" s="28"/>
      <c r="J24" s="28"/>
      <c r="K24" s="32"/>
      <c r="L24" s="32"/>
      <c r="M24" s="43"/>
      <c r="N24" s="122"/>
      <c r="O24" s="46"/>
    </row>
    <row r="25" spans="1:15" s="4" customFormat="1" ht="9">
      <c r="A25" s="123" t="s">
        <v>256</v>
      </c>
      <c r="B25" s="28" t="s">
        <v>264</v>
      </c>
      <c r="C25" s="32"/>
      <c r="D25" s="32"/>
      <c r="E25" s="28"/>
      <c r="F25" s="28"/>
      <c r="G25" s="43"/>
      <c r="H25" s="28"/>
      <c r="I25" s="28"/>
      <c r="J25" s="28"/>
      <c r="K25" s="32"/>
      <c r="L25" s="32"/>
      <c r="M25" s="43"/>
      <c r="N25" s="122"/>
      <c r="O25" s="46"/>
    </row>
    <row r="26" spans="1:15" s="4" customFormat="1" ht="9.75" thickBot="1">
      <c r="A26" s="216" t="s">
        <v>26</v>
      </c>
      <c r="B26" s="231"/>
      <c r="C26" s="139"/>
      <c r="D26" s="139"/>
      <c r="E26" s="231"/>
      <c r="F26" s="231"/>
      <c r="G26" s="138"/>
      <c r="H26" s="231">
        <f>SUM(H18:H25)</f>
        <v>8905.5</v>
      </c>
      <c r="I26" s="231">
        <f t="shared" ref="I26:M26" si="1">SUM(I18:I25)</f>
        <v>890.55000000000007</v>
      </c>
      <c r="J26" s="231">
        <f t="shared" si="1"/>
        <v>445.27500000000003</v>
      </c>
      <c r="K26" s="139">
        <f t="shared" si="1"/>
        <v>968718.02625000011</v>
      </c>
      <c r="L26" s="139">
        <f t="shared" si="1"/>
        <v>0</v>
      </c>
      <c r="M26" s="138">
        <f t="shared" si="1"/>
        <v>0</v>
      </c>
      <c r="N26" s="232"/>
      <c r="O26" s="46"/>
    </row>
    <row r="27" spans="1:15" s="4" customFormat="1" ht="12" thickBot="1">
      <c r="A27" s="131" t="s">
        <v>236</v>
      </c>
      <c r="B27" s="132"/>
      <c r="C27" s="132"/>
      <c r="D27" s="132"/>
      <c r="E27" s="132"/>
      <c r="F27" s="132"/>
      <c r="G27" s="134"/>
      <c r="H27" s="135">
        <f t="shared" ref="H27:M27" si="2">SUM(H16,H26)</f>
        <v>75174.5</v>
      </c>
      <c r="I27" s="135">
        <f t="shared" si="2"/>
        <v>7517.45</v>
      </c>
      <c r="J27" s="135">
        <f t="shared" si="2"/>
        <v>3758.7249999999999</v>
      </c>
      <c r="K27" s="136">
        <f t="shared" si="2"/>
        <v>8177294.1737500001</v>
      </c>
      <c r="L27" s="136">
        <f t="shared" si="2"/>
        <v>4409212</v>
      </c>
      <c r="M27" s="135">
        <f t="shared" si="2"/>
        <v>2967</v>
      </c>
      <c r="N27" s="137"/>
      <c r="O27" s="46"/>
    </row>
    <row r="28" spans="1:15" s="4" customFormat="1">
      <c r="A28" s="73"/>
      <c r="B28" s="34"/>
      <c r="C28" s="34"/>
      <c r="D28" s="34"/>
      <c r="E28" s="34"/>
      <c r="F28" s="34"/>
      <c r="G28" s="35"/>
      <c r="H28" s="34"/>
      <c r="I28" s="34"/>
      <c r="J28" s="34"/>
      <c r="K28" s="34"/>
      <c r="L28" s="355"/>
      <c r="M28" s="355"/>
      <c r="N28" s="34"/>
      <c r="O28" s="46"/>
    </row>
    <row r="29" spans="1:15" s="4" customFormat="1" ht="9">
      <c r="A29" s="33" t="s">
        <v>371</v>
      </c>
      <c r="B29" s="36"/>
      <c r="C29" s="36"/>
      <c r="D29" s="36"/>
      <c r="E29" s="36"/>
      <c r="F29" s="36"/>
      <c r="G29" s="37"/>
      <c r="H29" s="36"/>
      <c r="I29" s="36"/>
      <c r="J29" s="36"/>
      <c r="K29" s="36"/>
      <c r="L29" s="356"/>
      <c r="M29" s="356"/>
      <c r="N29" s="36"/>
      <c r="O29" s="46"/>
    </row>
    <row r="30" spans="1:15" s="9" customFormat="1" ht="9">
      <c r="A30" s="404" t="s">
        <v>369</v>
      </c>
      <c r="B30" s="404"/>
      <c r="C30" s="404"/>
      <c r="D30" s="404"/>
      <c r="E30" s="404"/>
      <c r="F30" s="404"/>
      <c r="G30" s="404"/>
      <c r="H30" s="404"/>
      <c r="I30" s="404"/>
      <c r="J30" s="404"/>
      <c r="K30" s="404"/>
      <c r="L30" s="357"/>
      <c r="M30" s="357"/>
      <c r="N30" s="36"/>
      <c r="O30" s="33"/>
    </row>
    <row r="31" spans="1:15" s="9" customFormat="1" ht="10.5" customHeight="1">
      <c r="A31" s="33" t="s">
        <v>370</v>
      </c>
      <c r="B31" s="36"/>
      <c r="C31" s="36"/>
      <c r="D31" s="36"/>
      <c r="E31" s="36"/>
      <c r="F31" s="36"/>
      <c r="G31" s="37"/>
      <c r="H31" s="36"/>
      <c r="I31" s="36"/>
      <c r="J31" s="36"/>
      <c r="K31" s="36"/>
      <c r="L31" s="356"/>
      <c r="M31" s="356"/>
      <c r="N31" s="36"/>
      <c r="O31" s="33"/>
    </row>
    <row r="32" spans="1:15">
      <c r="A32" s="73"/>
      <c r="B32" s="34"/>
      <c r="C32" s="34"/>
      <c r="D32" s="34"/>
      <c r="E32" s="34"/>
      <c r="F32" s="34"/>
      <c r="G32" s="34"/>
      <c r="H32" s="355"/>
      <c r="I32" s="355"/>
      <c r="J32" s="355"/>
      <c r="K32" s="355"/>
      <c r="L32" s="355"/>
      <c r="M32" s="355"/>
      <c r="N32" s="34"/>
      <c r="O32" s="73"/>
    </row>
    <row r="33" spans="1:15">
      <c r="A33" s="73"/>
      <c r="B33" s="34"/>
      <c r="C33" s="34"/>
      <c r="D33" s="34"/>
      <c r="E33" s="34"/>
      <c r="F33" s="34"/>
      <c r="G33" s="34"/>
      <c r="H33" s="355"/>
      <c r="I33" s="355"/>
      <c r="J33" s="355"/>
      <c r="K33" s="355"/>
      <c r="L33" s="355"/>
      <c r="M33" s="355"/>
      <c r="N33" s="355"/>
      <c r="O33" s="34"/>
    </row>
  </sheetData>
  <mergeCells count="3">
    <mergeCell ref="A1:O1"/>
    <mergeCell ref="A2:O2"/>
    <mergeCell ref="A30:K30"/>
  </mergeCells>
  <phoneticPr fontId="7" type="noConversion"/>
  <printOptions horizontalCentered="1"/>
  <pageMargins left="0" right="0" top="0.5" bottom="0.5" header="0.5" footer="0.5"/>
  <pageSetup scale="97" fitToHeight="2" orientation="landscape" r:id="rId1"/>
  <headerFooter alignWithMargins="0"/>
</worksheet>
</file>

<file path=xl/worksheets/sheet28.xml><?xml version="1.0" encoding="utf-8"?>
<worksheet xmlns="http://schemas.openxmlformats.org/spreadsheetml/2006/main" xmlns:r="http://schemas.openxmlformats.org/officeDocument/2006/relationships">
  <sheetPr>
    <pageSetUpPr fitToPage="1"/>
  </sheetPr>
  <dimension ref="A1:O32"/>
  <sheetViews>
    <sheetView zoomScaleNormal="100" workbookViewId="0">
      <selection activeCell="E10" sqref="E10"/>
    </sheetView>
  </sheetViews>
  <sheetFormatPr defaultRowHeight="11.25"/>
  <cols>
    <col min="1" max="1" width="33.42578125" style="1" customWidth="1"/>
    <col min="2" max="2" width="9" style="5" bestFit="1" customWidth="1"/>
    <col min="3" max="3" width="8" style="5" customWidth="1"/>
    <col min="4" max="4" width="8" style="5" bestFit="1" customWidth="1"/>
    <col min="5" max="5" width="8.28515625" style="5" customWidth="1"/>
    <col min="6" max="6" width="8.5703125" style="5" customWidth="1"/>
    <col min="7" max="7" width="9" style="5" customWidth="1"/>
    <col min="8" max="8" width="6.85546875" style="6" customWidth="1"/>
    <col min="9" max="9" width="8" style="6" bestFit="1" customWidth="1"/>
    <col min="10" max="10" width="9" style="6" bestFit="1" customWidth="1"/>
    <col min="11" max="12" width="10.85546875" style="6" bestFit="1" customWidth="1"/>
    <col min="13" max="13" width="8.85546875" style="6" bestFit="1" customWidth="1"/>
    <col min="14" max="14" width="2.5703125" style="6" bestFit="1" customWidth="1"/>
    <col min="15" max="15" width="7.42578125" style="5" customWidth="1"/>
    <col min="16" max="17" width="9.140625" style="1" customWidth="1"/>
    <col min="18" max="16384" width="9.140625" style="1"/>
  </cols>
  <sheetData>
    <row r="1" spans="1:15">
      <c r="A1" s="407" t="s">
        <v>83</v>
      </c>
      <c r="B1" s="407"/>
      <c r="C1" s="407"/>
      <c r="D1" s="407"/>
      <c r="E1" s="407"/>
      <c r="F1" s="407"/>
      <c r="G1" s="407"/>
      <c r="H1" s="407"/>
      <c r="I1" s="407"/>
      <c r="J1" s="407"/>
      <c r="K1" s="407"/>
      <c r="L1" s="407"/>
      <c r="M1" s="407"/>
      <c r="N1" s="407"/>
      <c r="O1" s="407"/>
    </row>
    <row r="2" spans="1:15" ht="12" thickBot="1">
      <c r="A2" s="415" t="s">
        <v>9</v>
      </c>
      <c r="B2" s="415"/>
      <c r="C2" s="415"/>
      <c r="D2" s="415"/>
      <c r="E2" s="415"/>
      <c r="F2" s="415"/>
      <c r="G2" s="415"/>
      <c r="H2" s="415"/>
      <c r="I2" s="415"/>
      <c r="J2" s="415"/>
      <c r="K2" s="415"/>
      <c r="L2" s="415"/>
      <c r="M2" s="415"/>
      <c r="N2" s="415"/>
      <c r="O2" s="415"/>
    </row>
    <row r="3" spans="1:15" s="3" customFormat="1" ht="54.75" thickBot="1">
      <c r="A3" s="212" t="s">
        <v>229</v>
      </c>
      <c r="B3" s="144" t="s">
        <v>230</v>
      </c>
      <c r="C3" s="144" t="s">
        <v>355</v>
      </c>
      <c r="D3" s="144" t="s">
        <v>356</v>
      </c>
      <c r="E3" s="129" t="s">
        <v>357</v>
      </c>
      <c r="F3" s="144" t="s">
        <v>358</v>
      </c>
      <c r="G3" s="145" t="s">
        <v>359</v>
      </c>
      <c r="H3" s="146" t="s">
        <v>360</v>
      </c>
      <c r="I3" s="146" t="s">
        <v>361</v>
      </c>
      <c r="J3" s="146" t="s">
        <v>362</v>
      </c>
      <c r="K3" s="144" t="s">
        <v>363</v>
      </c>
      <c r="L3" s="146" t="s">
        <v>364</v>
      </c>
      <c r="M3" s="146" t="s">
        <v>365</v>
      </c>
      <c r="N3" s="147" t="s">
        <v>231</v>
      </c>
    </row>
    <row r="4" spans="1:15" s="4" customFormat="1" ht="9">
      <c r="A4" s="164" t="s">
        <v>237</v>
      </c>
      <c r="B4" s="157" t="s">
        <v>264</v>
      </c>
      <c r="C4" s="158"/>
      <c r="D4" s="158"/>
      <c r="E4" s="157"/>
      <c r="F4" s="157"/>
      <c r="G4" s="159"/>
      <c r="H4" s="157"/>
      <c r="I4" s="157"/>
      <c r="J4" s="157"/>
      <c r="K4" s="158"/>
      <c r="L4" s="158"/>
      <c r="M4" s="159"/>
      <c r="N4" s="203"/>
    </row>
    <row r="5" spans="1:15" s="4" customFormat="1" ht="9">
      <c r="A5" s="148" t="s">
        <v>238</v>
      </c>
      <c r="B5" s="13" t="s">
        <v>264</v>
      </c>
      <c r="C5" s="22"/>
      <c r="D5" s="22"/>
      <c r="E5" s="13"/>
      <c r="F5" s="13"/>
      <c r="G5" s="14"/>
      <c r="H5" s="13"/>
      <c r="I5" s="13"/>
      <c r="J5" s="13"/>
      <c r="K5" s="22"/>
      <c r="L5" s="22"/>
      <c r="M5" s="14"/>
      <c r="N5" s="141"/>
    </row>
    <row r="6" spans="1:15" s="4" customFormat="1" ht="9">
      <c r="A6" s="123" t="s">
        <v>239</v>
      </c>
      <c r="B6" s="28"/>
      <c r="C6" s="32"/>
      <c r="D6" s="32"/>
      <c r="E6" s="28"/>
      <c r="F6" s="28"/>
      <c r="G6" s="43"/>
      <c r="H6" s="28"/>
      <c r="I6" s="28"/>
      <c r="J6" s="28"/>
      <c r="K6" s="32"/>
      <c r="L6" s="32"/>
      <c r="M6" s="43"/>
      <c r="N6" s="122"/>
      <c r="O6" s="46"/>
    </row>
    <row r="7" spans="1:15" s="4" customFormat="1" ht="9">
      <c r="A7" s="123" t="s">
        <v>240</v>
      </c>
      <c r="B7" s="28">
        <v>40</v>
      </c>
      <c r="C7" s="32">
        <v>0</v>
      </c>
      <c r="D7" s="32">
        <v>0</v>
      </c>
      <c r="E7" s="28">
        <v>1</v>
      </c>
      <c r="F7" s="28">
        <f>B7*E7</f>
        <v>40</v>
      </c>
      <c r="G7" s="42">
        <f>ROUNDUP('Base Data'!$H$43/3,0)</f>
        <v>990</v>
      </c>
      <c r="H7" s="42">
        <f>F7*G7</f>
        <v>39600</v>
      </c>
      <c r="I7" s="42">
        <f>H7*0.1</f>
        <v>3960</v>
      </c>
      <c r="J7" s="42">
        <f>H7*0.05</f>
        <v>1980</v>
      </c>
      <c r="K7" s="32">
        <f>(H7*'Base Data'!$C$5)+(I7*'Base Data'!$C$6)+(J7*'Base Data'!$C$7)</f>
        <v>4307589</v>
      </c>
      <c r="L7" s="32">
        <v>0</v>
      </c>
      <c r="M7" s="43">
        <v>0</v>
      </c>
      <c r="N7" s="122" t="s">
        <v>214</v>
      </c>
      <c r="O7" s="46"/>
    </row>
    <row r="8" spans="1:15" s="4" customFormat="1" ht="9">
      <c r="A8" s="123" t="s">
        <v>241</v>
      </c>
      <c r="B8" s="28"/>
      <c r="C8" s="32"/>
      <c r="D8" s="32"/>
      <c r="E8" s="28"/>
      <c r="F8" s="28"/>
      <c r="G8" s="43"/>
      <c r="H8" s="28"/>
      <c r="I8" s="28"/>
      <c r="J8" s="28"/>
      <c r="K8" s="32"/>
      <c r="L8" s="32"/>
      <c r="M8" s="43"/>
      <c r="N8" s="122"/>
      <c r="O8" s="46"/>
    </row>
    <row r="9" spans="1:15" s="4" customFormat="1" ht="9">
      <c r="A9" s="123" t="s">
        <v>354</v>
      </c>
      <c r="B9" s="28">
        <v>12</v>
      </c>
      <c r="C9" s="32">
        <v>2228</v>
      </c>
      <c r="D9" s="32">
        <v>0</v>
      </c>
      <c r="E9" s="28">
        <v>0.5</v>
      </c>
      <c r="F9" s="28">
        <f>B9*E9</f>
        <v>6</v>
      </c>
      <c r="G9" s="42">
        <f>ROUNDUP('Base Data'!$D$43/3,0)</f>
        <v>1979</v>
      </c>
      <c r="H9" s="42">
        <f>F9*G9</f>
        <v>11874</v>
      </c>
      <c r="I9" s="42">
        <f>H9*0.1</f>
        <v>1187.4000000000001</v>
      </c>
      <c r="J9" s="42">
        <f>H9*0.05</f>
        <v>593.70000000000005</v>
      </c>
      <c r="K9" s="32">
        <f>(H9*'Base Data'!$C$5)+(I9*'Base Data'!$C$6)+(J9*'Base Data'!$C$7)</f>
        <v>1291624.0350000001</v>
      </c>
      <c r="L9" s="32">
        <f>C9*G9</f>
        <v>4409212</v>
      </c>
      <c r="M9" s="43">
        <v>0</v>
      </c>
      <c r="N9" s="122" t="s">
        <v>97</v>
      </c>
      <c r="O9" s="46"/>
    </row>
    <row r="10" spans="1:15" s="4" customFormat="1" ht="9">
      <c r="A10" s="123" t="s">
        <v>245</v>
      </c>
      <c r="B10" s="28" t="s">
        <v>264</v>
      </c>
      <c r="C10" s="32"/>
      <c r="D10" s="32"/>
      <c r="E10" s="28"/>
      <c r="F10" s="28"/>
      <c r="G10" s="43"/>
      <c r="H10" s="28"/>
      <c r="I10" s="28"/>
      <c r="J10" s="28"/>
      <c r="K10" s="32"/>
      <c r="L10" s="32"/>
      <c r="M10" s="43"/>
      <c r="N10" s="122"/>
      <c r="O10" s="46"/>
    </row>
    <row r="11" spans="1:15" s="4" customFormat="1" ht="9">
      <c r="A11" s="123" t="s">
        <v>246</v>
      </c>
      <c r="B11" s="28" t="s">
        <v>264</v>
      </c>
      <c r="C11" s="32"/>
      <c r="D11" s="32"/>
      <c r="E11" s="28"/>
      <c r="F11" s="28"/>
      <c r="G11" s="43"/>
      <c r="H11" s="28"/>
      <c r="I11" s="28"/>
      <c r="J11" s="28"/>
      <c r="K11" s="32"/>
      <c r="L11" s="32"/>
      <c r="M11" s="43"/>
      <c r="N11" s="122"/>
      <c r="O11" s="46"/>
    </row>
    <row r="12" spans="1:15" s="4" customFormat="1" ht="9">
      <c r="A12" s="123" t="s">
        <v>247</v>
      </c>
      <c r="B12" s="28"/>
      <c r="C12" s="32"/>
      <c r="D12" s="32"/>
      <c r="E12" s="28"/>
      <c r="F12" s="28"/>
      <c r="G12" s="43"/>
      <c r="H12" s="28"/>
      <c r="I12" s="28"/>
      <c r="J12" s="28"/>
      <c r="K12" s="32"/>
      <c r="L12" s="32"/>
      <c r="M12" s="43"/>
      <c r="N12" s="122"/>
      <c r="O12" s="46"/>
    </row>
    <row r="13" spans="1:15" s="4" customFormat="1" ht="9">
      <c r="A13" s="124" t="s">
        <v>266</v>
      </c>
      <c r="B13" s="28">
        <v>2</v>
      </c>
      <c r="C13" s="32">
        <v>0</v>
      </c>
      <c r="D13" s="32">
        <v>0</v>
      </c>
      <c r="E13" s="28">
        <v>1</v>
      </c>
      <c r="F13" s="28">
        <f>B13*E13</f>
        <v>2</v>
      </c>
      <c r="G13" s="42">
        <f>$G$7</f>
        <v>990</v>
      </c>
      <c r="H13" s="42">
        <f>F13*G13</f>
        <v>1980</v>
      </c>
      <c r="I13" s="42">
        <f>H13*0.1</f>
        <v>198</v>
      </c>
      <c r="J13" s="42">
        <f>H13*0.05</f>
        <v>99</v>
      </c>
      <c r="K13" s="32">
        <f>(H13*'Base Data'!$C$5)+(I13*'Base Data'!$C$6)+(J13*'Base Data'!$C$7)</f>
        <v>215379.45</v>
      </c>
      <c r="L13" s="32">
        <v>0</v>
      </c>
      <c r="M13" s="43">
        <f>E13*G13</f>
        <v>990</v>
      </c>
      <c r="N13" s="122" t="s">
        <v>97</v>
      </c>
      <c r="O13" s="46"/>
    </row>
    <row r="14" spans="1:15" s="4" customFormat="1" ht="9">
      <c r="A14" s="124" t="s">
        <v>208</v>
      </c>
      <c r="B14" s="28">
        <v>8</v>
      </c>
      <c r="C14" s="32">
        <v>0</v>
      </c>
      <c r="D14" s="32">
        <v>0</v>
      </c>
      <c r="E14" s="28">
        <v>1</v>
      </c>
      <c r="F14" s="28">
        <f>B14*E14</f>
        <v>8</v>
      </c>
      <c r="G14" s="42">
        <f>$G$7</f>
        <v>990</v>
      </c>
      <c r="H14" s="42">
        <f>F14*G14</f>
        <v>7920</v>
      </c>
      <c r="I14" s="42">
        <f>H14*0.1</f>
        <v>792</v>
      </c>
      <c r="J14" s="42">
        <f>H14*0.05</f>
        <v>396</v>
      </c>
      <c r="K14" s="32">
        <f>(H14*'Base Data'!$C$5)+(I14*'Base Data'!$C$6)+(J14*'Base Data'!$C$7)</f>
        <v>861517.8</v>
      </c>
      <c r="L14" s="32">
        <v>0</v>
      </c>
      <c r="M14" s="43">
        <f>E14*G14</f>
        <v>990</v>
      </c>
      <c r="N14" s="122" t="s">
        <v>97</v>
      </c>
      <c r="O14" s="46"/>
    </row>
    <row r="15" spans="1:15" s="4" customFormat="1" ht="9">
      <c r="A15" s="124" t="s">
        <v>148</v>
      </c>
      <c r="B15" s="28">
        <v>5</v>
      </c>
      <c r="C15" s="32">
        <v>0</v>
      </c>
      <c r="D15" s="32">
        <v>0</v>
      </c>
      <c r="E15" s="28">
        <v>0.5</v>
      </c>
      <c r="F15" s="28">
        <f>B15*E15</f>
        <v>2.5</v>
      </c>
      <c r="G15" s="42">
        <f>$G$7+'Fac-NewSmlLiquid-Yr2'!G15</f>
        <v>2968</v>
      </c>
      <c r="H15" s="42">
        <f>F15*G15</f>
        <v>7420</v>
      </c>
      <c r="I15" s="42">
        <f>H15*0.1</f>
        <v>742</v>
      </c>
      <c r="J15" s="42">
        <f>H15*0.05</f>
        <v>371</v>
      </c>
      <c r="K15" s="32">
        <f>(H15*'Base Data'!$C$5)+(I15*'Base Data'!$C$6)+(J15*'Base Data'!$C$7)</f>
        <v>807129.05</v>
      </c>
      <c r="L15" s="32">
        <v>0</v>
      </c>
      <c r="M15" s="43">
        <f>E15*G15</f>
        <v>1484</v>
      </c>
      <c r="N15" s="122" t="s">
        <v>97</v>
      </c>
      <c r="O15" s="46"/>
    </row>
    <row r="16" spans="1:15" s="4" customFormat="1" ht="9">
      <c r="A16" s="165" t="s">
        <v>24</v>
      </c>
      <c r="B16" s="28"/>
      <c r="C16" s="32"/>
      <c r="D16" s="32"/>
      <c r="E16" s="28"/>
      <c r="F16" s="28"/>
      <c r="G16" s="43"/>
      <c r="H16" s="42">
        <f t="shared" ref="H16:M16" si="0">SUM(H4:H15)</f>
        <v>68794</v>
      </c>
      <c r="I16" s="42">
        <f t="shared" si="0"/>
        <v>6879.4</v>
      </c>
      <c r="J16" s="42">
        <f t="shared" si="0"/>
        <v>3439.7</v>
      </c>
      <c r="K16" s="32">
        <f t="shared" si="0"/>
        <v>7483239.335</v>
      </c>
      <c r="L16" s="374">
        <f t="shared" si="0"/>
        <v>4409212</v>
      </c>
      <c r="M16" s="42">
        <f t="shared" si="0"/>
        <v>3464</v>
      </c>
      <c r="N16" s="122"/>
      <c r="O16" s="46"/>
    </row>
    <row r="17" spans="1:15" s="4" customFormat="1" ht="9">
      <c r="A17" s="123" t="s">
        <v>261</v>
      </c>
      <c r="B17" s="28"/>
      <c r="C17" s="32"/>
      <c r="D17" s="32"/>
      <c r="E17" s="28"/>
      <c r="F17" s="28"/>
      <c r="G17" s="43"/>
      <c r="H17" s="28"/>
      <c r="I17" s="28"/>
      <c r="J17" s="28"/>
      <c r="K17" s="32"/>
      <c r="L17" s="32"/>
      <c r="M17" s="43"/>
      <c r="N17" s="122"/>
      <c r="O17" s="46"/>
    </row>
    <row r="18" spans="1:15" s="4" customFormat="1" ht="9">
      <c r="A18" s="123" t="s">
        <v>248</v>
      </c>
      <c r="B18" s="28" t="s">
        <v>252</v>
      </c>
      <c r="C18" s="32"/>
      <c r="D18" s="32"/>
      <c r="E18" s="28"/>
      <c r="F18" s="28"/>
      <c r="G18" s="43"/>
      <c r="H18" s="28"/>
      <c r="I18" s="28"/>
      <c r="J18" s="28"/>
      <c r="K18" s="32"/>
      <c r="L18" s="32"/>
      <c r="M18" s="43"/>
      <c r="N18" s="122"/>
      <c r="O18" s="46"/>
    </row>
    <row r="19" spans="1:15" s="4" customFormat="1" ht="9">
      <c r="A19" s="123" t="s">
        <v>249</v>
      </c>
      <c r="B19" s="28" t="s">
        <v>264</v>
      </c>
      <c r="C19" s="32"/>
      <c r="D19" s="32"/>
      <c r="E19" s="28"/>
      <c r="F19" s="28"/>
      <c r="G19" s="43"/>
      <c r="H19" s="28"/>
      <c r="I19" s="28"/>
      <c r="J19" s="28"/>
      <c r="K19" s="32"/>
      <c r="L19" s="32"/>
      <c r="M19" s="43"/>
      <c r="N19" s="122"/>
      <c r="O19" s="46"/>
    </row>
    <row r="20" spans="1:15" s="4" customFormat="1" ht="9">
      <c r="A20" s="123" t="s">
        <v>250</v>
      </c>
      <c r="B20" s="28" t="s">
        <v>264</v>
      </c>
      <c r="C20" s="32"/>
      <c r="D20" s="32"/>
      <c r="E20" s="28"/>
      <c r="F20" s="28"/>
      <c r="G20" s="43"/>
      <c r="H20" s="28"/>
      <c r="I20" s="28"/>
      <c r="J20" s="28"/>
      <c r="K20" s="32"/>
      <c r="L20" s="32"/>
      <c r="M20" s="43"/>
      <c r="N20" s="122" t="s">
        <v>215</v>
      </c>
      <c r="O20" s="46"/>
    </row>
    <row r="21" spans="1:15" s="4" customFormat="1" ht="9">
      <c r="A21" s="123" t="s">
        <v>251</v>
      </c>
      <c r="B21" s="28"/>
      <c r="C21" s="32"/>
      <c r="D21" s="32"/>
      <c r="E21" s="28"/>
      <c r="F21" s="28"/>
      <c r="G21" s="43"/>
      <c r="H21" s="28"/>
      <c r="I21" s="28"/>
      <c r="J21" s="28"/>
      <c r="K21" s="32"/>
      <c r="L21" s="32"/>
      <c r="M21" s="43"/>
      <c r="N21" s="122"/>
      <c r="O21" s="46"/>
    </row>
    <row r="22" spans="1:15" s="4" customFormat="1" ht="9.75" customHeight="1">
      <c r="A22" s="124" t="s">
        <v>323</v>
      </c>
      <c r="B22" s="28">
        <v>2</v>
      </c>
      <c r="C22" s="32">
        <v>0</v>
      </c>
      <c r="D22" s="32">
        <v>0</v>
      </c>
      <c r="E22" s="28">
        <v>1</v>
      </c>
      <c r="F22" s="28">
        <f>B22*E22</f>
        <v>2</v>
      </c>
      <c r="G22" s="43">
        <f>$G$9+'Fac-NewSmlLiquid-Yr2'!G22</f>
        <v>5937</v>
      </c>
      <c r="H22" s="42">
        <f>F22*G22</f>
        <v>11874</v>
      </c>
      <c r="I22" s="42">
        <f>H22*0.1</f>
        <v>1187.4000000000001</v>
      </c>
      <c r="J22" s="42">
        <f>H22*0.05</f>
        <v>593.70000000000005</v>
      </c>
      <c r="K22" s="32">
        <f>(H22*'Base Data'!$C$5)+(I22*'Base Data'!$C$6)+(J22*'Base Data'!$C$7)</f>
        <v>1291624.0350000001</v>
      </c>
      <c r="L22" s="32">
        <v>0</v>
      </c>
      <c r="M22" s="42">
        <v>0</v>
      </c>
      <c r="N22" s="122" t="s">
        <v>97</v>
      </c>
      <c r="O22" s="46"/>
    </row>
    <row r="23" spans="1:15" s="4" customFormat="1" ht="9">
      <c r="A23" s="124" t="s">
        <v>322</v>
      </c>
      <c r="B23" s="28">
        <v>0.5</v>
      </c>
      <c r="C23" s="32">
        <v>0</v>
      </c>
      <c r="D23" s="32">
        <v>0</v>
      </c>
      <c r="E23" s="28">
        <v>0.5</v>
      </c>
      <c r="F23" s="28">
        <f>B23*E23</f>
        <v>0.25</v>
      </c>
      <c r="G23" s="43">
        <f>$G$9+'Fac-NewSmlLiquid-Yr2'!G23</f>
        <v>5937</v>
      </c>
      <c r="H23" s="42">
        <f>F23*G23</f>
        <v>1484.25</v>
      </c>
      <c r="I23" s="42">
        <f>H23*0.1</f>
        <v>148.42500000000001</v>
      </c>
      <c r="J23" s="42">
        <f>H23*0.05</f>
        <v>74.212500000000006</v>
      </c>
      <c r="K23" s="32">
        <f>(H23*'Base Data'!$C$5)+(I23*'Base Data'!$C$6)+(J23*'Base Data'!$C$7)</f>
        <v>161453.00437500002</v>
      </c>
      <c r="L23" s="362">
        <v>0</v>
      </c>
      <c r="M23" s="42">
        <v>0</v>
      </c>
      <c r="N23" s="122" t="s">
        <v>97</v>
      </c>
      <c r="O23" s="46"/>
    </row>
    <row r="24" spans="1:15" s="4" customFormat="1" ht="9">
      <c r="A24" s="123" t="s">
        <v>255</v>
      </c>
      <c r="B24" s="28" t="s">
        <v>264</v>
      </c>
      <c r="C24" s="32"/>
      <c r="D24" s="32"/>
      <c r="E24" s="28"/>
      <c r="F24" s="28"/>
      <c r="G24" s="43"/>
      <c r="H24" s="28"/>
      <c r="I24" s="28"/>
      <c r="J24" s="28"/>
      <c r="K24" s="32"/>
      <c r="L24" s="32"/>
      <c r="M24" s="127"/>
      <c r="N24" s="122"/>
      <c r="O24" s="46"/>
    </row>
    <row r="25" spans="1:15" s="4" customFormat="1" ht="9">
      <c r="A25" s="123" t="s">
        <v>256</v>
      </c>
      <c r="B25" s="28" t="s">
        <v>264</v>
      </c>
      <c r="C25" s="32"/>
      <c r="D25" s="32"/>
      <c r="E25" s="28"/>
      <c r="F25" s="28"/>
      <c r="G25" s="43"/>
      <c r="H25" s="28"/>
      <c r="I25" s="28"/>
      <c r="J25" s="28"/>
      <c r="K25" s="32"/>
      <c r="L25" s="32"/>
      <c r="M25" s="43"/>
      <c r="N25" s="122"/>
      <c r="O25" s="46"/>
    </row>
    <row r="26" spans="1:15" s="4" customFormat="1" ht="9.75" thickBot="1">
      <c r="A26" s="216" t="s">
        <v>26</v>
      </c>
      <c r="B26" s="231"/>
      <c r="C26" s="139"/>
      <c r="D26" s="139"/>
      <c r="E26" s="231"/>
      <c r="F26" s="231"/>
      <c r="G26" s="138"/>
      <c r="H26" s="138">
        <f t="shared" ref="H26:M26" si="1">SUM(H18:H25)</f>
        <v>13358.25</v>
      </c>
      <c r="I26" s="138">
        <f>SUM(I18:I25)</f>
        <v>1335.825</v>
      </c>
      <c r="J26" s="138">
        <f t="shared" si="1"/>
        <v>667.91250000000002</v>
      </c>
      <c r="K26" s="139">
        <f t="shared" si="1"/>
        <v>1453077.0393750002</v>
      </c>
      <c r="L26" s="139">
        <f t="shared" si="1"/>
        <v>0</v>
      </c>
      <c r="M26" s="138">
        <f t="shared" si="1"/>
        <v>0</v>
      </c>
      <c r="N26" s="232"/>
      <c r="O26" s="46"/>
    </row>
    <row r="27" spans="1:15" s="4" customFormat="1" ht="12" thickBot="1">
      <c r="A27" s="131" t="s">
        <v>236</v>
      </c>
      <c r="B27" s="132"/>
      <c r="C27" s="132"/>
      <c r="D27" s="132"/>
      <c r="E27" s="132"/>
      <c r="F27" s="132"/>
      <c r="G27" s="134"/>
      <c r="H27" s="135">
        <f t="shared" ref="H27:M27" si="2">SUM(H16,H26)</f>
        <v>82152.25</v>
      </c>
      <c r="I27" s="135">
        <f t="shared" si="2"/>
        <v>8215.2250000000004</v>
      </c>
      <c r="J27" s="135">
        <f t="shared" si="2"/>
        <v>4107.6125000000002</v>
      </c>
      <c r="K27" s="136">
        <f t="shared" si="2"/>
        <v>8936316.3743750006</v>
      </c>
      <c r="L27" s="136">
        <f t="shared" si="2"/>
        <v>4409212</v>
      </c>
      <c r="M27" s="135">
        <f t="shared" si="2"/>
        <v>3464</v>
      </c>
      <c r="N27" s="137"/>
      <c r="O27" s="46"/>
    </row>
    <row r="28" spans="1:15" s="4" customFormat="1">
      <c r="A28" s="73"/>
      <c r="B28" s="34"/>
      <c r="C28" s="34"/>
      <c r="D28" s="34"/>
      <c r="E28" s="34"/>
      <c r="F28" s="34"/>
      <c r="G28" s="35"/>
      <c r="H28" s="34"/>
      <c r="I28" s="34"/>
      <c r="J28" s="34"/>
      <c r="K28" s="34"/>
      <c r="L28" s="355"/>
      <c r="M28" s="355"/>
      <c r="N28" s="34"/>
      <c r="O28" s="46"/>
    </row>
    <row r="29" spans="1:15" s="4" customFormat="1" ht="9">
      <c r="A29" s="33" t="s">
        <v>371</v>
      </c>
      <c r="B29" s="36"/>
      <c r="C29" s="36"/>
      <c r="D29" s="36"/>
      <c r="E29" s="36"/>
      <c r="F29" s="36"/>
      <c r="G29" s="37"/>
      <c r="H29" s="36"/>
      <c r="I29" s="36"/>
      <c r="J29" s="36"/>
      <c r="K29" s="36"/>
      <c r="L29" s="356"/>
      <c r="M29" s="356"/>
      <c r="N29" s="36"/>
      <c r="O29" s="46"/>
    </row>
    <row r="30" spans="1:15" s="9" customFormat="1" ht="9">
      <c r="A30" s="404" t="s">
        <v>369</v>
      </c>
      <c r="B30" s="404"/>
      <c r="C30" s="404"/>
      <c r="D30" s="404"/>
      <c r="E30" s="404"/>
      <c r="F30" s="404"/>
      <c r="G30" s="404"/>
      <c r="H30" s="404"/>
      <c r="I30" s="404"/>
      <c r="J30" s="404"/>
      <c r="K30" s="404"/>
      <c r="L30" s="357"/>
      <c r="M30" s="357"/>
      <c r="N30" s="36"/>
      <c r="O30" s="33"/>
    </row>
    <row r="31" spans="1:15" s="9" customFormat="1" ht="10.5" customHeight="1">
      <c r="A31" s="33" t="s">
        <v>370</v>
      </c>
      <c r="B31" s="36"/>
      <c r="C31" s="36"/>
      <c r="D31" s="36"/>
      <c r="E31" s="36"/>
      <c r="F31" s="36"/>
      <c r="G31" s="37"/>
      <c r="H31" s="36"/>
      <c r="I31" s="36"/>
      <c r="J31" s="36"/>
      <c r="K31" s="36"/>
      <c r="L31" s="356"/>
      <c r="M31" s="356"/>
      <c r="N31" s="36"/>
      <c r="O31" s="33"/>
    </row>
    <row r="32" spans="1:15">
      <c r="A32" s="73"/>
      <c r="B32" s="34"/>
      <c r="C32" s="34"/>
      <c r="D32" s="34"/>
      <c r="E32" s="34"/>
      <c r="F32" s="34"/>
      <c r="G32" s="34"/>
      <c r="H32" s="355"/>
      <c r="I32" s="355"/>
      <c r="J32" s="355"/>
      <c r="K32" s="355"/>
      <c r="L32" s="355"/>
      <c r="M32" s="355"/>
      <c r="N32" s="355"/>
      <c r="O32" s="34"/>
    </row>
  </sheetData>
  <mergeCells count="3">
    <mergeCell ref="A1:O1"/>
    <mergeCell ref="A2:O2"/>
    <mergeCell ref="A30:K30"/>
  </mergeCells>
  <phoneticPr fontId="7" type="noConversion"/>
  <printOptions horizontalCentered="1"/>
  <pageMargins left="0" right="0" top="0.5" bottom="0.5" header="0.5" footer="0.5"/>
  <pageSetup scale="96" fitToHeight="2" orientation="landscape" r:id="rId1"/>
  <headerFooter alignWithMargins="0"/>
</worksheet>
</file>

<file path=xl/worksheets/sheet29.xml><?xml version="1.0" encoding="utf-8"?>
<worksheet xmlns="http://schemas.openxmlformats.org/spreadsheetml/2006/main" xmlns:r="http://schemas.openxmlformats.org/officeDocument/2006/relationships">
  <sheetPr>
    <pageSetUpPr fitToPage="1"/>
  </sheetPr>
  <dimension ref="A1:R36"/>
  <sheetViews>
    <sheetView zoomScale="110" zoomScaleNormal="110" workbookViewId="0">
      <selection activeCell="O4" sqref="O4"/>
    </sheetView>
  </sheetViews>
  <sheetFormatPr defaultRowHeight="12.75"/>
  <cols>
    <col min="1" max="1" width="2.28515625" customWidth="1"/>
    <col min="2" max="2" width="2.42578125" customWidth="1"/>
    <col min="3" max="3" width="2.140625" customWidth="1"/>
    <col min="4" max="4" width="1.42578125" customWidth="1"/>
    <col min="5" max="5" width="2.42578125" customWidth="1"/>
    <col min="6" max="6" width="41.5703125" customWidth="1"/>
    <col min="7" max="7" width="12" style="55" customWidth="1"/>
    <col min="8" max="8" width="13" style="55" customWidth="1"/>
    <col min="9" max="9" width="14.28515625" style="55" customWidth="1"/>
    <col min="10" max="10" width="10.5703125" style="55" customWidth="1"/>
    <col min="11" max="11" width="11.7109375" style="55" bestFit="1" customWidth="1"/>
    <col min="12" max="12" width="9.5703125" style="55" customWidth="1"/>
    <col min="13" max="13" width="13" style="56" customWidth="1"/>
    <col min="14" max="14" width="3.85546875" style="57" bestFit="1" customWidth="1"/>
    <col min="15" max="15" width="15.28515625" customWidth="1"/>
    <col min="16" max="16" width="27.140625" customWidth="1"/>
    <col min="17" max="17" width="14.85546875" customWidth="1"/>
    <col min="18" max="18" width="31.85546875" customWidth="1"/>
  </cols>
  <sheetData>
    <row r="1" spans="1:18">
      <c r="A1" s="416" t="s">
        <v>159</v>
      </c>
      <c r="B1" s="416"/>
      <c r="C1" s="416"/>
      <c r="D1" s="416"/>
      <c r="E1" s="416"/>
      <c r="F1" s="416"/>
      <c r="G1" s="416"/>
      <c r="H1" s="416"/>
      <c r="I1" s="416"/>
      <c r="J1" s="416"/>
      <c r="K1" s="416"/>
      <c r="L1" s="416"/>
      <c r="M1" s="416"/>
      <c r="N1" s="416"/>
    </row>
    <row r="2" spans="1:18" ht="12" customHeight="1">
      <c r="A2" s="416" t="s">
        <v>87</v>
      </c>
      <c r="B2" s="416"/>
      <c r="C2" s="416"/>
      <c r="D2" s="416"/>
      <c r="E2" s="416"/>
      <c r="F2" s="416"/>
      <c r="G2" s="416"/>
      <c r="H2" s="416"/>
      <c r="I2" s="416"/>
      <c r="J2" s="416"/>
      <c r="K2" s="416"/>
      <c r="L2" s="416"/>
      <c r="M2" s="416"/>
      <c r="N2" s="416"/>
    </row>
    <row r="3" spans="1:18" ht="15" customHeight="1" thickBot="1">
      <c r="G3" s="376"/>
      <c r="H3" s="376"/>
      <c r="I3" s="376"/>
      <c r="J3" s="376"/>
    </row>
    <row r="4" spans="1:18" s="53" customFormat="1" ht="51.75" thickBot="1">
      <c r="A4" s="172" t="s">
        <v>229</v>
      </c>
      <c r="B4" s="169"/>
      <c r="C4" s="169"/>
      <c r="D4" s="169"/>
      <c r="E4" s="169"/>
      <c r="F4" s="169"/>
      <c r="G4" s="377" t="s">
        <v>88</v>
      </c>
      <c r="H4" s="377" t="s">
        <v>89</v>
      </c>
      <c r="I4" s="377" t="s">
        <v>90</v>
      </c>
      <c r="J4" s="377" t="s">
        <v>91</v>
      </c>
      <c r="K4" s="166" t="s">
        <v>380</v>
      </c>
      <c r="L4" s="166" t="s">
        <v>92</v>
      </c>
      <c r="M4" s="167" t="s">
        <v>381</v>
      </c>
      <c r="N4" s="173" t="s">
        <v>231</v>
      </c>
    </row>
    <row r="5" spans="1:18" ht="15" customHeight="1">
      <c r="A5" s="174" t="s">
        <v>93</v>
      </c>
      <c r="B5" s="272" t="s">
        <v>94</v>
      </c>
      <c r="C5" s="248"/>
      <c r="D5" s="248"/>
      <c r="E5" s="248"/>
      <c r="F5" s="249"/>
      <c r="G5" s="378">
        <v>40</v>
      </c>
      <c r="H5" s="378">
        <v>60</v>
      </c>
      <c r="I5" s="378">
        <f>G5*H5</f>
        <v>2400</v>
      </c>
      <c r="J5" s="378">
        <f>I5</f>
        <v>2400</v>
      </c>
      <c r="K5" s="250">
        <f>J5*0.05</f>
        <v>120</v>
      </c>
      <c r="L5" s="250">
        <f>J5*0.1</f>
        <v>240</v>
      </c>
      <c r="M5" s="251">
        <f>(J5*'Base Data'!$C$60)+(K5*'Base Data'!$C$58)+(L5*'Base Data'!$C$59)</f>
        <v>124378.79999999999</v>
      </c>
      <c r="N5" s="252" t="s">
        <v>214</v>
      </c>
      <c r="O5" s="25"/>
      <c r="P5" s="58"/>
      <c r="Q5" s="59"/>
      <c r="R5" s="60"/>
    </row>
    <row r="6" spans="1:18" ht="27" customHeight="1">
      <c r="A6" s="61" t="s">
        <v>95</v>
      </c>
      <c r="B6" s="420" t="s">
        <v>96</v>
      </c>
      <c r="C6" s="421"/>
      <c r="D6" s="421"/>
      <c r="E6" s="421"/>
      <c r="F6" s="421"/>
      <c r="G6" s="245">
        <v>2</v>
      </c>
      <c r="H6" s="245">
        <f>SUM('Fac-ExistLrgSolid-Yr1'!$I$27,'Fac-ExistLrgLiquid-Yr1'!$H$16,'Fac-NewLrgSolid-Yr1'!$G$28,'Fac-NewLrgLiquid-Yr1'!$G$22,'Fac - ExistSmlSolid-Yr1'!$G$13,'Fac - ExistSmlLiquid-Yr1'!$G$13,'Fac-NewSmlSolid-Yr1'!$G$13,'Fac-NewSmlLiquid-Yr1'!$G$13)</f>
        <v>92465</v>
      </c>
      <c r="I6" s="245">
        <f>G6*H6</f>
        <v>184930</v>
      </c>
      <c r="J6" s="245">
        <f>I6</f>
        <v>184930</v>
      </c>
      <c r="K6" s="240">
        <f>J6*0.05</f>
        <v>9246.5</v>
      </c>
      <c r="L6" s="240">
        <f>J6*0.1</f>
        <v>18493</v>
      </c>
      <c r="M6" s="241">
        <f>(J6*'Base Data'!$C$60)+(K6*'Base Data'!$C$58)+(L6*'Base Data'!$C$59)</f>
        <v>9583904.7850000001</v>
      </c>
      <c r="N6" s="253" t="s">
        <v>97</v>
      </c>
      <c r="O6" s="62"/>
      <c r="P6" s="62"/>
      <c r="Q6" s="62"/>
      <c r="R6" s="62"/>
    </row>
    <row r="7" spans="1:18" ht="15" customHeight="1">
      <c r="A7" s="61" t="s">
        <v>98</v>
      </c>
      <c r="B7" s="273" t="s">
        <v>99</v>
      </c>
      <c r="C7" s="238"/>
      <c r="D7" s="243"/>
      <c r="E7" s="243"/>
      <c r="F7" s="244"/>
      <c r="G7" s="245"/>
      <c r="H7" s="245"/>
      <c r="I7" s="245"/>
      <c r="J7" s="245"/>
      <c r="K7" s="240"/>
      <c r="L7" s="240"/>
      <c r="M7" s="241"/>
      <c r="N7" s="253"/>
      <c r="O7" s="60"/>
      <c r="P7" s="64"/>
      <c r="Q7" s="60"/>
      <c r="R7" s="60"/>
    </row>
    <row r="8" spans="1:18" ht="15" customHeight="1">
      <c r="A8" s="61"/>
      <c r="B8" s="63" t="s">
        <v>100</v>
      </c>
      <c r="C8" s="273" t="s">
        <v>101</v>
      </c>
      <c r="D8" s="243"/>
      <c r="E8" s="246"/>
      <c r="F8" s="244"/>
      <c r="G8" s="245">
        <v>40</v>
      </c>
      <c r="H8" s="245">
        <f>ROUND(SUM('Fac-NewLrgLiquid-Yr1'!$G$9,'Fac-NewLrgSolid-Yr1'!$G$9:$G$11,'Fac-ExistLrgSolid-Yr1'!$I$12:$I$13)*0.2,0)</f>
        <v>33</v>
      </c>
      <c r="I8" s="245">
        <f>G8*H8</f>
        <v>1320</v>
      </c>
      <c r="J8" s="245">
        <f>I8</f>
        <v>1320</v>
      </c>
      <c r="K8" s="240">
        <f>J8*0.05</f>
        <v>66</v>
      </c>
      <c r="L8" s="240">
        <f>J8*0.1</f>
        <v>132</v>
      </c>
      <c r="M8" s="241">
        <f>(J8*'Base Data'!$C$60)+(K8*'Base Data'!$C$58)+(L8*'Base Data'!$C$59)</f>
        <v>68408.340000000011</v>
      </c>
      <c r="N8" s="253" t="s">
        <v>215</v>
      </c>
      <c r="O8" s="65"/>
      <c r="P8" s="66"/>
      <c r="Q8" s="66"/>
      <c r="R8" s="67"/>
    </row>
    <row r="9" spans="1:18" ht="15" customHeight="1">
      <c r="A9" s="61"/>
      <c r="B9" s="63" t="s">
        <v>102</v>
      </c>
      <c r="C9" s="273" t="s">
        <v>103</v>
      </c>
      <c r="D9" s="243"/>
      <c r="E9" s="246"/>
      <c r="F9" s="244"/>
      <c r="G9" s="245">
        <v>40</v>
      </c>
      <c r="H9" s="245">
        <f>ROUND(SUM('Fac-NewLrgLiquid-Yr1'!$G$9,'Fac-NewLrgSolid-Yr1'!$G$9:$G$11,'Fac-ExistLrgSolid-Yr1'!$I$12:$I$13)*0.1,0)</f>
        <v>17</v>
      </c>
      <c r="I9" s="245">
        <f>G9*H9</f>
        <v>680</v>
      </c>
      <c r="J9" s="245">
        <f>I9</f>
        <v>680</v>
      </c>
      <c r="K9" s="240">
        <f>J9*0.05</f>
        <v>34</v>
      </c>
      <c r="L9" s="240">
        <f>J9*0.1</f>
        <v>68</v>
      </c>
      <c r="M9" s="241">
        <f>(J9*'Base Data'!$C$60)+(K9*'Base Data'!$C$58)+(L9*'Base Data'!$C$59)</f>
        <v>35240.659999999996</v>
      </c>
      <c r="N9" s="253" t="s">
        <v>205</v>
      </c>
      <c r="O9" s="68"/>
      <c r="P9" s="66"/>
      <c r="Q9" s="66"/>
      <c r="R9" s="67"/>
    </row>
    <row r="10" spans="1:18" ht="15" customHeight="1">
      <c r="A10" s="61"/>
      <c r="B10" s="63" t="s">
        <v>104</v>
      </c>
      <c r="C10" s="273" t="s">
        <v>105</v>
      </c>
      <c r="D10" s="243"/>
      <c r="E10" s="246"/>
      <c r="F10" s="244"/>
      <c r="G10" s="245">
        <v>2</v>
      </c>
      <c r="H10" s="245">
        <f>ROUND(SUM('Fac-NewLrgLiquid-Yr1'!$G$9,'Fac-NewLrgSolid-Yr1'!$G$9:$G$11,'Fac-ExistLrgSolid-Yr1'!$I$12:$I$13),0)</f>
        <v>166</v>
      </c>
      <c r="I10" s="245">
        <f>G10*H10</f>
        <v>332</v>
      </c>
      <c r="J10" s="245">
        <f>I10</f>
        <v>332</v>
      </c>
      <c r="K10" s="240">
        <f>J10*0.05</f>
        <v>16.600000000000001</v>
      </c>
      <c r="L10" s="240">
        <f>J10*0.1</f>
        <v>33.200000000000003</v>
      </c>
      <c r="M10" s="241">
        <f>(J10*'Base Data'!$C$60)+(K10*'Base Data'!$C$58)+(L10*'Base Data'!$C$59)</f>
        <v>17205.734</v>
      </c>
      <c r="N10" s="253" t="s">
        <v>216</v>
      </c>
      <c r="O10" s="62"/>
      <c r="P10" s="62"/>
      <c r="Q10" s="62"/>
      <c r="R10" s="62"/>
    </row>
    <row r="11" spans="1:18" ht="15" customHeight="1">
      <c r="A11" s="61"/>
      <c r="B11" s="63" t="s">
        <v>106</v>
      </c>
      <c r="C11" s="273" t="s">
        <v>107</v>
      </c>
      <c r="D11" s="243"/>
      <c r="E11" s="246"/>
      <c r="F11" s="244"/>
      <c r="G11" s="245">
        <v>2</v>
      </c>
      <c r="H11" s="245">
        <f>ROUND(SUM('Fac-NewLrgSolid-Yr1'!$G$37,'Fac-NewLrgLiquid-Yr1'!$G$31,'Fac-ExistLrgSolid-Yr1'!$I$38),0)</f>
        <v>182</v>
      </c>
      <c r="I11" s="245">
        <f>G11*H11</f>
        <v>364</v>
      </c>
      <c r="J11" s="245">
        <f>I11</f>
        <v>364</v>
      </c>
      <c r="K11" s="240">
        <f>J11*0.05</f>
        <v>18.2</v>
      </c>
      <c r="L11" s="240">
        <f>J11*0.1</f>
        <v>36.4</v>
      </c>
      <c r="M11" s="241">
        <f>(J11*'Base Data'!$C$60)+(K11*'Base Data'!$C$58)+(L11*'Base Data'!$C$59)</f>
        <v>18864.117999999999</v>
      </c>
      <c r="N11" s="253" t="s">
        <v>217</v>
      </c>
      <c r="O11" s="60"/>
      <c r="P11" s="64"/>
      <c r="Q11" s="64"/>
      <c r="R11" s="60"/>
    </row>
    <row r="12" spans="1:18" ht="15" customHeight="1">
      <c r="A12" s="61" t="s">
        <v>108</v>
      </c>
      <c r="B12" s="63" t="s">
        <v>109</v>
      </c>
      <c r="C12" s="273"/>
      <c r="D12" s="243"/>
      <c r="E12" s="246"/>
      <c r="F12" s="244"/>
      <c r="G12" s="245">
        <v>24</v>
      </c>
      <c r="H12" s="245">
        <f>ROUND(SUM('Fac-NewLrgLiquid-Yr1'!$G$9,'Fac-NewLrgSolid-Yr1'!$G$9,'Fac-ExistLrgSolid-Yr1'!$I$12)*0.1,0)</f>
        <v>17</v>
      </c>
      <c r="I12" s="245">
        <v>0</v>
      </c>
      <c r="J12" s="245">
        <f>I12</f>
        <v>0</v>
      </c>
      <c r="K12" s="240">
        <f>J12*0.05</f>
        <v>0</v>
      </c>
      <c r="L12" s="240">
        <f>J12*0.1</f>
        <v>0</v>
      </c>
      <c r="M12" s="241">
        <f>(J12*'Base Data'!$C$60)+(K12*'Base Data'!$C$58)+(L12*'Base Data'!$C$59)</f>
        <v>0</v>
      </c>
      <c r="N12" s="253" t="s">
        <v>218</v>
      </c>
      <c r="O12" s="60"/>
      <c r="P12" s="64"/>
      <c r="Q12" s="60"/>
      <c r="R12" s="60"/>
    </row>
    <row r="13" spans="1:18" ht="15.75" customHeight="1">
      <c r="A13" s="61" t="s">
        <v>110</v>
      </c>
      <c r="B13" s="63" t="s">
        <v>111</v>
      </c>
      <c r="C13" s="275"/>
      <c r="D13" s="247"/>
      <c r="E13" s="246"/>
      <c r="F13" s="244"/>
      <c r="G13" s="245"/>
      <c r="H13" s="245"/>
      <c r="I13" s="245"/>
      <c r="J13" s="245"/>
      <c r="K13" s="240"/>
      <c r="L13" s="240"/>
      <c r="M13" s="241"/>
      <c r="N13" s="253"/>
      <c r="O13" s="60"/>
      <c r="P13" s="64"/>
      <c r="Q13" s="60"/>
      <c r="R13" s="60"/>
    </row>
    <row r="14" spans="1:18" ht="27" customHeight="1">
      <c r="A14" s="61"/>
      <c r="B14" s="63" t="s">
        <v>100</v>
      </c>
      <c r="C14" s="420" t="s">
        <v>112</v>
      </c>
      <c r="D14" s="421"/>
      <c r="E14" s="421"/>
      <c r="F14" s="421"/>
      <c r="G14" s="245">
        <v>2</v>
      </c>
      <c r="H14" s="245">
        <f>H6</f>
        <v>92465</v>
      </c>
      <c r="I14" s="245">
        <f t="shared" ref="I14:I20" si="0">G14*H14</f>
        <v>184930</v>
      </c>
      <c r="J14" s="245">
        <f t="shared" ref="J14:J20" si="1">I14</f>
        <v>184930</v>
      </c>
      <c r="K14" s="240">
        <f t="shared" ref="K14:K20" si="2">J14*0.05</f>
        <v>9246.5</v>
      </c>
      <c r="L14" s="240">
        <f t="shared" ref="L14:L20" si="3">J14*0.1</f>
        <v>18493</v>
      </c>
      <c r="M14" s="241">
        <f>(J14*'Base Data'!$C$60)+(K14*'Base Data'!$C$58)+(L14*'Base Data'!$C$59)</f>
        <v>9583904.7850000001</v>
      </c>
      <c r="N14" s="253" t="s">
        <v>97</v>
      </c>
      <c r="O14" s="60"/>
      <c r="P14" s="64"/>
      <c r="Q14" s="69"/>
      <c r="R14" s="60"/>
    </row>
    <row r="15" spans="1:18" ht="27" customHeight="1">
      <c r="A15" s="61"/>
      <c r="B15" s="63" t="s">
        <v>102</v>
      </c>
      <c r="C15" s="420" t="s">
        <v>113</v>
      </c>
      <c r="D15" s="421"/>
      <c r="E15" s="421"/>
      <c r="F15" s="421"/>
      <c r="G15" s="245">
        <v>20</v>
      </c>
      <c r="H15" s="245">
        <f>ROUND(SUM('Fac-NewLrgLiquid-Yr1'!$G$9,'Fac-NewLrgSolid-Yr1'!$G$9,'Fac-ExistLrgSolid-Yr1'!$I$12),0)</f>
        <v>166</v>
      </c>
      <c r="I15" s="245">
        <f t="shared" si="0"/>
        <v>3320</v>
      </c>
      <c r="J15" s="245">
        <f t="shared" si="1"/>
        <v>3320</v>
      </c>
      <c r="K15" s="240">
        <f t="shared" si="2"/>
        <v>166</v>
      </c>
      <c r="L15" s="240">
        <f t="shared" si="3"/>
        <v>332</v>
      </c>
      <c r="M15" s="241">
        <f>(J15*'Base Data'!$C$60)+(K15*'Base Data'!$C$58)+(L15*'Base Data'!$C$59)</f>
        <v>172057.34000000003</v>
      </c>
      <c r="N15" s="253" t="s">
        <v>216</v>
      </c>
      <c r="O15" s="60"/>
      <c r="P15" s="64"/>
      <c r="Q15" s="69"/>
      <c r="R15" s="60"/>
    </row>
    <row r="16" spans="1:18" ht="15" customHeight="1">
      <c r="A16" s="61"/>
      <c r="B16" s="63" t="s">
        <v>104</v>
      </c>
      <c r="C16" s="273" t="s">
        <v>114</v>
      </c>
      <c r="D16" s="246"/>
      <c r="E16" s="246"/>
      <c r="F16" s="244"/>
      <c r="G16" s="245">
        <v>2</v>
      </c>
      <c r="H16" s="245">
        <f>SUM('Fac-NewSmlLiquid-Yr1'!$G$14,'Fac-NewSmlSolid-Yr1'!$G$14,'Fac - ExistSmlLiquid-Yr1'!$G$14,'Fac - ExistSmlSolid-Yr1'!$G$14,'Fac-NewLrgLiquid-Yr1'!$G$23,'Fac-NewLrgSolid-Yr1'!$G$29,'Fac-ExistLrgLiquid-Yr1'!$H$17,'Fac-ExistLrgSolid-Yr1'!$I$28)</f>
        <v>1129</v>
      </c>
      <c r="I16" s="245">
        <f t="shared" si="0"/>
        <v>2258</v>
      </c>
      <c r="J16" s="245">
        <f t="shared" si="1"/>
        <v>2258</v>
      </c>
      <c r="K16" s="240">
        <f t="shared" si="2"/>
        <v>112.9</v>
      </c>
      <c r="L16" s="240">
        <f t="shared" si="3"/>
        <v>225.8</v>
      </c>
      <c r="M16" s="241">
        <f>(J16*'Base Data'!$C$60)+(K16*'Base Data'!$C$58)+(L16*'Base Data'!$C$59)</f>
        <v>117019.72100000001</v>
      </c>
      <c r="N16" s="253" t="s">
        <v>97</v>
      </c>
      <c r="O16" s="60"/>
      <c r="P16" s="70"/>
      <c r="Q16" s="69"/>
      <c r="R16" s="60"/>
    </row>
    <row r="17" spans="1:18" ht="15" customHeight="1">
      <c r="A17" s="61" t="s">
        <v>115</v>
      </c>
      <c r="B17" s="63" t="s">
        <v>116</v>
      </c>
      <c r="C17" s="273"/>
      <c r="D17" s="243"/>
      <c r="E17" s="246"/>
      <c r="F17" s="244"/>
      <c r="G17" s="245"/>
      <c r="H17" s="245"/>
      <c r="I17" s="245">
        <f t="shared" si="0"/>
        <v>0</v>
      </c>
      <c r="J17" s="245">
        <f t="shared" si="1"/>
        <v>0</v>
      </c>
      <c r="K17" s="240">
        <f t="shared" si="2"/>
        <v>0</v>
      </c>
      <c r="L17" s="240">
        <f t="shared" si="3"/>
        <v>0</v>
      </c>
      <c r="M17" s="241">
        <f>(J17*'Base Data'!$C$60)+(K17*'Base Data'!$C$58)+(L17*'Base Data'!$C$59)</f>
        <v>0</v>
      </c>
      <c r="N17" s="253"/>
      <c r="O17" s="60"/>
      <c r="P17" s="64"/>
      <c r="Q17" s="69"/>
      <c r="R17" s="60"/>
    </row>
    <row r="18" spans="1:18" ht="15" customHeight="1">
      <c r="A18" s="61"/>
      <c r="B18" s="63" t="s">
        <v>100</v>
      </c>
      <c r="C18" s="276" t="s">
        <v>372</v>
      </c>
      <c r="D18" s="224"/>
      <c r="E18" s="226"/>
      <c r="F18" s="225"/>
      <c r="G18" s="245">
        <v>4</v>
      </c>
      <c r="H18" s="245">
        <f>'Fac-NewLrgLiquid-Yr1'!$G$24+'Fac-NewLrgSolid-Yr1'!$G$30+'Fac-ExistLrgSolid-Yr1'!$I$30</f>
        <v>91</v>
      </c>
      <c r="I18" s="245">
        <f t="shared" si="0"/>
        <v>364</v>
      </c>
      <c r="J18" s="245">
        <f t="shared" si="1"/>
        <v>364</v>
      </c>
      <c r="K18" s="240">
        <f t="shared" si="2"/>
        <v>18.2</v>
      </c>
      <c r="L18" s="240">
        <f t="shared" si="3"/>
        <v>36.4</v>
      </c>
      <c r="M18" s="241">
        <f>(J18*'Base Data'!$C$60)+(K18*'Base Data'!$C$58)+(L18*'Base Data'!$C$59)</f>
        <v>18864.117999999999</v>
      </c>
      <c r="N18" s="254" t="s">
        <v>36</v>
      </c>
    </row>
    <row r="19" spans="1:18" ht="15" customHeight="1">
      <c r="A19" s="61"/>
      <c r="B19" s="63" t="s">
        <v>102</v>
      </c>
      <c r="C19" s="273" t="s">
        <v>153</v>
      </c>
      <c r="D19" s="242"/>
      <c r="E19" s="246"/>
      <c r="F19" s="244"/>
      <c r="G19" s="245">
        <v>2</v>
      </c>
      <c r="H19" s="245">
        <f>0.5*SUM('Fac-NewSmlLiquid-Yr1'!$G$15,'Fac-NewSmlSolid-Yr1'!$G$15,'Fac - ExistSmlLiquid-Yr1'!$G$15,'Fac - ExistSmlSolid-Yr1'!$G$15,'Fac-ExistLrgLiquid-Yr1'!$H$18,'Fac-ExistLrgSolid-Yr1'!$I$31)</f>
        <v>519</v>
      </c>
      <c r="I19" s="245">
        <f>G19*H19</f>
        <v>1038</v>
      </c>
      <c r="J19" s="245">
        <f t="shared" si="1"/>
        <v>1038</v>
      </c>
      <c r="K19" s="240">
        <f t="shared" si="2"/>
        <v>51.900000000000006</v>
      </c>
      <c r="L19" s="240">
        <f>J19*0.1</f>
        <v>103.80000000000001</v>
      </c>
      <c r="M19" s="241">
        <f>(J19*'Base Data'!$C$60)+(K19*'Base Data'!$C$58)+(L19*'Base Data'!$C$59)</f>
        <v>53793.831000000006</v>
      </c>
      <c r="N19" s="254" t="s">
        <v>84</v>
      </c>
    </row>
    <row r="20" spans="1:18" ht="15" customHeight="1">
      <c r="A20" s="61"/>
      <c r="B20" s="63" t="s">
        <v>152</v>
      </c>
      <c r="C20" s="273" t="s">
        <v>117</v>
      </c>
      <c r="D20" s="242"/>
      <c r="E20" s="246"/>
      <c r="F20" s="239"/>
      <c r="G20" s="245">
        <v>2</v>
      </c>
      <c r="H20" s="245">
        <f>SUM('Fac-ExistLrgLiquid-Yr1'!$H$10:$H$11,'Fac-ExistLrgSolid-Yr1'!$I$10:$I$11)</f>
        <v>0</v>
      </c>
      <c r="I20" s="245">
        <f t="shared" si="0"/>
        <v>0</v>
      </c>
      <c r="J20" s="245">
        <f t="shared" si="1"/>
        <v>0</v>
      </c>
      <c r="K20" s="240">
        <f t="shared" si="2"/>
        <v>0</v>
      </c>
      <c r="L20" s="240">
        <f t="shared" si="3"/>
        <v>0</v>
      </c>
      <c r="M20" s="241">
        <f>(J20*'Base Data'!$C$60)+(K20*'Base Data'!$C$58)+(L20*'Base Data'!$C$59)</f>
        <v>0</v>
      </c>
      <c r="N20" s="254" t="s">
        <v>141</v>
      </c>
    </row>
    <row r="21" spans="1:18" ht="29.25" customHeight="1" thickBot="1">
      <c r="A21" s="175" t="s">
        <v>118</v>
      </c>
      <c r="B21" s="274" t="s">
        <v>119</v>
      </c>
      <c r="C21" s="262"/>
      <c r="D21" s="263"/>
      <c r="E21" s="263"/>
      <c r="F21" s="264"/>
      <c r="G21" s="418" t="s">
        <v>120</v>
      </c>
      <c r="H21" s="418"/>
      <c r="I21" s="418"/>
      <c r="J21" s="419"/>
      <c r="K21" s="283"/>
      <c r="L21" s="284"/>
      <c r="M21" s="265">
        <f>(('Base Data'!$C$68*('Base Data'!$C$65+'Base Data'!$C$66))+'Base Data'!$C$67)*SUM(H8:H9)</f>
        <v>55200</v>
      </c>
      <c r="N21" s="266" t="s">
        <v>74</v>
      </c>
    </row>
    <row r="22" spans="1:18" ht="18.75" customHeight="1">
      <c r="A22" s="267" t="s">
        <v>121</v>
      </c>
      <c r="B22" s="268"/>
      <c r="C22" s="269"/>
      <c r="D22" s="268"/>
      <c r="E22" s="270"/>
      <c r="F22" s="277"/>
      <c r="G22" s="281"/>
      <c r="H22" s="281"/>
      <c r="I22" s="278"/>
      <c r="J22" s="250">
        <f>SUM(J5:J20)</f>
        <v>381936</v>
      </c>
      <c r="K22" s="250">
        <f>SUM(K5:K20)</f>
        <v>19096.800000000007</v>
      </c>
      <c r="L22" s="250">
        <f>SUM(L5:L20)</f>
        <v>38193.600000000013</v>
      </c>
      <c r="M22" s="271">
        <f>SUM(M5:M21)</f>
        <v>19848842.232000005</v>
      </c>
      <c r="N22" s="252"/>
    </row>
    <row r="23" spans="1:18" ht="18" customHeight="1" thickBot="1">
      <c r="A23" s="255" t="s">
        <v>122</v>
      </c>
      <c r="B23" s="256"/>
      <c r="C23" s="256"/>
      <c r="D23" s="256"/>
      <c r="E23" s="256"/>
      <c r="F23" s="280"/>
      <c r="G23" s="282"/>
      <c r="H23" s="282"/>
      <c r="I23" s="279"/>
      <c r="J23" s="257"/>
      <c r="K23" s="258"/>
      <c r="L23" s="259">
        <f>(SUM(J5:J20))+(SUM(K5:K20))+(SUM(L5:L20))</f>
        <v>439226.4</v>
      </c>
      <c r="M23" s="260"/>
      <c r="N23" s="261"/>
    </row>
    <row r="24" spans="1:18">
      <c r="A24" s="25"/>
      <c r="B24" s="25"/>
      <c r="C24" s="25"/>
      <c r="D24" s="25"/>
      <c r="E24" s="25"/>
      <c r="F24" s="25"/>
      <c r="G24" s="168"/>
      <c r="H24" s="170"/>
      <c r="I24" s="171"/>
      <c r="J24" s="171"/>
      <c r="K24" s="171"/>
      <c r="L24" s="171"/>
      <c r="M24" s="171"/>
      <c r="N24" s="170"/>
    </row>
    <row r="25" spans="1:18" s="1" customFormat="1" ht="11.25">
      <c r="A25" s="1" t="s">
        <v>44</v>
      </c>
      <c r="J25" s="71"/>
      <c r="K25" s="71"/>
      <c r="L25" s="71"/>
      <c r="M25" s="72"/>
      <c r="N25" s="5"/>
    </row>
    <row r="26" spans="1:18" s="1" customFormat="1" ht="35.25" customHeight="1">
      <c r="A26" s="417" t="s">
        <v>45</v>
      </c>
      <c r="B26" s="417"/>
      <c r="C26" s="417"/>
      <c r="D26" s="417"/>
      <c r="E26" s="417"/>
      <c r="F26" s="417"/>
      <c r="G26" s="417"/>
      <c r="H26" s="417"/>
      <c r="I26" s="417"/>
      <c r="J26" s="417"/>
      <c r="K26" s="417"/>
      <c r="L26" s="417"/>
      <c r="M26" s="417"/>
      <c r="N26" s="417"/>
    </row>
    <row r="27" spans="1:18" s="1" customFormat="1" ht="22.5" customHeight="1">
      <c r="A27" s="417" t="s">
        <v>46</v>
      </c>
      <c r="B27" s="417"/>
      <c r="C27" s="417"/>
      <c r="D27" s="417"/>
      <c r="E27" s="417"/>
      <c r="F27" s="417"/>
      <c r="G27" s="417"/>
      <c r="H27" s="417"/>
      <c r="I27" s="417"/>
      <c r="J27" s="417"/>
      <c r="K27" s="417"/>
      <c r="L27" s="417"/>
      <c r="M27" s="417"/>
      <c r="N27" s="417"/>
    </row>
    <row r="28" spans="1:18" s="1" customFormat="1" ht="11.25">
      <c r="A28" s="1" t="s">
        <v>47</v>
      </c>
      <c r="J28" s="71"/>
      <c r="K28" s="71"/>
      <c r="L28" s="71"/>
      <c r="M28" s="72"/>
      <c r="N28" s="5"/>
    </row>
    <row r="29" spans="1:18" s="73" customFormat="1" ht="11.25">
      <c r="A29" s="73" t="s">
        <v>48</v>
      </c>
      <c r="J29" s="74"/>
      <c r="K29" s="74"/>
      <c r="L29" s="74"/>
      <c r="M29" s="75"/>
      <c r="N29" s="34"/>
    </row>
    <row r="30" spans="1:18" s="73" customFormat="1" ht="11.25">
      <c r="A30" s="73" t="s">
        <v>49</v>
      </c>
      <c r="J30" s="74"/>
      <c r="K30" s="74"/>
      <c r="L30" s="74"/>
      <c r="M30" s="75"/>
      <c r="N30" s="34"/>
    </row>
    <row r="31" spans="1:18" s="1" customFormat="1" ht="11.25">
      <c r="A31" s="1" t="s">
        <v>50</v>
      </c>
      <c r="J31" s="71"/>
      <c r="K31" s="71"/>
      <c r="L31" s="71"/>
      <c r="M31" s="72"/>
      <c r="N31" s="5"/>
    </row>
    <row r="32" spans="1:18" ht="27.75" customHeight="1">
      <c r="A32" s="417" t="s">
        <v>51</v>
      </c>
      <c r="B32" s="417"/>
      <c r="C32" s="417"/>
      <c r="D32" s="417"/>
      <c r="E32" s="417"/>
      <c r="F32" s="417"/>
      <c r="G32" s="417"/>
      <c r="H32" s="417"/>
      <c r="I32" s="417"/>
      <c r="J32" s="417"/>
      <c r="K32" s="417"/>
      <c r="L32" s="417"/>
      <c r="M32" s="417"/>
      <c r="N32" s="417"/>
    </row>
    <row r="33" spans="1:14">
      <c r="A33" s="1" t="s">
        <v>52</v>
      </c>
      <c r="G33"/>
      <c r="H33"/>
      <c r="I33"/>
    </row>
    <row r="34" spans="1:14">
      <c r="A34" s="81" t="s">
        <v>156</v>
      </c>
    </row>
    <row r="35" spans="1:14" ht="33.75" customHeight="1">
      <c r="A35" s="417" t="s">
        <v>155</v>
      </c>
      <c r="B35" s="417"/>
      <c r="C35" s="417"/>
      <c r="D35" s="417"/>
      <c r="E35" s="417"/>
      <c r="F35" s="417"/>
      <c r="G35" s="417"/>
      <c r="H35" s="417"/>
      <c r="I35" s="417"/>
      <c r="J35" s="417"/>
      <c r="K35" s="417"/>
      <c r="L35" s="417"/>
      <c r="M35" s="417"/>
      <c r="N35" s="417"/>
    </row>
    <row r="36" spans="1:14" ht="27" customHeight="1">
      <c r="A36" s="417" t="s">
        <v>154</v>
      </c>
      <c r="B36" s="417"/>
      <c r="C36" s="417"/>
      <c r="D36" s="417"/>
      <c r="E36" s="417"/>
      <c r="F36" s="417"/>
      <c r="G36" s="417"/>
      <c r="H36" s="417"/>
      <c r="I36" s="417"/>
      <c r="J36" s="417"/>
      <c r="K36" s="417"/>
      <c r="L36" s="417"/>
      <c r="M36" s="417"/>
      <c r="N36" s="417"/>
    </row>
  </sheetData>
  <mergeCells count="11">
    <mergeCell ref="A1:N1"/>
    <mergeCell ref="A2:N2"/>
    <mergeCell ref="A26:N26"/>
    <mergeCell ref="A35:N35"/>
    <mergeCell ref="A36:N36"/>
    <mergeCell ref="G21:J21"/>
    <mergeCell ref="B6:F6"/>
    <mergeCell ref="C15:F15"/>
    <mergeCell ref="C14:F14"/>
    <mergeCell ref="A27:N27"/>
    <mergeCell ref="A32:N32"/>
  </mergeCells>
  <phoneticPr fontId="7" type="noConversion"/>
  <printOptions horizontalCentered="1"/>
  <pageMargins left="0.5" right="0.5" top="0.75" bottom="0.75" header="0.5" footer="0.5"/>
  <pageSetup scale="77" orientation="landscape"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J33"/>
  <sheetViews>
    <sheetView tabSelected="1" workbookViewId="0">
      <selection activeCell="E22" sqref="E22"/>
    </sheetView>
  </sheetViews>
  <sheetFormatPr defaultRowHeight="11.25"/>
  <cols>
    <col min="1" max="1" width="30.5703125" style="52" bestFit="1" customWidth="1"/>
    <col min="2" max="2" width="13.85546875" style="52" customWidth="1"/>
    <col min="3" max="3" width="16.28515625" style="52" customWidth="1"/>
    <col min="4" max="4" width="13.85546875" style="52" bestFit="1" customWidth="1"/>
    <col min="5" max="5" width="18.85546875" style="52" customWidth="1"/>
    <col min="6" max="6" width="16" style="52" bestFit="1" customWidth="1"/>
    <col min="7" max="7" width="25" style="52" bestFit="1" customWidth="1"/>
    <col min="8" max="8" width="11.5703125" style="52" bestFit="1" customWidth="1"/>
    <col min="9" max="9" width="11.140625" style="52" bestFit="1" customWidth="1"/>
    <col min="10" max="10" width="16.85546875" style="52" customWidth="1"/>
    <col min="11" max="16384" width="9.140625" style="52"/>
  </cols>
  <sheetData>
    <row r="1" spans="1:10" ht="12" thickBot="1">
      <c r="A1" s="300" t="s">
        <v>124</v>
      </c>
      <c r="B1" s="394" t="s">
        <v>137</v>
      </c>
      <c r="C1" s="395"/>
      <c r="D1" s="396"/>
      <c r="E1" s="394" t="s">
        <v>132</v>
      </c>
      <c r="F1" s="395"/>
      <c r="G1" s="425"/>
      <c r="H1" s="426" t="s">
        <v>189</v>
      </c>
      <c r="I1" s="426"/>
      <c r="J1" s="426"/>
    </row>
    <row r="2" spans="1:10" ht="35.25" customHeight="1">
      <c r="A2" s="301"/>
      <c r="B2" s="302" t="s">
        <v>133</v>
      </c>
      <c r="C2" s="302" t="s">
        <v>134</v>
      </c>
      <c r="D2" s="303" t="s">
        <v>135</v>
      </c>
      <c r="E2" s="304" t="s">
        <v>136</v>
      </c>
      <c r="F2" s="424" t="s">
        <v>133</v>
      </c>
      <c r="G2" s="427"/>
      <c r="H2" s="428" t="s">
        <v>135</v>
      </c>
      <c r="I2" s="428" t="s">
        <v>133</v>
      </c>
      <c r="J2" s="428" t="s">
        <v>136</v>
      </c>
    </row>
    <row r="3" spans="1:10">
      <c r="A3" s="301" t="s">
        <v>233</v>
      </c>
      <c r="B3" s="306">
        <f>SUM('Fac-ExistLrgSolid-Yr1'!J32:L32,'Fac-ExistLrgLiquid-Yr1'!I19:K19,'Fac-NewLrgSolid-Yr1'!H31:J31,'Fac-NewLrgLiquid-Yr1'!H25:J25,'Fac - ExistSmlSolid-Yr1'!H16:J16,'Fac - ExistSmlLiquid-Yr1'!H16:J16,'Fac-NewSmlSolid-Yr1'!H16:J16,'Fac-NewSmlLiquid-Yr1'!H16:J16)</f>
        <v>4505011.1500000013</v>
      </c>
      <c r="C3" s="306">
        <f>SUM('Fac-ExistLrgSolid-Yr1'!I7,'Fac-ExistLrgLiquid-Yr1'!H7,'Fac-NewLrgSolid-Yr1'!G7,'Fac-NewLrgLiquid-Yr1'!G7,'Fac - ExistSmlSolid-Yr1'!G7,'Fac - ExistSmlLiquid-Yr1'!G7,'Fac-NewSmlSolid-Yr1'!G7,'Fac-NewSmlLiquid-Yr1'!G7)</f>
        <v>92465</v>
      </c>
      <c r="D3" s="307">
        <f>SUM('Fac-ExistLrgSolid-Yr1'!P47,'Fac-NewLrgSolid-Yr1'!M46,'Fac-NewLrgLiquid-Yr1'!M40,'Fac-ExistLrgLiquid-Yr1'!N30,'Fac - ExistSmlSolid-Yr1'!M27,'Fac - ExistSmlLiquid-Yr1'!M27,'Fac-NewSmlSolid-Yr1'!M27,'Fac-NewSmlLiquid-Yr1'!M27)</f>
        <v>94204</v>
      </c>
      <c r="E3" s="308">
        <f>SUM('Fac-ExistLrgSolid-Yr1'!O47,'Fac-ExistLrgLiquid-Yr1'!M30,'Fac-NewLrgSolid-Yr1'!L46,'Fac-NewLrgLiquid-Yr1'!L40,'Fac - ExistSmlSolid-Yr1'!L27,'Fac - ExistSmlLiquid-Yr1'!L27,'Fac-NewSmlSolid-Yr1'!L27,'Fac-NewSmlLiquid-Yr1'!L27)</f>
        <v>8288756</v>
      </c>
      <c r="F3" s="306">
        <f>SUM('Fac-ExistLrgSolid-Yr1'!J46:L46,'Fac-ExistLrgLiquid-Yr1'!I29:K29,'Fac-NewLrgSolid-Yr1'!H45:J45,'Fac-NewLrgLiquid-Yr1'!H39:J39,'Fac - ExistSmlSolid-Yr1'!H26:J26,'Fac - ExistSmlLiquid-Yr1'!H26:J26,'Fac-NewSmlSolid-Yr1'!H26:J26,'Fac-NewSmlLiquid-Yr1'!H26:J26)</f>
        <v>15629.937499999998</v>
      </c>
      <c r="G3" s="427" t="s">
        <v>233</v>
      </c>
      <c r="H3" s="309">
        <f>D3</f>
        <v>94204</v>
      </c>
      <c r="I3" s="309">
        <f>B3+F3</f>
        <v>4520641.0875000013</v>
      </c>
      <c r="J3" s="429">
        <f>E3</f>
        <v>8288756</v>
      </c>
    </row>
    <row r="4" spans="1:10">
      <c r="A4" s="301" t="s">
        <v>234</v>
      </c>
      <c r="B4" s="306">
        <f>SUM('Fac-ExistLrgSolid-Yr2'!J32:L32,'Fac-ExistLrgLiquid-Yr2'!I19:K19,'Fac-NewLrgSolid-Yr2'!H31:J31,'Fac-NewLrgLiquid-Yr2'!H25:J25,'Fac - ExistSmlSolid-Yr2'!H16:J16,'Fac - ExistSmlLiquid-Yr2'!H16:J16,'Fac-NewSmlSolid-Yr2'!H16:J16,'Fac-NewSmlLiquid-Yr2'!H16:J16)</f>
        <v>899661.1</v>
      </c>
      <c r="C4" s="306">
        <f>SUM('Fac-ExistLrgSolid-Yr2'!I10:I11,'Fac-ExistLrgLiquid-Yr2'!H10:H11,'Fac-NewLrgSolid-Yr2'!G7,'Fac-NewLrgLiquid-Yr2'!G7,'Fac - ExistSmlSolid-Yr2'!G9,'Fac-NewSmlSolid-Yr2'!G7,'Fac - ExistSmlLiquid-Yr2'!G9,'Fac-NewSmlLiquid-Yr2'!G7)</f>
        <v>92466</v>
      </c>
      <c r="D4" s="307">
        <f>SUM('Fac-ExistLrgSolid-Yr2'!P47,'Fac-NewLrgSolid-Yr2'!M46,'Fac-NewLrgLiquid-Yr2'!M40,'Fac-ExistLrgLiquid-Yr2'!N30,'Fac - ExistSmlSolid-Yr2'!M27,'Fac - ExistSmlLiquid-Yr2'!M27,'Fac-NewSmlSolid-Yr2'!M27,'Fac-NewSmlLiquid-Yr2'!M27)</f>
        <v>3478</v>
      </c>
      <c r="E4" s="308">
        <f>SUM('Fac-ExistLrgSolid-Yr2'!O47,'Fac-ExistLrgLiquid-Yr2'!M30,'Fac-NewLrgSolid-Yr2'!L46,'Fac-NewLrgLiquid-Yr2'!L40,'Fac - ExistSmlSolid-Yr2'!L27,'Fac - ExistSmlLiquid-Yr2'!L27,'Fac-NewSmlSolid-Yr2'!L27,'Fac-NewSmlLiquid-Yr2'!L27)</f>
        <v>222157048.5</v>
      </c>
      <c r="F4" s="308">
        <f>SUM('Fac-ExistLrgSolid-Yr2'!J46:L46,'Fac-ExistLrgLiquid-Yr2'!I29:K29,'Fac-NewLrgSolid-Yr2'!H45:J45,'Fac-NewLrgLiquid-Yr2'!H39:J39,'Fac - ExistSmlSolid-Yr2'!H26:J26,'Fac - ExistSmlLiquid-Yr2'!H26:J26,'Fac-NewSmlSolid-Yr2'!H26:J26,'Fac-NewSmlLiquid-Yr2'!H26:J26)</f>
        <v>31259.874999999996</v>
      </c>
      <c r="G4" s="427" t="s">
        <v>234</v>
      </c>
      <c r="H4" s="309">
        <f>D4</f>
        <v>3478</v>
      </c>
      <c r="I4" s="309">
        <f>B4+F4</f>
        <v>930920.97499999998</v>
      </c>
      <c r="J4" s="429">
        <f>E4</f>
        <v>222157048.5</v>
      </c>
    </row>
    <row r="5" spans="1:10">
      <c r="A5" s="301" t="s">
        <v>235</v>
      </c>
      <c r="B5" s="306">
        <f>SUM('Fac-ExistLrgSolid-Yr3'!J32:L32,'Fac-ExistLrgLiquid-Yr3'!I19:K19,'Fac-NewLrgSolid-Yr3'!H31:J31,'Fac-NewLrgLiquid-Yr3'!H25:J25,'Fac - ExistSmlSolid-Yr3'!H16:J16,'Fac - ExistSmlLiquid-Yr3'!H16:J16,'Fac-NewSmlSolid-Yr3'!H16:J16,'Fac-NewSmlLiquid-Yr3'!H16:J16)</f>
        <v>2036525.7999999996</v>
      </c>
      <c r="C5" s="306">
        <f>'Base Data'!H23+'Base Data'!H45</f>
        <v>94726</v>
      </c>
      <c r="D5" s="307">
        <f>SUM('Fac-ExistLrgSolid-Yr3'!P47,'Fac-NewLrgSolid-Yr3'!M46,'Fac-NewLrgLiquid-Yr3'!M40,'Fac-ExistLrgLiquid-Yr3'!N30,'Fac - ExistSmlSolid-Yr3'!M27,'Fac - ExistSmlLiquid-Yr3'!M27,'Fac-NewSmlSolid-Yr3'!M27,'Fac-NewSmlLiquid-Yr3'!M27)</f>
        <v>142397</v>
      </c>
      <c r="E5" s="308">
        <f>SUM('Fac-ExistLrgSolid-Yr3'!O47,'Fac-ExistLrgLiquid-Yr3'!M30,'Fac-NewLrgSolid-Yr3'!L46,'Fac-NewLrgLiquid-Yr3'!L40,'Fac - ExistSmlSolid-Yr3'!L27,'Fac - ExistSmlLiquid-Yr3'!L27,'Fac-NewSmlSolid-Yr3'!L27,'Fac-NewSmlLiquid-Yr3'!L27)</f>
        <v>228920717</v>
      </c>
      <c r="F5" s="308">
        <f>SUM('Fac-ExistLrgSolid-Yr3'!J46:L46,'Fac-ExistLrgLiquid-Yr3'!I29:K29,'Fac-NewLrgSolid-Yr3'!H45:J45,'Fac-NewLrgLiquid-Yr3'!H39:J39,'Fac - ExistSmlSolid-Yr3'!H26:J26,'Fac - ExistSmlLiquid-Yr3'!H26:J26,'Fac-NewSmlSolid-Yr3'!H26:J26,'Fac-NewSmlLiquid-Yr3'!H26:J26)</f>
        <v>557391.19999999995</v>
      </c>
      <c r="G5" s="427" t="s">
        <v>235</v>
      </c>
      <c r="H5" s="309">
        <f>D5</f>
        <v>142397</v>
      </c>
      <c r="I5" s="309">
        <f>B5+F5</f>
        <v>2593916.9999999995</v>
      </c>
      <c r="J5" s="429">
        <f>E5</f>
        <v>228920717</v>
      </c>
    </row>
    <row r="6" spans="1:10" ht="12" thickBot="1">
      <c r="A6" s="301" t="s">
        <v>125</v>
      </c>
      <c r="B6" s="306">
        <f>AVERAGE(B3:B5)</f>
        <v>2480399.35</v>
      </c>
      <c r="C6" s="306">
        <f>AVERAGE(C3:C5)</f>
        <v>93219</v>
      </c>
      <c r="D6" s="307">
        <f>AVERAGE(D3:D5)</f>
        <v>80026.333333333328</v>
      </c>
      <c r="E6" s="311">
        <f>AVERAGE(E3:E5)</f>
        <v>153122173.83333334</v>
      </c>
      <c r="F6" s="306">
        <f>AVERAGE(F3:F5)</f>
        <v>201427.00416666665</v>
      </c>
      <c r="G6" s="427" t="s">
        <v>125</v>
      </c>
      <c r="H6" s="309">
        <f>AVERAGE(H3:H5)</f>
        <v>80026.333333333328</v>
      </c>
      <c r="I6" s="309">
        <f>AVERAGE(I3:I5)</f>
        <v>2681826.3541666665</v>
      </c>
      <c r="J6" s="429">
        <f>AVERAGE(J3:J5)</f>
        <v>153122173.83333334</v>
      </c>
    </row>
    <row r="7" spans="1:10" ht="12" thickBot="1">
      <c r="A7" s="314" t="s">
        <v>157</v>
      </c>
      <c r="B7" s="315"/>
      <c r="C7" s="316"/>
      <c r="D7" s="317"/>
      <c r="E7" s="318">
        <f>E6/D6</f>
        <v>1913.3973462901797</v>
      </c>
      <c r="F7" s="317"/>
      <c r="G7" s="319"/>
      <c r="H7" s="320"/>
      <c r="I7" s="321"/>
      <c r="J7" s="80"/>
    </row>
    <row r="8" spans="1:10" ht="12" thickBot="1">
      <c r="A8" s="322" t="s">
        <v>158</v>
      </c>
      <c r="B8" s="323">
        <f>B6/D6</f>
        <v>30.994789423481439</v>
      </c>
      <c r="C8" s="324"/>
      <c r="D8" s="325"/>
      <c r="E8" s="423">
        <f>F6/D6</f>
        <v>2.5170090366087829</v>
      </c>
      <c r="F8" s="325"/>
      <c r="G8" s="319"/>
      <c r="H8" s="430">
        <f>(B6+F6)/D6</f>
        <v>33.511798460090226</v>
      </c>
      <c r="I8" s="80"/>
      <c r="J8" s="80"/>
    </row>
    <row r="9" spans="1:10" ht="12" thickBot="1">
      <c r="A9" s="319"/>
      <c r="B9" s="326"/>
      <c r="C9" s="319"/>
      <c r="D9" s="319"/>
      <c r="E9" s="326"/>
      <c r="F9" s="319"/>
      <c r="G9" s="319"/>
      <c r="H9" s="80"/>
      <c r="I9" s="80"/>
      <c r="J9" s="80"/>
    </row>
    <row r="10" spans="1:10" ht="12" thickBot="1">
      <c r="A10" s="80"/>
      <c r="B10" s="80"/>
      <c r="C10" s="327" t="s">
        <v>192</v>
      </c>
      <c r="D10" s="288" t="s">
        <v>163</v>
      </c>
      <c r="E10" s="328" t="s">
        <v>162</v>
      </c>
      <c r="F10" s="80"/>
      <c r="G10" s="80"/>
      <c r="H10" s="80"/>
      <c r="I10" s="80"/>
      <c r="J10" s="80"/>
    </row>
    <row r="11" spans="1:10">
      <c r="A11" s="314" t="s">
        <v>40</v>
      </c>
      <c r="B11" s="329" t="s">
        <v>138</v>
      </c>
      <c r="C11" s="330" t="s">
        <v>139</v>
      </c>
      <c r="D11" s="331" t="s">
        <v>139</v>
      </c>
      <c r="E11" s="332" t="s">
        <v>139</v>
      </c>
      <c r="F11" s="80"/>
      <c r="G11" s="80"/>
      <c r="H11" s="80"/>
      <c r="I11" s="80"/>
      <c r="J11" s="80"/>
    </row>
    <row r="12" spans="1:10">
      <c r="A12" s="301" t="s">
        <v>126</v>
      </c>
      <c r="B12" s="306">
        <f>SUM(B3:B5,F3:F5)</f>
        <v>8045479.0625000009</v>
      </c>
      <c r="C12" s="333">
        <f>B12/3</f>
        <v>2681826.354166667</v>
      </c>
      <c r="D12" s="334">
        <f>0.49*C12</f>
        <v>1314094.9135416667</v>
      </c>
      <c r="E12" s="335">
        <f>0.51*C12</f>
        <v>1367731.4406250003</v>
      </c>
      <c r="F12" s="80"/>
      <c r="G12" s="80"/>
      <c r="H12" s="80"/>
      <c r="I12" s="80"/>
      <c r="J12" s="80"/>
    </row>
    <row r="13" spans="1:10">
      <c r="A13" s="301" t="s">
        <v>127</v>
      </c>
      <c r="B13" s="336">
        <f>SUM(E3:E5)</f>
        <v>459366521.5</v>
      </c>
      <c r="C13" s="337">
        <f>B13/3</f>
        <v>153122173.83333334</v>
      </c>
      <c r="D13" s="338">
        <f>0.49*C13</f>
        <v>75029865.178333342</v>
      </c>
      <c r="E13" s="339">
        <f>0.51*C13</f>
        <v>78092308.655000001</v>
      </c>
      <c r="F13" s="80"/>
      <c r="G13" s="80"/>
      <c r="H13" s="80"/>
      <c r="I13" s="80"/>
      <c r="J13" s="80"/>
    </row>
    <row r="14" spans="1:10">
      <c r="A14" s="301" t="s">
        <v>128</v>
      </c>
      <c r="B14" s="336">
        <f>SUM(D29:D31)</f>
        <v>761014868.453125</v>
      </c>
      <c r="C14" s="337">
        <f>B14/3</f>
        <v>253671622.81770834</v>
      </c>
      <c r="D14" s="338">
        <f>0.49*C14</f>
        <v>124299095.18067709</v>
      </c>
      <c r="E14" s="339">
        <f>0.51*C14</f>
        <v>129372527.63703126</v>
      </c>
      <c r="F14" s="80"/>
      <c r="G14" s="80"/>
      <c r="H14" s="80"/>
      <c r="I14" s="80"/>
      <c r="J14" s="80"/>
    </row>
    <row r="15" spans="1:10" ht="12" thickBot="1">
      <c r="A15" s="322" t="s">
        <v>129</v>
      </c>
      <c r="B15" s="340">
        <f>SUM(B13:B14)</f>
        <v>1220381389.953125</v>
      </c>
      <c r="C15" s="341">
        <f>B15/3</f>
        <v>406793796.65104169</v>
      </c>
      <c r="D15" s="342">
        <f>0.49*C15</f>
        <v>199328960.35901043</v>
      </c>
      <c r="E15" s="343">
        <f>0.51*C15</f>
        <v>207464836.29203126</v>
      </c>
      <c r="F15" s="80"/>
      <c r="G15" s="80"/>
      <c r="H15" s="80"/>
      <c r="I15" s="80"/>
      <c r="J15" s="80"/>
    </row>
    <row r="16" spans="1:10">
      <c r="A16" s="80"/>
      <c r="B16" s="314"/>
      <c r="C16" s="344" t="s">
        <v>187</v>
      </c>
      <c r="D16" s="345">
        <f>0.97*0.49*C6</f>
        <v>44306.990700000002</v>
      </c>
      <c r="E16" s="346">
        <f>0.97*0.51*C6</f>
        <v>46115.439299999998</v>
      </c>
      <c r="F16" s="80"/>
      <c r="G16" s="80"/>
      <c r="H16" s="80"/>
      <c r="I16" s="80"/>
      <c r="J16" s="80"/>
    </row>
    <row r="17" spans="1:10" ht="12" thickBot="1">
      <c r="A17" s="80"/>
      <c r="B17" s="322"/>
      <c r="C17" s="347" t="s">
        <v>188</v>
      </c>
      <c r="D17" s="348">
        <f>ROUND(0.49*C6,0)</f>
        <v>45677</v>
      </c>
      <c r="E17" s="349">
        <f>ROUND(0.51*C6,0)</f>
        <v>47542</v>
      </c>
      <c r="F17" s="80"/>
      <c r="G17" s="80"/>
      <c r="H17" s="80"/>
      <c r="I17" s="80"/>
      <c r="J17" s="80"/>
    </row>
    <row r="18" spans="1:10">
      <c r="A18" s="80"/>
      <c r="B18" s="80"/>
      <c r="C18" s="80"/>
      <c r="D18" s="80"/>
      <c r="E18" s="80"/>
      <c r="F18" s="80"/>
      <c r="G18" s="80"/>
      <c r="H18" s="80"/>
      <c r="I18" s="80"/>
      <c r="J18" s="80"/>
    </row>
    <row r="19" spans="1:10" ht="12" thickBot="1">
      <c r="A19" s="80"/>
      <c r="B19" s="80"/>
      <c r="C19" s="80"/>
      <c r="D19" s="80"/>
      <c r="E19" s="80"/>
      <c r="F19" s="80"/>
      <c r="G19" s="80"/>
      <c r="H19" s="80"/>
      <c r="I19" s="80"/>
      <c r="J19" s="80"/>
    </row>
    <row r="20" spans="1:10">
      <c r="A20" s="350" t="s">
        <v>191</v>
      </c>
      <c r="B20" s="351" t="s">
        <v>130</v>
      </c>
      <c r="C20" s="352" t="s">
        <v>131</v>
      </c>
      <c r="D20" s="80"/>
      <c r="E20" s="80"/>
      <c r="F20" s="286"/>
      <c r="G20" s="286"/>
      <c r="H20" s="80"/>
      <c r="I20" s="80"/>
      <c r="J20" s="80"/>
    </row>
    <row r="21" spans="1:10">
      <c r="A21" s="305" t="s">
        <v>233</v>
      </c>
      <c r="B21" s="353">
        <f>AgencyYR1!L23</f>
        <v>439226.4</v>
      </c>
      <c r="C21" s="310">
        <f>AgencyYR1!M22</f>
        <v>19848842.232000005</v>
      </c>
      <c r="D21" s="80"/>
      <c r="E21" s="80"/>
      <c r="F21" s="80"/>
      <c r="G21" s="80"/>
      <c r="H21" s="80"/>
      <c r="I21" s="80"/>
      <c r="J21" s="80"/>
    </row>
    <row r="22" spans="1:10">
      <c r="A22" s="305" t="s">
        <v>234</v>
      </c>
      <c r="B22" s="353">
        <f>AgencyYR2!L23</f>
        <v>49445.4</v>
      </c>
      <c r="C22" s="310">
        <f>+AgencyYR2!M22</f>
        <v>2473334.202</v>
      </c>
      <c r="D22" s="80"/>
      <c r="E22" s="287"/>
      <c r="F22" s="80"/>
      <c r="G22" s="287"/>
      <c r="H22" s="287"/>
      <c r="I22" s="80"/>
      <c r="J22" s="80"/>
    </row>
    <row r="23" spans="1:10">
      <c r="A23" s="305" t="s">
        <v>235</v>
      </c>
      <c r="B23" s="353">
        <f>AgencyYR3!L23</f>
        <v>368891.25</v>
      </c>
      <c r="C23" s="310">
        <f>+AgencyYR3!M22</f>
        <v>16869091.987500001</v>
      </c>
      <c r="D23" s="80"/>
      <c r="E23" s="80"/>
      <c r="F23" s="80" t="s">
        <v>379</v>
      </c>
      <c r="G23" s="290">
        <f>B15</f>
        <v>1220381389.953125</v>
      </c>
      <c r="H23" s="290">
        <f>C15</f>
        <v>406793796.65104169</v>
      </c>
      <c r="I23" s="80"/>
      <c r="J23" s="80"/>
    </row>
    <row r="24" spans="1:10">
      <c r="A24" s="305" t="s">
        <v>284</v>
      </c>
      <c r="B24" s="309">
        <f>SUM(B21:B23)</f>
        <v>857563.05</v>
      </c>
      <c r="C24" s="310">
        <f>SUM(C21:C23)</f>
        <v>39191268.421500005</v>
      </c>
      <c r="D24" s="80"/>
      <c r="E24" s="80"/>
      <c r="F24" s="80"/>
      <c r="G24" s="80"/>
      <c r="H24" s="80"/>
      <c r="I24" s="80"/>
      <c r="J24" s="80"/>
    </row>
    <row r="25" spans="1:10" ht="12" thickBot="1">
      <c r="A25" s="312" t="s">
        <v>190</v>
      </c>
      <c r="B25" s="102">
        <f>B24/3</f>
        <v>285854.35000000003</v>
      </c>
      <c r="C25" s="313">
        <f>C24/3</f>
        <v>13063756.140500002</v>
      </c>
      <c r="D25" s="80"/>
      <c r="E25" s="80"/>
      <c r="F25" s="80"/>
      <c r="G25" s="80"/>
      <c r="H25" s="80"/>
      <c r="I25" s="80"/>
      <c r="J25" s="80"/>
    </row>
    <row r="26" spans="1:10">
      <c r="B26" s="80"/>
      <c r="C26" s="80"/>
      <c r="D26" s="80"/>
      <c r="E26" s="80"/>
      <c r="F26" s="80"/>
      <c r="G26" s="80"/>
    </row>
    <row r="27" spans="1:10">
      <c r="B27" s="80"/>
      <c r="C27" s="80"/>
      <c r="D27" s="80"/>
      <c r="E27" s="80"/>
      <c r="F27" s="80"/>
      <c r="G27" s="80"/>
    </row>
    <row r="28" spans="1:10">
      <c r="B28" s="80"/>
      <c r="C28" s="80"/>
      <c r="D28" s="80" t="s">
        <v>377</v>
      </c>
      <c r="E28" s="80" t="s">
        <v>378</v>
      </c>
      <c r="F28" s="80"/>
      <c r="G28" s="80"/>
    </row>
    <row r="29" spans="1:10">
      <c r="B29" s="80"/>
      <c r="C29" s="80"/>
      <c r="D29" s="286">
        <f>SUM('Fac-ExistLrgSolid-Yr1'!N47,'Fac-ExistLrgLiquid-Yr1'!L30,'Fac-NewLrgSolid-Yr1'!K46,'Fac-NewLrgLiquid-Yr1'!K40,'Fac - ExistSmlSolid-Yr1'!K27,'Fac - ExistSmlLiquid-Yr1'!K27,'Fac-NewSmlSolid-Yr1'!K27,'Fac-NewSmlLiquid-Yr1'!K27)</f>
        <v>427603509.47437507</v>
      </c>
      <c r="E29" s="286">
        <f>SUM('Fac-ExistLrgSolid-Yr1'!O47,'Fac-ExistLrgLiquid-Yr1'!M30,'Fac-NewLrgSolid-Yr1'!L46,'Fac-NewLrgLiquid-Yr1'!L40,'Fac - ExistSmlSolid-Yr1'!L27,'Fac - ExistSmlLiquid-Yr1'!L27,'Fac-NewSmlSolid-Yr1'!L27,'Fac-NewSmlLiquid-Yr1'!L27)</f>
        <v>8288756</v>
      </c>
      <c r="F29" s="80"/>
      <c r="G29" s="80"/>
    </row>
    <row r="30" spans="1:10">
      <c r="B30" s="80"/>
      <c r="C30" s="80"/>
      <c r="D30" s="286">
        <f>SUM('Fac-ExistLrgSolid-Yr2'!N47,'Fac-ExistLrgLiquid-Yr2'!L30,'Fac-NewLrgSolid-Yr2'!K46,'Fac-NewLrgLiquid-Yr2'!K40,'Fac - ExistSmlSolid-Yr2'!K27,'Fac - ExistSmlLiquid-Yr2'!K27,'Fac-NewSmlSolid-Yr2'!K27,'Fac-NewSmlLiquid-Yr2'!K27)</f>
        <v>88055005.528749987</v>
      </c>
      <c r="E30" s="286">
        <f>SUM('Fac-ExistLrgSolid-Yr2'!O47,'Fac-ExistLrgLiquid-Yr2'!M30,'Fac-NewLrgSolid-Yr2'!L46,'Fac-NewLrgLiquid-Yr2'!L40,'Fac - ExistSmlSolid-Yr2'!L27,'Fac - ExistSmlLiquid-Yr2'!L27,'Fac-NewSmlSolid-Yr2'!L27,'Fac-NewSmlLiquid-Yr2'!L27)</f>
        <v>222157048.5</v>
      </c>
      <c r="F30" s="80"/>
      <c r="G30" s="80"/>
    </row>
    <row r="31" spans="1:10">
      <c r="B31" s="80"/>
      <c r="C31" s="80"/>
      <c r="D31" s="286">
        <f>SUM('Fac-ExistLrgSolid-Yr3'!N47,'Fac-ExistLrgLiquid-Yr3'!L30,'Fac-NewLrgSolid-Yr3'!K46,'Fac-NewLrgLiquid-Yr3'!K40,'Fac - ExistSmlSolid-Yr3'!K27,'Fac - ExistSmlLiquid-Yr3'!K27,'Fac-NewSmlSolid-Yr3'!K27,'Fac-NewSmlLiquid-Yr3'!K27)</f>
        <v>245356353.44999999</v>
      </c>
      <c r="E31" s="286">
        <f>SUM('Fac-ExistLrgSolid-Yr3'!O47,'Fac-ExistLrgLiquid-Yr3'!M30,'Fac-NewLrgSolid-Yr3'!L46,'Fac-NewLrgLiquid-Yr3'!L40,'Fac - ExistSmlSolid-Yr3'!L27,'Fac - ExistSmlLiquid-Yr3'!L27,'Fac-NewSmlSolid-Yr3'!L27,'Fac-NewSmlLiquid-Yr3'!L27)</f>
        <v>228920717</v>
      </c>
      <c r="F31" s="80"/>
      <c r="G31" s="80"/>
    </row>
    <row r="32" spans="1:10">
      <c r="B32" s="80"/>
      <c r="C32" s="80"/>
      <c r="D32" s="289">
        <f>SUM(D29:D31)</f>
        <v>761014868.453125</v>
      </c>
      <c r="E32" s="289">
        <f>SUM(E29:E31)</f>
        <v>459366521.5</v>
      </c>
      <c r="F32" s="80"/>
      <c r="G32" s="80"/>
    </row>
    <row r="33" spans="4:7">
      <c r="D33" s="80"/>
      <c r="E33" s="80"/>
      <c r="F33" s="80"/>
      <c r="G33" s="80"/>
    </row>
  </sheetData>
  <mergeCells count="3">
    <mergeCell ref="B1:D1"/>
    <mergeCell ref="E1:F1"/>
    <mergeCell ref="H1:J1"/>
  </mergeCells>
  <phoneticPr fontId="7" type="noConversion"/>
  <pageMargins left="0.75" right="0.75" top="1" bottom="1" header="0.5" footer="0.5"/>
  <pageSetup scale="67" orientation="landscape" r:id="rId1"/>
  <headerFooter alignWithMargins="0"/>
</worksheet>
</file>

<file path=xl/worksheets/sheet30.xml><?xml version="1.0" encoding="utf-8"?>
<worksheet xmlns="http://schemas.openxmlformats.org/spreadsheetml/2006/main" xmlns:r="http://schemas.openxmlformats.org/officeDocument/2006/relationships">
  <sheetPr>
    <pageSetUpPr fitToPage="1"/>
  </sheetPr>
  <dimension ref="A1:R36"/>
  <sheetViews>
    <sheetView zoomScaleNormal="100" workbookViewId="0">
      <selection activeCell="M4" sqref="M4"/>
    </sheetView>
  </sheetViews>
  <sheetFormatPr defaultRowHeight="12.75"/>
  <cols>
    <col min="1" max="1" width="2.28515625" customWidth="1"/>
    <col min="2" max="2" width="2.42578125" customWidth="1"/>
    <col min="3" max="3" width="2.140625" customWidth="1"/>
    <col min="4" max="4" width="1.42578125" customWidth="1"/>
    <col min="5" max="5" width="2.42578125" customWidth="1"/>
    <col min="6" max="6" width="39.42578125" customWidth="1"/>
    <col min="7" max="7" width="12" style="55" customWidth="1"/>
    <col min="8" max="8" width="13" style="55" customWidth="1"/>
    <col min="9" max="9" width="14.28515625" style="55" customWidth="1"/>
    <col min="10" max="10" width="10.5703125" style="55" customWidth="1"/>
    <col min="11" max="11" width="11.7109375" style="55" bestFit="1" customWidth="1"/>
    <col min="12" max="12" width="9.5703125" style="55" customWidth="1"/>
    <col min="13" max="13" width="11.42578125" style="56" customWidth="1"/>
    <col min="14" max="14" width="4.5703125" style="57" customWidth="1"/>
    <col min="15" max="15" width="15.28515625" customWidth="1"/>
    <col min="16" max="16" width="27.140625" customWidth="1"/>
    <col min="17" max="17" width="14.85546875" customWidth="1"/>
    <col min="18" max="18" width="31.85546875" customWidth="1"/>
  </cols>
  <sheetData>
    <row r="1" spans="1:18">
      <c r="A1" s="416" t="s">
        <v>160</v>
      </c>
      <c r="B1" s="416"/>
      <c r="C1" s="416"/>
      <c r="D1" s="416"/>
      <c r="E1" s="416"/>
      <c r="F1" s="416"/>
      <c r="G1" s="416"/>
      <c r="H1" s="416"/>
      <c r="I1" s="416"/>
      <c r="J1" s="416"/>
      <c r="K1" s="416"/>
      <c r="L1" s="416"/>
      <c r="M1" s="416"/>
      <c r="N1" s="416"/>
    </row>
    <row r="2" spans="1:18" ht="12" customHeight="1">
      <c r="A2" s="416" t="s">
        <v>123</v>
      </c>
      <c r="B2" s="416"/>
      <c r="C2" s="416"/>
      <c r="D2" s="416"/>
      <c r="E2" s="416"/>
      <c r="F2" s="416"/>
      <c r="G2" s="416"/>
      <c r="H2" s="416"/>
      <c r="I2" s="416"/>
      <c r="J2" s="416"/>
      <c r="K2" s="416"/>
      <c r="L2" s="416"/>
      <c r="M2" s="416"/>
      <c r="N2" s="416"/>
    </row>
    <row r="3" spans="1:18" ht="15" customHeight="1" thickBot="1"/>
    <row r="4" spans="1:18" s="53" customFormat="1" ht="51.75" thickBot="1">
      <c r="A4" s="172" t="s">
        <v>229</v>
      </c>
      <c r="B4" s="169"/>
      <c r="C4" s="169"/>
      <c r="D4" s="169"/>
      <c r="E4" s="169"/>
      <c r="F4" s="169"/>
      <c r="G4" s="166" t="s">
        <v>88</v>
      </c>
      <c r="H4" s="166" t="s">
        <v>89</v>
      </c>
      <c r="I4" s="166" t="s">
        <v>90</v>
      </c>
      <c r="J4" s="166" t="s">
        <v>91</v>
      </c>
      <c r="K4" s="166" t="s">
        <v>380</v>
      </c>
      <c r="L4" s="166" t="s">
        <v>92</v>
      </c>
      <c r="M4" s="167" t="s">
        <v>381</v>
      </c>
      <c r="N4" s="173" t="s">
        <v>231</v>
      </c>
    </row>
    <row r="5" spans="1:18" ht="15" customHeight="1">
      <c r="A5" s="174" t="s">
        <v>93</v>
      </c>
      <c r="B5" s="272" t="s">
        <v>94</v>
      </c>
      <c r="C5" s="248"/>
      <c r="D5" s="248"/>
      <c r="E5" s="248"/>
      <c r="F5" s="249"/>
      <c r="G5" s="378">
        <v>40</v>
      </c>
      <c r="H5" s="378">
        <v>0</v>
      </c>
      <c r="I5" s="378">
        <f>G5*H5</f>
        <v>0</v>
      </c>
      <c r="J5" s="378">
        <f>I5</f>
        <v>0</v>
      </c>
      <c r="K5" s="378">
        <f>J5*0.05</f>
        <v>0</v>
      </c>
      <c r="L5" s="378">
        <f>J5*0.1</f>
        <v>0</v>
      </c>
      <c r="M5" s="379">
        <f>(J5*'Base Data'!$C$60)+(K5*'Base Data'!$C$58)+(L5*'Base Data'!$C$59)</f>
        <v>0</v>
      </c>
      <c r="N5" s="252" t="s">
        <v>214</v>
      </c>
      <c r="O5" s="25"/>
      <c r="P5" s="58"/>
      <c r="Q5" s="59"/>
      <c r="R5" s="60"/>
    </row>
    <row r="6" spans="1:18" ht="15" customHeight="1">
      <c r="A6" s="61" t="s">
        <v>95</v>
      </c>
      <c r="B6" s="420" t="s">
        <v>96</v>
      </c>
      <c r="C6" s="421"/>
      <c r="D6" s="421"/>
      <c r="E6" s="421"/>
      <c r="F6" s="421"/>
      <c r="G6" s="245">
        <v>2</v>
      </c>
      <c r="H6" s="245">
        <f>SUM('Fac-ExistLrgSolid-Yr2'!$I$27,'Fac-ExistLrgLiquid-Yr2'!$H$16,'Fac-NewLrgSolid-Yr2'!$G$28,'Fac-NewLrgLiquid-Yr2'!$G$22,'Fac - ExistSmlSolid-Yr2'!$G$13,'Fac - ExistSmlLiquid-Yr2'!$G$13,'Fac-NewSmlSolid-Yr2'!$G$13,'Fac-NewSmlLiquid-Yr2'!$G$13)</f>
        <v>1129</v>
      </c>
      <c r="I6" s="245">
        <f>G6*H6</f>
        <v>2258</v>
      </c>
      <c r="J6" s="245">
        <f>I6</f>
        <v>2258</v>
      </c>
      <c r="K6" s="245">
        <f>J6*0.05</f>
        <v>112.9</v>
      </c>
      <c r="L6" s="245">
        <f>J6*0.1</f>
        <v>225.8</v>
      </c>
      <c r="M6" s="380">
        <f>(J6*'Base Data'!$C$60)+(K6*'Base Data'!$C$58)+(L6*'Base Data'!$C$59)</f>
        <v>117019.72100000001</v>
      </c>
      <c r="N6" s="253" t="s">
        <v>97</v>
      </c>
      <c r="O6" s="62"/>
      <c r="P6" s="62"/>
      <c r="Q6" s="62"/>
      <c r="R6" s="62"/>
    </row>
    <row r="7" spans="1:18" ht="15" customHeight="1">
      <c r="A7" s="61" t="s">
        <v>98</v>
      </c>
      <c r="B7" s="273" t="s">
        <v>99</v>
      </c>
      <c r="C7" s="238"/>
      <c r="D7" s="243"/>
      <c r="E7" s="243"/>
      <c r="F7" s="244"/>
      <c r="G7" s="245"/>
      <c r="H7" s="245"/>
      <c r="I7" s="245"/>
      <c r="J7" s="245"/>
      <c r="K7" s="245"/>
      <c r="L7" s="245"/>
      <c r="M7" s="380"/>
      <c r="N7" s="253"/>
      <c r="O7" s="60"/>
      <c r="P7" s="64"/>
      <c r="Q7" s="60"/>
      <c r="R7" s="60"/>
    </row>
    <row r="8" spans="1:18" ht="15" customHeight="1">
      <c r="A8" s="61"/>
      <c r="B8" s="63" t="s">
        <v>100</v>
      </c>
      <c r="C8" s="273" t="s">
        <v>101</v>
      </c>
      <c r="D8" s="243"/>
      <c r="E8" s="246"/>
      <c r="F8" s="244"/>
      <c r="G8" s="245">
        <v>40</v>
      </c>
      <c r="H8" s="245">
        <f>ROUND(SUM('Fac-NewLrgLiquid-Yr2'!$G$9,'Fac-NewLrgSolid-Yr2'!$G$9:$G$11,'Fac-ExistLrgSolid-Yr2'!$I$12:$I$13)*0.2,0)</f>
        <v>148</v>
      </c>
      <c r="I8" s="245">
        <f>G8*H8</f>
        <v>5920</v>
      </c>
      <c r="J8" s="245">
        <f>I8</f>
        <v>5920</v>
      </c>
      <c r="K8" s="245">
        <f>J8*0.05</f>
        <v>296</v>
      </c>
      <c r="L8" s="245">
        <f>J8*0.1</f>
        <v>592</v>
      </c>
      <c r="M8" s="380">
        <f>(J8*'Base Data'!$C$60)+(K8*'Base Data'!$C$58)+(L8*'Base Data'!$C$59)</f>
        <v>306801.03999999998</v>
      </c>
      <c r="N8" s="253" t="s">
        <v>215</v>
      </c>
      <c r="O8" s="65"/>
      <c r="P8" s="66"/>
      <c r="Q8" s="66"/>
      <c r="R8" s="67"/>
    </row>
    <row r="9" spans="1:18" ht="15" customHeight="1">
      <c r="A9" s="61"/>
      <c r="B9" s="63" t="s">
        <v>102</v>
      </c>
      <c r="C9" s="273" t="s">
        <v>103</v>
      </c>
      <c r="D9" s="243"/>
      <c r="E9" s="246"/>
      <c r="F9" s="244"/>
      <c r="G9" s="245">
        <v>40</v>
      </c>
      <c r="H9" s="245">
        <f>ROUND(SUM('Fac-NewLrgLiquid-Yr2'!$G$9,'Fac-NewLrgSolid-Yr2'!$G$9:$G$11,'Fac-ExistLrgSolid-Yr2'!$I$12:$I$13)*0.1,0)</f>
        <v>74</v>
      </c>
      <c r="I9" s="245">
        <f>G9*H9</f>
        <v>2960</v>
      </c>
      <c r="J9" s="245">
        <f>I9</f>
        <v>2960</v>
      </c>
      <c r="K9" s="245">
        <f>J9*0.05</f>
        <v>148</v>
      </c>
      <c r="L9" s="245">
        <f>J9*0.1</f>
        <v>296</v>
      </c>
      <c r="M9" s="380">
        <f>(J9*'Base Data'!$C$60)+(K9*'Base Data'!$C$58)+(L9*'Base Data'!$C$59)</f>
        <v>153400.51999999999</v>
      </c>
      <c r="N9" s="253" t="s">
        <v>205</v>
      </c>
      <c r="O9" s="68"/>
      <c r="P9" s="66"/>
      <c r="Q9" s="66"/>
      <c r="R9" s="67"/>
    </row>
    <row r="10" spans="1:18" ht="15" customHeight="1">
      <c r="A10" s="61"/>
      <c r="B10" s="63" t="s">
        <v>104</v>
      </c>
      <c r="C10" s="273" t="s">
        <v>105</v>
      </c>
      <c r="D10" s="243"/>
      <c r="E10" s="246"/>
      <c r="F10" s="244"/>
      <c r="G10" s="245">
        <v>2</v>
      </c>
      <c r="H10" s="245">
        <f>ROUND(SUM('Fac-NewLrgLiquid-Yr2'!$G$9,'Fac-NewLrgSolid-Yr2'!$G$9:$G$11,'Fac-ExistLrgSolid-Yr2'!$I$12:$I$13),0)</f>
        <v>740</v>
      </c>
      <c r="I10" s="245">
        <f>G10*H10</f>
        <v>1480</v>
      </c>
      <c r="J10" s="245">
        <f>I10</f>
        <v>1480</v>
      </c>
      <c r="K10" s="245">
        <f>J10*0.05</f>
        <v>74</v>
      </c>
      <c r="L10" s="245">
        <f>J10*0.1</f>
        <v>148</v>
      </c>
      <c r="M10" s="380">
        <f>(J10*'Base Data'!$C$60)+(K10*'Base Data'!$C$58)+(L10*'Base Data'!$C$59)</f>
        <v>76700.259999999995</v>
      </c>
      <c r="N10" s="253" t="s">
        <v>216</v>
      </c>
      <c r="O10" s="62"/>
      <c r="P10" s="62"/>
      <c r="Q10" s="62"/>
      <c r="R10" s="62"/>
    </row>
    <row r="11" spans="1:18" ht="15" customHeight="1">
      <c r="A11" s="61"/>
      <c r="B11" s="63" t="s">
        <v>106</v>
      </c>
      <c r="C11" s="273" t="s">
        <v>107</v>
      </c>
      <c r="D11" s="243"/>
      <c r="E11" s="246"/>
      <c r="F11" s="244"/>
      <c r="G11" s="245">
        <v>2</v>
      </c>
      <c r="H11" s="245">
        <f>ROUND(SUM('Fac-NewLrgSolid-Yr2'!$G$37,'Fac-NewLrgLiquid-Yr2'!$G$31,'Fac-ExistLrgSolid-Yr2'!$I$38),0)</f>
        <v>364</v>
      </c>
      <c r="I11" s="245">
        <f>G11*H11</f>
        <v>728</v>
      </c>
      <c r="J11" s="245">
        <f>I11</f>
        <v>728</v>
      </c>
      <c r="K11" s="245">
        <f>J11*0.05</f>
        <v>36.4</v>
      </c>
      <c r="L11" s="245">
        <f>J11*0.1</f>
        <v>72.8</v>
      </c>
      <c r="M11" s="380">
        <f>(J11*'Base Data'!$C$60)+(K11*'Base Data'!$C$58)+(L11*'Base Data'!$C$59)</f>
        <v>37728.235999999997</v>
      </c>
      <c r="N11" s="253" t="s">
        <v>217</v>
      </c>
      <c r="O11" s="60"/>
      <c r="P11" s="64"/>
      <c r="Q11" s="64"/>
      <c r="R11" s="60"/>
    </row>
    <row r="12" spans="1:18" ht="18" customHeight="1">
      <c r="A12" s="61" t="s">
        <v>108</v>
      </c>
      <c r="B12" s="63" t="s">
        <v>109</v>
      </c>
      <c r="C12" s="273"/>
      <c r="D12" s="243"/>
      <c r="E12" s="246"/>
      <c r="F12" s="244"/>
      <c r="G12" s="245">
        <v>24</v>
      </c>
      <c r="H12" s="245">
        <f>ROUND(SUM('Fac-NewLrgLiquid-Yr2'!$G$9,'Fac-NewLrgSolid-Yr2'!$G$9,'Fac-ExistLrgSolid-Yr2'!$I$12)*0.1,0)</f>
        <v>45</v>
      </c>
      <c r="I12" s="245">
        <v>0</v>
      </c>
      <c r="J12" s="245">
        <f>I12</f>
        <v>0</v>
      </c>
      <c r="K12" s="245">
        <f>J12*0.05</f>
        <v>0</v>
      </c>
      <c r="L12" s="245">
        <f>J12*0.1</f>
        <v>0</v>
      </c>
      <c r="M12" s="380">
        <f>(J12*'Base Data'!$C$60)+(K12*'Base Data'!$C$58)+(L12*'Base Data'!$C$59)</f>
        <v>0</v>
      </c>
      <c r="N12" s="253" t="s">
        <v>218</v>
      </c>
      <c r="O12" s="60"/>
      <c r="P12" s="64"/>
      <c r="Q12" s="60"/>
      <c r="R12" s="60"/>
    </row>
    <row r="13" spans="1:18" ht="15" customHeight="1">
      <c r="A13" s="61" t="s">
        <v>110</v>
      </c>
      <c r="B13" s="63" t="s">
        <v>111</v>
      </c>
      <c r="C13" s="275"/>
      <c r="D13" s="247"/>
      <c r="E13" s="246"/>
      <c r="F13" s="244"/>
      <c r="G13" s="245"/>
      <c r="H13" s="245"/>
      <c r="I13" s="245"/>
      <c r="J13" s="245"/>
      <c r="K13" s="245"/>
      <c r="L13" s="245"/>
      <c r="M13" s="380"/>
      <c r="N13" s="253"/>
      <c r="O13" s="60"/>
      <c r="P13" s="64"/>
      <c r="Q13" s="60"/>
      <c r="R13" s="60"/>
    </row>
    <row r="14" spans="1:18" ht="27" customHeight="1">
      <c r="A14" s="61"/>
      <c r="B14" s="63" t="s">
        <v>100</v>
      </c>
      <c r="C14" s="420" t="s">
        <v>112</v>
      </c>
      <c r="D14" s="421"/>
      <c r="E14" s="421"/>
      <c r="F14" s="421"/>
      <c r="G14" s="245">
        <v>2</v>
      </c>
      <c r="H14" s="245">
        <f>H6</f>
        <v>1129</v>
      </c>
      <c r="I14" s="245">
        <f t="shared" ref="I14:I20" si="0">G14*H14</f>
        <v>2258</v>
      </c>
      <c r="J14" s="245">
        <f t="shared" ref="J14:J20" si="1">I14</f>
        <v>2258</v>
      </c>
      <c r="K14" s="245">
        <f t="shared" ref="K14:K20" si="2">J14*0.05</f>
        <v>112.9</v>
      </c>
      <c r="L14" s="245">
        <f t="shared" ref="L14:L20" si="3">J14*0.1</f>
        <v>225.8</v>
      </c>
      <c r="M14" s="380">
        <f>(J14*'Base Data'!$C$60)+(K14*'Base Data'!$C$58)+(L14*'Base Data'!$C$59)</f>
        <v>117019.72100000001</v>
      </c>
      <c r="N14" s="253" t="s">
        <v>97</v>
      </c>
      <c r="O14" s="60"/>
      <c r="P14" s="64"/>
      <c r="Q14" s="69"/>
      <c r="R14" s="60"/>
    </row>
    <row r="15" spans="1:18" ht="27" customHeight="1">
      <c r="A15" s="61"/>
      <c r="B15" s="63" t="s">
        <v>102</v>
      </c>
      <c r="C15" s="420" t="s">
        <v>113</v>
      </c>
      <c r="D15" s="421"/>
      <c r="E15" s="421"/>
      <c r="F15" s="421"/>
      <c r="G15" s="245">
        <v>20</v>
      </c>
      <c r="H15" s="245">
        <f>ROUND(SUM('Fac-NewLrgLiquid-Yr2'!$G$9,'Fac-NewLrgSolid-Yr2'!$G$9,'Fac-ExistLrgSolid-Yr2'!$I$12),0)</f>
        <v>453</v>
      </c>
      <c r="I15" s="245">
        <f t="shared" si="0"/>
        <v>9060</v>
      </c>
      <c r="J15" s="245">
        <f t="shared" si="1"/>
        <v>9060</v>
      </c>
      <c r="K15" s="245">
        <f t="shared" si="2"/>
        <v>453</v>
      </c>
      <c r="L15" s="245">
        <f t="shared" si="3"/>
        <v>906</v>
      </c>
      <c r="M15" s="380">
        <f>(J15*'Base Data'!$C$60)+(K15*'Base Data'!$C$58)+(L15*'Base Data'!$C$59)</f>
        <v>469529.97000000003</v>
      </c>
      <c r="N15" s="253" t="s">
        <v>216</v>
      </c>
      <c r="O15" s="60"/>
      <c r="P15" s="64"/>
      <c r="Q15" s="69"/>
      <c r="R15" s="60"/>
    </row>
    <row r="16" spans="1:18" ht="15" customHeight="1">
      <c r="A16" s="61"/>
      <c r="B16" s="63" t="s">
        <v>104</v>
      </c>
      <c r="C16" s="273" t="s">
        <v>114</v>
      </c>
      <c r="D16" s="246"/>
      <c r="E16" s="246"/>
      <c r="F16" s="244"/>
      <c r="G16" s="245">
        <v>2</v>
      </c>
      <c r="H16" s="245">
        <f>SUM('Fac-NewSmlLiquid-Yr2'!$G$14,'Fac-NewSmlSolid-Yr2'!$G$14,'Fac - ExistSmlLiquid-Yr2'!$G$14,'Fac - ExistSmlSolid-Yr2'!$G$14,'Fac-NewLrgLiquid-Yr2'!$G$23,'Fac-NewLrgSolid-Yr2'!$G$29,'Fac-ExistLrgLiquid-Yr2'!$H$17,'Fac-ExistLrgSolid-Yr2'!$I$28)</f>
        <v>1129</v>
      </c>
      <c r="I16" s="245">
        <f t="shared" si="0"/>
        <v>2258</v>
      </c>
      <c r="J16" s="245">
        <f t="shared" si="1"/>
        <v>2258</v>
      </c>
      <c r="K16" s="245">
        <f t="shared" si="2"/>
        <v>112.9</v>
      </c>
      <c r="L16" s="245">
        <f t="shared" si="3"/>
        <v>225.8</v>
      </c>
      <c r="M16" s="380">
        <f>(J16*'Base Data'!$C$60)+(K16*'Base Data'!$C$58)+(L16*'Base Data'!$C$59)</f>
        <v>117019.72100000001</v>
      </c>
      <c r="N16" s="253" t="s">
        <v>97</v>
      </c>
      <c r="O16" s="60"/>
      <c r="P16" s="70"/>
      <c r="Q16" s="69"/>
      <c r="R16" s="60"/>
    </row>
    <row r="17" spans="1:18" ht="15" customHeight="1">
      <c r="A17" s="61" t="s">
        <v>115</v>
      </c>
      <c r="B17" s="63" t="s">
        <v>116</v>
      </c>
      <c r="C17" s="273"/>
      <c r="D17" s="243"/>
      <c r="E17" s="246"/>
      <c r="F17" s="244"/>
      <c r="G17" s="245"/>
      <c r="H17" s="245"/>
      <c r="I17" s="245">
        <f t="shared" si="0"/>
        <v>0</v>
      </c>
      <c r="J17" s="245">
        <f t="shared" si="1"/>
        <v>0</v>
      </c>
      <c r="K17" s="245">
        <f t="shared" si="2"/>
        <v>0</v>
      </c>
      <c r="L17" s="245">
        <f t="shared" si="3"/>
        <v>0</v>
      </c>
      <c r="M17" s="380">
        <f>(J17*'Base Data'!$C$60)+(K17*'Base Data'!$C$58)+(L17*'Base Data'!$C$59)</f>
        <v>0</v>
      </c>
      <c r="N17" s="253"/>
      <c r="O17" s="60"/>
      <c r="P17" s="64"/>
      <c r="Q17" s="69"/>
      <c r="R17" s="60"/>
    </row>
    <row r="18" spans="1:18" ht="15" customHeight="1">
      <c r="A18" s="61"/>
      <c r="B18" s="63" t="s">
        <v>100</v>
      </c>
      <c r="C18" s="276" t="s">
        <v>372</v>
      </c>
      <c r="D18" s="224"/>
      <c r="E18" s="226"/>
      <c r="F18" s="225"/>
      <c r="G18" s="245">
        <v>4</v>
      </c>
      <c r="H18" s="245">
        <f>'Fac-NewLrgLiquid-Yr2'!$G$24+'Fac-NewLrgSolid-Yr2'!$G$30+'Fac-ExistLrgSolid-Yr2'!$I$30</f>
        <v>182</v>
      </c>
      <c r="I18" s="245">
        <f t="shared" si="0"/>
        <v>728</v>
      </c>
      <c r="J18" s="245">
        <f t="shared" si="1"/>
        <v>728</v>
      </c>
      <c r="K18" s="245">
        <f t="shared" si="2"/>
        <v>36.4</v>
      </c>
      <c r="L18" s="245">
        <f t="shared" si="3"/>
        <v>72.8</v>
      </c>
      <c r="M18" s="380">
        <f>(J18*'Base Data'!$C$60)+(K18*'Base Data'!$C$58)+(L18*'Base Data'!$C$59)</f>
        <v>37728.235999999997</v>
      </c>
      <c r="N18" s="254" t="s">
        <v>36</v>
      </c>
    </row>
    <row r="19" spans="1:18" ht="15" customHeight="1">
      <c r="A19" s="61"/>
      <c r="B19" s="63" t="s">
        <v>102</v>
      </c>
      <c r="C19" s="273" t="s">
        <v>153</v>
      </c>
      <c r="D19" s="242"/>
      <c r="E19" s="246"/>
      <c r="F19" s="244"/>
      <c r="G19" s="245">
        <v>2</v>
      </c>
      <c r="H19" s="245">
        <f>0.5*SUM('Fac-NewSmlLiquid-Yr2'!$G$15,'Fac-NewSmlSolid-Yr2'!$G$15,'Fac - ExistSmlLiquid-Yr2'!$G$15,'Fac - ExistSmlSolid-Yr2'!$G$15,'Fac-ExistLrgLiquid-Yr2'!$H$18,'Fac-ExistLrgSolid-Yr2'!$I$31)</f>
        <v>1038</v>
      </c>
      <c r="I19" s="245">
        <f t="shared" si="0"/>
        <v>2076</v>
      </c>
      <c r="J19" s="245">
        <f t="shared" si="1"/>
        <v>2076</v>
      </c>
      <c r="K19" s="245">
        <f t="shared" si="2"/>
        <v>103.80000000000001</v>
      </c>
      <c r="L19" s="245">
        <f t="shared" si="3"/>
        <v>207.60000000000002</v>
      </c>
      <c r="M19" s="380">
        <f>(J19*'Base Data'!$C$60)+(K19*'Base Data'!$C$58)+(L19*'Base Data'!$C$59)</f>
        <v>107587.66200000001</v>
      </c>
      <c r="N19" s="254" t="s">
        <v>84</v>
      </c>
    </row>
    <row r="20" spans="1:18" ht="15" customHeight="1">
      <c r="A20" s="61"/>
      <c r="B20" s="63" t="s">
        <v>152</v>
      </c>
      <c r="C20" s="273" t="s">
        <v>117</v>
      </c>
      <c r="D20" s="242"/>
      <c r="E20" s="246"/>
      <c r="F20" s="239"/>
      <c r="G20" s="245">
        <v>2</v>
      </c>
      <c r="H20" s="245">
        <f>SUM('Fac-ExistLrgLiquid-Yr2'!$H$10:$H$11,'Fac-ExistLrgSolid-Yr2'!$I$10:$I$11)</f>
        <v>6635</v>
      </c>
      <c r="I20" s="245">
        <f t="shared" si="0"/>
        <v>13270</v>
      </c>
      <c r="J20" s="245">
        <f t="shared" si="1"/>
        <v>13270</v>
      </c>
      <c r="K20" s="245">
        <f t="shared" si="2"/>
        <v>663.5</v>
      </c>
      <c r="L20" s="245">
        <f t="shared" si="3"/>
        <v>1327</v>
      </c>
      <c r="M20" s="380">
        <f>(J20*'Base Data'!$C$60)+(K20*'Base Data'!$C$58)+(L20*'Base Data'!$C$59)</f>
        <v>687711.11499999999</v>
      </c>
      <c r="N20" s="254" t="s">
        <v>141</v>
      </c>
    </row>
    <row r="21" spans="1:18" ht="30.75" customHeight="1" thickBot="1">
      <c r="A21" s="175" t="s">
        <v>118</v>
      </c>
      <c r="B21" s="274" t="s">
        <v>119</v>
      </c>
      <c r="C21" s="262"/>
      <c r="D21" s="263"/>
      <c r="E21" s="263"/>
      <c r="F21" s="264"/>
      <c r="G21" s="418" t="s">
        <v>120</v>
      </c>
      <c r="H21" s="418"/>
      <c r="I21" s="418"/>
      <c r="J21" s="419"/>
      <c r="K21" s="381"/>
      <c r="L21" s="382"/>
      <c r="M21" s="383">
        <f>(('Base Data'!$C$68*('Base Data'!$C$65+'Base Data'!$C$66))+'Base Data'!$C$67)*SUM(H8:H9)</f>
        <v>245088</v>
      </c>
      <c r="N21" s="266" t="s">
        <v>74</v>
      </c>
    </row>
    <row r="22" spans="1:18" ht="18.75" customHeight="1">
      <c r="A22" s="267" t="s">
        <v>121</v>
      </c>
      <c r="B22" s="268"/>
      <c r="C22" s="269"/>
      <c r="D22" s="268"/>
      <c r="E22" s="270"/>
      <c r="F22" s="277"/>
      <c r="G22" s="384"/>
      <c r="H22" s="384"/>
      <c r="I22" s="385"/>
      <c r="J22" s="378">
        <f>SUM(J5:J20)</f>
        <v>42996</v>
      </c>
      <c r="K22" s="378">
        <f>SUM(K5:K20)</f>
        <v>2149.8000000000002</v>
      </c>
      <c r="L22" s="378">
        <f>SUM(L5:L20)</f>
        <v>4299.6000000000004</v>
      </c>
      <c r="M22" s="386">
        <f>SUM(M5:M21)</f>
        <v>2473334.202</v>
      </c>
      <c r="N22" s="252"/>
    </row>
    <row r="23" spans="1:18" ht="18" customHeight="1" thickBot="1">
      <c r="A23" s="255" t="s">
        <v>122</v>
      </c>
      <c r="B23" s="256"/>
      <c r="C23" s="256"/>
      <c r="D23" s="256"/>
      <c r="E23" s="256"/>
      <c r="F23" s="280"/>
      <c r="G23" s="387"/>
      <c r="H23" s="387"/>
      <c r="I23" s="388"/>
      <c r="J23" s="389"/>
      <c r="K23" s="390"/>
      <c r="L23" s="391">
        <f>(SUM(J5:J20))+(SUM(K5:K20))+(SUM(L5:L20))</f>
        <v>49445.4</v>
      </c>
      <c r="M23" s="392"/>
      <c r="N23" s="261"/>
    </row>
    <row r="24" spans="1:18" ht="6.75" customHeight="1">
      <c r="G24" s="82"/>
      <c r="H24" s="82"/>
      <c r="I24" s="82"/>
      <c r="J24" s="376"/>
      <c r="K24" s="376"/>
      <c r="L24" s="376"/>
      <c r="M24" s="393"/>
    </row>
    <row r="25" spans="1:18" s="1" customFormat="1" ht="11.25">
      <c r="A25" s="1" t="s">
        <v>44</v>
      </c>
      <c r="J25" s="71"/>
      <c r="K25" s="71"/>
      <c r="L25" s="71"/>
      <c r="M25" s="72"/>
      <c r="N25" s="5"/>
    </row>
    <row r="26" spans="1:18" s="1" customFormat="1" ht="42" customHeight="1">
      <c r="A26" s="417" t="s">
        <v>45</v>
      </c>
      <c r="B26" s="417"/>
      <c r="C26" s="417"/>
      <c r="D26" s="417"/>
      <c r="E26" s="417"/>
      <c r="F26" s="417"/>
      <c r="G26" s="417"/>
      <c r="H26" s="417"/>
      <c r="I26" s="417"/>
      <c r="J26" s="417"/>
      <c r="K26" s="417"/>
      <c r="L26" s="417"/>
      <c r="M26" s="417"/>
      <c r="N26" s="417"/>
    </row>
    <row r="27" spans="1:18" s="1" customFormat="1" ht="22.5" customHeight="1">
      <c r="A27" s="417" t="s">
        <v>46</v>
      </c>
      <c r="B27" s="417"/>
      <c r="C27" s="417"/>
      <c r="D27" s="417"/>
      <c r="E27" s="417"/>
      <c r="F27" s="417"/>
      <c r="G27" s="417"/>
      <c r="H27" s="417"/>
      <c r="I27" s="417"/>
      <c r="J27" s="417"/>
      <c r="K27" s="417"/>
      <c r="L27" s="417"/>
      <c r="M27" s="417"/>
      <c r="N27" s="417"/>
    </row>
    <row r="28" spans="1:18" s="1" customFormat="1" ht="11.25">
      <c r="A28" s="1" t="s">
        <v>47</v>
      </c>
      <c r="J28" s="71"/>
      <c r="K28" s="71"/>
      <c r="L28" s="71"/>
      <c r="M28" s="72"/>
      <c r="N28" s="5"/>
    </row>
    <row r="29" spans="1:18" s="73" customFormat="1" ht="26.25" customHeight="1">
      <c r="A29" s="73" t="s">
        <v>48</v>
      </c>
      <c r="J29" s="74"/>
      <c r="K29" s="74"/>
      <c r="L29" s="74"/>
      <c r="M29" s="75"/>
      <c r="N29" s="34"/>
    </row>
    <row r="30" spans="1:18" s="73" customFormat="1" ht="13.5" customHeight="1">
      <c r="A30" s="73" t="s">
        <v>49</v>
      </c>
      <c r="J30" s="74"/>
      <c r="K30" s="74"/>
      <c r="L30" s="74"/>
      <c r="M30" s="75"/>
      <c r="N30" s="34"/>
    </row>
    <row r="31" spans="1:18" s="1" customFormat="1" ht="11.25">
      <c r="A31" s="1" t="s">
        <v>50</v>
      </c>
      <c r="J31" s="71"/>
      <c r="K31" s="71"/>
      <c r="L31" s="71"/>
      <c r="M31" s="72"/>
      <c r="N31" s="5"/>
    </row>
    <row r="32" spans="1:18">
      <c r="A32" s="417" t="s">
        <v>51</v>
      </c>
      <c r="B32" s="417"/>
      <c r="C32" s="417"/>
      <c r="D32" s="417"/>
      <c r="E32" s="417"/>
      <c r="F32" s="417"/>
      <c r="G32" s="417"/>
      <c r="H32" s="417"/>
      <c r="I32" s="417"/>
      <c r="J32" s="417"/>
      <c r="K32" s="417"/>
      <c r="L32" s="417"/>
      <c r="M32" s="417"/>
      <c r="N32" s="417"/>
    </row>
    <row r="33" spans="1:14" ht="15" customHeight="1">
      <c r="A33" s="1" t="s">
        <v>53</v>
      </c>
      <c r="G33"/>
      <c r="H33"/>
      <c r="I33"/>
    </row>
    <row r="34" spans="1:14" ht="12" customHeight="1">
      <c r="A34" s="81" t="s">
        <v>156</v>
      </c>
    </row>
    <row r="35" spans="1:14" ht="37.5" customHeight="1">
      <c r="A35" s="417" t="s">
        <v>155</v>
      </c>
      <c r="B35" s="417"/>
      <c r="C35" s="417"/>
      <c r="D35" s="417"/>
      <c r="E35" s="417"/>
      <c r="F35" s="417"/>
      <c r="G35" s="417"/>
      <c r="H35" s="417"/>
      <c r="I35" s="417"/>
      <c r="J35" s="417"/>
      <c r="K35" s="417"/>
      <c r="L35" s="417"/>
      <c r="M35" s="417"/>
      <c r="N35" s="417"/>
    </row>
    <row r="36" spans="1:14" ht="25.5" customHeight="1">
      <c r="A36" s="417" t="s">
        <v>154</v>
      </c>
      <c r="B36" s="417"/>
      <c r="C36" s="417"/>
      <c r="D36" s="417"/>
      <c r="E36" s="417"/>
      <c r="F36" s="417"/>
      <c r="G36" s="417"/>
      <c r="H36" s="417"/>
      <c r="I36" s="417"/>
      <c r="J36" s="417"/>
      <c r="K36" s="417"/>
      <c r="L36" s="417"/>
      <c r="M36" s="417"/>
      <c r="N36" s="417"/>
    </row>
  </sheetData>
  <mergeCells count="11">
    <mergeCell ref="A35:N35"/>
    <mergeCell ref="A36:N36"/>
    <mergeCell ref="A32:N32"/>
    <mergeCell ref="A26:N26"/>
    <mergeCell ref="A27:N27"/>
    <mergeCell ref="A1:N1"/>
    <mergeCell ref="A2:N2"/>
    <mergeCell ref="G21:J21"/>
    <mergeCell ref="B6:F6"/>
    <mergeCell ref="C14:F14"/>
    <mergeCell ref="C15:F15"/>
  </mergeCells>
  <phoneticPr fontId="7" type="noConversion"/>
  <printOptions horizontalCentered="1"/>
  <pageMargins left="0.5" right="0.5" top="0.75" bottom="0.75" header="0.5" footer="0.5"/>
  <pageSetup scale="83" orientation="landscape" r:id="rId1"/>
  <headerFooter alignWithMargins="0"/>
</worksheet>
</file>

<file path=xl/worksheets/sheet31.xml><?xml version="1.0" encoding="utf-8"?>
<worksheet xmlns="http://schemas.openxmlformats.org/spreadsheetml/2006/main" xmlns:r="http://schemas.openxmlformats.org/officeDocument/2006/relationships">
  <sheetPr>
    <pageSetUpPr fitToPage="1"/>
  </sheetPr>
  <dimension ref="A1:R36"/>
  <sheetViews>
    <sheetView topLeftCell="A21" zoomScale="110" zoomScaleNormal="110" workbookViewId="0">
      <selection activeCell="M4" sqref="M4"/>
    </sheetView>
  </sheetViews>
  <sheetFormatPr defaultRowHeight="12.75"/>
  <cols>
    <col min="1" max="1" width="2.28515625" customWidth="1"/>
    <col min="2" max="2" width="2.42578125" customWidth="1"/>
    <col min="3" max="3" width="2.140625" customWidth="1"/>
    <col min="4" max="4" width="1.42578125" customWidth="1"/>
    <col min="5" max="5" width="2.42578125" customWidth="1"/>
    <col min="6" max="6" width="44.5703125" customWidth="1"/>
    <col min="7" max="7" width="11.28515625" style="55" customWidth="1"/>
    <col min="8" max="8" width="13" style="55" customWidth="1"/>
    <col min="9" max="9" width="14.28515625" style="55" customWidth="1"/>
    <col min="10" max="10" width="10.5703125" style="55" customWidth="1"/>
    <col min="11" max="11" width="12.85546875" style="55" bestFit="1" customWidth="1"/>
    <col min="12" max="12" width="9.5703125" style="55" customWidth="1"/>
    <col min="13" max="13" width="11.7109375" style="56" customWidth="1"/>
    <col min="14" max="14" width="3.85546875" style="57" bestFit="1" customWidth="1"/>
    <col min="15" max="15" width="15.28515625" customWidth="1"/>
    <col min="16" max="16" width="27.140625" customWidth="1"/>
    <col min="17" max="17" width="14.85546875" customWidth="1"/>
    <col min="18" max="18" width="31.85546875" customWidth="1"/>
  </cols>
  <sheetData>
    <row r="1" spans="1:18">
      <c r="A1" s="416" t="s">
        <v>161</v>
      </c>
      <c r="B1" s="416"/>
      <c r="C1" s="416"/>
      <c r="D1" s="416"/>
      <c r="E1" s="416"/>
      <c r="F1" s="416"/>
      <c r="G1" s="416"/>
      <c r="H1" s="416"/>
      <c r="I1" s="416"/>
      <c r="J1" s="416"/>
      <c r="K1" s="416"/>
      <c r="L1" s="416"/>
      <c r="M1" s="416"/>
      <c r="N1" s="416"/>
    </row>
    <row r="2" spans="1:18" ht="12" customHeight="1">
      <c r="A2" s="416" t="s">
        <v>140</v>
      </c>
      <c r="B2" s="416"/>
      <c r="C2" s="416"/>
      <c r="D2" s="416"/>
      <c r="E2" s="416"/>
      <c r="F2" s="416"/>
      <c r="G2" s="416"/>
      <c r="H2" s="416"/>
      <c r="I2" s="416"/>
      <c r="J2" s="416"/>
      <c r="K2" s="416"/>
      <c r="L2" s="416"/>
      <c r="M2" s="416"/>
      <c r="N2" s="416"/>
    </row>
    <row r="3" spans="1:18" ht="15" customHeight="1" thickBot="1"/>
    <row r="4" spans="1:18" s="53" customFormat="1" ht="51.75" thickBot="1">
      <c r="A4" s="172" t="s">
        <v>229</v>
      </c>
      <c r="B4" s="169"/>
      <c r="C4" s="169"/>
      <c r="D4" s="169"/>
      <c r="E4" s="169"/>
      <c r="F4" s="169"/>
      <c r="G4" s="377" t="s">
        <v>88</v>
      </c>
      <c r="H4" s="377" t="s">
        <v>89</v>
      </c>
      <c r="I4" s="377" t="s">
        <v>90</v>
      </c>
      <c r="J4" s="377" t="s">
        <v>91</v>
      </c>
      <c r="K4" s="166" t="s">
        <v>380</v>
      </c>
      <c r="L4" s="166" t="s">
        <v>92</v>
      </c>
      <c r="M4" s="167" t="s">
        <v>381</v>
      </c>
      <c r="N4" s="173" t="s">
        <v>231</v>
      </c>
    </row>
    <row r="5" spans="1:18" ht="15" customHeight="1">
      <c r="A5" s="174" t="s">
        <v>93</v>
      </c>
      <c r="B5" s="272" t="s">
        <v>94</v>
      </c>
      <c r="C5" s="248"/>
      <c r="D5" s="248"/>
      <c r="E5" s="248"/>
      <c r="F5" s="249"/>
      <c r="G5" s="378">
        <v>40</v>
      </c>
      <c r="H5" s="378">
        <v>0</v>
      </c>
      <c r="I5" s="378">
        <f>G5*H5</f>
        <v>0</v>
      </c>
      <c r="J5" s="378">
        <f>I5</f>
        <v>0</v>
      </c>
      <c r="K5" s="250">
        <f>J5*0.05</f>
        <v>0</v>
      </c>
      <c r="L5" s="250">
        <f>J5*0.1</f>
        <v>0</v>
      </c>
      <c r="M5" s="251">
        <f>(J5*'Base Data'!$C$60)+(K5*'Base Data'!$C$58)+(L5*'Base Data'!$C$59)</f>
        <v>0</v>
      </c>
      <c r="N5" s="252" t="s">
        <v>214</v>
      </c>
      <c r="O5" s="25"/>
      <c r="P5" s="58"/>
      <c r="Q5" s="59"/>
      <c r="R5" s="60"/>
    </row>
    <row r="6" spans="1:18" ht="15" customHeight="1">
      <c r="A6" s="61" t="s">
        <v>95</v>
      </c>
      <c r="B6" s="420" t="s">
        <v>96</v>
      </c>
      <c r="C6" s="421"/>
      <c r="D6" s="421"/>
      <c r="E6" s="421"/>
      <c r="F6" s="421"/>
      <c r="G6" s="245">
        <v>2</v>
      </c>
      <c r="H6" s="245">
        <f>SUM('Fac-ExistLrgSolid-Yr3'!$I$27,'Fac-ExistLrgLiquid-Yr3'!$H$16,'Fac-NewLrgSolid-Yr3'!$G$28,'Fac-NewLrgLiquid-Yr3'!$G$22,'Fac - ExistSmlSolid-Yr3'!$G$13,'Fac - ExistSmlLiquid-Yr3'!$G$13,'Fac-NewSmlSolid-Yr3'!$G$13,'Fac-NewSmlLiquid-Yr3'!$G$13)</f>
        <v>1132</v>
      </c>
      <c r="I6" s="245">
        <f>G6*H6</f>
        <v>2264</v>
      </c>
      <c r="J6" s="245">
        <f>I6</f>
        <v>2264</v>
      </c>
      <c r="K6" s="240">
        <f>J6*0.05</f>
        <v>113.2</v>
      </c>
      <c r="L6" s="240">
        <f>J6*0.1</f>
        <v>226.4</v>
      </c>
      <c r="M6" s="241">
        <f>(J6*'Base Data'!$C$60)+(K6*'Base Data'!$C$58)+(L6*'Base Data'!$C$59)</f>
        <v>117330.66800000001</v>
      </c>
      <c r="N6" s="253" t="s">
        <v>97</v>
      </c>
      <c r="O6" s="62"/>
      <c r="P6" s="62"/>
      <c r="Q6" s="62"/>
      <c r="R6" s="62"/>
    </row>
    <row r="7" spans="1:18" ht="15" customHeight="1">
      <c r="A7" s="61" t="s">
        <v>98</v>
      </c>
      <c r="B7" s="273" t="s">
        <v>99</v>
      </c>
      <c r="C7" s="238"/>
      <c r="D7" s="243"/>
      <c r="E7" s="243"/>
      <c r="F7" s="244"/>
      <c r="G7" s="245"/>
      <c r="H7" s="245"/>
      <c r="I7" s="245"/>
      <c r="J7" s="245"/>
      <c r="K7" s="240"/>
      <c r="L7" s="240"/>
      <c r="M7" s="241"/>
      <c r="N7" s="253"/>
      <c r="O7" s="60"/>
      <c r="P7" s="64"/>
      <c r="Q7" s="60"/>
      <c r="R7" s="60"/>
    </row>
    <row r="8" spans="1:18" ht="15" customHeight="1">
      <c r="A8" s="61"/>
      <c r="B8" s="63" t="s">
        <v>100</v>
      </c>
      <c r="C8" s="273" t="s">
        <v>101</v>
      </c>
      <c r="D8" s="243"/>
      <c r="E8" s="246"/>
      <c r="F8" s="244"/>
      <c r="G8" s="245">
        <v>40</v>
      </c>
      <c r="H8" s="245">
        <f>ROUND(SUM('Fac-NewLrgLiquid-Yr3'!$G$9,'Fac-NewLrgSolid-Yr3'!$G$9:$G$11,'Fac-ExistLrgSolid-Yr3'!$I$12:$I$13)*0.2,0)</f>
        <v>148</v>
      </c>
      <c r="I8" s="245">
        <f>G8*H8</f>
        <v>5920</v>
      </c>
      <c r="J8" s="245">
        <f>I8</f>
        <v>5920</v>
      </c>
      <c r="K8" s="240">
        <f>J8*0.05</f>
        <v>296</v>
      </c>
      <c r="L8" s="240">
        <f>J8*0.1</f>
        <v>592</v>
      </c>
      <c r="M8" s="241">
        <f>(J8*'Base Data'!$C$60)+(K8*'Base Data'!$C$58)+(L8*'Base Data'!$C$59)</f>
        <v>306801.03999999998</v>
      </c>
      <c r="N8" s="253" t="s">
        <v>215</v>
      </c>
      <c r="O8" s="65"/>
      <c r="P8" s="66"/>
      <c r="Q8" s="66"/>
      <c r="R8" s="67"/>
    </row>
    <row r="9" spans="1:18" ht="15" customHeight="1">
      <c r="A9" s="61"/>
      <c r="B9" s="63" t="s">
        <v>102</v>
      </c>
      <c r="C9" s="273" t="s">
        <v>103</v>
      </c>
      <c r="D9" s="243"/>
      <c r="E9" s="246"/>
      <c r="F9" s="244"/>
      <c r="G9" s="245">
        <v>40</v>
      </c>
      <c r="H9" s="245">
        <f>ROUND(SUM('Fac-NewLrgLiquid-Yr3'!$G$9,'Fac-NewLrgSolid-Yr3'!$G$9:$G$11,'Fac-ExistLrgSolid-Yr3'!$I$12:$I$13)*0.1,0)</f>
        <v>74</v>
      </c>
      <c r="I9" s="245">
        <f>G9*H9</f>
        <v>2960</v>
      </c>
      <c r="J9" s="245">
        <f>I9</f>
        <v>2960</v>
      </c>
      <c r="K9" s="240">
        <f>J9*0.05</f>
        <v>148</v>
      </c>
      <c r="L9" s="240">
        <f>J9*0.1</f>
        <v>296</v>
      </c>
      <c r="M9" s="241">
        <f>(J9*'Base Data'!$C$60)+(K9*'Base Data'!$C$58)+(L9*'Base Data'!$C$59)</f>
        <v>153400.51999999999</v>
      </c>
      <c r="N9" s="253" t="s">
        <v>205</v>
      </c>
      <c r="O9" s="68"/>
      <c r="P9" s="66"/>
      <c r="Q9" s="66"/>
      <c r="R9" s="67"/>
    </row>
    <row r="10" spans="1:18" ht="15" customHeight="1">
      <c r="A10" s="61"/>
      <c r="B10" s="63" t="s">
        <v>104</v>
      </c>
      <c r="C10" s="273" t="s">
        <v>105</v>
      </c>
      <c r="D10" s="243"/>
      <c r="E10" s="246"/>
      <c r="F10" s="244"/>
      <c r="G10" s="245">
        <v>2</v>
      </c>
      <c r="H10" s="245">
        <f>ROUND(SUM('Fac-NewLrgLiquid-Yr3'!$G$9,'Fac-NewLrgSolid-Yr3'!$G$9:$G$11,'Fac-ExistLrgSolid-Yr3'!$I$12:$I$13),0)</f>
        <v>738</v>
      </c>
      <c r="I10" s="245">
        <f>G10*H10</f>
        <v>1476</v>
      </c>
      <c r="J10" s="245">
        <f>I10</f>
        <v>1476</v>
      </c>
      <c r="K10" s="240">
        <f>J10*0.05</f>
        <v>73.8</v>
      </c>
      <c r="L10" s="240">
        <f>J10*0.1</f>
        <v>147.6</v>
      </c>
      <c r="M10" s="241">
        <f>(J10*'Base Data'!$C$60)+(K10*'Base Data'!$C$58)+(L10*'Base Data'!$C$59)</f>
        <v>76492.962</v>
      </c>
      <c r="N10" s="253" t="s">
        <v>216</v>
      </c>
      <c r="O10" s="62"/>
      <c r="P10" s="62"/>
      <c r="Q10" s="62"/>
      <c r="R10" s="62"/>
    </row>
    <row r="11" spans="1:18" ht="15" customHeight="1">
      <c r="A11" s="61"/>
      <c r="B11" s="63" t="s">
        <v>106</v>
      </c>
      <c r="C11" s="273" t="s">
        <v>107</v>
      </c>
      <c r="D11" s="243"/>
      <c r="E11" s="246"/>
      <c r="F11" s="244"/>
      <c r="G11" s="245">
        <v>2</v>
      </c>
      <c r="H11" s="245">
        <f>ROUND(SUM('Fac-NewLrgSolid-Yr3'!$G$37,'Fac-NewLrgLiquid-Yr3'!$G$31,'Fac-ExistLrgSolid-Yr3'!$I$38),0)</f>
        <v>1120</v>
      </c>
      <c r="I11" s="245">
        <f>G11*H11</f>
        <v>2240</v>
      </c>
      <c r="J11" s="245">
        <f>I11</f>
        <v>2240</v>
      </c>
      <c r="K11" s="240">
        <f>J11*0.05</f>
        <v>112</v>
      </c>
      <c r="L11" s="240">
        <f>J11*0.1</f>
        <v>224</v>
      </c>
      <c r="M11" s="241">
        <f>(J11*'Base Data'!$C$60)+(K11*'Base Data'!$C$58)+(L11*'Base Data'!$C$59)</f>
        <v>116086.88000000002</v>
      </c>
      <c r="N11" s="253" t="s">
        <v>217</v>
      </c>
      <c r="O11" s="60"/>
      <c r="P11" s="64"/>
      <c r="Q11" s="64"/>
      <c r="R11" s="60"/>
    </row>
    <row r="12" spans="1:18" ht="15" customHeight="1">
      <c r="A12" s="61" t="s">
        <v>108</v>
      </c>
      <c r="B12" s="63" t="s">
        <v>109</v>
      </c>
      <c r="C12" s="273"/>
      <c r="D12" s="243"/>
      <c r="E12" s="246"/>
      <c r="F12" s="244"/>
      <c r="G12" s="245">
        <v>24</v>
      </c>
      <c r="H12" s="245">
        <f>ROUND(SUM('Fac-NewLrgLiquid-Yr3'!$G$9,'Fac-NewLrgSolid-Yr3'!$G$9,'Fac-ExistLrgSolid-Yr3'!$I$12)*0.1,0)</f>
        <v>45</v>
      </c>
      <c r="I12" s="245">
        <v>0</v>
      </c>
      <c r="J12" s="245">
        <f>I12</f>
        <v>0</v>
      </c>
      <c r="K12" s="240">
        <f>J12*0.05</f>
        <v>0</v>
      </c>
      <c r="L12" s="240">
        <f>J12*0.1</f>
        <v>0</v>
      </c>
      <c r="M12" s="241">
        <f>(J12*'Base Data'!$C$60)+(K12*'Base Data'!$C$58)+(L12*'Base Data'!$C$59)</f>
        <v>0</v>
      </c>
      <c r="N12" s="253" t="s">
        <v>218</v>
      </c>
      <c r="O12" s="60"/>
      <c r="P12" s="64"/>
      <c r="Q12" s="60"/>
      <c r="R12" s="60"/>
    </row>
    <row r="13" spans="1:18" ht="15" customHeight="1">
      <c r="A13" s="61" t="s">
        <v>110</v>
      </c>
      <c r="B13" s="63" t="s">
        <v>111</v>
      </c>
      <c r="C13" s="275"/>
      <c r="D13" s="247"/>
      <c r="E13" s="246"/>
      <c r="F13" s="244"/>
      <c r="G13" s="245"/>
      <c r="H13" s="245"/>
      <c r="I13" s="245"/>
      <c r="J13" s="245"/>
      <c r="K13" s="240"/>
      <c r="L13" s="240"/>
      <c r="M13" s="241"/>
      <c r="N13" s="253"/>
      <c r="O13" s="60"/>
      <c r="P13" s="64"/>
      <c r="Q13" s="60"/>
      <c r="R13" s="60"/>
    </row>
    <row r="14" spans="1:18" ht="27.75" customHeight="1">
      <c r="A14" s="61"/>
      <c r="B14" s="63" t="s">
        <v>100</v>
      </c>
      <c r="C14" s="420" t="s">
        <v>112</v>
      </c>
      <c r="D14" s="421"/>
      <c r="E14" s="421"/>
      <c r="F14" s="421"/>
      <c r="G14" s="245">
        <v>2</v>
      </c>
      <c r="H14" s="245">
        <f>H6</f>
        <v>1132</v>
      </c>
      <c r="I14" s="245">
        <f t="shared" ref="I14:I20" si="0">G14*H14</f>
        <v>2264</v>
      </c>
      <c r="J14" s="245">
        <f t="shared" ref="J14:J20" si="1">I14</f>
        <v>2264</v>
      </c>
      <c r="K14" s="240">
        <f t="shared" ref="K14:K20" si="2">J14*0.05</f>
        <v>113.2</v>
      </c>
      <c r="L14" s="240">
        <f t="shared" ref="L14:L20" si="3">J14*0.1</f>
        <v>226.4</v>
      </c>
      <c r="M14" s="241">
        <f>(J14*'Base Data'!$C$60)+(K14*'Base Data'!$C$58)+(L14*'Base Data'!$C$59)</f>
        <v>117330.66800000001</v>
      </c>
      <c r="N14" s="253" t="s">
        <v>97</v>
      </c>
      <c r="O14" s="60"/>
      <c r="P14" s="64"/>
      <c r="Q14" s="69"/>
      <c r="R14" s="60"/>
    </row>
    <row r="15" spans="1:18" ht="30" customHeight="1">
      <c r="A15" s="61"/>
      <c r="B15" s="63" t="s">
        <v>102</v>
      </c>
      <c r="C15" s="420" t="s">
        <v>113</v>
      </c>
      <c r="D15" s="421"/>
      <c r="E15" s="421"/>
      <c r="F15" s="421"/>
      <c r="G15" s="245">
        <v>20</v>
      </c>
      <c r="H15" s="245">
        <f>ROUND(SUM('Fac-NewLrgLiquid-Yr3'!$G$9,'Fac-NewLrgSolid-Yr3'!$G$9,'Fac-ExistLrgSolid-Yr3'!$I$12),0)</f>
        <v>452</v>
      </c>
      <c r="I15" s="245">
        <f t="shared" si="0"/>
        <v>9040</v>
      </c>
      <c r="J15" s="245">
        <f t="shared" si="1"/>
        <v>9040</v>
      </c>
      <c r="K15" s="240">
        <f t="shared" si="2"/>
        <v>452</v>
      </c>
      <c r="L15" s="240">
        <f t="shared" si="3"/>
        <v>904</v>
      </c>
      <c r="M15" s="241">
        <f>(J15*'Base Data'!$C$60)+(K15*'Base Data'!$C$58)+(L15*'Base Data'!$C$59)</f>
        <v>468493.48</v>
      </c>
      <c r="N15" s="253" t="s">
        <v>216</v>
      </c>
      <c r="O15" s="60"/>
      <c r="P15" s="64"/>
      <c r="Q15" s="69"/>
      <c r="R15" s="60"/>
    </row>
    <row r="16" spans="1:18" ht="15" customHeight="1">
      <c r="A16" s="61"/>
      <c r="B16" s="63" t="s">
        <v>104</v>
      </c>
      <c r="C16" s="273" t="s">
        <v>114</v>
      </c>
      <c r="D16" s="246"/>
      <c r="E16" s="246"/>
      <c r="F16" s="244"/>
      <c r="G16" s="245">
        <v>2</v>
      </c>
      <c r="H16" s="245">
        <f>SUM('Fac-NewSmlLiquid-Yr3'!$G$14,'Fac-NewSmlSolid-Yr3'!$G$14,'Fac - ExistSmlLiquid-Yr3'!$G$14,'Fac - ExistSmlSolid-Yr3'!$G$14,'Fac-NewLrgLiquid-Yr3'!$G$23,'Fac-NewLrgSolid-Yr3'!$G$29,'Fac-ExistLrgLiquid-Yr3'!$H$17,'Fac-ExistLrgSolid-Yr3'!$I$28)</f>
        <v>92468</v>
      </c>
      <c r="I16" s="245">
        <f t="shared" si="0"/>
        <v>184936</v>
      </c>
      <c r="J16" s="245">
        <f t="shared" si="1"/>
        <v>184936</v>
      </c>
      <c r="K16" s="240">
        <f t="shared" si="2"/>
        <v>9246.8000000000011</v>
      </c>
      <c r="L16" s="240">
        <f t="shared" si="3"/>
        <v>18493.600000000002</v>
      </c>
      <c r="M16" s="241">
        <f>(J16*'Base Data'!$C$60)+(K16*'Base Data'!$C$58)+(L16*'Base Data'!$C$59)</f>
        <v>9584215.7320000008</v>
      </c>
      <c r="N16" s="253" t="s">
        <v>97</v>
      </c>
      <c r="O16" s="60"/>
      <c r="P16" s="70"/>
      <c r="Q16" s="69"/>
      <c r="R16" s="60"/>
    </row>
    <row r="17" spans="1:18" ht="15" customHeight="1">
      <c r="A17" s="61" t="s">
        <v>115</v>
      </c>
      <c r="B17" s="63" t="s">
        <v>116</v>
      </c>
      <c r="C17" s="273"/>
      <c r="D17" s="243"/>
      <c r="E17" s="246"/>
      <c r="F17" s="244"/>
      <c r="G17" s="245"/>
      <c r="H17" s="245"/>
      <c r="I17" s="245">
        <f t="shared" si="0"/>
        <v>0</v>
      </c>
      <c r="J17" s="245">
        <f t="shared" si="1"/>
        <v>0</v>
      </c>
      <c r="K17" s="240">
        <f t="shared" si="2"/>
        <v>0</v>
      </c>
      <c r="L17" s="240">
        <f t="shared" si="3"/>
        <v>0</v>
      </c>
      <c r="M17" s="241">
        <f>(J17*'Base Data'!$C$60)+(K17*'Base Data'!$C$58)+(L17*'Base Data'!$C$59)</f>
        <v>0</v>
      </c>
      <c r="N17" s="253"/>
      <c r="O17" s="60"/>
      <c r="P17" s="64"/>
      <c r="Q17" s="69"/>
      <c r="R17" s="60"/>
    </row>
    <row r="18" spans="1:18" ht="15" customHeight="1">
      <c r="A18" s="61"/>
      <c r="B18" s="63" t="s">
        <v>100</v>
      </c>
      <c r="C18" s="276" t="s">
        <v>372</v>
      </c>
      <c r="D18" s="224"/>
      <c r="E18" s="226"/>
      <c r="F18" s="225"/>
      <c r="G18" s="245">
        <v>4</v>
      </c>
      <c r="H18" s="245">
        <f>'Fac-NewLrgLiquid-Yr3'!$G$24+'Fac-NewLrgSolid-Yr3'!$G$30+'Fac-ExistLrgSolid-Yr3'!$I$30</f>
        <v>561</v>
      </c>
      <c r="I18" s="245">
        <f t="shared" si="0"/>
        <v>2244</v>
      </c>
      <c r="J18" s="245">
        <f t="shared" si="1"/>
        <v>2244</v>
      </c>
      <c r="K18" s="240">
        <f t="shared" si="2"/>
        <v>112.2</v>
      </c>
      <c r="L18" s="240">
        <f t="shared" si="3"/>
        <v>224.4</v>
      </c>
      <c r="M18" s="241">
        <f>(J18*'Base Data'!$C$60)+(K18*'Base Data'!$C$58)+(L18*'Base Data'!$C$59)</f>
        <v>116294.17800000001</v>
      </c>
      <c r="N18" s="254" t="s">
        <v>36</v>
      </c>
    </row>
    <row r="19" spans="1:18" ht="15" customHeight="1">
      <c r="A19" s="61"/>
      <c r="B19" s="63" t="s">
        <v>102</v>
      </c>
      <c r="C19" s="273" t="s">
        <v>153</v>
      </c>
      <c r="D19" s="242"/>
      <c r="E19" s="246"/>
      <c r="F19" s="244"/>
      <c r="G19" s="245">
        <v>2</v>
      </c>
      <c r="H19" s="245">
        <f>0.5*SUM('Fac-NewSmlLiquid-Yr3'!$G$15,'Fac-NewSmlSolid-Yr3'!$G$15,'Fac - ExistSmlLiquid-Yr3'!$G$15,'Fac - ExistSmlSolid-Yr3'!$G$15,'Fac-ExistLrgLiquid-Yr3'!$H$18,'Fac-ExistLrgSolid-Yr3'!$I$31)</f>
        <v>47082.5</v>
      </c>
      <c r="I19" s="245">
        <f t="shared" si="0"/>
        <v>94165</v>
      </c>
      <c r="J19" s="245">
        <f t="shared" si="1"/>
        <v>94165</v>
      </c>
      <c r="K19" s="240">
        <f t="shared" si="2"/>
        <v>4708.25</v>
      </c>
      <c r="L19" s="240">
        <f t="shared" si="3"/>
        <v>9416.5</v>
      </c>
      <c r="M19" s="241">
        <f>(J19*'Base Data'!$C$60)+(K19*'Base Data'!$C$58)+(L19*'Base Data'!$C$59)</f>
        <v>4880054.0425000004</v>
      </c>
      <c r="N19" s="254" t="s">
        <v>84</v>
      </c>
    </row>
    <row r="20" spans="1:18" ht="15" customHeight="1">
      <c r="A20" s="61"/>
      <c r="B20" s="63" t="s">
        <v>152</v>
      </c>
      <c r="C20" s="273" t="s">
        <v>117</v>
      </c>
      <c r="D20" s="242"/>
      <c r="E20" s="246"/>
      <c r="F20" s="239"/>
      <c r="G20" s="245">
        <v>2</v>
      </c>
      <c r="H20" s="245">
        <f>SUM('Fac-ExistLrgLiquid-Yr3'!$H$10:$H$11,'Fac-ExistLrgSolid-Yr3'!$I$10:$I$11)</f>
        <v>6633</v>
      </c>
      <c r="I20" s="245">
        <f t="shared" si="0"/>
        <v>13266</v>
      </c>
      <c r="J20" s="245">
        <f t="shared" si="1"/>
        <v>13266</v>
      </c>
      <c r="K20" s="240">
        <f t="shared" si="2"/>
        <v>663.30000000000007</v>
      </c>
      <c r="L20" s="240">
        <f t="shared" si="3"/>
        <v>1326.6000000000001</v>
      </c>
      <c r="M20" s="241">
        <f>(J20*'Base Data'!$C$60)+(K20*'Base Data'!$C$58)+(L20*'Base Data'!$C$59)</f>
        <v>687503.81700000004</v>
      </c>
      <c r="N20" s="254" t="s">
        <v>141</v>
      </c>
    </row>
    <row r="21" spans="1:18" ht="30.75" customHeight="1" thickBot="1">
      <c r="A21" s="175" t="s">
        <v>118</v>
      </c>
      <c r="B21" s="274" t="s">
        <v>119</v>
      </c>
      <c r="C21" s="262"/>
      <c r="D21" s="263"/>
      <c r="E21" s="263"/>
      <c r="F21" s="264"/>
      <c r="G21" s="418" t="s">
        <v>120</v>
      </c>
      <c r="H21" s="418"/>
      <c r="I21" s="418"/>
      <c r="J21" s="419"/>
      <c r="K21" s="283"/>
      <c r="L21" s="284"/>
      <c r="M21" s="265">
        <f>(('Base Data'!$C$68*('Base Data'!$C$65+'Base Data'!$C$66))+'Base Data'!$C$67)*SUM(H8:H9)</f>
        <v>245088</v>
      </c>
      <c r="N21" s="266" t="s">
        <v>74</v>
      </c>
    </row>
    <row r="22" spans="1:18" ht="18.75" customHeight="1">
      <c r="A22" s="267" t="s">
        <v>121</v>
      </c>
      <c r="B22" s="268"/>
      <c r="C22" s="269"/>
      <c r="D22" s="268"/>
      <c r="E22" s="270"/>
      <c r="F22" s="277"/>
      <c r="G22" s="384"/>
      <c r="H22" s="384"/>
      <c r="I22" s="385"/>
      <c r="J22" s="378">
        <f>SUM(J5:J20)</f>
        <v>320775</v>
      </c>
      <c r="K22" s="250">
        <f>SUM(K5:K20)</f>
        <v>16038.750000000002</v>
      </c>
      <c r="L22" s="250">
        <f>SUM(L5:L20)</f>
        <v>32077.500000000004</v>
      </c>
      <c r="M22" s="271">
        <f>SUM(M5:M21)</f>
        <v>16869091.987500001</v>
      </c>
      <c r="N22" s="252"/>
    </row>
    <row r="23" spans="1:18" ht="18" customHeight="1" thickBot="1">
      <c r="A23" s="255" t="s">
        <v>122</v>
      </c>
      <c r="B23" s="256"/>
      <c r="C23" s="256"/>
      <c r="D23" s="256"/>
      <c r="E23" s="256"/>
      <c r="F23" s="280"/>
      <c r="G23" s="387"/>
      <c r="H23" s="387"/>
      <c r="I23" s="388"/>
      <c r="J23" s="389"/>
      <c r="K23" s="258"/>
      <c r="L23" s="259">
        <f>(SUM(J5:J20))+(SUM(K5:K20))+(SUM(L5:L20))</f>
        <v>368891.25</v>
      </c>
      <c r="M23" s="260"/>
      <c r="N23" s="261"/>
    </row>
    <row r="24" spans="1:18" ht="6.75" customHeight="1">
      <c r="G24" s="82"/>
      <c r="H24" s="82"/>
      <c r="I24" s="82"/>
      <c r="J24" s="376"/>
    </row>
    <row r="25" spans="1:18" s="1" customFormat="1" ht="11.25">
      <c r="A25" s="1" t="s">
        <v>54</v>
      </c>
      <c r="J25" s="71"/>
      <c r="K25" s="71"/>
      <c r="L25" s="71"/>
      <c r="M25" s="72"/>
      <c r="N25" s="5"/>
    </row>
    <row r="26" spans="1:18" s="1" customFormat="1" ht="12" customHeight="1">
      <c r="A26" s="417" t="s">
        <v>55</v>
      </c>
      <c r="B26" s="417"/>
      <c r="C26" s="417"/>
      <c r="D26" s="417"/>
      <c r="E26" s="417"/>
      <c r="F26" s="417"/>
      <c r="G26" s="417"/>
      <c r="H26" s="417"/>
      <c r="I26" s="417"/>
      <c r="J26" s="417"/>
      <c r="K26" s="417"/>
      <c r="L26" s="417"/>
      <c r="M26" s="417"/>
      <c r="N26" s="417"/>
    </row>
    <row r="27" spans="1:18" s="1" customFormat="1" ht="22.5" customHeight="1">
      <c r="A27" s="417" t="s">
        <v>56</v>
      </c>
      <c r="B27" s="417"/>
      <c r="C27" s="417"/>
      <c r="D27" s="417"/>
      <c r="E27" s="417"/>
      <c r="F27" s="417"/>
      <c r="G27" s="417"/>
      <c r="H27" s="417"/>
      <c r="I27" s="417"/>
      <c r="J27" s="417"/>
      <c r="K27" s="417"/>
      <c r="L27" s="417"/>
      <c r="M27" s="417"/>
      <c r="N27" s="417"/>
    </row>
    <row r="28" spans="1:18" s="1" customFormat="1" ht="11.25">
      <c r="A28" s="1" t="s">
        <v>57</v>
      </c>
      <c r="J28" s="71"/>
      <c r="K28" s="71"/>
      <c r="L28" s="71"/>
      <c r="M28" s="72"/>
      <c r="N28" s="5"/>
    </row>
    <row r="29" spans="1:18" s="73" customFormat="1" ht="11.25">
      <c r="A29" s="73" t="s">
        <v>58</v>
      </c>
      <c r="J29" s="74"/>
      <c r="K29" s="74"/>
      <c r="L29" s="74"/>
      <c r="M29" s="75"/>
      <c r="N29" s="34"/>
    </row>
    <row r="30" spans="1:18" s="73" customFormat="1" ht="12.75" customHeight="1">
      <c r="A30" s="422" t="s">
        <v>49</v>
      </c>
      <c r="B30" s="422"/>
      <c r="C30" s="422"/>
      <c r="D30" s="422"/>
      <c r="E30" s="422"/>
      <c r="F30" s="422"/>
      <c r="G30" s="422"/>
      <c r="H30" s="422"/>
      <c r="I30" s="422"/>
      <c r="J30" s="422"/>
      <c r="K30" s="422"/>
      <c r="L30" s="422"/>
      <c r="M30" s="422"/>
      <c r="N30" s="422"/>
    </row>
    <row r="31" spans="1:18" s="1" customFormat="1" ht="11.25">
      <c r="A31" s="1" t="s">
        <v>59</v>
      </c>
      <c r="J31" s="71"/>
      <c r="K31" s="71"/>
      <c r="L31" s="71"/>
      <c r="M31" s="72"/>
      <c r="N31" s="5"/>
    </row>
    <row r="32" spans="1:18" ht="27.75" customHeight="1">
      <c r="A32" s="417" t="s">
        <v>51</v>
      </c>
      <c r="B32" s="417"/>
      <c r="C32" s="417"/>
      <c r="D32" s="417"/>
      <c r="E32" s="417"/>
      <c r="F32" s="417"/>
      <c r="G32" s="417"/>
      <c r="H32" s="417"/>
      <c r="I32" s="417"/>
      <c r="J32" s="417"/>
      <c r="K32" s="417"/>
      <c r="L32" s="417"/>
      <c r="M32" s="417"/>
      <c r="N32" s="417"/>
    </row>
    <row r="33" spans="1:14" ht="13.5" customHeight="1">
      <c r="A33" s="1" t="s">
        <v>60</v>
      </c>
      <c r="G33"/>
      <c r="H33"/>
      <c r="I33"/>
    </row>
    <row r="34" spans="1:14">
      <c r="A34" s="81" t="s">
        <v>156</v>
      </c>
    </row>
    <row r="35" spans="1:14" ht="39" customHeight="1">
      <c r="A35" s="417" t="s">
        <v>155</v>
      </c>
      <c r="B35" s="417"/>
      <c r="C35" s="417"/>
      <c r="D35" s="417"/>
      <c r="E35" s="417"/>
      <c r="F35" s="417"/>
      <c r="G35" s="417"/>
      <c r="H35" s="417"/>
      <c r="I35" s="417"/>
      <c r="J35" s="417"/>
      <c r="K35" s="417"/>
      <c r="L35" s="417"/>
      <c r="M35" s="417"/>
      <c r="N35" s="417"/>
    </row>
    <row r="36" spans="1:14" ht="24" customHeight="1">
      <c r="A36" s="417" t="s">
        <v>154</v>
      </c>
      <c r="B36" s="417"/>
      <c r="C36" s="417"/>
      <c r="D36" s="417"/>
      <c r="E36" s="417"/>
      <c r="F36" s="417"/>
      <c r="G36" s="417"/>
      <c r="H36" s="417"/>
      <c r="I36" s="417"/>
      <c r="J36" s="417"/>
      <c r="K36" s="417"/>
      <c r="L36" s="417"/>
      <c r="M36" s="417"/>
      <c r="N36" s="417"/>
    </row>
  </sheetData>
  <mergeCells count="12">
    <mergeCell ref="A1:N1"/>
    <mergeCell ref="A2:N2"/>
    <mergeCell ref="G21:J21"/>
    <mergeCell ref="C15:F15"/>
    <mergeCell ref="C14:F14"/>
    <mergeCell ref="B6:F6"/>
    <mergeCell ref="A36:N36"/>
    <mergeCell ref="A26:N26"/>
    <mergeCell ref="A30:N30"/>
    <mergeCell ref="A35:N35"/>
    <mergeCell ref="A27:N27"/>
    <mergeCell ref="A32:N32"/>
  </mergeCells>
  <phoneticPr fontId="7" type="noConversion"/>
  <printOptions horizontalCentered="1"/>
  <pageMargins left="0.5" right="0.5" top="0.75" bottom="0.75" header="0.5" footer="0.5"/>
  <pageSetup scale="92" fitToHeight="2" orientation="landscape" r:id="rId1"/>
  <headerFooter alignWithMargins="0"/>
</worksheet>
</file>

<file path=xl/worksheets/sheet4.xml><?xml version="1.0" encoding="utf-8"?>
<worksheet xmlns="http://schemas.openxmlformats.org/spreadsheetml/2006/main" xmlns:r="http://schemas.openxmlformats.org/officeDocument/2006/relationships">
  <sheetPr enableFormatConditionsCalculation="0">
    <tabColor indexed="10"/>
  </sheetPr>
  <dimension ref="B2:Q75"/>
  <sheetViews>
    <sheetView zoomScaleNormal="100" workbookViewId="0">
      <selection activeCell="E12" sqref="E12"/>
    </sheetView>
  </sheetViews>
  <sheetFormatPr defaultRowHeight="12.75"/>
  <cols>
    <col min="1" max="1" width="2.140625" customWidth="1"/>
    <col min="2" max="2" width="16.7109375" customWidth="1"/>
    <col min="3" max="3" width="13.85546875" customWidth="1"/>
    <col min="4" max="4" width="10.140625" customWidth="1"/>
    <col min="5" max="5" width="17.28515625" customWidth="1"/>
    <col min="6" max="6" width="16" customWidth="1"/>
    <col min="7" max="7" width="12" customWidth="1"/>
    <col min="8" max="8" width="14" customWidth="1"/>
    <col min="9" max="9" width="11.42578125" customWidth="1"/>
  </cols>
  <sheetData>
    <row r="2" spans="2:12">
      <c r="B2" s="19" t="s">
        <v>278</v>
      </c>
    </row>
    <row r="4" spans="2:12">
      <c r="B4" s="18" t="s">
        <v>280</v>
      </c>
      <c r="C4" s="18" t="s">
        <v>279</v>
      </c>
    </row>
    <row r="5" spans="2:12">
      <c r="B5" s="16" t="s">
        <v>276</v>
      </c>
      <c r="C5" s="17">
        <v>98.2</v>
      </c>
    </row>
    <row r="6" spans="2:12">
      <c r="B6" s="16" t="s">
        <v>277</v>
      </c>
      <c r="C6" s="17">
        <v>48.53</v>
      </c>
      <c r="E6" s="38" t="s">
        <v>20</v>
      </c>
      <c r="F6" s="21">
        <v>2</v>
      </c>
    </row>
    <row r="7" spans="2:12">
      <c r="B7" s="16" t="s">
        <v>275</v>
      </c>
      <c r="C7" s="17">
        <v>114.49</v>
      </c>
    </row>
    <row r="8" spans="2:12">
      <c r="B8" s="20" t="s">
        <v>4</v>
      </c>
      <c r="C8" s="24">
        <v>80</v>
      </c>
    </row>
    <row r="9" spans="2:12" ht="25.5">
      <c r="B9" s="29" t="s">
        <v>5</v>
      </c>
      <c r="C9" s="30">
        <v>56.78</v>
      </c>
    </row>
    <row r="11" spans="2:12">
      <c r="B11" s="19" t="s">
        <v>294</v>
      </c>
      <c r="E11">
        <f>D15+D18+D20</f>
        <v>169403</v>
      </c>
    </row>
    <row r="13" spans="2:12">
      <c r="B13" t="s">
        <v>281</v>
      </c>
      <c r="F13" t="s">
        <v>17</v>
      </c>
      <c r="L13" s="192">
        <f>H16+H17+H19</f>
        <v>2020</v>
      </c>
    </row>
    <row r="14" spans="2:12">
      <c r="B14" s="18" t="s">
        <v>282</v>
      </c>
      <c r="C14" s="18" t="s">
        <v>283</v>
      </c>
      <c r="D14" s="18" t="s">
        <v>284</v>
      </c>
      <c r="F14" s="18" t="s">
        <v>282</v>
      </c>
      <c r="G14" s="18" t="s">
        <v>283</v>
      </c>
      <c r="H14" s="18" t="s">
        <v>284</v>
      </c>
    </row>
    <row r="15" spans="2:12">
      <c r="B15" s="398" t="s">
        <v>285</v>
      </c>
      <c r="C15" s="20" t="s">
        <v>286</v>
      </c>
      <c r="D15" s="45">
        <v>7492</v>
      </c>
      <c r="E15" s="192">
        <f>D15+D18</f>
        <v>10629</v>
      </c>
      <c r="F15" s="398" t="s">
        <v>285</v>
      </c>
      <c r="G15" s="20" t="s">
        <v>286</v>
      </c>
      <c r="H15" s="39">
        <f>D15/$F$6</f>
        <v>3746</v>
      </c>
      <c r="I15" s="192">
        <f>H15+H18</f>
        <v>5314</v>
      </c>
      <c r="J15" t="s">
        <v>301</v>
      </c>
    </row>
    <row r="16" spans="2:12">
      <c r="B16" s="398"/>
      <c r="C16" s="20" t="s">
        <v>287</v>
      </c>
      <c r="D16" s="45">
        <v>3418</v>
      </c>
      <c r="F16" s="398"/>
      <c r="G16" s="20" t="s">
        <v>287</v>
      </c>
      <c r="H16" s="39">
        <f t="shared" ref="H16:H21" si="0">D16/$F$6</f>
        <v>1709</v>
      </c>
      <c r="J16">
        <f>D16+D17+D19</f>
        <v>4039</v>
      </c>
    </row>
    <row r="17" spans="2:15">
      <c r="B17" s="398"/>
      <c r="C17" s="20" t="s">
        <v>288</v>
      </c>
      <c r="D17" s="45">
        <v>48</v>
      </c>
      <c r="F17" s="398"/>
      <c r="G17" s="20" t="s">
        <v>288</v>
      </c>
      <c r="H17" s="39">
        <f t="shared" si="0"/>
        <v>24</v>
      </c>
      <c r="I17" s="192">
        <f>H17+H16</f>
        <v>1733</v>
      </c>
      <c r="J17">
        <f>867*2</f>
        <v>1734</v>
      </c>
    </row>
    <row r="18" spans="2:15">
      <c r="B18" s="398" t="s">
        <v>289</v>
      </c>
      <c r="C18" s="20" t="s">
        <v>286</v>
      </c>
      <c r="D18" s="45">
        <v>3137</v>
      </c>
      <c r="F18" s="398" t="s">
        <v>289</v>
      </c>
      <c r="G18" s="20" t="s">
        <v>286</v>
      </c>
      <c r="H18" s="39">
        <f>ROUNDDOWN(D18/$F$6,0)</f>
        <v>1568</v>
      </c>
    </row>
    <row r="19" spans="2:15">
      <c r="B19" s="398"/>
      <c r="C19" s="20" t="s">
        <v>287</v>
      </c>
      <c r="D19" s="45">
        <v>573</v>
      </c>
      <c r="E19">
        <f>D16+D17+D19</f>
        <v>4039</v>
      </c>
      <c r="F19" s="398"/>
      <c r="G19" s="20" t="s">
        <v>287</v>
      </c>
      <c r="H19" s="39">
        <f>ROUND(D19/$F$6,0)</f>
        <v>287</v>
      </c>
      <c r="L19">
        <f>143+144</f>
        <v>287</v>
      </c>
    </row>
    <row r="20" spans="2:15">
      <c r="B20" s="399" t="s">
        <v>290</v>
      </c>
      <c r="C20" s="20" t="s">
        <v>286</v>
      </c>
      <c r="D20" s="45">
        <v>158774</v>
      </c>
      <c r="F20" s="399" t="s">
        <v>290</v>
      </c>
      <c r="G20" s="20" t="s">
        <v>286</v>
      </c>
      <c r="H20" s="39">
        <f t="shared" si="0"/>
        <v>79387</v>
      </c>
    </row>
    <row r="21" spans="2:15">
      <c r="B21" s="400"/>
      <c r="C21" s="20" t="s">
        <v>287</v>
      </c>
      <c r="D21" s="45">
        <v>9090</v>
      </c>
      <c r="F21" s="400"/>
      <c r="G21" s="20" t="s">
        <v>287</v>
      </c>
      <c r="H21" s="39">
        <f t="shared" si="0"/>
        <v>4545</v>
      </c>
    </row>
    <row r="22" spans="2:15">
      <c r="B22" s="401"/>
      <c r="C22" s="20" t="s">
        <v>288</v>
      </c>
      <c r="D22" s="45">
        <v>139</v>
      </c>
      <c r="E22">
        <f>D21+D22</f>
        <v>9229</v>
      </c>
      <c r="F22" s="401"/>
      <c r="G22" s="20" t="s">
        <v>288</v>
      </c>
      <c r="H22" s="39">
        <f>ROUND(D22/$F$6,0)</f>
        <v>70</v>
      </c>
      <c r="I22" s="192">
        <f>H21+H22</f>
        <v>4615</v>
      </c>
    </row>
    <row r="23" spans="2:15">
      <c r="B23" s="397" t="s">
        <v>291</v>
      </c>
      <c r="C23" s="397"/>
      <c r="D23" s="20">
        <f>SUM(D15:D22)</f>
        <v>182671</v>
      </c>
      <c r="E23">
        <f>D23-D20-D18-D15</f>
        <v>13268</v>
      </c>
      <c r="F23" s="397" t="s">
        <v>291</v>
      </c>
      <c r="G23" s="397"/>
      <c r="H23" s="39">
        <f>SUM(H15:H22)</f>
        <v>91336</v>
      </c>
      <c r="I23">
        <f>D23/2</f>
        <v>91335.5</v>
      </c>
      <c r="K23">
        <f>286+287</f>
        <v>573</v>
      </c>
    </row>
    <row r="25" spans="2:15" ht="27" customHeight="1">
      <c r="B25" s="402" t="s">
        <v>292</v>
      </c>
      <c r="C25" s="402"/>
      <c r="D25" s="402"/>
      <c r="E25" s="402"/>
      <c r="F25" s="402" t="s">
        <v>293</v>
      </c>
      <c r="G25" s="402"/>
      <c r="H25" s="402"/>
      <c r="I25" s="402"/>
      <c r="J25" s="402"/>
      <c r="N25" s="82"/>
      <c r="O25" s="82"/>
    </row>
    <row r="26" spans="2:15">
      <c r="N26" s="82"/>
      <c r="O26" s="82"/>
    </row>
    <row r="27" spans="2:15">
      <c r="B27" t="s">
        <v>298</v>
      </c>
      <c r="F27" t="s">
        <v>300</v>
      </c>
      <c r="H27" s="26"/>
      <c r="I27" s="44"/>
      <c r="N27" s="82"/>
      <c r="O27" s="82"/>
    </row>
    <row r="28" spans="2:15">
      <c r="B28" s="18" t="s">
        <v>283</v>
      </c>
      <c r="C28" s="18" t="s">
        <v>284</v>
      </c>
      <c r="F28" s="18" t="s">
        <v>283</v>
      </c>
      <c r="G28" s="18" t="s">
        <v>284</v>
      </c>
      <c r="H28" s="27"/>
      <c r="N28" s="82"/>
      <c r="O28" s="83"/>
    </row>
    <row r="29" spans="2:15">
      <c r="B29" s="20" t="s">
        <v>299</v>
      </c>
      <c r="C29" s="45">
        <v>80</v>
      </c>
      <c r="D29" s="82"/>
      <c r="E29" s="82"/>
      <c r="F29" s="45" t="s">
        <v>286</v>
      </c>
      <c r="G29" s="45">
        <v>0</v>
      </c>
      <c r="H29" s="26"/>
      <c r="N29" s="82"/>
      <c r="O29" s="82"/>
    </row>
    <row r="30" spans="2:15">
      <c r="B30" s="82"/>
      <c r="C30" s="82"/>
      <c r="D30" s="82"/>
      <c r="E30" s="82"/>
      <c r="F30" s="45" t="s">
        <v>287</v>
      </c>
      <c r="G30" s="45">
        <v>0</v>
      </c>
      <c r="H30" s="26"/>
      <c r="N30" s="82"/>
      <c r="O30" s="82"/>
    </row>
    <row r="31" spans="2:15">
      <c r="B31" s="82"/>
      <c r="C31" s="82"/>
      <c r="D31" s="82"/>
      <c r="E31" s="82"/>
      <c r="F31" s="45" t="s">
        <v>288</v>
      </c>
      <c r="G31" s="45">
        <v>0</v>
      </c>
      <c r="H31" s="26"/>
      <c r="L31" s="192">
        <f>H23+H45</f>
        <v>94726</v>
      </c>
      <c r="N31" s="82"/>
      <c r="O31" s="82"/>
    </row>
    <row r="32" spans="2:15">
      <c r="B32" s="82"/>
      <c r="C32" s="82"/>
      <c r="D32" s="82"/>
      <c r="E32" s="82"/>
      <c r="F32" s="45" t="s">
        <v>291</v>
      </c>
      <c r="G32" s="45">
        <v>0</v>
      </c>
      <c r="H32" s="26"/>
      <c r="N32" s="82"/>
      <c r="O32" s="82"/>
    </row>
    <row r="33" spans="2:17">
      <c r="B33" s="82"/>
      <c r="C33" s="82"/>
      <c r="D33" s="82"/>
      <c r="E33" s="82"/>
      <c r="F33" s="82"/>
      <c r="G33" s="82"/>
      <c r="H33" s="82"/>
      <c r="N33" s="82"/>
      <c r="O33" s="82"/>
    </row>
    <row r="34" spans="2:17">
      <c r="G34" s="82"/>
      <c r="H34" s="82"/>
      <c r="I34" s="82"/>
      <c r="J34" s="82"/>
      <c r="K34" s="82"/>
      <c r="L34" s="82"/>
      <c r="N34" s="82"/>
      <c r="O34" s="82"/>
    </row>
    <row r="35" spans="2:17" ht="13.5" thickBot="1">
      <c r="B35" s="103" t="s">
        <v>295</v>
      </c>
      <c r="C35" s="104"/>
      <c r="D35" s="104"/>
      <c r="E35" s="104"/>
      <c r="F35" s="104"/>
      <c r="G35" s="104"/>
      <c r="H35" s="104"/>
      <c r="I35" s="104"/>
      <c r="J35" s="104"/>
      <c r="K35" s="104"/>
      <c r="L35" s="104"/>
      <c r="M35" s="104"/>
      <c r="N35" s="104"/>
      <c r="O35" s="104"/>
      <c r="P35" s="104"/>
      <c r="Q35" s="104"/>
    </row>
    <row r="37" spans="2:17">
      <c r="B37" t="s">
        <v>281</v>
      </c>
      <c r="F37" t="s">
        <v>18</v>
      </c>
      <c r="K37" t="s">
        <v>149</v>
      </c>
    </row>
    <row r="38" spans="2:17" ht="51">
      <c r="B38" s="18" t="s">
        <v>282</v>
      </c>
      <c r="C38" s="18" t="s">
        <v>283</v>
      </c>
      <c r="D38" s="18" t="s">
        <v>284</v>
      </c>
      <c r="E38" s="217" t="s">
        <v>150</v>
      </c>
      <c r="F38" s="18" t="s">
        <v>282</v>
      </c>
      <c r="G38" s="18" t="s">
        <v>283</v>
      </c>
      <c r="H38" s="18" t="s">
        <v>284</v>
      </c>
    </row>
    <row r="39" spans="2:17">
      <c r="B39" s="403" t="s">
        <v>285</v>
      </c>
      <c r="C39" s="20" t="s">
        <v>286</v>
      </c>
      <c r="D39" s="45">
        <v>140</v>
      </c>
      <c r="F39" s="403" t="s">
        <v>285</v>
      </c>
      <c r="G39" s="20" t="s">
        <v>286</v>
      </c>
      <c r="H39" s="39">
        <f t="shared" ref="H39" si="1">D39/$F$6</f>
        <v>70</v>
      </c>
    </row>
    <row r="40" spans="2:17">
      <c r="B40" s="403"/>
      <c r="C40" s="20" t="s">
        <v>0</v>
      </c>
      <c r="D40" s="45">
        <v>11</v>
      </c>
      <c r="E40" s="84">
        <v>0</v>
      </c>
      <c r="F40" s="403"/>
      <c r="G40" s="20" t="s">
        <v>0</v>
      </c>
      <c r="H40" s="39">
        <f>ROUNDDOWN(D40/$F$6,0)</f>
        <v>5</v>
      </c>
    </row>
    <row r="41" spans="2:17">
      <c r="B41" s="403"/>
      <c r="C41" s="20" t="s">
        <v>1</v>
      </c>
      <c r="D41" s="45">
        <v>49</v>
      </c>
      <c r="E41" s="84">
        <f>D41</f>
        <v>49</v>
      </c>
      <c r="F41" s="403"/>
      <c r="G41" s="20" t="s">
        <v>1</v>
      </c>
      <c r="H41" s="39">
        <f>ROUND(D41/$F$6,0)</f>
        <v>25</v>
      </c>
    </row>
    <row r="42" spans="2:17">
      <c r="B42" s="21" t="s">
        <v>289</v>
      </c>
      <c r="C42" s="20" t="s">
        <v>286</v>
      </c>
      <c r="D42" s="45">
        <v>155</v>
      </c>
      <c r="F42" s="21" t="s">
        <v>289</v>
      </c>
      <c r="G42" s="20" t="s">
        <v>286</v>
      </c>
      <c r="H42" s="39">
        <f>ROUND(D42/$F$6,0)</f>
        <v>78</v>
      </c>
    </row>
    <row r="43" spans="2:17">
      <c r="B43" s="403" t="s">
        <v>290</v>
      </c>
      <c r="C43" s="20" t="s">
        <v>286</v>
      </c>
      <c r="D43" s="45">
        <v>5937</v>
      </c>
      <c r="F43" s="403" t="s">
        <v>290</v>
      </c>
      <c r="G43" s="20" t="s">
        <v>286</v>
      </c>
      <c r="H43" s="39">
        <f>ROUNDDOWN(D43/$F$6,0)</f>
        <v>2968</v>
      </c>
    </row>
    <row r="44" spans="2:17">
      <c r="B44" s="403"/>
      <c r="C44" s="20" t="s">
        <v>0</v>
      </c>
      <c r="D44" s="45">
        <v>487</v>
      </c>
      <c r="F44" s="403"/>
      <c r="G44" s="20" t="s">
        <v>0</v>
      </c>
      <c r="H44" s="39">
        <f>ROUND(D44/$F$6,0)</f>
        <v>244</v>
      </c>
    </row>
    <row r="45" spans="2:17">
      <c r="B45" s="397" t="s">
        <v>291</v>
      </c>
      <c r="C45" s="397"/>
      <c r="D45" s="20">
        <f>SUM(D39:D44)</f>
        <v>6779</v>
      </c>
      <c r="F45" s="397" t="s">
        <v>291</v>
      </c>
      <c r="G45" s="397"/>
      <c r="H45" s="39">
        <f>SUM(H39:H44)</f>
        <v>3390</v>
      </c>
      <c r="I45">
        <f>D45/2</f>
        <v>3389.5</v>
      </c>
    </row>
    <row r="47" spans="2:17">
      <c r="B47" t="s">
        <v>298</v>
      </c>
      <c r="F47" t="s">
        <v>300</v>
      </c>
    </row>
    <row r="48" spans="2:17">
      <c r="B48" s="18" t="s">
        <v>283</v>
      </c>
      <c r="C48" s="18" t="s">
        <v>284</v>
      </c>
      <c r="F48" s="18" t="s">
        <v>283</v>
      </c>
      <c r="G48" s="18" t="s">
        <v>284</v>
      </c>
    </row>
    <row r="49" spans="2:9">
      <c r="B49" s="20" t="s">
        <v>297</v>
      </c>
      <c r="C49" s="20">
        <v>45</v>
      </c>
      <c r="F49" s="20" t="s">
        <v>296</v>
      </c>
      <c r="G49" s="20">
        <v>60</v>
      </c>
    </row>
    <row r="50" spans="2:9">
      <c r="F50" s="20" t="s">
        <v>297</v>
      </c>
      <c r="G50" s="20">
        <f>352+90</f>
        <v>442</v>
      </c>
      <c r="I50">
        <f>G50+C49</f>
        <v>487</v>
      </c>
    </row>
    <row r="51" spans="2:9">
      <c r="B51" s="25"/>
      <c r="C51" s="25"/>
    </row>
    <row r="52" spans="2:9">
      <c r="B52" s="82" t="s">
        <v>206</v>
      </c>
    </row>
    <row r="53" spans="2:9">
      <c r="B53" s="82" t="s">
        <v>2</v>
      </c>
    </row>
    <row r="54" spans="2:9">
      <c r="B54" s="26" t="s">
        <v>142</v>
      </c>
    </row>
    <row r="56" spans="2:9">
      <c r="B56" s="53" t="s">
        <v>193</v>
      </c>
    </row>
    <row r="58" spans="2:9">
      <c r="B58" s="20" t="s">
        <v>275</v>
      </c>
      <c r="C58" s="24">
        <v>62.27</v>
      </c>
    </row>
    <row r="59" spans="2:9">
      <c r="B59" s="20" t="s">
        <v>277</v>
      </c>
      <c r="C59" s="24">
        <v>25.01</v>
      </c>
    </row>
    <row r="60" spans="2:9">
      <c r="B60" s="20" t="s">
        <v>276</v>
      </c>
      <c r="C60" s="24">
        <v>46.21</v>
      </c>
    </row>
    <row r="63" spans="2:9">
      <c r="B63" s="53" t="s">
        <v>194</v>
      </c>
    </row>
    <row r="65" spans="2:5">
      <c r="B65" s="20" t="s">
        <v>195</v>
      </c>
      <c r="C65" s="76">
        <v>110</v>
      </c>
    </row>
    <row r="66" spans="2:5">
      <c r="B66" s="20" t="s">
        <v>196</v>
      </c>
      <c r="C66" s="76">
        <v>58</v>
      </c>
    </row>
    <row r="67" spans="2:5">
      <c r="B67" s="20" t="s">
        <v>197</v>
      </c>
      <c r="C67" s="76">
        <v>600</v>
      </c>
    </row>
    <row r="68" spans="2:5">
      <c r="B68" s="20" t="s">
        <v>198</v>
      </c>
      <c r="C68" s="20">
        <v>3</v>
      </c>
    </row>
    <row r="71" spans="2:5">
      <c r="B71" s="53" t="s">
        <v>199</v>
      </c>
    </row>
    <row r="73" spans="2:5">
      <c r="B73" s="397" t="s">
        <v>200</v>
      </c>
      <c r="C73" s="397"/>
      <c r="D73" s="397"/>
      <c r="E73" s="77">
        <v>0.2</v>
      </c>
    </row>
    <row r="74" spans="2:5">
      <c r="B74" s="397" t="s">
        <v>201</v>
      </c>
      <c r="C74" s="397"/>
      <c r="D74" s="397"/>
      <c r="E74" s="77">
        <v>0.1</v>
      </c>
    </row>
    <row r="75" spans="2:5">
      <c r="B75" s="397" t="s">
        <v>202</v>
      </c>
      <c r="C75" s="397"/>
      <c r="D75" s="397"/>
      <c r="E75" s="77">
        <v>0.1</v>
      </c>
    </row>
  </sheetData>
  <mergeCells count="19">
    <mergeCell ref="B25:E25"/>
    <mergeCell ref="F25:J25"/>
    <mergeCell ref="B43:B44"/>
    <mergeCell ref="B39:B41"/>
    <mergeCell ref="F39:F41"/>
    <mergeCell ref="F43:F44"/>
    <mergeCell ref="F15:F17"/>
    <mergeCell ref="F18:F19"/>
    <mergeCell ref="F20:F22"/>
    <mergeCell ref="F23:G23"/>
    <mergeCell ref="B18:B19"/>
    <mergeCell ref="B15:B17"/>
    <mergeCell ref="B23:C23"/>
    <mergeCell ref="B20:B22"/>
    <mergeCell ref="B73:D73"/>
    <mergeCell ref="B74:D74"/>
    <mergeCell ref="B75:D75"/>
    <mergeCell ref="B45:C45"/>
    <mergeCell ref="F45:G45"/>
  </mergeCells>
  <phoneticPr fontId="7" type="noConversion"/>
  <pageMargins left="0.75" right="0.75" top="1" bottom="1" header="0.5" footer="0.5"/>
  <pageSetup scale="8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U92"/>
  <sheetViews>
    <sheetView zoomScaleNormal="100" zoomScaleSheetLayoutView="100" workbookViewId="0">
      <pane xSplit="1" ySplit="3" topLeftCell="B4" activePane="bottomRight" state="frozen"/>
      <selection sqref="A1:P1"/>
      <selection pane="topRight" sqref="A1:P1"/>
      <selection pane="bottomLeft" sqref="A1:P1"/>
      <selection pane="bottomRight" activeCell="D8" sqref="D8"/>
    </sheetView>
  </sheetViews>
  <sheetFormatPr defaultRowHeight="11.25"/>
  <cols>
    <col min="1" max="1" width="33.7109375" style="1" customWidth="1"/>
    <col min="2" max="2" width="9.7109375" style="5" customWidth="1"/>
    <col min="3" max="3" width="8" style="5" hidden="1" customWidth="1"/>
    <col min="4" max="5" width="9.42578125" style="5" customWidth="1"/>
    <col min="6" max="6" width="6.7109375" style="5" customWidth="1"/>
    <col min="7" max="7" width="9.85546875" style="5" customWidth="1"/>
    <col min="8" max="8" width="8.140625" style="5" customWidth="1"/>
    <col min="9" max="9" width="10.140625" style="8" customWidth="1"/>
    <col min="10" max="10" width="7.5703125" style="5" customWidth="1"/>
    <col min="11" max="11" width="7.140625" style="5" customWidth="1"/>
    <col min="12" max="12" width="7.5703125" style="5" customWidth="1"/>
    <col min="13" max="13" width="7.85546875" style="5" hidden="1" customWidth="1"/>
    <col min="14" max="14" width="10.140625" style="5" customWidth="1"/>
    <col min="15" max="15" width="10.28515625" style="6" customWidth="1"/>
    <col min="16" max="16" width="9.85546875" style="6" customWidth="1"/>
    <col min="17" max="17" width="5.28515625" style="5" bestFit="1" customWidth="1"/>
    <col min="18" max="18" width="8.7109375" style="1" hidden="1" customWidth="1"/>
    <col min="19" max="19" width="9.140625" style="1"/>
    <col min="20" max="20" width="11.140625" style="1" customWidth="1"/>
    <col min="21" max="21" width="8.5703125" style="1" customWidth="1"/>
    <col min="22" max="16384" width="9.140625" style="1"/>
  </cols>
  <sheetData>
    <row r="1" spans="1:21">
      <c r="A1" s="406" t="s">
        <v>62</v>
      </c>
      <c r="B1" s="406"/>
      <c r="C1" s="406"/>
      <c r="D1" s="406"/>
      <c r="E1" s="406"/>
      <c r="F1" s="406"/>
      <c r="G1" s="406"/>
      <c r="H1" s="406"/>
      <c r="I1" s="406"/>
      <c r="J1" s="406"/>
      <c r="K1" s="406"/>
      <c r="L1" s="406"/>
      <c r="M1" s="406"/>
      <c r="N1" s="406"/>
      <c r="O1" s="406"/>
      <c r="P1" s="406"/>
      <c r="Q1" s="406"/>
    </row>
    <row r="2" spans="1:21" ht="12" thickBot="1">
      <c r="A2" s="405" t="s">
        <v>328</v>
      </c>
      <c r="B2" s="405"/>
      <c r="C2" s="405"/>
      <c r="D2" s="405"/>
      <c r="E2" s="405"/>
      <c r="F2" s="405"/>
      <c r="G2" s="405"/>
      <c r="H2" s="405"/>
      <c r="I2" s="405"/>
      <c r="J2" s="405"/>
      <c r="K2" s="405"/>
      <c r="L2" s="405"/>
      <c r="M2" s="405"/>
      <c r="N2" s="405"/>
      <c r="O2" s="405"/>
      <c r="P2" s="405"/>
      <c r="Q2" s="405"/>
    </row>
    <row r="3" spans="1:21" s="3" customFormat="1" ht="63.75" thickBot="1">
      <c r="A3" s="143" t="s">
        <v>229</v>
      </c>
      <c r="B3" s="218" t="s">
        <v>230</v>
      </c>
      <c r="C3" s="218" t="s">
        <v>258</v>
      </c>
      <c r="D3" s="218" t="s">
        <v>21</v>
      </c>
      <c r="E3" s="218" t="s">
        <v>23</v>
      </c>
      <c r="F3" s="218" t="s">
        <v>22</v>
      </c>
      <c r="G3" s="218" t="s">
        <v>336</v>
      </c>
      <c r="H3" s="218" t="s">
        <v>6</v>
      </c>
      <c r="I3" s="145" t="s">
        <v>7</v>
      </c>
      <c r="J3" s="233" t="s">
        <v>11</v>
      </c>
      <c r="K3" s="233" t="s">
        <v>12</v>
      </c>
      <c r="L3" s="233" t="s">
        <v>10</v>
      </c>
      <c r="M3" s="218" t="s">
        <v>228</v>
      </c>
      <c r="N3" s="218" t="s">
        <v>25</v>
      </c>
      <c r="O3" s="233" t="s">
        <v>308</v>
      </c>
      <c r="P3" s="233" t="s">
        <v>309</v>
      </c>
      <c r="Q3" s="354" t="s">
        <v>231</v>
      </c>
      <c r="R3" s="3" t="s">
        <v>86</v>
      </c>
    </row>
    <row r="4" spans="1:21" s="4" customFormat="1" ht="9">
      <c r="A4" s="234" t="s">
        <v>237</v>
      </c>
      <c r="B4" s="235" t="s">
        <v>264</v>
      </c>
      <c r="C4" s="235"/>
      <c r="D4" s="236"/>
      <c r="E4" s="236"/>
      <c r="F4" s="236"/>
      <c r="G4" s="235"/>
      <c r="H4" s="235"/>
      <c r="I4" s="237"/>
      <c r="J4" s="237"/>
      <c r="K4" s="237"/>
      <c r="L4" s="237"/>
      <c r="M4" s="235"/>
      <c r="N4" s="236"/>
      <c r="O4" s="236"/>
      <c r="P4" s="236"/>
      <c r="Q4" s="229"/>
      <c r="R4" s="213"/>
    </row>
    <row r="5" spans="1:21" s="4" customFormat="1" ht="9">
      <c r="A5" s="121" t="s">
        <v>238</v>
      </c>
      <c r="B5" s="28" t="s">
        <v>264</v>
      </c>
      <c r="C5" s="28"/>
      <c r="D5" s="32"/>
      <c r="E5" s="32"/>
      <c r="F5" s="32"/>
      <c r="G5" s="28"/>
      <c r="H5" s="28"/>
      <c r="I5" s="43"/>
      <c r="J5" s="43"/>
      <c r="K5" s="43"/>
      <c r="L5" s="43"/>
      <c r="M5" s="28"/>
      <c r="N5" s="32"/>
      <c r="O5" s="32"/>
      <c r="P5" s="32"/>
      <c r="Q5" s="122"/>
      <c r="R5" s="213"/>
    </row>
    <row r="6" spans="1:21" s="4" customFormat="1" ht="9">
      <c r="A6" s="121" t="s">
        <v>239</v>
      </c>
      <c r="B6" s="28"/>
      <c r="C6" s="28"/>
      <c r="D6" s="32"/>
      <c r="E6" s="32"/>
      <c r="F6" s="32"/>
      <c r="G6" s="28"/>
      <c r="H6" s="28"/>
      <c r="I6" s="43"/>
      <c r="J6" s="43"/>
      <c r="K6" s="43"/>
      <c r="L6" s="43"/>
      <c r="M6" s="28"/>
      <c r="N6" s="32"/>
      <c r="O6" s="32"/>
      <c r="P6" s="32"/>
      <c r="Q6" s="122"/>
      <c r="R6" s="213"/>
    </row>
    <row r="7" spans="1:21" s="4" customFormat="1" ht="9">
      <c r="A7" s="123" t="s">
        <v>240</v>
      </c>
      <c r="B7" s="28">
        <v>40</v>
      </c>
      <c r="C7" s="28"/>
      <c r="D7" s="32">
        <v>0</v>
      </c>
      <c r="E7" s="32">
        <v>0</v>
      </c>
      <c r="F7" s="32">
        <v>0</v>
      </c>
      <c r="G7" s="28">
        <v>1</v>
      </c>
      <c r="H7" s="28">
        <f>B7*G7</f>
        <v>40</v>
      </c>
      <c r="I7" s="42">
        <f>SUM('Base Data'!$H$16:$H$17,'Base Data'!$H$19)</f>
        <v>2020</v>
      </c>
      <c r="J7" s="43">
        <f>H7*I7</f>
        <v>80800</v>
      </c>
      <c r="K7" s="43">
        <f>J7*0.1</f>
        <v>8080</v>
      </c>
      <c r="L7" s="42">
        <f>J7*0.05</f>
        <v>4040</v>
      </c>
      <c r="M7" s="28">
        <f>C7*G7*I7</f>
        <v>0</v>
      </c>
      <c r="N7" s="32">
        <f>(J7*'Base Data'!$C$5)+(K7*'Base Data'!$C$6)+(L7*'Base Data'!$C$7)</f>
        <v>8789222</v>
      </c>
      <c r="O7" s="32">
        <v>0</v>
      </c>
      <c r="P7" s="43">
        <v>0</v>
      </c>
      <c r="Q7" s="122" t="s">
        <v>214</v>
      </c>
      <c r="R7" s="213"/>
    </row>
    <row r="8" spans="1:21" s="4" customFormat="1" ht="9">
      <c r="A8" s="121" t="s">
        <v>241</v>
      </c>
      <c r="B8" s="28"/>
      <c r="C8" s="28"/>
      <c r="D8" s="32"/>
      <c r="E8" s="32"/>
      <c r="F8" s="32"/>
      <c r="G8" s="28"/>
      <c r="H8" s="28"/>
      <c r="I8" s="43"/>
      <c r="J8" s="43"/>
      <c r="K8" s="43"/>
      <c r="L8" s="43"/>
      <c r="M8" s="28"/>
      <c r="N8" s="32"/>
      <c r="O8" s="32"/>
      <c r="P8" s="32"/>
      <c r="Q8" s="122"/>
      <c r="R8" s="213"/>
      <c r="U8" s="15"/>
    </row>
    <row r="9" spans="1:21" s="4" customFormat="1" ht="9">
      <c r="A9" s="123" t="s">
        <v>253</v>
      </c>
      <c r="B9" s="28"/>
      <c r="C9" s="28"/>
      <c r="D9" s="105"/>
      <c r="E9" s="32"/>
      <c r="F9" s="32"/>
      <c r="G9" s="28"/>
      <c r="H9" s="28"/>
      <c r="I9" s="42"/>
      <c r="J9" s="43"/>
      <c r="K9" s="43"/>
      <c r="L9" s="43"/>
      <c r="M9" s="106"/>
      <c r="N9" s="32"/>
      <c r="O9" s="32"/>
      <c r="P9" s="32"/>
      <c r="Q9" s="122"/>
      <c r="R9" s="213"/>
      <c r="U9" s="15"/>
    </row>
    <row r="10" spans="1:21" s="4" customFormat="1" ht="9">
      <c r="A10" s="121" t="s">
        <v>35</v>
      </c>
      <c r="B10" s="28">
        <v>20</v>
      </c>
      <c r="C10" s="28"/>
      <c r="D10" s="32">
        <v>18292</v>
      </c>
      <c r="E10" s="32">
        <v>0</v>
      </c>
      <c r="F10" s="32">
        <v>0</v>
      </c>
      <c r="G10" s="28">
        <v>1</v>
      </c>
      <c r="H10" s="28">
        <f>B10*G10</f>
        <v>20</v>
      </c>
      <c r="I10" s="42">
        <v>0</v>
      </c>
      <c r="J10" s="43">
        <f>H10*I10</f>
        <v>0</v>
      </c>
      <c r="K10" s="43">
        <f>J10*0.1</f>
        <v>0</v>
      </c>
      <c r="L10" s="43">
        <f>J10*0.05</f>
        <v>0</v>
      </c>
      <c r="M10" s="106">
        <f>C10*G10*I10</f>
        <v>0</v>
      </c>
      <c r="N10" s="32">
        <f>(J10*'Base Data'!$C$5)+(K10*'Base Data'!$C$6)+(L10*'Base Data'!$C$7)</f>
        <v>0</v>
      </c>
      <c r="O10" s="32">
        <f>D10*G10*I10</f>
        <v>0</v>
      </c>
      <c r="P10" s="43">
        <v>0</v>
      </c>
      <c r="Q10" s="122" t="s">
        <v>310</v>
      </c>
      <c r="R10" s="213"/>
      <c r="U10" s="15"/>
    </row>
    <row r="11" spans="1:21" s="4" customFormat="1" ht="9">
      <c r="A11" s="121" t="s">
        <v>42</v>
      </c>
      <c r="B11" s="28">
        <v>20</v>
      </c>
      <c r="C11" s="28"/>
      <c r="D11" s="32">
        <v>854</v>
      </c>
      <c r="E11" s="32">
        <v>0</v>
      </c>
      <c r="F11" s="32">
        <v>0</v>
      </c>
      <c r="G11" s="28">
        <v>1</v>
      </c>
      <c r="H11" s="28">
        <f>B11*G11</f>
        <v>20</v>
      </c>
      <c r="I11" s="42">
        <v>0</v>
      </c>
      <c r="J11" s="43">
        <f>H11*I11</f>
        <v>0</v>
      </c>
      <c r="K11" s="43">
        <f>J11*0.1</f>
        <v>0</v>
      </c>
      <c r="L11" s="43">
        <f>J11*0.05</f>
        <v>0</v>
      </c>
      <c r="M11" s="106">
        <f>C11*G11*I11</f>
        <v>0</v>
      </c>
      <c r="N11" s="32">
        <f>(J11*'Base Data'!$C$5)+(K11*'Base Data'!$C$6)+(L11*'Base Data'!$C$7)</f>
        <v>0</v>
      </c>
      <c r="O11" s="32">
        <f>D11*G11*I11</f>
        <v>0</v>
      </c>
      <c r="P11" s="43">
        <v>0</v>
      </c>
      <c r="Q11" s="122" t="s">
        <v>310</v>
      </c>
      <c r="R11" s="213"/>
      <c r="U11" s="15"/>
    </row>
    <row r="12" spans="1:21" s="4" customFormat="1" ht="9">
      <c r="A12" s="123" t="s">
        <v>224</v>
      </c>
      <c r="B12" s="28">
        <v>12</v>
      </c>
      <c r="C12" s="28"/>
      <c r="D12" s="32">
        <v>0</v>
      </c>
      <c r="E12" s="32">
        <v>5000</v>
      </c>
      <c r="F12" s="32">
        <v>0</v>
      </c>
      <c r="G12" s="28">
        <v>1</v>
      </c>
      <c r="H12" s="28">
        <f>B12*G12</f>
        <v>12</v>
      </c>
      <c r="I12" s="42">
        <v>0</v>
      </c>
      <c r="J12" s="43">
        <f>H12*I12</f>
        <v>0</v>
      </c>
      <c r="K12" s="43">
        <f>J12*0.1</f>
        <v>0</v>
      </c>
      <c r="L12" s="43">
        <f>J12*0.05</f>
        <v>0</v>
      </c>
      <c r="M12" s="106"/>
      <c r="N12" s="32">
        <f>(J12*'Base Data'!$C$5)+(K12*'Base Data'!$C$6)+(L12*'Base Data'!$C$7)</f>
        <v>0</v>
      </c>
      <c r="O12" s="32">
        <f t="shared" ref="O12:O17" si="0">E12*G12*I12</f>
        <v>0</v>
      </c>
      <c r="P12" s="43">
        <v>0</v>
      </c>
      <c r="Q12" s="122" t="s">
        <v>314</v>
      </c>
      <c r="R12" s="213"/>
      <c r="U12" s="15"/>
    </row>
    <row r="13" spans="1:21" s="4" customFormat="1" ht="9">
      <c r="A13" s="123" t="s">
        <v>304</v>
      </c>
      <c r="B13" s="28">
        <v>12</v>
      </c>
      <c r="C13" s="28"/>
      <c r="D13" s="32">
        <v>0</v>
      </c>
      <c r="E13" s="32">
        <v>6000</v>
      </c>
      <c r="F13" s="32">
        <v>0</v>
      </c>
      <c r="G13" s="28">
        <v>1</v>
      </c>
      <c r="H13" s="28">
        <f>B13*G13</f>
        <v>12</v>
      </c>
      <c r="I13" s="42">
        <v>0</v>
      </c>
      <c r="J13" s="43">
        <f>H13*I13</f>
        <v>0</v>
      </c>
      <c r="K13" s="43">
        <f>J13*0.1</f>
        <v>0</v>
      </c>
      <c r="L13" s="43">
        <f>J13*0.05</f>
        <v>0</v>
      </c>
      <c r="M13" s="106"/>
      <c r="N13" s="32">
        <f>(J13*'Base Data'!$C$5)+(K13*'Base Data'!$C$6)+(L13*'Base Data'!$C$7)</f>
        <v>0</v>
      </c>
      <c r="O13" s="32">
        <f t="shared" si="0"/>
        <v>0</v>
      </c>
      <c r="P13" s="43">
        <v>0</v>
      </c>
      <c r="Q13" s="122" t="s">
        <v>314</v>
      </c>
      <c r="R13" s="213"/>
      <c r="U13" s="15"/>
    </row>
    <row r="14" spans="1:21" s="4" customFormat="1" ht="9">
      <c r="A14" s="123" t="s">
        <v>143</v>
      </c>
      <c r="B14" s="28">
        <v>12</v>
      </c>
      <c r="C14" s="28"/>
      <c r="D14" s="32">
        <v>0</v>
      </c>
      <c r="E14" s="32">
        <v>5000</v>
      </c>
      <c r="F14" s="32">
        <v>0</v>
      </c>
      <c r="G14" s="28">
        <v>1</v>
      </c>
      <c r="H14" s="28">
        <f t="shared" ref="H14:H19" si="1">B14*G14</f>
        <v>12</v>
      </c>
      <c r="I14" s="42">
        <v>0</v>
      </c>
      <c r="J14" s="43">
        <f t="shared" ref="J14:J19" si="2">H14*I14</f>
        <v>0</v>
      </c>
      <c r="K14" s="43">
        <f t="shared" ref="K14:K22" si="3">J14*0.1</f>
        <v>0</v>
      </c>
      <c r="L14" s="43">
        <f t="shared" ref="L14:L19" si="4">J14*0.05</f>
        <v>0</v>
      </c>
      <c r="M14" s="106"/>
      <c r="N14" s="32">
        <f>(J14*'Base Data'!$C$5)+(K14*'Base Data'!$C$6)+(L14*'Base Data'!$C$7)</f>
        <v>0</v>
      </c>
      <c r="O14" s="32">
        <f t="shared" si="0"/>
        <v>0</v>
      </c>
      <c r="P14" s="43">
        <v>0</v>
      </c>
      <c r="Q14" s="122" t="s">
        <v>314</v>
      </c>
      <c r="R14" s="213"/>
      <c r="U14" s="15"/>
    </row>
    <row r="15" spans="1:21" s="4" customFormat="1" ht="9">
      <c r="A15" s="123" t="s">
        <v>302</v>
      </c>
      <c r="B15" s="28">
        <v>12</v>
      </c>
      <c r="C15" s="28"/>
      <c r="D15" s="32">
        <v>0</v>
      </c>
      <c r="E15" s="32">
        <v>6000</v>
      </c>
      <c r="F15" s="32">
        <v>0</v>
      </c>
      <c r="G15" s="28">
        <v>1</v>
      </c>
      <c r="H15" s="28">
        <f t="shared" si="1"/>
        <v>12</v>
      </c>
      <c r="I15" s="42">
        <v>0</v>
      </c>
      <c r="J15" s="43">
        <f t="shared" si="2"/>
        <v>0</v>
      </c>
      <c r="K15" s="43">
        <f t="shared" si="3"/>
        <v>0</v>
      </c>
      <c r="L15" s="43">
        <f t="shared" si="4"/>
        <v>0</v>
      </c>
      <c r="M15" s="106"/>
      <c r="N15" s="32">
        <f>(J15*'Base Data'!$C$5)+(K15*'Base Data'!$C$6)+(L15*'Base Data'!$C$7)</f>
        <v>0</v>
      </c>
      <c r="O15" s="32">
        <f t="shared" si="0"/>
        <v>0</v>
      </c>
      <c r="P15" s="43">
        <v>0</v>
      </c>
      <c r="Q15" s="122" t="s">
        <v>314</v>
      </c>
      <c r="R15" s="213"/>
      <c r="U15" s="15"/>
    </row>
    <row r="16" spans="1:21" s="4" customFormat="1" ht="9">
      <c r="A16" s="123" t="s">
        <v>144</v>
      </c>
      <c r="B16" s="28">
        <v>5</v>
      </c>
      <c r="C16" s="28"/>
      <c r="D16" s="32">
        <v>0</v>
      </c>
      <c r="E16" s="32">
        <v>200</v>
      </c>
      <c r="F16" s="32">
        <v>0</v>
      </c>
      <c r="G16" s="28">
        <v>1</v>
      </c>
      <c r="H16" s="28">
        <f t="shared" si="1"/>
        <v>5</v>
      </c>
      <c r="I16" s="42">
        <v>0</v>
      </c>
      <c r="J16" s="43">
        <f>H16*I16</f>
        <v>0</v>
      </c>
      <c r="K16" s="43">
        <f t="shared" si="3"/>
        <v>0</v>
      </c>
      <c r="L16" s="43">
        <f>J16*0.05</f>
        <v>0</v>
      </c>
      <c r="M16" s="106"/>
      <c r="N16" s="32">
        <f>(J16*'Base Data'!$C$5)+(K16*'Base Data'!$C$6)+(L16*'Base Data'!$C$7)</f>
        <v>0</v>
      </c>
      <c r="O16" s="32">
        <f t="shared" si="0"/>
        <v>0</v>
      </c>
      <c r="P16" s="43">
        <v>0</v>
      </c>
      <c r="Q16" s="122" t="s">
        <v>27</v>
      </c>
      <c r="R16" s="213"/>
      <c r="U16" s="15"/>
    </row>
    <row r="17" spans="1:21" s="4" customFormat="1" ht="9">
      <c r="A17" s="123" t="s">
        <v>145</v>
      </c>
      <c r="B17" s="28">
        <v>5</v>
      </c>
      <c r="C17" s="28"/>
      <c r="D17" s="32">
        <v>0</v>
      </c>
      <c r="E17" s="32">
        <v>200</v>
      </c>
      <c r="F17" s="32">
        <v>0</v>
      </c>
      <c r="G17" s="28">
        <v>12</v>
      </c>
      <c r="H17" s="28">
        <f t="shared" si="1"/>
        <v>60</v>
      </c>
      <c r="I17" s="42">
        <v>0</v>
      </c>
      <c r="J17" s="43">
        <f t="shared" si="2"/>
        <v>0</v>
      </c>
      <c r="K17" s="43">
        <f t="shared" si="3"/>
        <v>0</v>
      </c>
      <c r="L17" s="43">
        <f t="shared" si="4"/>
        <v>0</v>
      </c>
      <c r="M17" s="106"/>
      <c r="N17" s="32">
        <f>(J17*'Base Data'!$C$5)+(K17*'Base Data'!$C$6)+(L17*'Base Data'!$C$7)</f>
        <v>0</v>
      </c>
      <c r="O17" s="32">
        <f t="shared" si="0"/>
        <v>0</v>
      </c>
      <c r="P17" s="43">
        <v>0</v>
      </c>
      <c r="Q17" s="122" t="s">
        <v>27</v>
      </c>
      <c r="R17" s="213"/>
      <c r="U17" s="15"/>
    </row>
    <row r="18" spans="1:21" s="4" customFormat="1" ht="9">
      <c r="A18" s="123" t="s">
        <v>146</v>
      </c>
      <c r="B18" s="28"/>
      <c r="C18" s="28"/>
      <c r="D18" s="32"/>
      <c r="E18" s="32"/>
      <c r="F18" s="32"/>
      <c r="G18" s="28"/>
      <c r="H18" s="28"/>
      <c r="I18" s="43"/>
      <c r="J18" s="43"/>
      <c r="K18" s="43"/>
      <c r="L18" s="43"/>
      <c r="M18" s="106"/>
      <c r="N18" s="32"/>
      <c r="O18" s="32"/>
      <c r="P18" s="32"/>
      <c r="Q18" s="122"/>
      <c r="R18" s="213"/>
      <c r="U18" s="15"/>
    </row>
    <row r="19" spans="1:21" s="4" customFormat="1" ht="9">
      <c r="A19" s="123" t="s">
        <v>262</v>
      </c>
      <c r="B19" s="28">
        <v>40</v>
      </c>
      <c r="C19" s="28"/>
      <c r="D19" s="32">
        <v>0</v>
      </c>
      <c r="E19" s="32">
        <v>0</v>
      </c>
      <c r="F19" s="32">
        <v>0</v>
      </c>
      <c r="G19" s="28">
        <v>1</v>
      </c>
      <c r="H19" s="28">
        <f t="shared" si="1"/>
        <v>40</v>
      </c>
      <c r="I19" s="42">
        <v>0</v>
      </c>
      <c r="J19" s="43">
        <f t="shared" si="2"/>
        <v>0</v>
      </c>
      <c r="K19" s="43">
        <f t="shared" si="3"/>
        <v>0</v>
      </c>
      <c r="L19" s="43">
        <f t="shared" si="4"/>
        <v>0</v>
      </c>
      <c r="M19" s="106"/>
      <c r="N19" s="32">
        <f>(J19*'Base Data'!$C$5)+(K19*'Base Data'!$C$6)+(L19*'Base Data'!$C$7)</f>
        <v>0</v>
      </c>
      <c r="O19" s="32">
        <v>0</v>
      </c>
      <c r="P19" s="43">
        <v>0</v>
      </c>
      <c r="Q19" s="122" t="s">
        <v>314</v>
      </c>
      <c r="R19" s="213"/>
      <c r="U19" s="15"/>
    </row>
    <row r="20" spans="1:21" s="4" customFormat="1" ht="18">
      <c r="A20" s="123" t="s">
        <v>3</v>
      </c>
      <c r="B20" s="28"/>
      <c r="C20" s="28"/>
      <c r="D20" s="32"/>
      <c r="E20" s="32"/>
      <c r="F20" s="32"/>
      <c r="G20" s="28"/>
      <c r="H20" s="28"/>
      <c r="I20" s="42"/>
      <c r="J20" s="43"/>
      <c r="K20" s="43"/>
      <c r="L20" s="43"/>
      <c r="M20" s="106"/>
      <c r="N20" s="32"/>
      <c r="O20" s="32"/>
      <c r="P20" s="32"/>
      <c r="Q20" s="122"/>
      <c r="R20" s="214"/>
      <c r="S20" s="46"/>
      <c r="T20" s="46"/>
      <c r="U20" s="15"/>
    </row>
    <row r="21" spans="1:21" s="4" customFormat="1" ht="9">
      <c r="A21" s="121" t="s">
        <v>243</v>
      </c>
      <c r="B21" s="28">
        <v>10</v>
      </c>
      <c r="C21" s="28"/>
      <c r="D21" s="32">
        <v>0</v>
      </c>
      <c r="E21" s="32">
        <v>0</v>
      </c>
      <c r="F21" s="32">
        <v>25500</v>
      </c>
      <c r="G21" s="28">
        <v>1</v>
      </c>
      <c r="H21" s="28">
        <f>B21*G21</f>
        <v>10</v>
      </c>
      <c r="I21" s="42">
        <v>0</v>
      </c>
      <c r="J21" s="43">
        <f>H21*I21</f>
        <v>0</v>
      </c>
      <c r="K21" s="43">
        <f t="shared" si="3"/>
        <v>0</v>
      </c>
      <c r="L21" s="43">
        <f>J21*0.05</f>
        <v>0</v>
      </c>
      <c r="M21" s="106"/>
      <c r="N21" s="32">
        <f>(J21*'Base Data'!$C$5)+(K21*'Base Data'!$C$6)+(L21*'Base Data'!$C$7)</f>
        <v>0</v>
      </c>
      <c r="O21" s="32">
        <v>0</v>
      </c>
      <c r="P21" s="43">
        <v>0</v>
      </c>
      <c r="Q21" s="122" t="s">
        <v>215</v>
      </c>
      <c r="R21" s="214"/>
      <c r="S21" s="46"/>
      <c r="T21" s="46"/>
      <c r="U21" s="15"/>
    </row>
    <row r="22" spans="1:21" s="4" customFormat="1" ht="9">
      <c r="A22" s="121" t="s">
        <v>244</v>
      </c>
      <c r="B22" s="28">
        <v>10</v>
      </c>
      <c r="C22" s="28"/>
      <c r="D22" s="32">
        <v>0</v>
      </c>
      <c r="E22" s="32">
        <v>0</v>
      </c>
      <c r="F22" s="32">
        <v>9700</v>
      </c>
      <c r="G22" s="28">
        <v>1</v>
      </c>
      <c r="H22" s="28">
        <f>B22*G22</f>
        <v>10</v>
      </c>
      <c r="I22" s="42">
        <v>0</v>
      </c>
      <c r="J22" s="43">
        <f>H22*I22</f>
        <v>0</v>
      </c>
      <c r="K22" s="43">
        <f t="shared" si="3"/>
        <v>0</v>
      </c>
      <c r="L22" s="43">
        <f>J22*0.05</f>
        <v>0</v>
      </c>
      <c r="M22" s="106"/>
      <c r="N22" s="32">
        <f>(J22*'Base Data'!$C$5)+(K22*'Base Data'!$C$6)+(L22*'Base Data'!$C$7)</f>
        <v>0</v>
      </c>
      <c r="O22" s="32">
        <f>F22*G22*I22</f>
        <v>0</v>
      </c>
      <c r="P22" s="43">
        <v>0</v>
      </c>
      <c r="Q22" s="122" t="s">
        <v>215</v>
      </c>
      <c r="R22" s="214"/>
      <c r="S22" s="46"/>
      <c r="T22" s="46"/>
      <c r="U22" s="15"/>
    </row>
    <row r="23" spans="1:21" s="4" customFormat="1" ht="9">
      <c r="A23" s="123" t="s">
        <v>303</v>
      </c>
      <c r="B23" s="28">
        <v>12</v>
      </c>
      <c r="C23" s="28"/>
      <c r="D23" s="32">
        <v>0</v>
      </c>
      <c r="E23" s="32">
        <v>2875</v>
      </c>
      <c r="F23" s="32">
        <v>0</v>
      </c>
      <c r="G23" s="28">
        <v>0.5</v>
      </c>
      <c r="H23" s="28">
        <f>B23*G23</f>
        <v>6</v>
      </c>
      <c r="I23" s="43">
        <v>0</v>
      </c>
      <c r="J23" s="42">
        <f>H23*I23</f>
        <v>0</v>
      </c>
      <c r="K23" s="42">
        <f>J23*0.1</f>
        <v>0</v>
      </c>
      <c r="L23" s="42">
        <f>J23*0.05</f>
        <v>0</v>
      </c>
      <c r="M23" s="43"/>
      <c r="N23" s="32">
        <f>(J23*'Base Data'!$C$5)+(K23*'Base Data'!$C$6)+(L23*'Base Data'!$C$7)</f>
        <v>0</v>
      </c>
      <c r="O23" s="32">
        <f>F23*G23*I23</f>
        <v>0</v>
      </c>
      <c r="P23" s="43">
        <v>0</v>
      </c>
      <c r="Q23" s="122" t="s">
        <v>151</v>
      </c>
      <c r="R23" s="214"/>
      <c r="T23" s="15"/>
    </row>
    <row r="24" spans="1:21" s="4" customFormat="1" ht="9">
      <c r="A24" s="121" t="s">
        <v>245</v>
      </c>
      <c r="B24" s="28" t="s">
        <v>264</v>
      </c>
      <c r="C24" s="28"/>
      <c r="D24" s="32"/>
      <c r="E24" s="32"/>
      <c r="F24" s="32"/>
      <c r="G24" s="28"/>
      <c r="H24" s="28"/>
      <c r="I24" s="43"/>
      <c r="J24" s="43"/>
      <c r="K24" s="43"/>
      <c r="L24" s="43"/>
      <c r="M24" s="28"/>
      <c r="N24" s="32"/>
      <c r="O24" s="32"/>
      <c r="P24" s="32"/>
      <c r="Q24" s="122"/>
      <c r="R24" s="213"/>
      <c r="U24" s="15"/>
    </row>
    <row r="25" spans="1:21" s="4" customFormat="1" ht="9">
      <c r="A25" s="121" t="s">
        <v>246</v>
      </c>
      <c r="B25" s="28" t="s">
        <v>264</v>
      </c>
      <c r="C25" s="28"/>
      <c r="D25" s="32"/>
      <c r="E25" s="32"/>
      <c r="F25" s="32"/>
      <c r="G25" s="28"/>
      <c r="H25" s="28"/>
      <c r="I25" s="43"/>
      <c r="J25" s="43"/>
      <c r="K25" s="43"/>
      <c r="L25" s="43"/>
      <c r="M25" s="28"/>
      <c r="N25" s="32"/>
      <c r="O25" s="32"/>
      <c r="P25" s="32"/>
      <c r="Q25" s="122"/>
      <c r="R25" s="213"/>
    </row>
    <row r="26" spans="1:21" s="4" customFormat="1" ht="9">
      <c r="A26" s="121" t="s">
        <v>247</v>
      </c>
      <c r="B26" s="28"/>
      <c r="C26" s="28"/>
      <c r="D26" s="32"/>
      <c r="E26" s="32"/>
      <c r="F26" s="32"/>
      <c r="G26" s="28"/>
      <c r="H26" s="28"/>
      <c r="I26" s="43"/>
      <c r="J26" s="43"/>
      <c r="K26" s="43"/>
      <c r="L26" s="43"/>
      <c r="M26" s="28"/>
      <c r="N26" s="32"/>
      <c r="O26" s="32"/>
      <c r="P26" s="32"/>
      <c r="Q26" s="122"/>
      <c r="R26" s="213"/>
    </row>
    <row r="27" spans="1:21" s="4" customFormat="1" ht="9">
      <c r="A27" s="124" t="s">
        <v>266</v>
      </c>
      <c r="B27" s="28">
        <v>2</v>
      </c>
      <c r="C27" s="28"/>
      <c r="D27" s="32">
        <v>0</v>
      </c>
      <c r="E27" s="32">
        <v>0</v>
      </c>
      <c r="F27" s="32">
        <v>0</v>
      </c>
      <c r="G27" s="28">
        <v>1</v>
      </c>
      <c r="H27" s="28">
        <f>B27*G27</f>
        <v>2</v>
      </c>
      <c r="I27" s="42">
        <f>SUM('Base Data'!$H$16:$H$17,'Base Data'!$H$19)</f>
        <v>2020</v>
      </c>
      <c r="J27" s="43">
        <f>H27*I27</f>
        <v>4040</v>
      </c>
      <c r="K27" s="43">
        <f>J27*0.1</f>
        <v>404</v>
      </c>
      <c r="L27" s="43">
        <f>J27*0.05</f>
        <v>202</v>
      </c>
      <c r="M27" s="28">
        <f>C27*G27*I27</f>
        <v>0</v>
      </c>
      <c r="N27" s="32">
        <f>(J27*'Base Data'!$C$5)+(K27*'Base Data'!$C$6)+(L27*'Base Data'!$C$7)</f>
        <v>439461.1</v>
      </c>
      <c r="O27" s="32">
        <v>0</v>
      </c>
      <c r="P27" s="43">
        <f>G27*I27</f>
        <v>2020</v>
      </c>
      <c r="Q27" s="122" t="s">
        <v>214</v>
      </c>
      <c r="R27" s="213"/>
    </row>
    <row r="28" spans="1:21" s="4" customFormat="1" ht="9" customHeight="1">
      <c r="A28" s="124" t="s">
        <v>208</v>
      </c>
      <c r="B28" s="28">
        <v>8</v>
      </c>
      <c r="C28" s="28"/>
      <c r="D28" s="32">
        <v>0</v>
      </c>
      <c r="E28" s="32">
        <v>0</v>
      </c>
      <c r="F28" s="32">
        <v>0</v>
      </c>
      <c r="G28" s="28">
        <v>1</v>
      </c>
      <c r="H28" s="28">
        <f>B28*G28</f>
        <v>8</v>
      </c>
      <c r="I28" s="42">
        <v>0</v>
      </c>
      <c r="J28" s="43">
        <f>H28*I28</f>
        <v>0</v>
      </c>
      <c r="K28" s="43">
        <f>J28*0.1</f>
        <v>0</v>
      </c>
      <c r="L28" s="43">
        <f>J28*0.05</f>
        <v>0</v>
      </c>
      <c r="M28" s="28">
        <f>C28*G28*I28</f>
        <v>0</v>
      </c>
      <c r="N28" s="32">
        <f>(J28*'Base Data'!$C$5)+(K28*'Base Data'!$C$6)+(L28*'Base Data'!$C$7)</f>
        <v>0</v>
      </c>
      <c r="O28" s="32">
        <v>0</v>
      </c>
      <c r="P28" s="43">
        <f>G28*I28</f>
        <v>0</v>
      </c>
      <c r="Q28" s="122" t="s">
        <v>215</v>
      </c>
      <c r="R28" s="213"/>
    </row>
    <row r="29" spans="1:21" s="4" customFormat="1" ht="9">
      <c r="A29" s="124" t="s">
        <v>209</v>
      </c>
      <c r="B29" s="28">
        <v>5</v>
      </c>
      <c r="C29" s="28"/>
      <c r="D29" s="32">
        <v>0</v>
      </c>
      <c r="E29" s="32">
        <v>0</v>
      </c>
      <c r="F29" s="32">
        <v>0</v>
      </c>
      <c r="G29" s="28">
        <v>1</v>
      </c>
      <c r="H29" s="28">
        <f>B29*G29</f>
        <v>5</v>
      </c>
      <c r="I29" s="42">
        <v>0</v>
      </c>
      <c r="J29" s="43">
        <f>H29*I29</f>
        <v>0</v>
      </c>
      <c r="K29" s="43">
        <f>J29*0.1</f>
        <v>0</v>
      </c>
      <c r="L29" s="43">
        <f>J29*0.05</f>
        <v>0</v>
      </c>
      <c r="M29" s="28">
        <f>C29*G29*I29</f>
        <v>0</v>
      </c>
      <c r="N29" s="32">
        <f>(J29*'Base Data'!$C$5)+(K29*'Base Data'!$C$6)+(L29*'Base Data'!$C$7)</f>
        <v>0</v>
      </c>
      <c r="O29" s="32">
        <v>0</v>
      </c>
      <c r="P29" s="43">
        <f>G29*I29</f>
        <v>0</v>
      </c>
      <c r="Q29" s="122" t="s">
        <v>310</v>
      </c>
      <c r="R29" s="213"/>
    </row>
    <row r="30" spans="1:21" s="4" customFormat="1" ht="9">
      <c r="A30" s="125" t="s">
        <v>338</v>
      </c>
      <c r="B30" s="28">
        <v>30</v>
      </c>
      <c r="C30" s="28">
        <v>0</v>
      </c>
      <c r="D30" s="32">
        <v>0</v>
      </c>
      <c r="E30" s="32">
        <v>0</v>
      </c>
      <c r="F30" s="32">
        <v>0</v>
      </c>
      <c r="G30" s="28">
        <v>1</v>
      </c>
      <c r="H30" s="28">
        <f>B30*G30</f>
        <v>30</v>
      </c>
      <c r="I30" s="42">
        <v>0</v>
      </c>
      <c r="J30" s="43">
        <f>H30*I30</f>
        <v>0</v>
      </c>
      <c r="K30" s="43">
        <f>J30*0.1</f>
        <v>0</v>
      </c>
      <c r="L30" s="43">
        <f>J30*0.05</f>
        <v>0</v>
      </c>
      <c r="M30" s="43">
        <f>C30*G30*I30</f>
        <v>0</v>
      </c>
      <c r="N30" s="32">
        <f>(J30*'Base Data'!$C$5)+(K30*'Base Data'!$C$6)+(L30*'Base Data'!$C$7)</f>
        <v>0</v>
      </c>
      <c r="O30" s="32">
        <v>0</v>
      </c>
      <c r="P30" s="43">
        <f>G30*I30</f>
        <v>0</v>
      </c>
      <c r="Q30" s="122" t="s">
        <v>314</v>
      </c>
      <c r="R30" s="227"/>
    </row>
    <row r="31" spans="1:21" s="4" customFormat="1" ht="9">
      <c r="A31" s="125" t="s">
        <v>317</v>
      </c>
      <c r="B31" s="28">
        <v>5</v>
      </c>
      <c r="C31" s="28"/>
      <c r="D31" s="32">
        <v>0</v>
      </c>
      <c r="E31" s="32">
        <v>0</v>
      </c>
      <c r="F31" s="32">
        <v>0</v>
      </c>
      <c r="G31" s="28">
        <v>0.5</v>
      </c>
      <c r="H31" s="28">
        <f>B31*G31</f>
        <v>2.5</v>
      </c>
      <c r="I31" s="42">
        <v>0</v>
      </c>
      <c r="J31" s="43">
        <f>H31*I31</f>
        <v>0</v>
      </c>
      <c r="K31" s="43">
        <f>J31*0.1</f>
        <v>0</v>
      </c>
      <c r="L31" s="43">
        <f>J31*0.05</f>
        <v>0</v>
      </c>
      <c r="M31" s="43"/>
      <c r="N31" s="32">
        <f>(J31*'Base Data'!$C$5)+(K31*'Base Data'!$C$6)+(L31*'Base Data'!$C$7)</f>
        <v>0</v>
      </c>
      <c r="O31" s="32">
        <v>0</v>
      </c>
      <c r="P31" s="43">
        <f>G31*I31</f>
        <v>0</v>
      </c>
      <c r="Q31" s="122" t="s">
        <v>151</v>
      </c>
      <c r="R31" s="228"/>
      <c r="S31" s="46"/>
    </row>
    <row r="32" spans="1:21" s="4" customFormat="1" ht="9">
      <c r="A32" s="126" t="s">
        <v>24</v>
      </c>
      <c r="B32" s="28"/>
      <c r="C32" s="28"/>
      <c r="D32" s="32"/>
      <c r="E32" s="32"/>
      <c r="F32" s="32"/>
      <c r="G32" s="28"/>
      <c r="H32" s="28"/>
      <c r="I32" s="42"/>
      <c r="J32" s="43">
        <f>SUM(J7:J30)</f>
        <v>84840</v>
      </c>
      <c r="K32" s="43">
        <f t="shared" ref="K32:P32" si="5">SUM(K7:K30)</f>
        <v>8484</v>
      </c>
      <c r="L32" s="43">
        <f t="shared" si="5"/>
        <v>4242</v>
      </c>
      <c r="M32" s="43">
        <f t="shared" si="5"/>
        <v>0</v>
      </c>
      <c r="N32" s="43">
        <f t="shared" si="5"/>
        <v>9228683.0999999996</v>
      </c>
      <c r="O32" s="43">
        <f t="shared" si="5"/>
        <v>0</v>
      </c>
      <c r="P32" s="43">
        <f t="shared" si="5"/>
        <v>2020</v>
      </c>
      <c r="Q32" s="122"/>
      <c r="R32" s="222" t="e">
        <f>SUM(O10,O11,#REF!,O22,O12:O17)</f>
        <v>#REF!</v>
      </c>
    </row>
    <row r="33" spans="1:18" s="4" customFormat="1" ht="9">
      <c r="A33" s="121" t="s">
        <v>261</v>
      </c>
      <c r="B33" s="28"/>
      <c r="C33" s="28"/>
      <c r="D33" s="32"/>
      <c r="E33" s="32"/>
      <c r="F33" s="32"/>
      <c r="G33" s="28"/>
      <c r="H33" s="28"/>
      <c r="I33" s="43"/>
      <c r="J33" s="43"/>
      <c r="K33" s="43"/>
      <c r="L33" s="43"/>
      <c r="M33" s="28"/>
      <c r="N33" s="32"/>
      <c r="O33" s="32"/>
      <c r="P33" s="32"/>
      <c r="Q33" s="122"/>
      <c r="R33" s="213"/>
    </row>
    <row r="34" spans="1:18" s="4" customFormat="1" ht="9">
      <c r="A34" s="121" t="s">
        <v>248</v>
      </c>
      <c r="B34" s="28" t="s">
        <v>252</v>
      </c>
      <c r="C34" s="28"/>
      <c r="D34" s="32"/>
      <c r="E34" s="32"/>
      <c r="F34" s="32"/>
      <c r="G34" s="28"/>
      <c r="H34" s="28"/>
      <c r="I34" s="43"/>
      <c r="J34" s="43"/>
      <c r="K34" s="43"/>
      <c r="L34" s="43"/>
      <c r="M34" s="28"/>
      <c r="N34" s="32"/>
      <c r="O34" s="32"/>
      <c r="P34" s="32"/>
      <c r="Q34" s="122"/>
      <c r="R34" s="213"/>
    </row>
    <row r="35" spans="1:18" s="4" customFormat="1" ht="9">
      <c r="A35" s="121" t="s">
        <v>249</v>
      </c>
      <c r="B35" s="28" t="s">
        <v>264</v>
      </c>
      <c r="C35" s="28"/>
      <c r="D35" s="32"/>
      <c r="E35" s="32"/>
      <c r="F35" s="32"/>
      <c r="G35" s="28"/>
      <c r="H35" s="28"/>
      <c r="I35" s="43"/>
      <c r="J35" s="43"/>
      <c r="K35" s="43"/>
      <c r="L35" s="43"/>
      <c r="M35" s="28"/>
      <c r="N35" s="32"/>
      <c r="O35" s="32"/>
      <c r="P35" s="32"/>
      <c r="Q35" s="122"/>
      <c r="R35" s="213"/>
    </row>
    <row r="36" spans="1:18" s="4" customFormat="1" ht="9">
      <c r="A36" s="121" t="s">
        <v>250</v>
      </c>
      <c r="B36" s="28" t="s">
        <v>264</v>
      </c>
      <c r="C36" s="28"/>
      <c r="D36" s="32"/>
      <c r="E36" s="32"/>
      <c r="F36" s="32"/>
      <c r="G36" s="28"/>
      <c r="H36" s="28"/>
      <c r="I36" s="43"/>
      <c r="J36" s="43"/>
      <c r="K36" s="43"/>
      <c r="L36" s="43"/>
      <c r="M36" s="28"/>
      <c r="N36" s="32"/>
      <c r="O36" s="32"/>
      <c r="P36" s="32"/>
      <c r="Q36" s="122" t="s">
        <v>216</v>
      </c>
      <c r="R36" s="213"/>
    </row>
    <row r="37" spans="1:18" s="4" customFormat="1" ht="9">
      <c r="A37" s="121" t="s">
        <v>251</v>
      </c>
      <c r="B37" s="28"/>
      <c r="C37" s="28"/>
      <c r="D37" s="32"/>
      <c r="E37" s="32"/>
      <c r="F37" s="32"/>
      <c r="G37" s="28"/>
      <c r="H37" s="28"/>
      <c r="I37" s="43"/>
      <c r="J37" s="43"/>
      <c r="K37" s="43"/>
      <c r="L37" s="43"/>
      <c r="M37" s="28"/>
      <c r="N37" s="32"/>
      <c r="O37" s="32"/>
      <c r="P37" s="32"/>
      <c r="Q37" s="122"/>
      <c r="R37" s="213"/>
    </row>
    <row r="38" spans="1:18" s="4" customFormat="1" ht="9.75" customHeight="1">
      <c r="A38" s="121" t="s">
        <v>257</v>
      </c>
      <c r="B38" s="28">
        <v>20</v>
      </c>
      <c r="C38" s="28"/>
      <c r="D38" s="32">
        <v>0</v>
      </c>
      <c r="E38" s="32">
        <v>0</v>
      </c>
      <c r="F38" s="32">
        <v>0</v>
      </c>
      <c r="G38" s="28">
        <v>1</v>
      </c>
      <c r="H38" s="28">
        <f t="shared" ref="H38:H43" si="6">B38*G38</f>
        <v>20</v>
      </c>
      <c r="I38" s="42">
        <v>0</v>
      </c>
      <c r="J38" s="43">
        <f t="shared" ref="J38:J43" si="7">H38*I38</f>
        <v>0</v>
      </c>
      <c r="K38" s="43">
        <f t="shared" ref="K38:K43" si="8">J38*0.1</f>
        <v>0</v>
      </c>
      <c r="L38" s="43">
        <f t="shared" ref="L38:L43" si="9">J38*0.05</f>
        <v>0</v>
      </c>
      <c r="M38" s="28"/>
      <c r="N38" s="32">
        <f>(J38*'Base Data'!$C$5)+(K38*'Base Data'!$C$6)+(L38*'Base Data'!$C$7)</f>
        <v>0</v>
      </c>
      <c r="O38" s="32">
        <v>0</v>
      </c>
      <c r="P38" s="43">
        <f t="shared" ref="P38:P43" si="10">G38*I38</f>
        <v>0</v>
      </c>
      <c r="Q38" s="122" t="s">
        <v>314</v>
      </c>
      <c r="R38" s="213"/>
    </row>
    <row r="39" spans="1:18" s="4" customFormat="1" ht="9">
      <c r="A39" s="123" t="s">
        <v>318</v>
      </c>
      <c r="B39" s="28">
        <v>15</v>
      </c>
      <c r="C39" s="28">
        <v>0</v>
      </c>
      <c r="D39" s="32">
        <v>0</v>
      </c>
      <c r="E39" s="32">
        <v>0</v>
      </c>
      <c r="F39" s="32">
        <v>0</v>
      </c>
      <c r="G39" s="28">
        <v>1</v>
      </c>
      <c r="H39" s="28">
        <f t="shared" si="6"/>
        <v>15</v>
      </c>
      <c r="I39" s="42">
        <v>0</v>
      </c>
      <c r="J39" s="43">
        <f t="shared" si="7"/>
        <v>0</v>
      </c>
      <c r="K39" s="43">
        <f t="shared" si="8"/>
        <v>0</v>
      </c>
      <c r="L39" s="43">
        <f t="shared" si="9"/>
        <v>0</v>
      </c>
      <c r="M39" s="28">
        <f>C39*G39*I39</f>
        <v>0</v>
      </c>
      <c r="N39" s="32">
        <f>(J39*'Base Data'!$C$5)+(K39*'Base Data'!$C$6)+(L39*'Base Data'!$C$7)</f>
        <v>0</v>
      </c>
      <c r="O39" s="32">
        <v>0</v>
      </c>
      <c r="P39" s="43">
        <f t="shared" si="10"/>
        <v>0</v>
      </c>
      <c r="Q39" s="122" t="s">
        <v>314</v>
      </c>
      <c r="R39" s="213"/>
    </row>
    <row r="40" spans="1:18" s="4" customFormat="1" ht="9.75" customHeight="1">
      <c r="A40" s="121" t="s">
        <v>254</v>
      </c>
      <c r="B40" s="28">
        <v>2</v>
      </c>
      <c r="C40" s="28"/>
      <c r="D40" s="32">
        <v>0</v>
      </c>
      <c r="E40" s="32">
        <v>0</v>
      </c>
      <c r="F40" s="32">
        <v>0</v>
      </c>
      <c r="G40" s="28">
        <v>1</v>
      </c>
      <c r="H40" s="28">
        <f t="shared" si="6"/>
        <v>2</v>
      </c>
      <c r="I40" s="42">
        <v>0</v>
      </c>
      <c r="J40" s="43">
        <f t="shared" si="7"/>
        <v>0</v>
      </c>
      <c r="K40" s="43">
        <f t="shared" si="8"/>
        <v>0</v>
      </c>
      <c r="L40" s="43">
        <f t="shared" si="9"/>
        <v>0</v>
      </c>
      <c r="M40" s="28"/>
      <c r="N40" s="32">
        <f>(J40*'Base Data'!$C$5)+(K40*'Base Data'!$C$6)+(L40*'Base Data'!$C$7)</f>
        <v>0</v>
      </c>
      <c r="O40" s="32">
        <v>0</v>
      </c>
      <c r="P40" s="43">
        <f t="shared" si="10"/>
        <v>0</v>
      </c>
      <c r="Q40" s="122" t="s">
        <v>314</v>
      </c>
      <c r="R40" s="213"/>
    </row>
    <row r="41" spans="1:18" s="4" customFormat="1" ht="9">
      <c r="A41" s="123" t="s">
        <v>269</v>
      </c>
      <c r="B41" s="28">
        <v>2</v>
      </c>
      <c r="C41" s="28"/>
      <c r="D41" s="32">
        <v>0</v>
      </c>
      <c r="E41" s="32">
        <v>0</v>
      </c>
      <c r="F41" s="32">
        <v>0</v>
      </c>
      <c r="G41" s="28">
        <v>1</v>
      </c>
      <c r="H41" s="28">
        <f t="shared" si="6"/>
        <v>2</v>
      </c>
      <c r="I41" s="42">
        <v>0</v>
      </c>
      <c r="J41" s="43">
        <f t="shared" si="7"/>
        <v>0</v>
      </c>
      <c r="K41" s="43">
        <f t="shared" si="8"/>
        <v>0</v>
      </c>
      <c r="L41" s="43">
        <f t="shared" si="9"/>
        <v>0</v>
      </c>
      <c r="M41" s="28"/>
      <c r="N41" s="32">
        <f>(J41*'Base Data'!$C$5)+(K41*'Base Data'!$C$6)+(L41*'Base Data'!$C$7)</f>
        <v>0</v>
      </c>
      <c r="O41" s="32">
        <v>0</v>
      </c>
      <c r="P41" s="43">
        <f t="shared" si="10"/>
        <v>0</v>
      </c>
      <c r="Q41" s="122" t="s">
        <v>314</v>
      </c>
      <c r="R41" s="213"/>
    </row>
    <row r="42" spans="1:18" s="4" customFormat="1" ht="9">
      <c r="A42" s="123" t="s">
        <v>270</v>
      </c>
      <c r="B42" s="28">
        <v>2</v>
      </c>
      <c r="C42" s="28">
        <v>0</v>
      </c>
      <c r="D42" s="32">
        <v>0</v>
      </c>
      <c r="E42" s="32">
        <v>0</v>
      </c>
      <c r="F42" s="32">
        <v>0</v>
      </c>
      <c r="G42" s="28">
        <v>2</v>
      </c>
      <c r="H42" s="28">
        <f t="shared" si="6"/>
        <v>4</v>
      </c>
      <c r="I42" s="42">
        <v>0</v>
      </c>
      <c r="J42" s="43">
        <f t="shared" si="7"/>
        <v>0</v>
      </c>
      <c r="K42" s="43">
        <f t="shared" si="8"/>
        <v>0</v>
      </c>
      <c r="L42" s="43">
        <f t="shared" si="9"/>
        <v>0</v>
      </c>
      <c r="M42" s="28">
        <f>C42*G42*I42</f>
        <v>0</v>
      </c>
      <c r="N42" s="32">
        <f>(J42*'Base Data'!$C$5)+(K42*'Base Data'!$C$6)+(L42*'Base Data'!$C$7)</f>
        <v>0</v>
      </c>
      <c r="O42" s="32">
        <v>0</v>
      </c>
      <c r="P42" s="43">
        <f t="shared" si="10"/>
        <v>0</v>
      </c>
      <c r="Q42" s="122" t="s">
        <v>215</v>
      </c>
      <c r="R42" s="213"/>
    </row>
    <row r="43" spans="1:18" s="4" customFormat="1" ht="9">
      <c r="A43" s="123" t="s">
        <v>271</v>
      </c>
      <c r="B43" s="28">
        <v>0.5</v>
      </c>
      <c r="C43" s="28"/>
      <c r="D43" s="32">
        <v>0</v>
      </c>
      <c r="E43" s="32">
        <v>0</v>
      </c>
      <c r="F43" s="32">
        <v>0</v>
      </c>
      <c r="G43" s="28">
        <v>12</v>
      </c>
      <c r="H43" s="28">
        <f t="shared" si="6"/>
        <v>6</v>
      </c>
      <c r="I43" s="42">
        <v>0</v>
      </c>
      <c r="J43" s="43">
        <f t="shared" si="7"/>
        <v>0</v>
      </c>
      <c r="K43" s="43">
        <f t="shared" si="8"/>
        <v>0</v>
      </c>
      <c r="L43" s="43">
        <f t="shared" si="9"/>
        <v>0</v>
      </c>
      <c r="M43" s="28"/>
      <c r="N43" s="32">
        <f>(J43*'Base Data'!$C$5)+(K43*'Base Data'!$C$6)+(L43*'Base Data'!$C$7)</f>
        <v>0</v>
      </c>
      <c r="O43" s="32">
        <v>0</v>
      </c>
      <c r="P43" s="43">
        <f t="shared" si="10"/>
        <v>0</v>
      </c>
      <c r="Q43" s="122" t="s">
        <v>314</v>
      </c>
      <c r="R43" s="213"/>
    </row>
    <row r="44" spans="1:18" s="4" customFormat="1" ht="9">
      <c r="A44" s="121" t="s">
        <v>255</v>
      </c>
      <c r="B44" s="28" t="s">
        <v>264</v>
      </c>
      <c r="C44" s="28"/>
      <c r="D44" s="32"/>
      <c r="E44" s="32"/>
      <c r="F44" s="32"/>
      <c r="G44" s="28"/>
      <c r="H44" s="28"/>
      <c r="I44" s="42"/>
      <c r="J44" s="43"/>
      <c r="K44" s="43"/>
      <c r="L44" s="43"/>
      <c r="M44" s="28"/>
      <c r="N44" s="32"/>
      <c r="O44" s="32"/>
      <c r="P44" s="32"/>
      <c r="Q44" s="122"/>
      <c r="R44" s="213"/>
    </row>
    <row r="45" spans="1:18" s="4" customFormat="1" ht="9">
      <c r="A45" s="121" t="s">
        <v>256</v>
      </c>
      <c r="B45" s="28" t="s">
        <v>264</v>
      </c>
      <c r="C45" s="28"/>
      <c r="D45" s="32"/>
      <c r="E45" s="32"/>
      <c r="F45" s="32"/>
      <c r="G45" s="28"/>
      <c r="H45" s="28"/>
      <c r="I45" s="43"/>
      <c r="J45" s="43"/>
      <c r="K45" s="43"/>
      <c r="L45" s="43"/>
      <c r="M45" s="28"/>
      <c r="N45" s="32"/>
      <c r="O45" s="32"/>
      <c r="P45" s="32"/>
      <c r="Q45" s="122"/>
      <c r="R45" s="213"/>
    </row>
    <row r="46" spans="1:18" s="4" customFormat="1" ht="9.75" thickBot="1">
      <c r="A46" s="230" t="s">
        <v>26</v>
      </c>
      <c r="B46" s="231"/>
      <c r="C46" s="231"/>
      <c r="D46" s="139"/>
      <c r="E46" s="139"/>
      <c r="F46" s="139"/>
      <c r="G46" s="231"/>
      <c r="H46" s="231"/>
      <c r="I46" s="138"/>
      <c r="J46" s="138">
        <f t="shared" ref="J46:P46" si="11">SUM(J19:J22,J34:J45)</f>
        <v>0</v>
      </c>
      <c r="K46" s="138">
        <f t="shared" si="11"/>
        <v>0</v>
      </c>
      <c r="L46" s="138">
        <f t="shared" si="11"/>
        <v>0</v>
      </c>
      <c r="M46" s="138">
        <f t="shared" si="11"/>
        <v>0</v>
      </c>
      <c r="N46" s="139">
        <f t="shared" si="11"/>
        <v>0</v>
      </c>
      <c r="O46" s="139">
        <f t="shared" si="11"/>
        <v>0</v>
      </c>
      <c r="P46" s="138">
        <f t="shared" si="11"/>
        <v>0</v>
      </c>
      <c r="Q46" s="232"/>
      <c r="R46" s="213"/>
    </row>
    <row r="47" spans="1:18" s="2" customFormat="1" ht="12" thickBot="1">
      <c r="A47" s="131" t="s">
        <v>236</v>
      </c>
      <c r="B47" s="132"/>
      <c r="C47" s="132"/>
      <c r="D47" s="132"/>
      <c r="E47" s="132"/>
      <c r="F47" s="133"/>
      <c r="G47" s="132"/>
      <c r="H47" s="132"/>
      <c r="I47" s="134"/>
      <c r="J47" s="135">
        <f>J32+J46</f>
        <v>84840</v>
      </c>
      <c r="K47" s="135">
        <f>K32+K46</f>
        <v>8484</v>
      </c>
      <c r="L47" s="135">
        <f t="shared" ref="L47:P47" si="12">L32+L46</f>
        <v>4242</v>
      </c>
      <c r="M47" s="135">
        <f t="shared" si="12"/>
        <v>0</v>
      </c>
      <c r="N47" s="136">
        <f t="shared" si="12"/>
        <v>9228683.0999999996</v>
      </c>
      <c r="O47" s="136">
        <f t="shared" si="12"/>
        <v>0</v>
      </c>
      <c r="P47" s="135">
        <f t="shared" si="12"/>
        <v>2020</v>
      </c>
      <c r="Q47" s="137"/>
    </row>
    <row r="48" spans="1:18" ht="6" customHeight="1">
      <c r="A48" s="73"/>
      <c r="B48" s="34"/>
      <c r="C48" s="34"/>
      <c r="D48" s="34"/>
      <c r="E48" s="34"/>
      <c r="F48" s="34"/>
      <c r="G48" s="34"/>
      <c r="H48" s="34"/>
      <c r="I48" s="35"/>
      <c r="J48" s="34"/>
      <c r="K48" s="34"/>
      <c r="L48" s="34"/>
      <c r="M48" s="34"/>
      <c r="N48" s="34"/>
      <c r="O48" s="355"/>
      <c r="P48" s="355"/>
      <c r="Q48" s="34"/>
    </row>
    <row r="49" spans="1:17" s="9" customFormat="1" ht="9">
      <c r="A49" s="33" t="s">
        <v>19</v>
      </c>
      <c r="B49" s="36"/>
      <c r="C49" s="36"/>
      <c r="D49" s="36"/>
      <c r="E49" s="36"/>
      <c r="F49" s="36"/>
      <c r="G49" s="36"/>
      <c r="H49" s="36"/>
      <c r="I49" s="37"/>
      <c r="J49" s="36"/>
      <c r="K49" s="36"/>
      <c r="L49" s="36"/>
      <c r="M49" s="36"/>
      <c r="N49" s="36"/>
      <c r="O49" s="356"/>
      <c r="P49" s="356"/>
      <c r="Q49" s="36"/>
    </row>
    <row r="50" spans="1:17" s="9" customFormat="1" ht="18" customHeight="1">
      <c r="A50" s="404" t="s">
        <v>28</v>
      </c>
      <c r="B50" s="404"/>
      <c r="C50" s="404"/>
      <c r="D50" s="404"/>
      <c r="E50" s="404"/>
      <c r="F50" s="404"/>
      <c r="G50" s="404"/>
      <c r="H50" s="404"/>
      <c r="I50" s="404"/>
      <c r="J50" s="404"/>
      <c r="K50" s="404"/>
      <c r="L50" s="404"/>
      <c r="M50" s="404"/>
      <c r="N50" s="404"/>
      <c r="O50" s="357"/>
      <c r="P50" s="357"/>
      <c r="Q50" s="36"/>
    </row>
    <row r="51" spans="1:17" s="9" customFormat="1" ht="27.75" customHeight="1">
      <c r="A51" s="404" t="s">
        <v>16</v>
      </c>
      <c r="B51" s="404"/>
      <c r="C51" s="404"/>
      <c r="D51" s="404"/>
      <c r="E51" s="404"/>
      <c r="F51" s="404"/>
      <c r="G51" s="404"/>
      <c r="H51" s="404"/>
      <c r="I51" s="404"/>
      <c r="J51" s="404"/>
      <c r="K51" s="404"/>
      <c r="L51" s="404"/>
      <c r="M51" s="404"/>
      <c r="N51" s="404"/>
      <c r="O51" s="357"/>
      <c r="P51" s="357"/>
      <c r="Q51" s="34"/>
    </row>
    <row r="52" spans="1:17" s="9" customFormat="1" ht="18.75" customHeight="1">
      <c r="A52" s="404" t="s">
        <v>41</v>
      </c>
      <c r="B52" s="404"/>
      <c r="C52" s="404"/>
      <c r="D52" s="404"/>
      <c r="E52" s="404"/>
      <c r="F52" s="404"/>
      <c r="G52" s="404"/>
      <c r="H52" s="404"/>
      <c r="I52" s="404"/>
      <c r="J52" s="404"/>
      <c r="K52" s="404"/>
      <c r="L52" s="404"/>
      <c r="M52" s="404"/>
      <c r="N52" s="404"/>
      <c r="O52" s="404"/>
      <c r="P52" s="404"/>
      <c r="Q52" s="404"/>
    </row>
    <row r="53" spans="1:17" s="9" customFormat="1" ht="9">
      <c r="A53" s="33" t="s">
        <v>274</v>
      </c>
      <c r="B53" s="36"/>
      <c r="C53" s="36"/>
      <c r="D53" s="36"/>
      <c r="E53" s="36"/>
      <c r="F53" s="36"/>
      <c r="G53" s="36"/>
      <c r="H53" s="37"/>
      <c r="I53" s="36"/>
      <c r="J53" s="36"/>
      <c r="K53" s="36"/>
      <c r="L53" s="36"/>
      <c r="M53" s="36"/>
      <c r="N53" s="36"/>
      <c r="O53" s="356"/>
      <c r="P53" s="356"/>
      <c r="Q53" s="36"/>
    </row>
    <row r="54" spans="1:17" s="9" customFormat="1" ht="9">
      <c r="A54" s="404" t="s">
        <v>311</v>
      </c>
      <c r="B54" s="404"/>
      <c r="C54" s="404"/>
      <c r="D54" s="404"/>
      <c r="E54" s="404"/>
      <c r="F54" s="404"/>
      <c r="G54" s="404"/>
      <c r="H54" s="404"/>
      <c r="I54" s="404"/>
      <c r="J54" s="404"/>
      <c r="K54" s="404"/>
      <c r="L54" s="404"/>
      <c r="M54" s="404"/>
      <c r="N54" s="36"/>
      <c r="O54" s="356"/>
      <c r="P54" s="356"/>
      <c r="Q54" s="36"/>
    </row>
    <row r="55" spans="1:17" s="9" customFormat="1" ht="9">
      <c r="A55" s="33" t="s">
        <v>312</v>
      </c>
      <c r="B55" s="36"/>
      <c r="C55" s="36"/>
      <c r="D55" s="36"/>
      <c r="E55" s="36"/>
      <c r="F55" s="36"/>
      <c r="G55" s="36"/>
      <c r="H55" s="36"/>
      <c r="I55" s="37"/>
      <c r="J55" s="36"/>
      <c r="K55" s="36"/>
      <c r="L55" s="36"/>
      <c r="M55" s="36"/>
      <c r="N55" s="36"/>
      <c r="O55" s="356"/>
      <c r="P55" s="356"/>
      <c r="Q55" s="36"/>
    </row>
    <row r="56" spans="1:17" s="9" customFormat="1" ht="9">
      <c r="A56" s="33" t="s">
        <v>313</v>
      </c>
      <c r="B56" s="36"/>
      <c r="C56" s="36"/>
      <c r="D56" s="36"/>
      <c r="E56" s="36"/>
      <c r="F56" s="36"/>
      <c r="G56" s="36"/>
      <c r="H56" s="36"/>
      <c r="I56" s="37"/>
      <c r="J56" s="36"/>
      <c r="K56" s="36"/>
      <c r="L56" s="36"/>
      <c r="M56" s="36"/>
      <c r="N56" s="36"/>
      <c r="O56" s="356"/>
      <c r="P56" s="356"/>
      <c r="Q56" s="36"/>
    </row>
    <row r="57" spans="1:17" s="9" customFormat="1" ht="9">
      <c r="A57" s="33" t="s">
        <v>319</v>
      </c>
      <c r="B57" s="33"/>
      <c r="C57" s="33"/>
      <c r="D57" s="33"/>
      <c r="E57" s="33"/>
      <c r="F57" s="33"/>
      <c r="G57" s="33"/>
      <c r="H57" s="33"/>
      <c r="I57" s="33"/>
      <c r="J57" s="33"/>
      <c r="K57" s="33"/>
      <c r="L57" s="33"/>
      <c r="M57" s="33"/>
      <c r="N57" s="33"/>
      <c r="O57" s="33"/>
      <c r="P57" s="33"/>
      <c r="Q57" s="33"/>
    </row>
    <row r="58" spans="1:17" s="9" customFormat="1" ht="9">
      <c r="B58" s="10"/>
      <c r="C58" s="10"/>
      <c r="D58" s="10"/>
      <c r="E58" s="10"/>
      <c r="F58" s="10"/>
      <c r="G58" s="10"/>
      <c r="H58" s="10"/>
      <c r="I58" s="11"/>
      <c r="J58" s="10"/>
      <c r="K58" s="10"/>
      <c r="L58" s="10"/>
      <c r="M58" s="10"/>
      <c r="N58" s="10"/>
      <c r="O58" s="12"/>
      <c r="P58" s="12"/>
      <c r="Q58" s="10"/>
    </row>
    <row r="59" spans="1:17" s="9" customFormat="1" ht="9">
      <c r="B59" s="10"/>
      <c r="C59" s="10"/>
      <c r="D59" s="10"/>
      <c r="E59" s="10"/>
      <c r="F59" s="10"/>
      <c r="G59" s="10"/>
      <c r="H59" s="10"/>
      <c r="I59" s="11"/>
      <c r="J59" s="10"/>
      <c r="K59" s="10"/>
      <c r="L59" s="10"/>
      <c r="M59" s="10"/>
      <c r="N59" s="10"/>
      <c r="O59" s="12"/>
      <c r="P59" s="12"/>
      <c r="Q59" s="10"/>
    </row>
    <row r="60" spans="1:17" s="9" customFormat="1" ht="9">
      <c r="B60" s="10"/>
      <c r="C60" s="10"/>
      <c r="D60" s="10"/>
      <c r="E60" s="10"/>
      <c r="F60" s="10"/>
      <c r="G60" s="10"/>
      <c r="H60" s="10"/>
      <c r="I60" s="11"/>
      <c r="J60" s="10"/>
      <c r="K60" s="10"/>
      <c r="L60" s="10"/>
      <c r="M60" s="10"/>
      <c r="N60" s="10"/>
      <c r="O60" s="12"/>
      <c r="P60" s="12"/>
      <c r="Q60" s="10"/>
    </row>
    <row r="61" spans="1:17" s="9" customFormat="1" ht="9">
      <c r="B61" s="10"/>
      <c r="C61" s="10"/>
      <c r="D61" s="10"/>
      <c r="E61" s="10"/>
      <c r="F61" s="10"/>
      <c r="G61" s="10"/>
      <c r="H61" s="10"/>
      <c r="I61" s="11"/>
      <c r="J61" s="10"/>
      <c r="K61" s="10"/>
      <c r="L61" s="10"/>
      <c r="M61" s="10"/>
      <c r="N61" s="10"/>
      <c r="O61" s="12"/>
      <c r="P61" s="12"/>
      <c r="Q61" s="10"/>
    </row>
    <row r="62" spans="1:17" s="9" customFormat="1" ht="9">
      <c r="B62" s="10"/>
      <c r="C62" s="10"/>
      <c r="D62" s="10"/>
      <c r="E62" s="10"/>
      <c r="F62" s="10"/>
      <c r="G62" s="10"/>
      <c r="H62" s="10"/>
      <c r="I62" s="11"/>
      <c r="J62" s="10"/>
      <c r="K62" s="10"/>
      <c r="L62" s="10"/>
      <c r="M62" s="10"/>
      <c r="N62" s="10"/>
      <c r="O62" s="12"/>
      <c r="P62" s="12"/>
      <c r="Q62" s="10"/>
    </row>
    <row r="63" spans="1:17" s="9" customFormat="1" ht="9">
      <c r="B63" s="10"/>
      <c r="C63" s="10"/>
      <c r="D63" s="10"/>
      <c r="E63" s="10"/>
      <c r="F63" s="10"/>
      <c r="G63" s="10"/>
      <c r="H63" s="10"/>
      <c r="I63" s="11"/>
      <c r="J63" s="10"/>
      <c r="K63" s="10"/>
      <c r="L63" s="10"/>
      <c r="M63" s="10"/>
      <c r="N63" s="10"/>
      <c r="O63" s="12"/>
      <c r="P63" s="12"/>
      <c r="Q63" s="10"/>
    </row>
    <row r="64" spans="1:17" s="9" customFormat="1" ht="9">
      <c r="B64" s="10"/>
      <c r="C64" s="10"/>
      <c r="D64" s="10"/>
      <c r="E64" s="10"/>
      <c r="F64" s="10"/>
      <c r="G64" s="10"/>
      <c r="H64" s="10"/>
      <c r="I64" s="11"/>
      <c r="J64" s="10"/>
      <c r="K64" s="10"/>
      <c r="L64" s="10"/>
      <c r="M64" s="10"/>
      <c r="N64" s="10"/>
      <c r="O64" s="12"/>
      <c r="P64" s="12"/>
      <c r="Q64" s="10"/>
    </row>
    <row r="65" spans="2:17" s="9" customFormat="1" ht="9">
      <c r="B65" s="10"/>
      <c r="C65" s="10"/>
      <c r="D65" s="10"/>
      <c r="E65" s="10"/>
      <c r="F65" s="10"/>
      <c r="G65" s="10"/>
      <c r="H65" s="10"/>
      <c r="I65" s="11"/>
      <c r="J65" s="10"/>
      <c r="K65" s="10"/>
      <c r="L65" s="10"/>
      <c r="M65" s="10"/>
      <c r="N65" s="10"/>
      <c r="O65" s="12"/>
      <c r="P65" s="12"/>
      <c r="Q65" s="10"/>
    </row>
    <row r="66" spans="2:17" s="9" customFormat="1" ht="9">
      <c r="B66" s="10"/>
      <c r="C66" s="10"/>
      <c r="D66" s="10"/>
      <c r="E66" s="10"/>
      <c r="F66" s="10"/>
      <c r="G66" s="10"/>
      <c r="H66" s="10"/>
      <c r="I66" s="11"/>
      <c r="J66" s="10"/>
      <c r="K66" s="10"/>
      <c r="L66" s="10"/>
      <c r="M66" s="10"/>
      <c r="N66" s="10"/>
      <c r="O66" s="12"/>
      <c r="P66" s="12"/>
      <c r="Q66" s="10"/>
    </row>
    <row r="67" spans="2:17" s="9" customFormat="1" ht="9">
      <c r="B67" s="10"/>
      <c r="C67" s="10"/>
      <c r="D67" s="10"/>
      <c r="E67" s="10"/>
      <c r="F67" s="10"/>
      <c r="G67" s="10"/>
      <c r="H67" s="10"/>
      <c r="I67" s="11"/>
      <c r="J67" s="10"/>
      <c r="K67" s="10"/>
      <c r="L67" s="10"/>
      <c r="M67" s="10"/>
      <c r="N67" s="10"/>
      <c r="O67" s="12"/>
      <c r="P67" s="12"/>
      <c r="Q67" s="10"/>
    </row>
    <row r="68" spans="2:17" s="9" customFormat="1" ht="9">
      <c r="B68" s="10"/>
      <c r="C68" s="10"/>
      <c r="D68" s="10"/>
      <c r="E68" s="10"/>
      <c r="F68" s="10"/>
      <c r="G68" s="10"/>
      <c r="H68" s="10"/>
      <c r="I68" s="11"/>
      <c r="J68" s="10"/>
      <c r="K68" s="10"/>
      <c r="L68" s="10"/>
      <c r="M68" s="10"/>
      <c r="N68" s="10"/>
      <c r="O68" s="12"/>
      <c r="P68" s="12"/>
      <c r="Q68" s="10"/>
    </row>
    <row r="69" spans="2:17" s="9" customFormat="1" ht="9">
      <c r="B69" s="10"/>
      <c r="C69" s="10"/>
      <c r="D69" s="10"/>
      <c r="E69" s="10"/>
      <c r="F69" s="10"/>
      <c r="G69" s="10"/>
      <c r="H69" s="10"/>
      <c r="I69" s="11"/>
      <c r="J69" s="10"/>
      <c r="K69" s="10"/>
      <c r="L69" s="10"/>
      <c r="M69" s="10"/>
      <c r="N69" s="10"/>
      <c r="O69" s="12"/>
      <c r="P69" s="12"/>
      <c r="Q69" s="10"/>
    </row>
    <row r="70" spans="2:17" s="9" customFormat="1" ht="9">
      <c r="B70" s="10"/>
      <c r="C70" s="10"/>
      <c r="D70" s="10"/>
      <c r="E70" s="10"/>
      <c r="F70" s="10"/>
      <c r="G70" s="10"/>
      <c r="H70" s="10"/>
      <c r="I70" s="11"/>
      <c r="J70" s="10"/>
      <c r="K70" s="10"/>
      <c r="L70" s="10"/>
      <c r="M70" s="10"/>
      <c r="N70" s="10"/>
      <c r="O70" s="12"/>
      <c r="P70" s="12"/>
      <c r="Q70" s="10"/>
    </row>
    <row r="71" spans="2:17" s="9" customFormat="1" ht="9">
      <c r="B71" s="10"/>
      <c r="C71" s="10"/>
      <c r="D71" s="10"/>
      <c r="E71" s="10"/>
      <c r="F71" s="10"/>
      <c r="G71" s="10"/>
      <c r="H71" s="10"/>
      <c r="I71" s="11"/>
      <c r="J71" s="10"/>
      <c r="K71" s="10"/>
      <c r="L71" s="10"/>
      <c r="M71" s="10"/>
      <c r="N71" s="10"/>
      <c r="O71" s="12"/>
      <c r="P71" s="12"/>
      <c r="Q71" s="10"/>
    </row>
    <row r="72" spans="2:17" s="9" customFormat="1" ht="9">
      <c r="B72" s="10"/>
      <c r="C72" s="10"/>
      <c r="D72" s="10"/>
      <c r="E72" s="10"/>
      <c r="F72" s="10"/>
      <c r="G72" s="10"/>
      <c r="H72" s="10"/>
      <c r="I72" s="11"/>
      <c r="J72" s="10"/>
      <c r="K72" s="10"/>
      <c r="L72" s="10"/>
      <c r="M72" s="10"/>
      <c r="N72" s="10"/>
      <c r="O72" s="12"/>
      <c r="P72" s="12"/>
      <c r="Q72" s="10"/>
    </row>
    <row r="73" spans="2:17" s="9" customFormat="1" ht="9">
      <c r="B73" s="10"/>
      <c r="C73" s="10"/>
      <c r="D73" s="10"/>
      <c r="E73" s="10"/>
      <c r="F73" s="10"/>
      <c r="G73" s="10"/>
      <c r="H73" s="10"/>
      <c r="I73" s="11"/>
      <c r="J73" s="10"/>
      <c r="K73" s="10"/>
      <c r="L73" s="10"/>
      <c r="M73" s="10"/>
      <c r="N73" s="10"/>
      <c r="O73" s="12"/>
      <c r="P73" s="12"/>
      <c r="Q73" s="10"/>
    </row>
    <row r="74" spans="2:17" s="9" customFormat="1" ht="9">
      <c r="B74" s="10"/>
      <c r="C74" s="10"/>
      <c r="D74" s="10"/>
      <c r="E74" s="10"/>
      <c r="F74" s="10"/>
      <c r="G74" s="10"/>
      <c r="H74" s="10"/>
      <c r="I74" s="11"/>
      <c r="J74" s="10"/>
      <c r="K74" s="10"/>
      <c r="L74" s="10"/>
      <c r="M74" s="10"/>
      <c r="N74" s="10"/>
      <c r="O74" s="12"/>
      <c r="P74" s="12"/>
      <c r="Q74" s="10"/>
    </row>
    <row r="75" spans="2:17" s="9" customFormat="1" ht="9">
      <c r="B75" s="10"/>
      <c r="C75" s="10"/>
      <c r="D75" s="10"/>
      <c r="E75" s="10"/>
      <c r="F75" s="10"/>
      <c r="G75" s="10"/>
      <c r="H75" s="10"/>
      <c r="I75" s="11"/>
      <c r="J75" s="10"/>
      <c r="K75" s="10"/>
      <c r="L75" s="10"/>
      <c r="M75" s="10"/>
      <c r="N75" s="10"/>
      <c r="O75" s="12"/>
      <c r="P75" s="12"/>
      <c r="Q75" s="10"/>
    </row>
    <row r="76" spans="2:17" s="9" customFormat="1" ht="9">
      <c r="B76" s="10"/>
      <c r="C76" s="10"/>
      <c r="D76" s="10"/>
      <c r="E76" s="10"/>
      <c r="F76" s="10"/>
      <c r="G76" s="10"/>
      <c r="H76" s="10"/>
      <c r="I76" s="11"/>
      <c r="J76" s="10"/>
      <c r="K76" s="10"/>
      <c r="L76" s="10"/>
      <c r="M76" s="10"/>
      <c r="N76" s="10"/>
      <c r="O76" s="12"/>
      <c r="P76" s="12"/>
      <c r="Q76" s="10"/>
    </row>
    <row r="77" spans="2:17" s="9" customFormat="1" ht="9">
      <c r="B77" s="10"/>
      <c r="C77" s="10"/>
      <c r="D77" s="10"/>
      <c r="E77" s="10"/>
      <c r="F77" s="10"/>
      <c r="G77" s="10"/>
      <c r="H77" s="10"/>
      <c r="I77" s="11"/>
      <c r="J77" s="10"/>
      <c r="K77" s="10"/>
      <c r="L77" s="10"/>
      <c r="M77" s="10"/>
      <c r="N77" s="10"/>
      <c r="O77" s="12"/>
      <c r="P77" s="12"/>
      <c r="Q77" s="10"/>
    </row>
    <row r="78" spans="2:17" s="9" customFormat="1" ht="9">
      <c r="B78" s="10"/>
      <c r="C78" s="10"/>
      <c r="D78" s="10"/>
      <c r="E78" s="10"/>
      <c r="F78" s="10"/>
      <c r="G78" s="10"/>
      <c r="H78" s="10"/>
      <c r="I78" s="11"/>
      <c r="J78" s="10"/>
      <c r="K78" s="10"/>
      <c r="L78" s="10"/>
      <c r="M78" s="10"/>
      <c r="N78" s="10"/>
      <c r="O78" s="12"/>
      <c r="P78" s="12"/>
      <c r="Q78" s="10"/>
    </row>
    <row r="79" spans="2:17" s="9" customFormat="1" ht="9">
      <c r="B79" s="10"/>
      <c r="C79" s="10"/>
      <c r="D79" s="10"/>
      <c r="E79" s="10"/>
      <c r="F79" s="10"/>
      <c r="G79" s="10"/>
      <c r="H79" s="10"/>
      <c r="I79" s="11"/>
      <c r="J79" s="10"/>
      <c r="K79" s="10"/>
      <c r="L79" s="10"/>
      <c r="M79" s="10"/>
      <c r="N79" s="10"/>
      <c r="O79" s="12"/>
      <c r="P79" s="12"/>
      <c r="Q79" s="10"/>
    </row>
    <row r="80" spans="2:17" s="9" customFormat="1" ht="9">
      <c r="B80" s="10"/>
      <c r="C80" s="10"/>
      <c r="D80" s="10"/>
      <c r="E80" s="10"/>
      <c r="F80" s="10"/>
      <c r="G80" s="10"/>
      <c r="H80" s="10"/>
      <c r="I80" s="11"/>
      <c r="J80" s="10"/>
      <c r="K80" s="10"/>
      <c r="L80" s="10"/>
      <c r="M80" s="10"/>
      <c r="N80" s="10"/>
      <c r="O80" s="12"/>
      <c r="P80" s="12"/>
      <c r="Q80" s="10"/>
    </row>
    <row r="81" spans="2:17" s="9" customFormat="1" ht="9">
      <c r="B81" s="10"/>
      <c r="C81" s="10"/>
      <c r="D81" s="10"/>
      <c r="E81" s="10"/>
      <c r="F81" s="10"/>
      <c r="G81" s="10"/>
      <c r="H81" s="10"/>
      <c r="I81" s="11"/>
      <c r="J81" s="10"/>
      <c r="K81" s="10"/>
      <c r="L81" s="10"/>
      <c r="M81" s="10"/>
      <c r="N81" s="10"/>
      <c r="O81" s="12"/>
      <c r="P81" s="12"/>
      <c r="Q81" s="10"/>
    </row>
    <row r="82" spans="2:17" s="9" customFormat="1" ht="9">
      <c r="B82" s="10"/>
      <c r="C82" s="10"/>
      <c r="D82" s="10"/>
      <c r="E82" s="10"/>
      <c r="F82" s="10"/>
      <c r="G82" s="10"/>
      <c r="H82" s="10"/>
      <c r="I82" s="11"/>
      <c r="J82" s="10"/>
      <c r="K82" s="10"/>
      <c r="L82" s="10"/>
      <c r="M82" s="10"/>
      <c r="N82" s="10"/>
      <c r="O82" s="12"/>
      <c r="P82" s="12"/>
      <c r="Q82" s="10"/>
    </row>
    <row r="83" spans="2:17" s="9" customFormat="1" ht="9">
      <c r="B83" s="10"/>
      <c r="C83" s="10"/>
      <c r="D83" s="10"/>
      <c r="E83" s="10"/>
      <c r="F83" s="10"/>
      <c r="G83" s="10"/>
      <c r="H83" s="10"/>
      <c r="I83" s="11"/>
      <c r="J83" s="10"/>
      <c r="K83" s="10"/>
      <c r="L83" s="10"/>
      <c r="M83" s="10"/>
      <c r="N83" s="10"/>
      <c r="O83" s="12"/>
      <c r="P83" s="12"/>
      <c r="Q83" s="10"/>
    </row>
    <row r="84" spans="2:17" s="9" customFormat="1" ht="9">
      <c r="B84" s="10"/>
      <c r="C84" s="10"/>
      <c r="D84" s="10"/>
      <c r="E84" s="10"/>
      <c r="F84" s="10"/>
      <c r="G84" s="10"/>
      <c r="H84" s="10"/>
      <c r="I84" s="11"/>
      <c r="J84" s="10"/>
      <c r="K84" s="10"/>
      <c r="L84" s="10"/>
      <c r="M84" s="10"/>
      <c r="N84" s="10"/>
      <c r="O84" s="12"/>
      <c r="P84" s="12"/>
      <c r="Q84" s="10"/>
    </row>
    <row r="85" spans="2:17" s="9" customFormat="1" ht="9">
      <c r="B85" s="10"/>
      <c r="C85" s="10"/>
      <c r="D85" s="10"/>
      <c r="E85" s="10"/>
      <c r="F85" s="10"/>
      <c r="G85" s="10"/>
      <c r="H85" s="10"/>
      <c r="I85" s="11"/>
      <c r="J85" s="10"/>
      <c r="K85" s="10"/>
      <c r="L85" s="10"/>
      <c r="M85" s="10"/>
      <c r="N85" s="10"/>
      <c r="O85" s="12"/>
      <c r="P85" s="12"/>
      <c r="Q85" s="10"/>
    </row>
    <row r="86" spans="2:17" s="9" customFormat="1" ht="9">
      <c r="B86" s="10"/>
      <c r="C86" s="10"/>
      <c r="D86" s="10"/>
      <c r="E86" s="10"/>
      <c r="F86" s="10"/>
      <c r="G86" s="10"/>
      <c r="H86" s="10"/>
      <c r="I86" s="11"/>
      <c r="J86" s="10"/>
      <c r="K86" s="10"/>
      <c r="L86" s="10"/>
      <c r="M86" s="10"/>
      <c r="N86" s="10"/>
      <c r="O86" s="12"/>
      <c r="P86" s="12"/>
      <c r="Q86" s="10"/>
    </row>
    <row r="87" spans="2:17" s="9" customFormat="1" ht="9">
      <c r="B87" s="10"/>
      <c r="C87" s="10"/>
      <c r="D87" s="10"/>
      <c r="E87" s="10"/>
      <c r="F87" s="10"/>
      <c r="G87" s="10"/>
      <c r="H87" s="10"/>
      <c r="I87" s="11"/>
      <c r="J87" s="10"/>
      <c r="K87" s="10"/>
      <c r="L87" s="10"/>
      <c r="M87" s="10"/>
      <c r="N87" s="10"/>
      <c r="O87" s="12"/>
      <c r="P87" s="12"/>
      <c r="Q87" s="10"/>
    </row>
    <row r="88" spans="2:17" s="9" customFormat="1" ht="9">
      <c r="B88" s="10"/>
      <c r="C88" s="10"/>
      <c r="D88" s="10"/>
      <c r="E88" s="10"/>
      <c r="F88" s="10"/>
      <c r="G88" s="10"/>
      <c r="H88" s="10"/>
      <c r="I88" s="11"/>
      <c r="J88" s="10"/>
      <c r="K88" s="10"/>
      <c r="L88" s="10"/>
      <c r="M88" s="10"/>
      <c r="N88" s="10"/>
      <c r="O88" s="12"/>
      <c r="P88" s="12"/>
      <c r="Q88" s="10"/>
    </row>
    <row r="89" spans="2:17" s="9" customFormat="1" ht="9">
      <c r="B89" s="10"/>
      <c r="C89" s="10"/>
      <c r="D89" s="10"/>
      <c r="E89" s="10"/>
      <c r="F89" s="10"/>
      <c r="G89" s="10"/>
      <c r="H89" s="10"/>
      <c r="I89" s="11"/>
      <c r="J89" s="10"/>
      <c r="K89" s="10"/>
      <c r="L89" s="10"/>
      <c r="M89" s="10"/>
      <c r="N89" s="10"/>
      <c r="O89" s="12"/>
      <c r="P89" s="12"/>
      <c r="Q89" s="10"/>
    </row>
    <row r="90" spans="2:17" s="9" customFormat="1" ht="9">
      <c r="B90" s="10"/>
      <c r="C90" s="10"/>
      <c r="D90" s="10"/>
      <c r="E90" s="10"/>
      <c r="F90" s="10"/>
      <c r="G90" s="10"/>
      <c r="H90" s="10"/>
      <c r="I90" s="11"/>
      <c r="J90" s="10"/>
      <c r="K90" s="10"/>
      <c r="L90" s="10"/>
      <c r="M90" s="10"/>
      <c r="N90" s="10"/>
      <c r="O90" s="12"/>
      <c r="P90" s="12"/>
      <c r="Q90" s="10"/>
    </row>
    <row r="91" spans="2:17">
      <c r="Q91" s="10"/>
    </row>
    <row r="92" spans="2:17">
      <c r="Q92" s="10"/>
    </row>
  </sheetData>
  <mergeCells count="6">
    <mergeCell ref="A54:M54"/>
    <mergeCell ref="A2:Q2"/>
    <mergeCell ref="A1:Q1"/>
    <mergeCell ref="A50:N50"/>
    <mergeCell ref="A51:N51"/>
    <mergeCell ref="A52:Q52"/>
  </mergeCells>
  <phoneticPr fontId="7" type="noConversion"/>
  <pageMargins left="0.25" right="0.25" top="0.5" bottom="0.75" header="0.5" footer="0.5"/>
  <pageSetup scale="76" orientation="landscape"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V156"/>
  <sheetViews>
    <sheetView zoomScaleNormal="100" workbookViewId="0">
      <pane xSplit="1" ySplit="3" topLeftCell="B4" activePane="bottomRight" state="frozen"/>
      <selection activeCell="S1" sqref="S1:S65536"/>
      <selection pane="topRight" activeCell="S1" sqref="S1:S65536"/>
      <selection pane="bottomLeft" activeCell="S1" sqref="S1:S65536"/>
      <selection pane="bottomRight" activeCell="I13" sqref="I13"/>
    </sheetView>
  </sheetViews>
  <sheetFormatPr defaultRowHeight="11.25"/>
  <cols>
    <col min="1" max="1" width="33.7109375" style="1" customWidth="1"/>
    <col min="2" max="2" width="9.7109375" style="5" customWidth="1"/>
    <col min="3" max="3" width="8" style="5" hidden="1" customWidth="1"/>
    <col min="4" max="5" width="9.42578125" style="5" customWidth="1"/>
    <col min="6" max="6" width="7.140625" style="5" customWidth="1"/>
    <col min="7" max="7" width="9.85546875" style="5" customWidth="1"/>
    <col min="8" max="8" width="8.140625" style="5" customWidth="1"/>
    <col min="9" max="9" width="10.140625" style="8" customWidth="1"/>
    <col min="10" max="10" width="7.5703125" style="5" customWidth="1"/>
    <col min="11" max="11" width="7.140625" style="5" customWidth="1"/>
    <col min="12" max="12" width="7.5703125" style="5" customWidth="1"/>
    <col min="13" max="13" width="7.85546875" style="5" hidden="1" customWidth="1"/>
    <col min="14" max="14" width="10.140625" style="5" customWidth="1"/>
    <col min="15" max="16" width="10.140625" style="6" customWidth="1"/>
    <col min="17" max="17" width="5.5703125" style="5" bestFit="1" customWidth="1"/>
    <col min="18" max="18" width="0" style="1" hidden="1" customWidth="1"/>
    <col min="19" max="19" width="7.140625" style="1" hidden="1" customWidth="1"/>
    <col min="20" max="20" width="4.5703125" style="1" customWidth="1"/>
    <col min="21" max="21" width="6" style="1" hidden="1" customWidth="1"/>
    <col min="22" max="22" width="0" style="1" hidden="1" customWidth="1"/>
    <col min="23" max="16384" width="9.140625" style="1"/>
  </cols>
  <sheetData>
    <row r="1" spans="1:22">
      <c r="A1" s="407" t="s">
        <v>232</v>
      </c>
      <c r="B1" s="407"/>
      <c r="C1" s="407"/>
      <c r="D1" s="407"/>
      <c r="E1" s="407"/>
      <c r="F1" s="407"/>
      <c r="G1" s="407"/>
      <c r="H1" s="407"/>
      <c r="I1" s="407"/>
      <c r="J1" s="407"/>
      <c r="K1" s="407"/>
      <c r="L1" s="407"/>
      <c r="M1" s="407"/>
      <c r="N1" s="407"/>
      <c r="O1" s="407"/>
      <c r="P1" s="407"/>
      <c r="Q1" s="407"/>
    </row>
    <row r="2" spans="1:22" ht="12" thickBot="1">
      <c r="A2" s="408" t="s">
        <v>329</v>
      </c>
      <c r="B2" s="408"/>
      <c r="C2" s="408"/>
      <c r="D2" s="408"/>
      <c r="E2" s="408"/>
      <c r="F2" s="408"/>
      <c r="G2" s="408"/>
      <c r="H2" s="408"/>
      <c r="I2" s="408"/>
      <c r="J2" s="408"/>
      <c r="K2" s="408"/>
      <c r="L2" s="408"/>
      <c r="M2" s="408"/>
      <c r="N2" s="408"/>
      <c r="O2" s="408"/>
      <c r="P2" s="408"/>
      <c r="Q2" s="408"/>
    </row>
    <row r="3" spans="1:22" s="3" customFormat="1" ht="63.75" thickBot="1">
      <c r="A3" s="143" t="s">
        <v>229</v>
      </c>
      <c r="B3" s="218" t="s">
        <v>230</v>
      </c>
      <c r="C3" s="218" t="s">
        <v>258</v>
      </c>
      <c r="D3" s="218" t="s">
        <v>21</v>
      </c>
      <c r="E3" s="218" t="s">
        <v>23</v>
      </c>
      <c r="F3" s="218" t="s">
        <v>22</v>
      </c>
      <c r="G3" s="218" t="s">
        <v>336</v>
      </c>
      <c r="H3" s="218" t="s">
        <v>6</v>
      </c>
      <c r="I3" s="145" t="s">
        <v>7</v>
      </c>
      <c r="J3" s="233" t="s">
        <v>11</v>
      </c>
      <c r="K3" s="233" t="s">
        <v>12</v>
      </c>
      <c r="L3" s="233" t="s">
        <v>10</v>
      </c>
      <c r="M3" s="218" t="s">
        <v>228</v>
      </c>
      <c r="N3" s="218" t="s">
        <v>25</v>
      </c>
      <c r="O3" s="233" t="s">
        <v>308</v>
      </c>
      <c r="P3" s="233" t="s">
        <v>309</v>
      </c>
      <c r="Q3" s="354" t="s">
        <v>231</v>
      </c>
      <c r="R3" s="3" t="s">
        <v>86</v>
      </c>
      <c r="S3" s="3" t="s">
        <v>164</v>
      </c>
    </row>
    <row r="4" spans="1:22" s="4" customFormat="1" ht="9">
      <c r="A4" s="234" t="s">
        <v>237</v>
      </c>
      <c r="B4" s="235" t="s">
        <v>264</v>
      </c>
      <c r="C4" s="235"/>
      <c r="D4" s="236"/>
      <c r="E4" s="236"/>
      <c r="F4" s="236"/>
      <c r="G4" s="235"/>
      <c r="H4" s="235"/>
      <c r="I4" s="237"/>
      <c r="J4" s="237"/>
      <c r="K4" s="237"/>
      <c r="L4" s="237"/>
      <c r="M4" s="235"/>
      <c r="N4" s="236"/>
      <c r="O4" s="236"/>
      <c r="P4" s="236"/>
      <c r="Q4" s="229"/>
    </row>
    <row r="5" spans="1:22" s="4" customFormat="1" ht="9">
      <c r="A5" s="121" t="s">
        <v>238</v>
      </c>
      <c r="B5" s="28" t="s">
        <v>264</v>
      </c>
      <c r="C5" s="28"/>
      <c r="D5" s="32"/>
      <c r="E5" s="32"/>
      <c r="F5" s="32"/>
      <c r="G5" s="28"/>
      <c r="H5" s="28"/>
      <c r="I5" s="43"/>
      <c r="J5" s="43"/>
      <c r="K5" s="43"/>
      <c r="L5" s="43"/>
      <c r="M5" s="28"/>
      <c r="N5" s="32"/>
      <c r="O5" s="32"/>
      <c r="P5" s="32"/>
      <c r="Q5" s="122"/>
    </row>
    <row r="6" spans="1:22" s="4" customFormat="1" ht="9">
      <c r="A6" s="121" t="s">
        <v>239</v>
      </c>
      <c r="B6" s="28"/>
      <c r="C6" s="28"/>
      <c r="D6" s="32"/>
      <c r="E6" s="32"/>
      <c r="F6" s="32"/>
      <c r="G6" s="28"/>
      <c r="H6" s="28"/>
      <c r="I6" s="43"/>
      <c r="J6" s="43"/>
      <c r="K6" s="43"/>
      <c r="L6" s="43"/>
      <c r="M6" s="28"/>
      <c r="N6" s="32"/>
      <c r="O6" s="32"/>
      <c r="P6" s="32"/>
      <c r="Q6" s="122"/>
    </row>
    <row r="7" spans="1:22" s="4" customFormat="1" ht="9">
      <c r="A7" s="123" t="s">
        <v>240</v>
      </c>
      <c r="B7" s="28">
        <v>40</v>
      </c>
      <c r="C7" s="28"/>
      <c r="D7" s="32">
        <v>0</v>
      </c>
      <c r="E7" s="32">
        <v>0</v>
      </c>
      <c r="F7" s="32">
        <v>0</v>
      </c>
      <c r="G7" s="28">
        <v>1</v>
      </c>
      <c r="H7" s="28">
        <f>B7*G7</f>
        <v>40</v>
      </c>
      <c r="I7" s="42">
        <v>0</v>
      </c>
      <c r="J7" s="43">
        <f>H7*I7</f>
        <v>0</v>
      </c>
      <c r="K7" s="43">
        <f>J7*0.1</f>
        <v>0</v>
      </c>
      <c r="L7" s="42">
        <f>J7*0.05</f>
        <v>0</v>
      </c>
      <c r="M7" s="28">
        <f>C7*G7*I7</f>
        <v>0</v>
      </c>
      <c r="N7" s="32">
        <f>(J7*'Base Data'!$C$5)+(K7*'Base Data'!$C$6)+(L7*'Base Data'!$C$7)</f>
        <v>0</v>
      </c>
      <c r="O7" s="32">
        <v>0</v>
      </c>
      <c r="P7" s="43">
        <v>0</v>
      </c>
      <c r="Q7" s="122" t="s">
        <v>214</v>
      </c>
    </row>
    <row r="8" spans="1:22" s="4" customFormat="1" ht="9">
      <c r="A8" s="121" t="s">
        <v>241</v>
      </c>
      <c r="B8" s="28"/>
      <c r="C8" s="28"/>
      <c r="D8" s="32"/>
      <c r="E8" s="32"/>
      <c r="F8" s="32"/>
      <c r="G8" s="28"/>
      <c r="H8" s="28"/>
      <c r="I8" s="43"/>
      <c r="J8" s="43"/>
      <c r="K8" s="43"/>
      <c r="L8" s="43"/>
      <c r="M8" s="28"/>
      <c r="N8" s="32"/>
      <c r="O8" s="32"/>
      <c r="P8" s="32"/>
      <c r="Q8" s="122"/>
      <c r="U8" s="15"/>
    </row>
    <row r="9" spans="1:22" s="4" customFormat="1" ht="9">
      <c r="A9" s="123" t="s">
        <v>253</v>
      </c>
      <c r="B9" s="28"/>
      <c r="C9" s="28"/>
      <c r="D9" s="105"/>
      <c r="E9" s="32"/>
      <c r="F9" s="32"/>
      <c r="G9" s="28"/>
      <c r="H9" s="28"/>
      <c r="I9" s="42"/>
      <c r="J9" s="43"/>
      <c r="K9" s="43"/>
      <c r="L9" s="43"/>
      <c r="M9" s="106"/>
      <c r="N9" s="32"/>
      <c r="O9" s="32"/>
      <c r="P9" s="32"/>
      <c r="Q9" s="122"/>
      <c r="U9" s="190">
        <f>I10+I11</f>
        <v>2020</v>
      </c>
    </row>
    <row r="10" spans="1:22" s="4" customFormat="1" ht="9">
      <c r="A10" s="121" t="s">
        <v>35</v>
      </c>
      <c r="B10" s="28">
        <v>20</v>
      </c>
      <c r="C10" s="28"/>
      <c r="D10" s="32">
        <v>18292</v>
      </c>
      <c r="E10" s="32">
        <v>0</v>
      </c>
      <c r="F10" s="32">
        <v>0</v>
      </c>
      <c r="G10" s="28">
        <v>1</v>
      </c>
      <c r="H10" s="28">
        <f t="shared" ref="H10:H17" si="0">B10*G10</f>
        <v>20</v>
      </c>
      <c r="I10" s="42">
        <f>ROUND(SUM('Base Data'!$D$16:$D$17,'Base Data'!$D$19)/2,0)*0.1</f>
        <v>202</v>
      </c>
      <c r="J10" s="43">
        <f>H10*I10</f>
        <v>4040</v>
      </c>
      <c r="K10" s="43">
        <f>J10*0.1</f>
        <v>404</v>
      </c>
      <c r="L10" s="43">
        <f t="shared" ref="L10:L17" si="1">J10*0.05</f>
        <v>202</v>
      </c>
      <c r="M10" s="106">
        <f>C10*G10*I10</f>
        <v>0</v>
      </c>
      <c r="N10" s="32">
        <f>(J10*'Base Data'!$C$5)+(K10*'Base Data'!$C$6)+(L10*'Base Data'!$C$7)</f>
        <v>439461.1</v>
      </c>
      <c r="O10" s="32">
        <f>D10*G10*I10</f>
        <v>3694984</v>
      </c>
      <c r="P10" s="43">
        <v>0</v>
      </c>
      <c r="Q10" s="122" t="s">
        <v>310</v>
      </c>
      <c r="U10" s="4" t="s">
        <v>315</v>
      </c>
      <c r="V10" s="4" t="s">
        <v>305</v>
      </c>
    </row>
    <row r="11" spans="1:22" s="4" customFormat="1" ht="9">
      <c r="A11" s="121" t="s">
        <v>42</v>
      </c>
      <c r="B11" s="28">
        <v>20</v>
      </c>
      <c r="C11" s="28"/>
      <c r="D11" s="32">
        <v>854</v>
      </c>
      <c r="E11" s="32">
        <v>0</v>
      </c>
      <c r="F11" s="32">
        <v>0</v>
      </c>
      <c r="G11" s="28">
        <v>1</v>
      </c>
      <c r="H11" s="28">
        <f t="shared" si="0"/>
        <v>20</v>
      </c>
      <c r="I11" s="42">
        <f>ROUND(SUM('Base Data'!$D$16:$D$17,'Base Data'!$D$19)/2,0)*0.9</f>
        <v>1818</v>
      </c>
      <c r="J11" s="43">
        <f t="shared" ref="J11:J17" si="2">H11*I11</f>
        <v>36360</v>
      </c>
      <c r="K11" s="43">
        <f t="shared" ref="K11:K17" si="3">J11*0.1</f>
        <v>3636</v>
      </c>
      <c r="L11" s="43">
        <f t="shared" si="1"/>
        <v>1818</v>
      </c>
      <c r="M11" s="106">
        <f>C11*G11*I11</f>
        <v>0</v>
      </c>
      <c r="N11" s="32">
        <f>(J11*'Base Data'!$C$5)+(K11*'Base Data'!$C$6)+(L11*'Base Data'!$C$7)</f>
        <v>3955149.9</v>
      </c>
      <c r="O11" s="32">
        <f>D11*G11*I11</f>
        <v>1552572</v>
      </c>
      <c r="P11" s="43">
        <v>0</v>
      </c>
      <c r="Q11" s="122" t="s">
        <v>310</v>
      </c>
      <c r="U11" s="15" t="s">
        <v>315</v>
      </c>
      <c r="V11" s="4" t="s">
        <v>305</v>
      </c>
    </row>
    <row r="12" spans="1:22" s="4" customFormat="1" ht="9">
      <c r="A12" s="123" t="s">
        <v>224</v>
      </c>
      <c r="B12" s="28">
        <v>12</v>
      </c>
      <c r="C12" s="28"/>
      <c r="D12" s="32">
        <v>0</v>
      </c>
      <c r="E12" s="32">
        <v>5000</v>
      </c>
      <c r="F12" s="32">
        <v>0</v>
      </c>
      <c r="G12" s="28">
        <v>1</v>
      </c>
      <c r="H12" s="28">
        <f t="shared" si="0"/>
        <v>12</v>
      </c>
      <c r="I12" s="42">
        <f>ROUND(SUM('Base Data'!$D$19)/2,0)</f>
        <v>287</v>
      </c>
      <c r="J12" s="43">
        <f t="shared" si="2"/>
        <v>3444</v>
      </c>
      <c r="K12" s="43">
        <f t="shared" si="3"/>
        <v>344.40000000000003</v>
      </c>
      <c r="L12" s="43">
        <f t="shared" si="1"/>
        <v>172.20000000000002</v>
      </c>
      <c r="M12" s="106"/>
      <c r="N12" s="32">
        <f>(J12*'Base Data'!$C$5)+(K12*'Base Data'!$C$6)+(L12*'Base Data'!$C$7)</f>
        <v>374629.71</v>
      </c>
      <c r="O12" s="32">
        <f t="shared" ref="O12:O19" si="4">E12*G12*I12</f>
        <v>1435000</v>
      </c>
      <c r="P12" s="43">
        <v>0</v>
      </c>
      <c r="Q12" s="122" t="s">
        <v>314</v>
      </c>
      <c r="U12" s="15" t="s">
        <v>315</v>
      </c>
      <c r="V12" s="4" t="s">
        <v>306</v>
      </c>
    </row>
    <row r="13" spans="1:22" s="4" customFormat="1" ht="9">
      <c r="A13" s="123" t="s">
        <v>304</v>
      </c>
      <c r="B13" s="28">
        <v>12</v>
      </c>
      <c r="C13" s="28"/>
      <c r="D13" s="32">
        <v>0</v>
      </c>
      <c r="E13" s="32">
        <v>6000</v>
      </c>
      <c r="F13" s="32">
        <v>0</v>
      </c>
      <c r="G13" s="28">
        <v>1</v>
      </c>
      <c r="H13" s="28">
        <f t="shared" si="0"/>
        <v>12</v>
      </c>
      <c r="I13" s="42">
        <f>ROUND(SUM('Base Data'!$D$19)/2,0)</f>
        <v>287</v>
      </c>
      <c r="J13" s="43">
        <f t="shared" si="2"/>
        <v>3444</v>
      </c>
      <c r="K13" s="43">
        <f t="shared" si="3"/>
        <v>344.40000000000003</v>
      </c>
      <c r="L13" s="43">
        <f t="shared" si="1"/>
        <v>172.20000000000002</v>
      </c>
      <c r="M13" s="106"/>
      <c r="N13" s="32">
        <f>(J13*'Base Data'!$C$5)+(K13*'Base Data'!$C$6)+(L13*'Base Data'!$C$7)</f>
        <v>374629.71</v>
      </c>
      <c r="O13" s="32">
        <f t="shared" si="4"/>
        <v>1722000</v>
      </c>
      <c r="P13" s="43">
        <v>0</v>
      </c>
      <c r="Q13" s="122" t="s">
        <v>314</v>
      </c>
      <c r="U13" s="15" t="s">
        <v>315</v>
      </c>
      <c r="V13" s="4" t="s">
        <v>306</v>
      </c>
    </row>
    <row r="14" spans="1:22" s="4" customFormat="1" ht="9">
      <c r="A14" s="123" t="s">
        <v>143</v>
      </c>
      <c r="B14" s="28">
        <v>12</v>
      </c>
      <c r="C14" s="28"/>
      <c r="D14" s="32">
        <v>0</v>
      </c>
      <c r="E14" s="32">
        <v>5000</v>
      </c>
      <c r="F14" s="32">
        <v>0</v>
      </c>
      <c r="G14" s="28">
        <v>1</v>
      </c>
      <c r="H14" s="28">
        <f t="shared" si="0"/>
        <v>12</v>
      </c>
      <c r="I14" s="42">
        <v>0</v>
      </c>
      <c r="J14" s="43">
        <f t="shared" si="2"/>
        <v>0</v>
      </c>
      <c r="K14" s="43">
        <f t="shared" si="3"/>
        <v>0</v>
      </c>
      <c r="L14" s="43">
        <f t="shared" si="1"/>
        <v>0</v>
      </c>
      <c r="M14" s="106"/>
      <c r="N14" s="32">
        <f>(J14*'Base Data'!$C$5)+(K14*'Base Data'!$C$6)+(L14*'Base Data'!$C$7)</f>
        <v>0</v>
      </c>
      <c r="O14" s="32">
        <f t="shared" si="4"/>
        <v>0</v>
      </c>
      <c r="P14" s="43">
        <v>0</v>
      </c>
      <c r="Q14" s="122" t="s">
        <v>314</v>
      </c>
      <c r="U14" s="15"/>
      <c r="V14" s="4" t="s">
        <v>306</v>
      </c>
    </row>
    <row r="15" spans="1:22" s="4" customFormat="1" ht="9">
      <c r="A15" s="123" t="s">
        <v>302</v>
      </c>
      <c r="B15" s="28">
        <v>12</v>
      </c>
      <c r="C15" s="28"/>
      <c r="D15" s="32">
        <v>0</v>
      </c>
      <c r="E15" s="32">
        <v>6000</v>
      </c>
      <c r="F15" s="32">
        <v>0</v>
      </c>
      <c r="G15" s="28">
        <v>1</v>
      </c>
      <c r="H15" s="28">
        <f t="shared" si="0"/>
        <v>12</v>
      </c>
      <c r="I15" s="42">
        <v>0</v>
      </c>
      <c r="J15" s="43">
        <f t="shared" si="2"/>
        <v>0</v>
      </c>
      <c r="K15" s="43">
        <f t="shared" si="3"/>
        <v>0</v>
      </c>
      <c r="L15" s="43">
        <f t="shared" si="1"/>
        <v>0</v>
      </c>
      <c r="M15" s="106"/>
      <c r="N15" s="32">
        <f>(J15*'Base Data'!$C$5)+(K15*'Base Data'!$C$6)+(L15*'Base Data'!$C$7)</f>
        <v>0</v>
      </c>
      <c r="O15" s="32">
        <f t="shared" si="4"/>
        <v>0</v>
      </c>
      <c r="P15" s="43">
        <v>0</v>
      </c>
      <c r="Q15" s="122" t="s">
        <v>314</v>
      </c>
      <c r="U15" s="15"/>
      <c r="V15" s="4" t="s">
        <v>306</v>
      </c>
    </row>
    <row r="16" spans="1:22" s="4" customFormat="1" ht="9">
      <c r="A16" s="123" t="s">
        <v>144</v>
      </c>
      <c r="B16" s="28">
        <v>5</v>
      </c>
      <c r="C16" s="28"/>
      <c r="D16" s="32">
        <v>0</v>
      </c>
      <c r="E16" s="32">
        <v>200</v>
      </c>
      <c r="F16" s="32">
        <v>0</v>
      </c>
      <c r="G16" s="28">
        <v>1</v>
      </c>
      <c r="H16" s="28">
        <f t="shared" si="0"/>
        <v>5</v>
      </c>
      <c r="I16" s="42">
        <v>0</v>
      </c>
      <c r="J16" s="43">
        <f t="shared" si="2"/>
        <v>0</v>
      </c>
      <c r="K16" s="43">
        <f t="shared" si="3"/>
        <v>0</v>
      </c>
      <c r="L16" s="43">
        <f t="shared" si="1"/>
        <v>0</v>
      </c>
      <c r="M16" s="106"/>
      <c r="N16" s="32">
        <f>(J16*'Base Data'!$C$5)+(K16*'Base Data'!$C$6)+(L16*'Base Data'!$C$7)</f>
        <v>0</v>
      </c>
      <c r="O16" s="32">
        <f t="shared" si="4"/>
        <v>0</v>
      </c>
      <c r="P16" s="43">
        <v>0</v>
      </c>
      <c r="Q16" s="122" t="s">
        <v>27</v>
      </c>
      <c r="U16" s="15"/>
      <c r="V16" s="4" t="s">
        <v>306</v>
      </c>
    </row>
    <row r="17" spans="1:22" s="4" customFormat="1" ht="9">
      <c r="A17" s="123" t="s">
        <v>145</v>
      </c>
      <c r="B17" s="28">
        <v>5</v>
      </c>
      <c r="C17" s="28"/>
      <c r="D17" s="32">
        <v>0</v>
      </c>
      <c r="E17" s="32">
        <v>200</v>
      </c>
      <c r="F17" s="32">
        <v>0</v>
      </c>
      <c r="G17" s="28">
        <v>12</v>
      </c>
      <c r="H17" s="28">
        <f t="shared" si="0"/>
        <v>60</v>
      </c>
      <c r="I17" s="42">
        <v>0</v>
      </c>
      <c r="J17" s="43">
        <f t="shared" si="2"/>
        <v>0</v>
      </c>
      <c r="K17" s="43">
        <f t="shared" si="3"/>
        <v>0</v>
      </c>
      <c r="L17" s="43">
        <f t="shared" si="1"/>
        <v>0</v>
      </c>
      <c r="M17" s="106"/>
      <c r="N17" s="32">
        <f>(J17*'Base Data'!$C$5)+(K17*'Base Data'!$C$6)+(L17*'Base Data'!$C$7)</f>
        <v>0</v>
      </c>
      <c r="O17" s="32">
        <f t="shared" si="4"/>
        <v>0</v>
      </c>
      <c r="P17" s="43">
        <v>0</v>
      </c>
      <c r="Q17" s="122" t="s">
        <v>27</v>
      </c>
      <c r="U17" s="15"/>
      <c r="V17" s="4" t="s">
        <v>306</v>
      </c>
    </row>
    <row r="18" spans="1:22" s="4" customFormat="1" ht="9">
      <c r="A18" s="123" t="s">
        <v>146</v>
      </c>
      <c r="B18" s="28"/>
      <c r="C18" s="28"/>
      <c r="D18" s="32"/>
      <c r="E18" s="32"/>
      <c r="F18" s="32"/>
      <c r="G18" s="28"/>
      <c r="H18" s="28"/>
      <c r="I18" s="43"/>
      <c r="J18" s="43"/>
      <c r="K18" s="43"/>
      <c r="L18" s="43"/>
      <c r="M18" s="106"/>
      <c r="N18" s="32"/>
      <c r="O18" s="32"/>
      <c r="P18" s="32"/>
      <c r="Q18" s="122"/>
      <c r="U18" s="15"/>
      <c r="V18" s="4" t="s">
        <v>306</v>
      </c>
    </row>
    <row r="19" spans="1:22" s="4" customFormat="1" ht="9">
      <c r="A19" s="123" t="s">
        <v>262</v>
      </c>
      <c r="B19" s="28">
        <v>40</v>
      </c>
      <c r="C19" s="28"/>
      <c r="D19" s="32">
        <v>0</v>
      </c>
      <c r="E19" s="32">
        <v>0</v>
      </c>
      <c r="F19" s="32">
        <v>0</v>
      </c>
      <c r="G19" s="28">
        <v>1</v>
      </c>
      <c r="H19" s="28">
        <f>B19*G19</f>
        <v>40</v>
      </c>
      <c r="I19" s="42">
        <f>ROUND('Base Data'!H19/2,0)+1</f>
        <v>145</v>
      </c>
      <c r="J19" s="43">
        <f>H19*I19</f>
        <v>5800</v>
      </c>
      <c r="K19" s="43">
        <f>J19*0.1</f>
        <v>580</v>
      </c>
      <c r="L19" s="43">
        <f>J19*0.05</f>
        <v>290</v>
      </c>
      <c r="M19" s="106"/>
      <c r="N19" s="32">
        <f>(J19*'Base Data'!$C$5)+(K19*'Base Data'!$C$6)+(L19*'Base Data'!$C$7)</f>
        <v>630909.5</v>
      </c>
      <c r="O19" s="32">
        <f t="shared" si="4"/>
        <v>0</v>
      </c>
      <c r="P19" s="43">
        <v>0</v>
      </c>
      <c r="Q19" s="122" t="s">
        <v>314</v>
      </c>
      <c r="U19" s="15" t="s">
        <v>316</v>
      </c>
      <c r="V19" s="4" t="s">
        <v>306</v>
      </c>
    </row>
    <row r="20" spans="1:22" s="4" customFormat="1" ht="18">
      <c r="A20" s="123" t="s">
        <v>3</v>
      </c>
      <c r="B20" s="28"/>
      <c r="C20" s="28"/>
      <c r="D20" s="32"/>
      <c r="E20" s="32"/>
      <c r="F20" s="32"/>
      <c r="G20" s="28"/>
      <c r="H20" s="28"/>
      <c r="I20" s="107"/>
      <c r="J20" s="43"/>
      <c r="K20" s="43"/>
      <c r="L20" s="43"/>
      <c r="M20" s="106"/>
      <c r="N20" s="32"/>
      <c r="O20" s="32"/>
      <c r="P20" s="32"/>
      <c r="Q20" s="122"/>
      <c r="U20" s="15"/>
    </row>
    <row r="21" spans="1:22" s="4" customFormat="1" ht="9">
      <c r="A21" s="121" t="s">
        <v>243</v>
      </c>
      <c r="B21" s="28">
        <v>10</v>
      </c>
      <c r="C21" s="28"/>
      <c r="D21" s="32">
        <v>0</v>
      </c>
      <c r="E21" s="32">
        <v>0</v>
      </c>
      <c r="F21" s="32">
        <v>25500</v>
      </c>
      <c r="G21" s="28">
        <v>1</v>
      </c>
      <c r="H21" s="28">
        <f>B21*G21</f>
        <v>10</v>
      </c>
      <c r="I21" s="42">
        <f>ROUND('Base Data'!$C$29/2,0)</f>
        <v>40</v>
      </c>
      <c r="J21" s="43">
        <f>H21*I21</f>
        <v>400</v>
      </c>
      <c r="K21" s="43">
        <f>J21*0.1</f>
        <v>40</v>
      </c>
      <c r="L21" s="43">
        <f>J21*0.05</f>
        <v>20</v>
      </c>
      <c r="M21" s="106"/>
      <c r="N21" s="32">
        <f>(J21*'Base Data'!$C$5)+(K21*'Base Data'!$C$6)+(L21*'Base Data'!$C$7)</f>
        <v>43511</v>
      </c>
      <c r="O21" s="32">
        <f>F21*G21*I21</f>
        <v>1020000</v>
      </c>
      <c r="P21" s="43">
        <v>0</v>
      </c>
      <c r="Q21" s="122" t="s">
        <v>215</v>
      </c>
      <c r="U21" s="15" t="s">
        <v>315</v>
      </c>
      <c r="V21" s="4" t="s">
        <v>306</v>
      </c>
    </row>
    <row r="22" spans="1:22" s="4" customFormat="1" ht="9">
      <c r="A22" s="121" t="s">
        <v>244</v>
      </c>
      <c r="B22" s="28">
        <v>10</v>
      </c>
      <c r="C22" s="28"/>
      <c r="D22" s="32">
        <v>0</v>
      </c>
      <c r="E22" s="32">
        <v>0</v>
      </c>
      <c r="F22" s="32">
        <v>9700</v>
      </c>
      <c r="G22" s="28">
        <v>1</v>
      </c>
      <c r="H22" s="28">
        <f>B22*G22</f>
        <v>10</v>
      </c>
      <c r="I22" s="42">
        <f>ROUND('Base Data'!$C$29/2,0)</f>
        <v>40</v>
      </c>
      <c r="J22" s="43">
        <f>H22*I22</f>
        <v>400</v>
      </c>
      <c r="K22" s="43">
        <f>J22*0.1</f>
        <v>40</v>
      </c>
      <c r="L22" s="43">
        <f>J22*0.05</f>
        <v>20</v>
      </c>
      <c r="M22" s="106"/>
      <c r="N22" s="32">
        <f>(J22*'Base Data'!$C$5)+(K22*'Base Data'!$C$6)+(L22*'Base Data'!$C$7)</f>
        <v>43511</v>
      </c>
      <c r="O22" s="32">
        <f>F22*G22*I22</f>
        <v>388000</v>
      </c>
      <c r="P22" s="43">
        <v>0</v>
      </c>
      <c r="Q22" s="122" t="s">
        <v>215</v>
      </c>
      <c r="U22" s="15" t="s">
        <v>315</v>
      </c>
      <c r="V22" s="4" t="s">
        <v>306</v>
      </c>
    </row>
    <row r="23" spans="1:22" s="4" customFormat="1" ht="9">
      <c r="A23" s="123" t="s">
        <v>303</v>
      </c>
      <c r="B23" s="28">
        <v>12</v>
      </c>
      <c r="C23" s="28"/>
      <c r="D23" s="32">
        <v>0</v>
      </c>
      <c r="E23" s="32">
        <v>2875</v>
      </c>
      <c r="F23" s="32">
        <v>0</v>
      </c>
      <c r="G23" s="28">
        <v>0.5</v>
      </c>
      <c r="H23" s="28">
        <f>B23*G23</f>
        <v>6</v>
      </c>
      <c r="I23" s="43">
        <f>('Base Data'!D16+'Base Data'!D17)/2</f>
        <v>1733</v>
      </c>
      <c r="J23" s="42">
        <f>H23*I23</f>
        <v>10398</v>
      </c>
      <c r="K23" s="42">
        <f>J23*0.1</f>
        <v>1039.8</v>
      </c>
      <c r="L23" s="42">
        <f>J23*0.05</f>
        <v>519.9</v>
      </c>
      <c r="M23" s="43"/>
      <c r="N23" s="32">
        <f>(J23*'Base Data'!$C$5)+(K23*'Base Data'!$C$6)+(L23*'Base Data'!$C$7)</f>
        <v>1131068.4450000001</v>
      </c>
      <c r="O23" s="32">
        <f>F23*G23*I23</f>
        <v>0</v>
      </c>
      <c r="P23" s="43">
        <v>0</v>
      </c>
      <c r="Q23" s="122" t="s">
        <v>151</v>
      </c>
      <c r="R23" s="46"/>
      <c r="T23" s="15"/>
      <c r="U23" s="4" t="s">
        <v>315</v>
      </c>
      <c r="V23" s="4" t="s">
        <v>307</v>
      </c>
    </row>
    <row r="24" spans="1:22" s="4" customFormat="1" ht="9">
      <c r="A24" s="121" t="s">
        <v>245</v>
      </c>
      <c r="B24" s="28" t="s">
        <v>264</v>
      </c>
      <c r="C24" s="28"/>
      <c r="D24" s="32"/>
      <c r="E24" s="32"/>
      <c r="F24" s="32"/>
      <c r="G24" s="28"/>
      <c r="H24" s="28"/>
      <c r="I24" s="43"/>
      <c r="J24" s="43"/>
      <c r="K24" s="43"/>
      <c r="L24" s="43"/>
      <c r="M24" s="28"/>
      <c r="N24" s="32"/>
      <c r="O24" s="32"/>
      <c r="P24" s="32"/>
      <c r="Q24" s="122"/>
      <c r="U24" s="15"/>
    </row>
    <row r="25" spans="1:22" s="4" customFormat="1" ht="9">
      <c r="A25" s="121" t="s">
        <v>246</v>
      </c>
      <c r="B25" s="28" t="s">
        <v>264</v>
      </c>
      <c r="C25" s="28"/>
      <c r="D25" s="32"/>
      <c r="E25" s="32"/>
      <c r="F25" s="32"/>
      <c r="G25" s="28"/>
      <c r="H25" s="28"/>
      <c r="I25" s="43"/>
      <c r="J25" s="43"/>
      <c r="K25" s="43"/>
      <c r="L25" s="43"/>
      <c r="M25" s="28"/>
      <c r="N25" s="32"/>
      <c r="O25" s="32"/>
      <c r="P25" s="32"/>
      <c r="Q25" s="122"/>
    </row>
    <row r="26" spans="1:22" s="4" customFormat="1" ht="9">
      <c r="A26" s="121" t="s">
        <v>247</v>
      </c>
      <c r="B26" s="28"/>
      <c r="C26" s="28"/>
      <c r="D26" s="32"/>
      <c r="E26" s="32"/>
      <c r="F26" s="32"/>
      <c r="G26" s="28"/>
      <c r="H26" s="28"/>
      <c r="I26" s="43"/>
      <c r="J26" s="43"/>
      <c r="K26" s="43"/>
      <c r="L26" s="43"/>
      <c r="M26" s="28"/>
      <c r="N26" s="32"/>
      <c r="O26" s="32"/>
      <c r="P26" s="32"/>
      <c r="Q26" s="122"/>
      <c r="R26" s="46"/>
      <c r="S26" s="46"/>
    </row>
    <row r="27" spans="1:22" s="4" customFormat="1" ht="9">
      <c r="A27" s="124" t="s">
        <v>266</v>
      </c>
      <c r="B27" s="28">
        <v>2</v>
      </c>
      <c r="C27" s="28"/>
      <c r="D27" s="32">
        <v>0</v>
      </c>
      <c r="E27" s="32">
        <v>0</v>
      </c>
      <c r="F27" s="32">
        <v>0</v>
      </c>
      <c r="G27" s="28">
        <v>1</v>
      </c>
      <c r="H27" s="28">
        <f>B27*G27</f>
        <v>2</v>
      </c>
      <c r="I27" s="42">
        <v>0</v>
      </c>
      <c r="J27" s="43">
        <f>H27*I27</f>
        <v>0</v>
      </c>
      <c r="K27" s="43">
        <f>J27*0.1</f>
        <v>0</v>
      </c>
      <c r="L27" s="43">
        <f>J27*0.05</f>
        <v>0</v>
      </c>
      <c r="M27" s="28">
        <f>C27*G27*I27</f>
        <v>0</v>
      </c>
      <c r="N27" s="32">
        <f>(J27*'Base Data'!$C$5)+(K27*'Base Data'!$C$6)+(L27*'Base Data'!$C$7)</f>
        <v>0</v>
      </c>
      <c r="O27" s="32">
        <v>0</v>
      </c>
      <c r="P27" s="43">
        <f>G27*I27</f>
        <v>0</v>
      </c>
      <c r="Q27" s="122" t="s">
        <v>214</v>
      </c>
      <c r="R27" s="46"/>
      <c r="S27" s="46"/>
    </row>
    <row r="28" spans="1:22" s="4" customFormat="1" ht="9" customHeight="1">
      <c r="A28" s="124" t="s">
        <v>208</v>
      </c>
      <c r="B28" s="28">
        <v>8</v>
      </c>
      <c r="C28" s="28"/>
      <c r="D28" s="32">
        <v>0</v>
      </c>
      <c r="E28" s="32">
        <v>0</v>
      </c>
      <c r="F28" s="32">
        <v>0</v>
      </c>
      <c r="G28" s="28">
        <v>1</v>
      </c>
      <c r="H28" s="28">
        <f>B28*G28</f>
        <v>8</v>
      </c>
      <c r="I28" s="42">
        <v>0</v>
      </c>
      <c r="J28" s="43">
        <f>H28*I28</f>
        <v>0</v>
      </c>
      <c r="K28" s="43">
        <f>J28*0.1</f>
        <v>0</v>
      </c>
      <c r="L28" s="43">
        <f>J28*0.05</f>
        <v>0</v>
      </c>
      <c r="M28" s="28">
        <f>C28*G28*I28</f>
        <v>0</v>
      </c>
      <c r="N28" s="32">
        <f>(J28*'Base Data'!$C$5)+(K28*'Base Data'!$C$6)+(L28*'Base Data'!$C$7)</f>
        <v>0</v>
      </c>
      <c r="O28" s="32">
        <v>0</v>
      </c>
      <c r="P28" s="43">
        <f>G28*I28</f>
        <v>0</v>
      </c>
      <c r="Q28" s="122" t="s">
        <v>215</v>
      </c>
      <c r="R28" s="46"/>
      <c r="S28" s="46"/>
    </row>
    <row r="29" spans="1:22" s="4" customFormat="1" ht="9">
      <c r="A29" s="124" t="s">
        <v>209</v>
      </c>
      <c r="B29" s="28">
        <v>5</v>
      </c>
      <c r="C29" s="28"/>
      <c r="D29" s="32">
        <v>0</v>
      </c>
      <c r="E29" s="32">
        <v>0</v>
      </c>
      <c r="F29" s="32">
        <v>0</v>
      </c>
      <c r="G29" s="28">
        <v>1</v>
      </c>
      <c r="H29" s="28">
        <f>B29*G29</f>
        <v>5</v>
      </c>
      <c r="I29" s="42">
        <v>0</v>
      </c>
      <c r="J29" s="43">
        <f>H29*I29</f>
        <v>0</v>
      </c>
      <c r="K29" s="43">
        <f>J29*0.1</f>
        <v>0</v>
      </c>
      <c r="L29" s="43">
        <f>J29*0.05</f>
        <v>0</v>
      </c>
      <c r="M29" s="28">
        <f>C29*G29*I29</f>
        <v>0</v>
      </c>
      <c r="N29" s="32">
        <f>(J29*'Base Data'!$C$5)+(K29*'Base Data'!$C$6)+(L29*'Base Data'!$C$7)</f>
        <v>0</v>
      </c>
      <c r="O29" s="32">
        <v>0</v>
      </c>
      <c r="P29" s="43">
        <f>G29*I29</f>
        <v>0</v>
      </c>
      <c r="Q29" s="122" t="s">
        <v>310</v>
      </c>
      <c r="R29" s="46"/>
      <c r="S29" s="46"/>
    </row>
    <row r="30" spans="1:22" s="4" customFormat="1" ht="9">
      <c r="A30" s="125" t="s">
        <v>338</v>
      </c>
      <c r="B30" s="28">
        <v>30</v>
      </c>
      <c r="C30" s="28">
        <v>0</v>
      </c>
      <c r="D30" s="32">
        <v>0</v>
      </c>
      <c r="E30" s="32">
        <v>0</v>
      </c>
      <c r="F30" s="32">
        <v>0</v>
      </c>
      <c r="G30" s="28">
        <v>1</v>
      </c>
      <c r="H30" s="28">
        <f>B30*G30</f>
        <v>30</v>
      </c>
      <c r="I30" s="42">
        <v>0</v>
      </c>
      <c r="J30" s="43">
        <f>H30*I30</f>
        <v>0</v>
      </c>
      <c r="K30" s="43">
        <f>J30*0.1</f>
        <v>0</v>
      </c>
      <c r="L30" s="43">
        <f>J30*0.05</f>
        <v>0</v>
      </c>
      <c r="M30" s="43">
        <f>C30*G30*I30</f>
        <v>0</v>
      </c>
      <c r="N30" s="32">
        <f>(J30*'Base Data'!$C$5)+(K30*'Base Data'!$C$6)+(L30*'Base Data'!$C$7)</f>
        <v>0</v>
      </c>
      <c r="O30" s="32">
        <v>0</v>
      </c>
      <c r="P30" s="43">
        <f>G30*I30</f>
        <v>0</v>
      </c>
      <c r="Q30" s="122" t="s">
        <v>314</v>
      </c>
      <c r="R30" s="78"/>
      <c r="S30" s="46"/>
    </row>
    <row r="31" spans="1:22" s="4" customFormat="1" ht="9">
      <c r="A31" s="125" t="s">
        <v>317</v>
      </c>
      <c r="B31" s="28">
        <v>5</v>
      </c>
      <c r="C31" s="28"/>
      <c r="D31" s="32">
        <v>0</v>
      </c>
      <c r="E31" s="32">
        <v>0</v>
      </c>
      <c r="F31" s="32">
        <v>0</v>
      </c>
      <c r="G31" s="28">
        <v>0.5</v>
      </c>
      <c r="H31" s="28">
        <f>B31*G31</f>
        <v>2.5</v>
      </c>
      <c r="I31" s="42">
        <v>0</v>
      </c>
      <c r="J31" s="43">
        <f>H31*I31</f>
        <v>0</v>
      </c>
      <c r="K31" s="43">
        <f>J31*0.1</f>
        <v>0</v>
      </c>
      <c r="L31" s="43">
        <f>J31*0.05</f>
        <v>0</v>
      </c>
      <c r="M31" s="43"/>
      <c r="N31" s="32">
        <f>(J31*'Base Data'!$C$5)+(K31*'Base Data'!$C$6)+(L31*'Base Data'!$C$7)</f>
        <v>0</v>
      </c>
      <c r="O31" s="32">
        <v>0</v>
      </c>
      <c r="P31" s="43">
        <f>G31*I31</f>
        <v>0</v>
      </c>
      <c r="Q31" s="122" t="s">
        <v>151</v>
      </c>
      <c r="R31" s="78"/>
      <c r="S31" s="46"/>
    </row>
    <row r="32" spans="1:22" s="4" customFormat="1" ht="9">
      <c r="A32" s="126" t="s">
        <v>24</v>
      </c>
      <c r="B32" s="28"/>
      <c r="C32" s="28"/>
      <c r="D32" s="32"/>
      <c r="E32" s="32"/>
      <c r="F32" s="32"/>
      <c r="G32" s="28"/>
      <c r="H32" s="28"/>
      <c r="I32" s="42"/>
      <c r="J32" s="43">
        <f>SUM(J7:J31)-J21</f>
        <v>63886</v>
      </c>
      <c r="K32" s="43">
        <f t="shared" ref="K32:N32" si="5">SUM(K7:K31)-K21</f>
        <v>6388.5999999999995</v>
      </c>
      <c r="L32" s="43">
        <f t="shared" si="5"/>
        <v>3194.2999999999997</v>
      </c>
      <c r="M32" s="43">
        <f t="shared" si="5"/>
        <v>0</v>
      </c>
      <c r="N32" s="32">
        <f t="shared" si="5"/>
        <v>6949359.3650000002</v>
      </c>
      <c r="O32" s="32">
        <f>SUM(O7:O31)-O21</f>
        <v>8792556</v>
      </c>
      <c r="P32" s="43">
        <f>SUM(P27:P31)</f>
        <v>0</v>
      </c>
      <c r="Q32" s="122"/>
      <c r="R32" s="54" t="e">
        <f>SUM(O10,O11,#REF!,O22,O12:O17)</f>
        <v>#REF!</v>
      </c>
      <c r="S32" s="86" t="e">
        <f>SUM(#REF!,O21)</f>
        <v>#REF!</v>
      </c>
    </row>
    <row r="33" spans="1:19" s="4" customFormat="1" ht="9">
      <c r="A33" s="121" t="s">
        <v>261</v>
      </c>
      <c r="B33" s="28"/>
      <c r="C33" s="28"/>
      <c r="D33" s="32"/>
      <c r="E33" s="32"/>
      <c r="F33" s="32"/>
      <c r="G33" s="28"/>
      <c r="H33" s="28"/>
      <c r="I33" s="43"/>
      <c r="J33" s="43"/>
      <c r="K33" s="43"/>
      <c r="L33" s="43"/>
      <c r="M33" s="28"/>
      <c r="N33" s="32"/>
      <c r="O33" s="32"/>
      <c r="P33" s="32"/>
      <c r="Q33" s="122"/>
      <c r="R33" s="46"/>
      <c r="S33" s="46"/>
    </row>
    <row r="34" spans="1:19" s="4" customFormat="1" ht="9">
      <c r="A34" s="121" t="s">
        <v>248</v>
      </c>
      <c r="B34" s="28" t="s">
        <v>252</v>
      </c>
      <c r="C34" s="28"/>
      <c r="D34" s="32"/>
      <c r="E34" s="32"/>
      <c r="F34" s="32"/>
      <c r="G34" s="28"/>
      <c r="H34" s="28"/>
      <c r="I34" s="43"/>
      <c r="J34" s="43"/>
      <c r="K34" s="43"/>
      <c r="L34" s="43"/>
      <c r="M34" s="28"/>
      <c r="N34" s="32"/>
      <c r="O34" s="32"/>
      <c r="P34" s="32"/>
      <c r="Q34" s="122"/>
      <c r="R34" s="46"/>
      <c r="S34" s="46"/>
    </row>
    <row r="35" spans="1:19" s="4" customFormat="1" ht="9">
      <c r="A35" s="121" t="s">
        <v>249</v>
      </c>
      <c r="B35" s="28" t="s">
        <v>264</v>
      </c>
      <c r="C35" s="28"/>
      <c r="D35" s="32"/>
      <c r="E35" s="32"/>
      <c r="F35" s="32"/>
      <c r="G35" s="28"/>
      <c r="H35" s="28"/>
      <c r="I35" s="43"/>
      <c r="J35" s="43"/>
      <c r="K35" s="43"/>
      <c r="L35" s="43"/>
      <c r="M35" s="28"/>
      <c r="N35" s="32"/>
      <c r="O35" s="32"/>
      <c r="P35" s="32"/>
      <c r="Q35" s="122"/>
      <c r="R35" s="46"/>
      <c r="S35" s="46"/>
    </row>
    <row r="36" spans="1:19" s="4" customFormat="1" ht="9">
      <c r="A36" s="121" t="s">
        <v>250</v>
      </c>
      <c r="B36" s="28" t="s">
        <v>264</v>
      </c>
      <c r="C36" s="28"/>
      <c r="D36" s="32"/>
      <c r="E36" s="32"/>
      <c r="F36" s="32"/>
      <c r="G36" s="28"/>
      <c r="H36" s="28"/>
      <c r="I36" s="43"/>
      <c r="J36" s="43"/>
      <c r="K36" s="43"/>
      <c r="L36" s="43"/>
      <c r="M36" s="28"/>
      <c r="N36" s="32"/>
      <c r="O36" s="32"/>
      <c r="P36" s="32"/>
      <c r="Q36" s="122" t="s">
        <v>216</v>
      </c>
      <c r="R36" s="46"/>
      <c r="S36" s="46"/>
    </row>
    <row r="37" spans="1:19" s="4" customFormat="1" ht="9">
      <c r="A37" s="121" t="s">
        <v>251</v>
      </c>
      <c r="B37" s="28"/>
      <c r="C37" s="28"/>
      <c r="D37" s="32"/>
      <c r="E37" s="32"/>
      <c r="F37" s="32"/>
      <c r="G37" s="28"/>
      <c r="H37" s="28"/>
      <c r="I37" s="43"/>
      <c r="J37" s="43"/>
      <c r="K37" s="43"/>
      <c r="L37" s="43"/>
      <c r="M37" s="28"/>
      <c r="N37" s="32"/>
      <c r="O37" s="32"/>
      <c r="P37" s="32"/>
      <c r="Q37" s="122"/>
    </row>
    <row r="38" spans="1:19" s="4" customFormat="1" ht="9.75" customHeight="1">
      <c r="A38" s="121" t="s">
        <v>257</v>
      </c>
      <c r="B38" s="28">
        <v>20</v>
      </c>
      <c r="C38" s="28"/>
      <c r="D38" s="32">
        <v>0</v>
      </c>
      <c r="E38" s="32">
        <v>0</v>
      </c>
      <c r="F38" s="32">
        <v>0</v>
      </c>
      <c r="G38" s="28">
        <v>1</v>
      </c>
      <c r="H38" s="28">
        <f t="shared" ref="H38:H43" si="6">B38*G38</f>
        <v>20</v>
      </c>
      <c r="I38" s="42">
        <v>0</v>
      </c>
      <c r="J38" s="43">
        <f t="shared" ref="J38:J43" si="7">H38*I38</f>
        <v>0</v>
      </c>
      <c r="K38" s="43">
        <f t="shared" ref="K38:K43" si="8">J38*0.1</f>
        <v>0</v>
      </c>
      <c r="L38" s="43">
        <f t="shared" ref="L38:L43" si="9">J38*0.05</f>
        <v>0</v>
      </c>
      <c r="M38" s="28"/>
      <c r="N38" s="32">
        <f>(J38*'Base Data'!$C$5)+(K38*'Base Data'!$C$6)+(L38*'Base Data'!$C$7)</f>
        <v>0</v>
      </c>
      <c r="O38" s="32">
        <v>0</v>
      </c>
      <c r="P38" s="43">
        <f t="shared" ref="P38:P43" si="10">G38*I38</f>
        <v>0</v>
      </c>
      <c r="Q38" s="122" t="s">
        <v>314</v>
      </c>
    </row>
    <row r="39" spans="1:19" s="4" customFormat="1" ht="9">
      <c r="A39" s="123" t="s">
        <v>318</v>
      </c>
      <c r="B39" s="28">
        <v>15</v>
      </c>
      <c r="C39" s="28">
        <v>0</v>
      </c>
      <c r="D39" s="32">
        <v>0</v>
      </c>
      <c r="E39" s="32">
        <v>0</v>
      </c>
      <c r="F39" s="32">
        <v>0</v>
      </c>
      <c r="G39" s="28">
        <v>1</v>
      </c>
      <c r="H39" s="28">
        <f t="shared" si="6"/>
        <v>15</v>
      </c>
      <c r="I39" s="42">
        <v>0</v>
      </c>
      <c r="J39" s="43">
        <f t="shared" si="7"/>
        <v>0</v>
      </c>
      <c r="K39" s="43">
        <f t="shared" si="8"/>
        <v>0</v>
      </c>
      <c r="L39" s="43">
        <f t="shared" si="9"/>
        <v>0</v>
      </c>
      <c r="M39" s="28">
        <f>C39*G39*I39</f>
        <v>0</v>
      </c>
      <c r="N39" s="32">
        <f>(J39*'Base Data'!$C$5)+(K39*'Base Data'!$C$6)+(L39*'Base Data'!$C$7)</f>
        <v>0</v>
      </c>
      <c r="O39" s="32">
        <v>0</v>
      </c>
      <c r="P39" s="43">
        <f t="shared" si="10"/>
        <v>0</v>
      </c>
      <c r="Q39" s="122" t="s">
        <v>314</v>
      </c>
    </row>
    <row r="40" spans="1:19" s="4" customFormat="1" ht="9.75" customHeight="1">
      <c r="A40" s="121" t="s">
        <v>254</v>
      </c>
      <c r="B40" s="28">
        <v>2</v>
      </c>
      <c r="C40" s="28"/>
      <c r="D40" s="32">
        <v>0</v>
      </c>
      <c r="E40" s="32">
        <v>0</v>
      </c>
      <c r="F40" s="32">
        <v>0</v>
      </c>
      <c r="G40" s="28">
        <v>1</v>
      </c>
      <c r="H40" s="28">
        <f t="shared" si="6"/>
        <v>2</v>
      </c>
      <c r="I40" s="42">
        <v>0</v>
      </c>
      <c r="J40" s="43">
        <f t="shared" si="7"/>
        <v>0</v>
      </c>
      <c r="K40" s="43">
        <f t="shared" si="8"/>
        <v>0</v>
      </c>
      <c r="L40" s="43">
        <f t="shared" si="9"/>
        <v>0</v>
      </c>
      <c r="M40" s="28"/>
      <c r="N40" s="32">
        <f>(J40*'Base Data'!$C$5)+(K40*'Base Data'!$C$6)+(L40*'Base Data'!$C$7)</f>
        <v>0</v>
      </c>
      <c r="O40" s="32">
        <v>0</v>
      </c>
      <c r="P40" s="43">
        <f t="shared" si="10"/>
        <v>0</v>
      </c>
      <c r="Q40" s="122" t="s">
        <v>314</v>
      </c>
    </row>
    <row r="41" spans="1:19" s="4" customFormat="1" ht="9">
      <c r="A41" s="123" t="s">
        <v>269</v>
      </c>
      <c r="B41" s="28">
        <v>2</v>
      </c>
      <c r="C41" s="28"/>
      <c r="D41" s="32">
        <v>0</v>
      </c>
      <c r="E41" s="32">
        <v>0</v>
      </c>
      <c r="F41" s="32">
        <v>0</v>
      </c>
      <c r="G41" s="28">
        <v>1</v>
      </c>
      <c r="H41" s="28">
        <f t="shared" si="6"/>
        <v>2</v>
      </c>
      <c r="I41" s="42">
        <v>0</v>
      </c>
      <c r="J41" s="43">
        <f t="shared" si="7"/>
        <v>0</v>
      </c>
      <c r="K41" s="43">
        <f t="shared" si="8"/>
        <v>0</v>
      </c>
      <c r="L41" s="43">
        <f t="shared" si="9"/>
        <v>0</v>
      </c>
      <c r="M41" s="28"/>
      <c r="N41" s="32">
        <f>(J41*'Base Data'!$C$5)+(K41*'Base Data'!$C$6)+(L41*'Base Data'!$C$7)</f>
        <v>0</v>
      </c>
      <c r="O41" s="32">
        <v>0</v>
      </c>
      <c r="P41" s="43">
        <f t="shared" si="10"/>
        <v>0</v>
      </c>
      <c r="Q41" s="122" t="s">
        <v>314</v>
      </c>
    </row>
    <row r="42" spans="1:19" s="4" customFormat="1" ht="9">
      <c r="A42" s="123" t="s">
        <v>270</v>
      </c>
      <c r="B42" s="28">
        <v>2</v>
      </c>
      <c r="C42" s="28">
        <v>0</v>
      </c>
      <c r="D42" s="32">
        <v>0</v>
      </c>
      <c r="E42" s="32">
        <v>0</v>
      </c>
      <c r="F42" s="32">
        <v>0</v>
      </c>
      <c r="G42" s="28">
        <v>2</v>
      </c>
      <c r="H42" s="28">
        <f t="shared" si="6"/>
        <v>4</v>
      </c>
      <c r="I42" s="42">
        <v>0</v>
      </c>
      <c r="J42" s="43">
        <f t="shared" si="7"/>
        <v>0</v>
      </c>
      <c r="K42" s="43">
        <f t="shared" si="8"/>
        <v>0</v>
      </c>
      <c r="L42" s="43">
        <f t="shared" si="9"/>
        <v>0</v>
      </c>
      <c r="M42" s="28">
        <f>C42*G42*I42</f>
        <v>0</v>
      </c>
      <c r="N42" s="32">
        <f>(J42*'Base Data'!$C$5)+(K42*'Base Data'!$C$6)+(L42*'Base Data'!$C$7)</f>
        <v>0</v>
      </c>
      <c r="O42" s="32">
        <v>0</v>
      </c>
      <c r="P42" s="43">
        <f t="shared" si="10"/>
        <v>0</v>
      </c>
      <c r="Q42" s="122" t="s">
        <v>215</v>
      </c>
    </row>
    <row r="43" spans="1:19" s="4" customFormat="1" ht="9">
      <c r="A43" s="123" t="s">
        <v>271</v>
      </c>
      <c r="B43" s="28">
        <v>0.5</v>
      </c>
      <c r="C43" s="28"/>
      <c r="D43" s="32">
        <v>0</v>
      </c>
      <c r="E43" s="32">
        <v>0</v>
      </c>
      <c r="F43" s="32">
        <v>0</v>
      </c>
      <c r="G43" s="28">
        <v>12</v>
      </c>
      <c r="H43" s="28">
        <f t="shared" si="6"/>
        <v>6</v>
      </c>
      <c r="I43" s="42">
        <v>0</v>
      </c>
      <c r="J43" s="43">
        <f t="shared" si="7"/>
        <v>0</v>
      </c>
      <c r="K43" s="43">
        <f t="shared" si="8"/>
        <v>0</v>
      </c>
      <c r="L43" s="43">
        <f t="shared" si="9"/>
        <v>0</v>
      </c>
      <c r="M43" s="28"/>
      <c r="N43" s="32">
        <f>(J43*'Base Data'!$C$5)+(K43*'Base Data'!$C$6)+(L43*'Base Data'!$C$7)</f>
        <v>0</v>
      </c>
      <c r="O43" s="32">
        <v>0</v>
      </c>
      <c r="P43" s="43">
        <f t="shared" si="10"/>
        <v>0</v>
      </c>
      <c r="Q43" s="122" t="s">
        <v>314</v>
      </c>
    </row>
    <row r="44" spans="1:19" s="4" customFormat="1" ht="9">
      <c r="A44" s="121" t="s">
        <v>255</v>
      </c>
      <c r="B44" s="28" t="s">
        <v>264</v>
      </c>
      <c r="C44" s="193"/>
      <c r="D44" s="194"/>
      <c r="E44" s="195"/>
      <c r="F44" s="195"/>
      <c r="G44" s="28"/>
      <c r="H44" s="28"/>
      <c r="I44" s="42"/>
      <c r="J44" s="43"/>
      <c r="K44" s="43"/>
      <c r="L44" s="43"/>
      <c r="M44" s="28"/>
      <c r="N44" s="32"/>
      <c r="O44" s="32"/>
      <c r="P44" s="32"/>
      <c r="Q44" s="122"/>
    </row>
    <row r="45" spans="1:19" s="4" customFormat="1" ht="9">
      <c r="A45" s="121" t="s">
        <v>256</v>
      </c>
      <c r="B45" s="28" t="s">
        <v>264</v>
      </c>
      <c r="C45" s="28"/>
      <c r="D45" s="32"/>
      <c r="E45" s="32"/>
      <c r="F45" s="32"/>
      <c r="G45" s="28"/>
      <c r="H45" s="28"/>
      <c r="I45" s="43"/>
      <c r="J45" s="43"/>
      <c r="K45" s="43"/>
      <c r="L45" s="43"/>
      <c r="M45" s="28"/>
      <c r="N45" s="32"/>
      <c r="O45" s="32"/>
      <c r="P45" s="32"/>
      <c r="Q45" s="122"/>
    </row>
    <row r="46" spans="1:19" s="4" customFormat="1" ht="9.75" thickBot="1">
      <c r="A46" s="230" t="s">
        <v>26</v>
      </c>
      <c r="B46" s="231"/>
      <c r="C46" s="231"/>
      <c r="D46" s="139"/>
      <c r="E46" s="139"/>
      <c r="F46" s="139"/>
      <c r="G46" s="231"/>
      <c r="H46" s="231"/>
      <c r="I46" s="138"/>
      <c r="J46" s="138">
        <f>SUM(J34:J45)</f>
        <v>0</v>
      </c>
      <c r="K46" s="138">
        <f t="shared" ref="K46:P46" si="11">SUM(K34:K45)</f>
        <v>0</v>
      </c>
      <c r="L46" s="138">
        <f t="shared" si="11"/>
        <v>0</v>
      </c>
      <c r="M46" s="138">
        <f t="shared" si="11"/>
        <v>0</v>
      </c>
      <c r="N46" s="138">
        <f t="shared" si="11"/>
        <v>0</v>
      </c>
      <c r="O46" s="138">
        <f t="shared" si="11"/>
        <v>0</v>
      </c>
      <c r="P46" s="138">
        <f t="shared" si="11"/>
        <v>0</v>
      </c>
      <c r="Q46" s="232"/>
    </row>
    <row r="47" spans="1:19" s="2" customFormat="1" ht="12" thickBot="1">
      <c r="A47" s="131" t="s">
        <v>236</v>
      </c>
      <c r="B47" s="132"/>
      <c r="C47" s="132"/>
      <c r="D47" s="132"/>
      <c r="E47" s="132"/>
      <c r="F47" s="133"/>
      <c r="G47" s="132"/>
      <c r="H47" s="132"/>
      <c r="I47" s="134"/>
      <c r="J47" s="135">
        <f>J32+J46</f>
        <v>63886</v>
      </c>
      <c r="K47" s="135">
        <f t="shared" ref="K47:P47" si="12">K32+K46</f>
        <v>6388.5999999999995</v>
      </c>
      <c r="L47" s="135">
        <f t="shared" si="12"/>
        <v>3194.2999999999997</v>
      </c>
      <c r="M47" s="136">
        <f t="shared" si="12"/>
        <v>0</v>
      </c>
      <c r="N47" s="136">
        <f t="shared" si="12"/>
        <v>6949359.3650000002</v>
      </c>
      <c r="O47" s="136">
        <f>O32+O46</f>
        <v>8792556</v>
      </c>
      <c r="P47" s="135">
        <f t="shared" si="12"/>
        <v>0</v>
      </c>
      <c r="Q47" s="137"/>
    </row>
    <row r="48" spans="1:19" ht="6" customHeight="1">
      <c r="A48" s="73"/>
      <c r="B48" s="34"/>
      <c r="C48" s="34"/>
      <c r="D48" s="34"/>
      <c r="E48" s="34"/>
      <c r="F48" s="34"/>
      <c r="G48" s="34"/>
      <c r="H48" s="34"/>
      <c r="I48" s="35"/>
      <c r="J48" s="34"/>
      <c r="K48" s="34"/>
      <c r="L48" s="34"/>
      <c r="M48" s="34"/>
      <c r="N48" s="34"/>
      <c r="O48" s="355"/>
      <c r="P48" s="355"/>
      <c r="Q48" s="34"/>
    </row>
    <row r="49" spans="1:17" s="9" customFormat="1" ht="9" customHeight="1">
      <c r="A49" s="33" t="s">
        <v>219</v>
      </c>
      <c r="B49" s="36"/>
      <c r="C49" s="36"/>
      <c r="D49" s="36"/>
      <c r="E49" s="36"/>
      <c r="F49" s="36"/>
      <c r="G49" s="36"/>
      <c r="H49" s="37"/>
      <c r="I49" s="36"/>
      <c r="J49" s="36"/>
      <c r="K49" s="36"/>
      <c r="L49" s="36"/>
      <c r="M49" s="36"/>
      <c r="N49" s="36"/>
      <c r="O49" s="356"/>
      <c r="P49" s="356"/>
      <c r="Q49" s="36"/>
    </row>
    <row r="50" spans="1:17" s="9" customFormat="1" ht="18" customHeight="1">
      <c r="A50" s="404" t="s">
        <v>28</v>
      </c>
      <c r="B50" s="404"/>
      <c r="C50" s="404"/>
      <c r="D50" s="404"/>
      <c r="E50" s="404"/>
      <c r="F50" s="404"/>
      <c r="G50" s="404"/>
      <c r="H50" s="404"/>
      <c r="I50" s="404"/>
      <c r="J50" s="404"/>
      <c r="K50" s="404"/>
      <c r="L50" s="404"/>
      <c r="M50" s="404"/>
      <c r="N50" s="404"/>
      <c r="O50" s="357"/>
      <c r="P50" s="357"/>
      <c r="Q50" s="36"/>
    </row>
    <row r="51" spans="1:17" s="9" customFormat="1" ht="27.75" customHeight="1">
      <c r="A51" s="404" t="s">
        <v>16</v>
      </c>
      <c r="B51" s="404"/>
      <c r="C51" s="404"/>
      <c r="D51" s="404"/>
      <c r="E51" s="404"/>
      <c r="F51" s="404"/>
      <c r="G51" s="404"/>
      <c r="H51" s="404"/>
      <c r="I51" s="404"/>
      <c r="J51" s="404"/>
      <c r="K51" s="404"/>
      <c r="L51" s="404"/>
      <c r="M51" s="404"/>
      <c r="N51" s="404"/>
      <c r="O51" s="357"/>
      <c r="P51" s="357"/>
      <c r="Q51" s="34"/>
    </row>
    <row r="52" spans="1:17" s="9" customFormat="1" ht="18.75" customHeight="1">
      <c r="A52" s="404" t="s">
        <v>41</v>
      </c>
      <c r="B52" s="404"/>
      <c r="C52" s="404"/>
      <c r="D52" s="404"/>
      <c r="E52" s="404"/>
      <c r="F52" s="404"/>
      <c r="G52" s="404"/>
      <c r="H52" s="404"/>
      <c r="I52" s="404"/>
      <c r="J52" s="404"/>
      <c r="K52" s="404"/>
      <c r="L52" s="404"/>
      <c r="M52" s="404"/>
      <c r="N52" s="404"/>
      <c r="O52" s="404"/>
      <c r="P52" s="404"/>
      <c r="Q52" s="404"/>
    </row>
    <row r="53" spans="1:17" s="9" customFormat="1" ht="9">
      <c r="A53" s="33" t="s">
        <v>274</v>
      </c>
      <c r="B53" s="36"/>
      <c r="C53" s="36"/>
      <c r="D53" s="36"/>
      <c r="E53" s="36"/>
      <c r="F53" s="36"/>
      <c r="G53" s="36"/>
      <c r="H53" s="37"/>
      <c r="I53" s="36"/>
      <c r="J53" s="36"/>
      <c r="K53" s="36"/>
      <c r="L53" s="36"/>
      <c r="M53" s="36"/>
      <c r="N53" s="36"/>
      <c r="O53" s="356"/>
      <c r="P53" s="356"/>
      <c r="Q53" s="36"/>
    </row>
    <row r="54" spans="1:17" s="9" customFormat="1" ht="9">
      <c r="A54" s="404" t="s">
        <v>311</v>
      </c>
      <c r="B54" s="404"/>
      <c r="C54" s="404"/>
      <c r="D54" s="404"/>
      <c r="E54" s="404"/>
      <c r="F54" s="404"/>
      <c r="G54" s="404"/>
      <c r="H54" s="404"/>
      <c r="I54" s="404"/>
      <c r="J54" s="404"/>
      <c r="K54" s="404"/>
      <c r="L54" s="404"/>
      <c r="M54" s="404"/>
      <c r="N54" s="36"/>
      <c r="O54" s="356"/>
      <c r="P54" s="356"/>
      <c r="Q54" s="36"/>
    </row>
    <row r="55" spans="1:17" s="9" customFormat="1" ht="9">
      <c r="A55" s="33" t="s">
        <v>312</v>
      </c>
      <c r="B55" s="36"/>
      <c r="C55" s="36"/>
      <c r="D55" s="36"/>
      <c r="E55" s="36"/>
      <c r="F55" s="36"/>
      <c r="G55" s="36"/>
      <c r="H55" s="36"/>
      <c r="I55" s="37"/>
      <c r="J55" s="36"/>
      <c r="K55" s="36"/>
      <c r="L55" s="36"/>
      <c r="M55" s="36"/>
      <c r="N55" s="36"/>
      <c r="O55" s="356"/>
      <c r="P55" s="356"/>
      <c r="Q55" s="36"/>
    </row>
    <row r="56" spans="1:17" s="9" customFormat="1" ht="9">
      <c r="A56" s="33" t="s">
        <v>313</v>
      </c>
      <c r="B56" s="36"/>
      <c r="C56" s="36"/>
      <c r="D56" s="36"/>
      <c r="E56" s="36"/>
      <c r="F56" s="36"/>
      <c r="G56" s="36"/>
      <c r="H56" s="36"/>
      <c r="I56" s="37"/>
      <c r="J56" s="36"/>
      <c r="K56" s="36"/>
      <c r="L56" s="36"/>
      <c r="M56" s="36"/>
      <c r="N56" s="36"/>
      <c r="O56" s="356"/>
      <c r="P56" s="356"/>
      <c r="Q56" s="36"/>
    </row>
    <row r="57" spans="1:17" s="9" customFormat="1" ht="9">
      <c r="A57" s="33" t="s">
        <v>319</v>
      </c>
      <c r="B57" s="33"/>
      <c r="C57" s="33"/>
      <c r="D57" s="33"/>
      <c r="E57" s="33"/>
      <c r="F57" s="33"/>
      <c r="G57" s="33"/>
      <c r="H57" s="33"/>
      <c r="I57" s="33"/>
      <c r="J57" s="33"/>
      <c r="K57" s="33"/>
      <c r="L57" s="33"/>
      <c r="M57" s="33"/>
      <c r="N57" s="33"/>
      <c r="O57" s="33"/>
      <c r="P57" s="33"/>
      <c r="Q57" s="33"/>
    </row>
    <row r="58" spans="1:17" s="9" customFormat="1" ht="9">
      <c r="A58" s="33"/>
      <c r="B58" s="36"/>
      <c r="C58" s="36"/>
      <c r="D58" s="36"/>
      <c r="E58" s="36"/>
      <c r="F58" s="36"/>
      <c r="G58" s="36"/>
      <c r="H58" s="36"/>
      <c r="I58" s="37"/>
      <c r="J58" s="36"/>
      <c r="K58" s="36"/>
      <c r="L58" s="36"/>
      <c r="M58" s="36"/>
      <c r="N58" s="36"/>
      <c r="O58" s="356"/>
      <c r="P58" s="356"/>
      <c r="Q58" s="36"/>
    </row>
    <row r="59" spans="1:17" s="9" customFormat="1" ht="9">
      <c r="B59" s="10"/>
      <c r="C59" s="10"/>
      <c r="D59" s="10"/>
      <c r="E59" s="10"/>
      <c r="F59" s="10"/>
      <c r="G59" s="10"/>
      <c r="H59" s="10"/>
      <c r="I59" s="11"/>
      <c r="J59" s="10"/>
      <c r="K59" s="10"/>
      <c r="L59" s="10"/>
      <c r="M59" s="10"/>
      <c r="N59" s="10"/>
      <c r="O59" s="12"/>
      <c r="P59" s="12"/>
      <c r="Q59" s="10"/>
    </row>
    <row r="60" spans="1:17" s="9" customFormat="1" ht="9">
      <c r="A60" s="113"/>
      <c r="B60" s="115"/>
      <c r="C60" s="115"/>
      <c r="D60" s="115"/>
      <c r="E60" s="115"/>
      <c r="F60" s="10"/>
      <c r="G60" s="10"/>
      <c r="H60" s="10"/>
      <c r="I60" s="11"/>
      <c r="J60" s="10"/>
      <c r="K60" s="10"/>
      <c r="L60" s="10"/>
      <c r="M60" s="10"/>
      <c r="N60" s="10"/>
      <c r="O60" s="12"/>
      <c r="P60" s="12"/>
      <c r="Q60" s="10"/>
    </row>
    <row r="61" spans="1:17" s="9" customFormat="1" ht="9">
      <c r="A61" s="113"/>
      <c r="B61" s="115"/>
      <c r="C61" s="115"/>
      <c r="D61" s="115"/>
      <c r="E61" s="115"/>
      <c r="F61" s="10"/>
      <c r="G61" s="10"/>
      <c r="H61" s="10"/>
      <c r="I61" s="11"/>
      <c r="J61" s="10"/>
      <c r="K61" s="10"/>
      <c r="L61" s="10"/>
      <c r="M61" s="10"/>
      <c r="N61" s="10"/>
      <c r="O61" s="12"/>
      <c r="P61" s="12"/>
      <c r="Q61" s="10"/>
    </row>
    <row r="62" spans="1:17" s="9" customFormat="1" ht="9">
      <c r="A62" s="113"/>
      <c r="B62" s="115"/>
      <c r="C62" s="115"/>
      <c r="D62" s="115"/>
      <c r="E62" s="115"/>
      <c r="F62" s="10"/>
      <c r="G62" s="10"/>
      <c r="H62" s="10"/>
      <c r="I62" s="11"/>
      <c r="J62" s="10"/>
      <c r="K62" s="10"/>
      <c r="L62" s="10"/>
      <c r="M62" s="10"/>
      <c r="N62" s="10"/>
      <c r="O62" s="12"/>
      <c r="P62" s="12"/>
      <c r="Q62" s="10"/>
    </row>
    <row r="63" spans="1:17" s="9" customFormat="1" ht="9">
      <c r="A63" s="113"/>
      <c r="B63" s="115"/>
      <c r="C63" s="115"/>
      <c r="D63" s="115"/>
      <c r="E63" s="115"/>
      <c r="F63" s="10"/>
      <c r="G63" s="10"/>
      <c r="H63" s="10"/>
      <c r="I63" s="11"/>
      <c r="J63" s="10"/>
      <c r="K63" s="10"/>
      <c r="L63" s="10"/>
      <c r="M63" s="10"/>
      <c r="N63" s="10"/>
      <c r="O63" s="12"/>
      <c r="P63" s="12"/>
      <c r="Q63" s="10"/>
    </row>
    <row r="64" spans="1:17" s="9" customFormat="1" ht="9">
      <c r="A64" s="113"/>
      <c r="B64" s="115"/>
      <c r="C64" s="115"/>
      <c r="D64" s="115"/>
      <c r="E64" s="115"/>
      <c r="F64" s="10"/>
      <c r="G64" s="10"/>
      <c r="H64" s="10"/>
      <c r="I64" s="11"/>
      <c r="J64" s="10"/>
      <c r="K64" s="10"/>
      <c r="L64" s="10"/>
      <c r="M64" s="10"/>
      <c r="N64" s="10"/>
      <c r="O64" s="12"/>
      <c r="P64" s="12"/>
      <c r="Q64" s="10"/>
    </row>
    <row r="65" spans="1:17" s="9" customFormat="1" ht="9">
      <c r="A65" s="113"/>
      <c r="B65" s="115"/>
      <c r="C65" s="115"/>
      <c r="D65" s="115"/>
      <c r="E65" s="115"/>
      <c r="F65" s="10"/>
      <c r="G65" s="10"/>
      <c r="H65" s="10"/>
      <c r="I65" s="11"/>
      <c r="J65" s="10"/>
      <c r="K65" s="10"/>
      <c r="L65" s="10"/>
      <c r="M65" s="10"/>
      <c r="N65" s="10"/>
      <c r="O65" s="12"/>
      <c r="P65" s="12"/>
      <c r="Q65" s="10"/>
    </row>
    <row r="66" spans="1:17" s="9" customFormat="1" ht="9">
      <c r="A66" s="113"/>
      <c r="B66" s="115"/>
      <c r="C66" s="115"/>
      <c r="D66" s="115"/>
      <c r="E66" s="115"/>
      <c r="F66" s="10"/>
      <c r="G66" s="10"/>
      <c r="H66" s="10"/>
      <c r="I66" s="11"/>
      <c r="J66" s="10"/>
      <c r="K66" s="10"/>
      <c r="L66" s="10"/>
      <c r="M66" s="10"/>
      <c r="N66" s="10"/>
      <c r="O66" s="12"/>
      <c r="P66" s="12"/>
      <c r="Q66" s="10"/>
    </row>
    <row r="67" spans="1:17" s="9" customFormat="1" ht="9">
      <c r="A67" s="113"/>
      <c r="B67" s="115"/>
      <c r="C67" s="115"/>
      <c r="D67" s="115"/>
      <c r="E67" s="115"/>
      <c r="F67" s="10"/>
      <c r="G67" s="10"/>
      <c r="H67" s="10"/>
      <c r="I67" s="11"/>
      <c r="J67" s="10"/>
      <c r="K67" s="10"/>
      <c r="L67" s="10"/>
      <c r="M67" s="10"/>
      <c r="N67" s="10"/>
      <c r="O67" s="12"/>
      <c r="P67" s="12"/>
      <c r="Q67" s="10"/>
    </row>
    <row r="68" spans="1:17" s="9" customFormat="1" ht="9">
      <c r="A68" s="113"/>
      <c r="B68" s="115"/>
      <c r="C68" s="115"/>
      <c r="D68" s="115"/>
      <c r="E68" s="115"/>
      <c r="F68" s="10"/>
      <c r="G68" s="10"/>
      <c r="H68" s="10"/>
      <c r="I68" s="11"/>
      <c r="J68" s="10"/>
      <c r="K68" s="10"/>
      <c r="L68" s="10"/>
      <c r="M68" s="10"/>
      <c r="N68" s="10"/>
      <c r="O68" s="12"/>
      <c r="P68" s="12"/>
      <c r="Q68" s="10"/>
    </row>
    <row r="69" spans="1:17" s="9" customFormat="1" ht="9">
      <c r="A69" s="113"/>
      <c r="B69" s="115"/>
      <c r="C69" s="115"/>
      <c r="D69" s="115"/>
      <c r="E69" s="115"/>
      <c r="F69" s="10"/>
      <c r="G69" s="10"/>
      <c r="H69" s="10"/>
      <c r="I69" s="11"/>
      <c r="J69" s="10"/>
      <c r="K69" s="10"/>
      <c r="L69" s="10"/>
      <c r="M69" s="10"/>
      <c r="N69" s="10"/>
      <c r="O69" s="12"/>
      <c r="P69" s="12"/>
      <c r="Q69" s="10"/>
    </row>
    <row r="70" spans="1:17" s="9" customFormat="1" ht="9">
      <c r="A70" s="113"/>
      <c r="B70" s="115"/>
      <c r="C70" s="115"/>
      <c r="D70" s="115"/>
      <c r="E70" s="115"/>
      <c r="F70" s="10"/>
      <c r="G70" s="10"/>
      <c r="H70" s="10"/>
      <c r="I70" s="11"/>
      <c r="J70" s="10"/>
      <c r="K70" s="10"/>
      <c r="L70" s="10"/>
      <c r="M70" s="10"/>
      <c r="N70" s="10"/>
      <c r="O70" s="12"/>
      <c r="P70" s="12"/>
      <c r="Q70" s="10"/>
    </row>
    <row r="71" spans="1:17" s="9" customFormat="1" ht="9">
      <c r="A71" s="113"/>
      <c r="B71" s="115"/>
      <c r="C71" s="115"/>
      <c r="D71" s="115"/>
      <c r="E71" s="115"/>
      <c r="F71" s="10"/>
      <c r="G71" s="10"/>
      <c r="H71" s="10"/>
      <c r="I71" s="11"/>
      <c r="J71" s="10"/>
      <c r="K71" s="10"/>
      <c r="L71" s="10"/>
      <c r="M71" s="10"/>
      <c r="N71" s="10"/>
      <c r="O71" s="12"/>
      <c r="P71" s="12"/>
      <c r="Q71" s="10"/>
    </row>
    <row r="72" spans="1:17" s="9" customFormat="1" ht="9">
      <c r="A72" s="113"/>
      <c r="B72" s="115"/>
      <c r="C72" s="115"/>
      <c r="D72" s="115"/>
      <c r="E72" s="115"/>
      <c r="F72" s="10"/>
      <c r="G72" s="10"/>
      <c r="H72" s="10"/>
      <c r="I72" s="11"/>
      <c r="J72" s="10"/>
      <c r="K72" s="10"/>
      <c r="L72" s="10"/>
      <c r="M72" s="10"/>
      <c r="N72" s="10"/>
      <c r="O72" s="12"/>
      <c r="P72" s="12"/>
      <c r="Q72" s="10"/>
    </row>
    <row r="73" spans="1:17" s="9" customFormat="1" ht="9">
      <c r="A73" s="113"/>
      <c r="B73" s="115"/>
      <c r="C73" s="115"/>
      <c r="D73" s="115"/>
      <c r="E73" s="115"/>
      <c r="F73" s="10"/>
      <c r="G73" s="10"/>
      <c r="H73" s="10"/>
      <c r="I73" s="11"/>
      <c r="J73" s="10"/>
      <c r="K73" s="10"/>
      <c r="L73" s="10"/>
      <c r="M73" s="10"/>
      <c r="N73" s="10"/>
      <c r="O73" s="12"/>
      <c r="P73" s="12"/>
      <c r="Q73" s="10"/>
    </row>
    <row r="74" spans="1:17" s="9" customFormat="1" ht="9">
      <c r="A74" s="113"/>
      <c r="B74" s="115"/>
      <c r="C74" s="115"/>
      <c r="D74" s="115"/>
      <c r="E74" s="115"/>
      <c r="F74" s="10"/>
      <c r="G74" s="10"/>
      <c r="H74" s="10"/>
      <c r="I74" s="11"/>
      <c r="J74" s="10"/>
      <c r="K74" s="10"/>
      <c r="L74" s="10"/>
      <c r="M74" s="10"/>
      <c r="N74" s="10"/>
      <c r="O74" s="12"/>
      <c r="P74" s="12"/>
      <c r="Q74" s="10"/>
    </row>
    <row r="75" spans="1:17" s="9" customFormat="1" ht="9">
      <c r="A75" s="113"/>
      <c r="B75" s="115"/>
      <c r="C75" s="115"/>
      <c r="D75" s="115"/>
      <c r="E75" s="115"/>
      <c r="F75" s="10"/>
      <c r="G75" s="10"/>
      <c r="H75" s="10"/>
      <c r="I75" s="11"/>
      <c r="J75" s="10"/>
      <c r="K75" s="10"/>
      <c r="L75" s="10"/>
      <c r="M75" s="10"/>
      <c r="N75" s="10"/>
      <c r="O75" s="12"/>
      <c r="P75" s="12"/>
      <c r="Q75" s="10"/>
    </row>
    <row r="76" spans="1:17" s="9" customFormat="1" ht="9">
      <c r="A76" s="113"/>
      <c r="B76" s="115"/>
      <c r="C76" s="115"/>
      <c r="D76" s="115"/>
      <c r="E76" s="115"/>
      <c r="F76" s="10"/>
      <c r="G76" s="10"/>
      <c r="H76" s="10"/>
      <c r="I76" s="11"/>
      <c r="J76" s="10"/>
      <c r="K76" s="10"/>
      <c r="L76" s="10"/>
      <c r="M76" s="10"/>
      <c r="N76" s="10"/>
      <c r="O76" s="12"/>
      <c r="P76" s="12"/>
      <c r="Q76" s="10"/>
    </row>
    <row r="77" spans="1:17" s="9" customFormat="1" ht="9">
      <c r="A77" s="113"/>
      <c r="B77" s="115"/>
      <c r="C77" s="115"/>
      <c r="D77" s="115"/>
      <c r="E77" s="115"/>
      <c r="F77" s="10"/>
      <c r="G77" s="10"/>
      <c r="H77" s="10"/>
      <c r="I77" s="11"/>
      <c r="J77" s="10"/>
      <c r="K77" s="10"/>
      <c r="L77" s="10"/>
      <c r="M77" s="10"/>
      <c r="N77" s="10"/>
      <c r="O77" s="12"/>
      <c r="P77" s="12"/>
      <c r="Q77" s="10"/>
    </row>
    <row r="78" spans="1:17" s="9" customFormat="1" ht="9">
      <c r="A78" s="113"/>
      <c r="B78" s="115"/>
      <c r="C78" s="115"/>
      <c r="D78" s="115"/>
      <c r="E78" s="115"/>
      <c r="F78" s="10"/>
      <c r="G78" s="10"/>
      <c r="H78" s="10"/>
      <c r="I78" s="11"/>
      <c r="J78" s="10"/>
      <c r="K78" s="10"/>
      <c r="L78" s="10"/>
      <c r="M78" s="10"/>
      <c r="N78" s="10"/>
      <c r="O78" s="12"/>
      <c r="P78" s="12"/>
      <c r="Q78" s="10"/>
    </row>
    <row r="79" spans="1:17" s="9" customFormat="1" ht="9">
      <c r="A79" s="113"/>
      <c r="B79" s="115"/>
      <c r="C79" s="115"/>
      <c r="D79" s="115"/>
      <c r="E79" s="115"/>
      <c r="F79" s="10"/>
      <c r="G79" s="10"/>
      <c r="H79" s="10"/>
      <c r="I79" s="11"/>
      <c r="J79" s="10"/>
      <c r="K79" s="10"/>
      <c r="L79" s="10"/>
      <c r="M79" s="10"/>
      <c r="N79" s="10"/>
      <c r="O79" s="12"/>
      <c r="P79" s="12"/>
      <c r="Q79" s="10"/>
    </row>
    <row r="80" spans="1:17" s="9" customFormat="1" ht="9">
      <c r="A80" s="113"/>
      <c r="B80" s="115"/>
      <c r="C80" s="115"/>
      <c r="D80" s="115"/>
      <c r="E80" s="115"/>
      <c r="F80" s="10"/>
      <c r="G80" s="10"/>
      <c r="H80" s="10"/>
      <c r="I80" s="11"/>
      <c r="J80" s="10"/>
      <c r="K80" s="10"/>
      <c r="L80" s="10"/>
      <c r="M80" s="10"/>
      <c r="N80" s="10"/>
      <c r="O80" s="12"/>
      <c r="P80" s="12"/>
      <c r="Q80" s="10"/>
    </row>
    <row r="81" spans="1:17" s="9" customFormat="1" ht="9">
      <c r="A81" s="113"/>
      <c r="B81" s="115"/>
      <c r="C81" s="115"/>
      <c r="D81" s="115"/>
      <c r="E81" s="115"/>
      <c r="F81" s="10"/>
      <c r="G81" s="10"/>
      <c r="H81" s="10"/>
      <c r="I81" s="11"/>
      <c r="J81" s="10"/>
      <c r="K81" s="10"/>
      <c r="L81" s="10"/>
      <c r="M81" s="10"/>
      <c r="N81" s="10"/>
      <c r="O81" s="12"/>
      <c r="P81" s="12"/>
      <c r="Q81" s="10"/>
    </row>
    <row r="82" spans="1:17" s="9" customFormat="1" ht="9">
      <c r="A82" s="113"/>
      <c r="B82" s="115"/>
      <c r="C82" s="115"/>
      <c r="D82" s="115"/>
      <c r="E82" s="115"/>
      <c r="F82" s="10"/>
      <c r="G82" s="10"/>
      <c r="H82" s="10"/>
      <c r="I82" s="11"/>
      <c r="J82" s="10"/>
      <c r="K82" s="10"/>
      <c r="L82" s="10"/>
      <c r="M82" s="10"/>
      <c r="N82" s="10"/>
      <c r="O82" s="12"/>
      <c r="P82" s="12"/>
      <c r="Q82" s="10"/>
    </row>
    <row r="83" spans="1:17" s="9" customFormat="1" ht="9">
      <c r="A83" s="113"/>
      <c r="B83" s="115"/>
      <c r="C83" s="115"/>
      <c r="D83" s="115"/>
      <c r="E83" s="115"/>
      <c r="F83" s="10"/>
      <c r="G83" s="10"/>
      <c r="H83" s="10"/>
      <c r="I83" s="11"/>
      <c r="J83" s="10"/>
      <c r="K83" s="10"/>
      <c r="L83" s="10"/>
      <c r="M83" s="10"/>
      <c r="N83" s="10"/>
      <c r="O83" s="12"/>
      <c r="P83" s="12"/>
      <c r="Q83" s="10"/>
    </row>
    <row r="84" spans="1:17" s="9" customFormat="1" ht="9">
      <c r="A84" s="113"/>
      <c r="B84" s="115"/>
      <c r="C84" s="115"/>
      <c r="D84" s="115"/>
      <c r="E84" s="115"/>
      <c r="F84" s="10"/>
      <c r="G84" s="10"/>
      <c r="H84" s="10"/>
      <c r="I84" s="11"/>
      <c r="J84" s="10"/>
      <c r="K84" s="10"/>
      <c r="L84" s="10"/>
      <c r="M84" s="10"/>
      <c r="N84" s="10"/>
      <c r="O84" s="12"/>
      <c r="P84" s="12"/>
      <c r="Q84" s="10"/>
    </row>
    <row r="85" spans="1:17" s="9" customFormat="1" ht="9">
      <c r="A85" s="113"/>
      <c r="B85" s="115"/>
      <c r="C85" s="115"/>
      <c r="D85" s="115"/>
      <c r="E85" s="115"/>
      <c r="F85" s="10"/>
      <c r="G85" s="10"/>
      <c r="H85" s="10"/>
      <c r="I85" s="11"/>
      <c r="J85" s="10"/>
      <c r="K85" s="10"/>
      <c r="L85" s="10"/>
      <c r="M85" s="10"/>
      <c r="N85" s="10"/>
      <c r="O85" s="12"/>
      <c r="P85" s="12"/>
      <c r="Q85" s="10"/>
    </row>
    <row r="86" spans="1:17" s="9" customFormat="1" ht="9">
      <c r="A86" s="113"/>
      <c r="B86" s="115"/>
      <c r="C86" s="115"/>
      <c r="D86" s="115"/>
      <c r="E86" s="115"/>
      <c r="F86" s="10"/>
      <c r="G86" s="10"/>
      <c r="H86" s="10"/>
      <c r="I86" s="11"/>
      <c r="J86" s="10"/>
      <c r="K86" s="10"/>
      <c r="L86" s="10"/>
      <c r="M86" s="10"/>
      <c r="N86" s="10"/>
      <c r="O86" s="12"/>
      <c r="P86" s="12"/>
      <c r="Q86" s="10"/>
    </row>
    <row r="87" spans="1:17" s="9" customFormat="1" ht="9">
      <c r="A87" s="113"/>
      <c r="B87" s="115"/>
      <c r="C87" s="115"/>
      <c r="D87" s="115"/>
      <c r="E87" s="115"/>
      <c r="F87" s="10"/>
      <c r="G87" s="10"/>
      <c r="H87" s="10"/>
      <c r="I87" s="11"/>
      <c r="J87" s="10"/>
      <c r="K87" s="10"/>
      <c r="L87" s="10"/>
      <c r="M87" s="10"/>
      <c r="N87" s="10"/>
      <c r="O87" s="12"/>
      <c r="P87" s="12"/>
      <c r="Q87" s="10"/>
    </row>
    <row r="88" spans="1:17" s="9" customFormat="1" ht="9">
      <c r="A88" s="113"/>
      <c r="B88" s="115"/>
      <c r="C88" s="115"/>
      <c r="D88" s="115"/>
      <c r="E88" s="115"/>
      <c r="F88" s="10"/>
      <c r="G88" s="10"/>
      <c r="H88" s="10"/>
      <c r="I88" s="11"/>
      <c r="J88" s="10"/>
      <c r="K88" s="10"/>
      <c r="L88" s="10"/>
      <c r="M88" s="10"/>
      <c r="N88" s="10"/>
      <c r="O88" s="12"/>
      <c r="P88" s="12"/>
      <c r="Q88" s="10"/>
    </row>
    <row r="89" spans="1:17" s="9" customFormat="1" ht="9">
      <c r="A89" s="113"/>
      <c r="B89" s="115"/>
      <c r="C89" s="115"/>
      <c r="D89" s="115"/>
      <c r="E89" s="115"/>
      <c r="F89" s="10"/>
      <c r="G89" s="10"/>
      <c r="H89" s="10"/>
      <c r="I89" s="11"/>
      <c r="J89" s="10"/>
      <c r="K89" s="10"/>
      <c r="L89" s="10"/>
      <c r="M89" s="10"/>
      <c r="N89" s="10"/>
      <c r="O89" s="12"/>
      <c r="P89" s="12"/>
      <c r="Q89" s="10"/>
    </row>
    <row r="90" spans="1:17" s="9" customFormat="1" ht="9">
      <c r="A90" s="113"/>
      <c r="B90" s="115"/>
      <c r="C90" s="115"/>
      <c r="D90" s="115"/>
      <c r="E90" s="115"/>
      <c r="F90" s="10"/>
      <c r="G90" s="10"/>
      <c r="H90" s="10"/>
      <c r="I90" s="11"/>
      <c r="J90" s="10"/>
      <c r="K90" s="10"/>
      <c r="L90" s="10"/>
      <c r="M90" s="10"/>
      <c r="N90" s="10"/>
      <c r="O90" s="12"/>
      <c r="P90" s="12"/>
      <c r="Q90" s="10"/>
    </row>
    <row r="91" spans="1:17" s="9" customFormat="1" ht="9">
      <c r="A91" s="113"/>
      <c r="B91" s="115"/>
      <c r="C91" s="115"/>
      <c r="D91" s="115"/>
      <c r="E91" s="115"/>
      <c r="F91" s="10"/>
      <c r="G91" s="10"/>
      <c r="H91" s="10"/>
      <c r="I91" s="11"/>
      <c r="J91" s="10"/>
      <c r="K91" s="10"/>
      <c r="L91" s="10"/>
      <c r="M91" s="10"/>
      <c r="N91" s="10"/>
      <c r="O91" s="12"/>
      <c r="P91" s="12"/>
      <c r="Q91" s="10"/>
    </row>
    <row r="92" spans="1:17" s="9" customFormat="1" ht="9">
      <c r="A92" s="113"/>
      <c r="B92" s="115"/>
      <c r="C92" s="115"/>
      <c r="D92" s="115"/>
      <c r="E92" s="115"/>
      <c r="F92" s="10"/>
      <c r="G92" s="10"/>
      <c r="H92" s="10"/>
      <c r="I92" s="11"/>
      <c r="J92" s="10"/>
      <c r="K92" s="10"/>
      <c r="L92" s="10"/>
      <c r="M92" s="10"/>
      <c r="N92" s="10"/>
      <c r="O92" s="12"/>
      <c r="P92" s="12"/>
      <c r="Q92" s="10"/>
    </row>
    <row r="93" spans="1:17" s="9" customFormat="1" ht="9">
      <c r="A93" s="113"/>
      <c r="B93" s="115"/>
      <c r="C93" s="115"/>
      <c r="D93" s="115"/>
      <c r="E93" s="115"/>
      <c r="F93" s="10"/>
      <c r="G93" s="10"/>
      <c r="H93" s="10"/>
      <c r="I93" s="11"/>
      <c r="J93" s="10"/>
      <c r="K93" s="10"/>
      <c r="L93" s="10"/>
      <c r="M93" s="10"/>
      <c r="N93" s="10"/>
      <c r="O93" s="12"/>
      <c r="P93" s="12"/>
      <c r="Q93" s="10"/>
    </row>
    <row r="94" spans="1:17" s="9" customFormat="1" ht="9">
      <c r="A94" s="113"/>
      <c r="B94" s="115"/>
      <c r="C94" s="115"/>
      <c r="D94" s="115"/>
      <c r="E94" s="115"/>
      <c r="F94" s="10"/>
      <c r="G94" s="10"/>
      <c r="H94" s="10"/>
      <c r="I94" s="11"/>
      <c r="J94" s="10"/>
      <c r="K94" s="10"/>
      <c r="L94" s="10"/>
      <c r="M94" s="10"/>
      <c r="N94" s="10"/>
      <c r="O94" s="12"/>
      <c r="P94" s="12"/>
      <c r="Q94" s="10"/>
    </row>
    <row r="95" spans="1:17" s="9" customFormat="1" ht="9">
      <c r="A95" s="113"/>
      <c r="B95" s="115"/>
      <c r="C95" s="115"/>
      <c r="D95" s="115"/>
      <c r="E95" s="115"/>
      <c r="F95" s="10"/>
      <c r="G95" s="10"/>
      <c r="H95" s="10"/>
      <c r="I95" s="11"/>
      <c r="J95" s="10"/>
      <c r="K95" s="10"/>
      <c r="L95" s="10"/>
      <c r="M95" s="10"/>
      <c r="N95" s="10"/>
      <c r="O95" s="12"/>
      <c r="P95" s="12"/>
      <c r="Q95" s="10"/>
    </row>
    <row r="96" spans="1:17" s="9" customFormat="1" ht="9">
      <c r="A96" s="113"/>
      <c r="B96" s="115"/>
      <c r="C96" s="115"/>
      <c r="D96" s="115"/>
      <c r="E96" s="115"/>
      <c r="F96" s="10"/>
      <c r="G96" s="10"/>
      <c r="H96" s="10"/>
      <c r="I96" s="11"/>
      <c r="J96" s="10"/>
      <c r="K96" s="10"/>
      <c r="L96" s="10"/>
      <c r="M96" s="10"/>
      <c r="N96" s="10"/>
      <c r="O96" s="12"/>
      <c r="P96" s="12"/>
      <c r="Q96" s="10"/>
    </row>
    <row r="97" spans="1:17" s="9" customFormat="1" ht="9">
      <c r="A97" s="113"/>
      <c r="B97" s="115"/>
      <c r="C97" s="115"/>
      <c r="D97" s="115"/>
      <c r="E97" s="115"/>
      <c r="F97" s="10"/>
      <c r="G97" s="10"/>
      <c r="H97" s="10"/>
      <c r="I97" s="11"/>
      <c r="J97" s="10"/>
      <c r="K97" s="10"/>
      <c r="L97" s="10"/>
      <c r="M97" s="10"/>
      <c r="N97" s="10"/>
      <c r="O97" s="12"/>
      <c r="P97" s="12"/>
      <c r="Q97" s="10"/>
    </row>
    <row r="98" spans="1:17" s="9" customFormat="1" ht="9">
      <c r="A98" s="113"/>
      <c r="B98" s="115"/>
      <c r="C98" s="115"/>
      <c r="D98" s="115"/>
      <c r="E98" s="115"/>
      <c r="F98" s="10"/>
      <c r="G98" s="10"/>
      <c r="H98" s="10"/>
      <c r="I98" s="11"/>
      <c r="J98" s="10"/>
      <c r="K98" s="10"/>
      <c r="L98" s="10"/>
      <c r="M98" s="10"/>
      <c r="N98" s="10"/>
      <c r="O98" s="12"/>
      <c r="P98" s="12"/>
      <c r="Q98" s="10"/>
    </row>
    <row r="99" spans="1:17" s="9" customFormat="1" ht="9">
      <c r="A99" s="113"/>
      <c r="B99" s="115"/>
      <c r="C99" s="115"/>
      <c r="D99" s="115"/>
      <c r="E99" s="115"/>
      <c r="F99" s="10"/>
      <c r="G99" s="10"/>
      <c r="H99" s="10"/>
      <c r="I99" s="11"/>
      <c r="J99" s="10"/>
      <c r="K99" s="10"/>
      <c r="L99" s="10"/>
      <c r="M99" s="10"/>
      <c r="N99" s="10"/>
      <c r="O99" s="12"/>
      <c r="P99" s="12"/>
      <c r="Q99" s="10"/>
    </row>
    <row r="100" spans="1:17" s="9" customFormat="1" ht="9">
      <c r="A100" s="113"/>
      <c r="B100" s="115"/>
      <c r="C100" s="115"/>
      <c r="D100" s="115"/>
      <c r="E100" s="115"/>
      <c r="F100" s="10"/>
      <c r="G100" s="10"/>
      <c r="H100" s="10"/>
      <c r="I100" s="11"/>
      <c r="J100" s="10"/>
      <c r="K100" s="10"/>
      <c r="L100" s="10"/>
      <c r="M100" s="10"/>
      <c r="N100" s="10"/>
      <c r="O100" s="12"/>
      <c r="P100" s="12"/>
      <c r="Q100" s="10"/>
    </row>
    <row r="101" spans="1:17" s="9" customFormat="1" ht="9">
      <c r="A101" s="113"/>
      <c r="B101" s="115"/>
      <c r="C101" s="115"/>
      <c r="D101" s="115"/>
      <c r="E101" s="115"/>
      <c r="F101" s="10"/>
      <c r="G101" s="10"/>
      <c r="H101" s="10"/>
      <c r="I101" s="11"/>
      <c r="J101" s="10"/>
      <c r="K101" s="10"/>
      <c r="L101" s="10"/>
      <c r="M101" s="10"/>
      <c r="N101" s="10"/>
      <c r="O101" s="12"/>
      <c r="P101" s="12"/>
      <c r="Q101" s="10"/>
    </row>
    <row r="102" spans="1:17">
      <c r="A102" s="112"/>
      <c r="B102" s="114"/>
      <c r="C102" s="114"/>
      <c r="D102" s="114"/>
      <c r="E102" s="114"/>
    </row>
    <row r="103" spans="1:17">
      <c r="A103" s="112"/>
      <c r="B103" s="114"/>
      <c r="C103" s="114"/>
      <c r="D103" s="114"/>
      <c r="E103" s="114"/>
    </row>
    <row r="104" spans="1:17">
      <c r="A104" s="112"/>
      <c r="B104" s="114"/>
      <c r="C104" s="114"/>
      <c r="D104" s="114"/>
      <c r="E104" s="114"/>
    </row>
    <row r="105" spans="1:17">
      <c r="A105" s="112"/>
      <c r="B105" s="114"/>
      <c r="C105" s="114"/>
      <c r="D105" s="114"/>
      <c r="E105" s="114"/>
    </row>
    <row r="106" spans="1:17">
      <c r="A106" s="112"/>
      <c r="B106" s="114"/>
      <c r="C106" s="114"/>
      <c r="D106" s="114"/>
      <c r="E106" s="114"/>
    </row>
    <row r="107" spans="1:17">
      <c r="A107" s="112"/>
      <c r="B107" s="114"/>
      <c r="C107" s="114"/>
      <c r="D107" s="114"/>
      <c r="E107" s="114"/>
    </row>
    <row r="108" spans="1:17">
      <c r="A108" s="112"/>
      <c r="B108" s="114"/>
      <c r="C108" s="114"/>
      <c r="D108" s="114"/>
      <c r="E108" s="114"/>
    </row>
    <row r="109" spans="1:17">
      <c r="A109" s="112"/>
      <c r="B109" s="114"/>
      <c r="C109" s="114"/>
      <c r="D109" s="114"/>
      <c r="E109" s="114"/>
    </row>
    <row r="110" spans="1:17">
      <c r="A110" s="112"/>
      <c r="B110" s="114"/>
      <c r="C110" s="114"/>
      <c r="D110" s="114"/>
      <c r="E110" s="114"/>
    </row>
    <row r="111" spans="1:17">
      <c r="A111" s="112"/>
      <c r="B111" s="114"/>
      <c r="C111" s="114"/>
      <c r="D111" s="114"/>
      <c r="E111" s="114"/>
    </row>
    <row r="112" spans="1:17">
      <c r="A112" s="112"/>
      <c r="B112" s="114"/>
      <c r="C112" s="114"/>
      <c r="D112" s="114"/>
      <c r="E112" s="114"/>
    </row>
    <row r="113" spans="1:5">
      <c r="A113" s="112"/>
      <c r="B113" s="114"/>
      <c r="C113" s="114"/>
      <c r="D113" s="114"/>
      <c r="E113" s="114"/>
    </row>
    <row r="114" spans="1:5">
      <c r="A114" s="112"/>
      <c r="B114" s="114"/>
      <c r="C114" s="114"/>
      <c r="D114" s="114"/>
      <c r="E114" s="114"/>
    </row>
    <row r="115" spans="1:5">
      <c r="A115" s="112"/>
      <c r="B115" s="114"/>
      <c r="C115" s="114"/>
      <c r="D115" s="114"/>
      <c r="E115" s="114"/>
    </row>
    <row r="116" spans="1:5">
      <c r="A116" s="112"/>
      <c r="B116" s="114"/>
      <c r="C116" s="114"/>
      <c r="D116" s="114"/>
      <c r="E116" s="114"/>
    </row>
    <row r="117" spans="1:5">
      <c r="A117" s="112"/>
      <c r="B117" s="114"/>
      <c r="C117" s="114"/>
      <c r="D117" s="114"/>
      <c r="E117" s="114"/>
    </row>
    <row r="118" spans="1:5">
      <c r="A118" s="112"/>
      <c r="B118" s="114"/>
      <c r="C118" s="114"/>
      <c r="D118" s="114"/>
      <c r="E118" s="114"/>
    </row>
    <row r="119" spans="1:5">
      <c r="A119" s="112"/>
      <c r="B119" s="114"/>
      <c r="C119" s="114"/>
      <c r="D119" s="114"/>
      <c r="E119" s="114"/>
    </row>
    <row r="120" spans="1:5">
      <c r="A120" s="112"/>
      <c r="B120" s="114"/>
      <c r="C120" s="114"/>
      <c r="D120" s="114"/>
      <c r="E120" s="114"/>
    </row>
    <row r="121" spans="1:5">
      <c r="A121" s="112"/>
      <c r="B121" s="114"/>
      <c r="C121" s="114"/>
      <c r="D121" s="114"/>
      <c r="E121" s="114"/>
    </row>
    <row r="122" spans="1:5">
      <c r="A122" s="112"/>
      <c r="B122" s="114"/>
      <c r="C122" s="114"/>
      <c r="D122" s="114"/>
      <c r="E122" s="114"/>
    </row>
    <row r="123" spans="1:5">
      <c r="A123" s="112"/>
      <c r="B123" s="114"/>
      <c r="C123" s="114"/>
      <c r="D123" s="114"/>
      <c r="E123" s="114"/>
    </row>
    <row r="124" spans="1:5">
      <c r="A124" s="112"/>
      <c r="B124" s="114"/>
      <c r="C124" s="114"/>
      <c r="D124" s="114"/>
      <c r="E124" s="114"/>
    </row>
    <row r="125" spans="1:5">
      <c r="A125" s="112"/>
      <c r="B125" s="114"/>
      <c r="C125" s="114"/>
      <c r="D125" s="114"/>
      <c r="E125" s="114"/>
    </row>
    <row r="126" spans="1:5">
      <c r="A126" s="112"/>
      <c r="B126" s="114"/>
      <c r="C126" s="114"/>
      <c r="D126" s="114"/>
      <c r="E126" s="114"/>
    </row>
    <row r="127" spans="1:5">
      <c r="A127" s="112"/>
      <c r="B127" s="114"/>
      <c r="C127" s="114"/>
      <c r="D127" s="114"/>
      <c r="E127" s="114"/>
    </row>
    <row r="128" spans="1:5">
      <c r="A128" s="112"/>
      <c r="B128" s="114"/>
      <c r="C128" s="114"/>
      <c r="D128" s="114"/>
      <c r="E128" s="114"/>
    </row>
    <row r="129" spans="1:5">
      <c r="A129" s="112"/>
      <c r="B129" s="114"/>
      <c r="C129" s="114"/>
      <c r="D129" s="114"/>
      <c r="E129" s="114"/>
    </row>
    <row r="130" spans="1:5">
      <c r="A130" s="112"/>
      <c r="B130" s="114"/>
      <c r="C130" s="114"/>
      <c r="D130" s="114"/>
      <c r="E130" s="114"/>
    </row>
    <row r="131" spans="1:5">
      <c r="A131" s="112"/>
      <c r="B131" s="114"/>
      <c r="C131" s="114"/>
      <c r="D131" s="114"/>
      <c r="E131" s="114"/>
    </row>
    <row r="132" spans="1:5">
      <c r="A132" s="112"/>
      <c r="B132" s="114"/>
      <c r="C132" s="114"/>
      <c r="D132" s="114"/>
      <c r="E132" s="114"/>
    </row>
    <row r="133" spans="1:5">
      <c r="A133" s="112"/>
      <c r="B133" s="114"/>
      <c r="C133" s="114"/>
      <c r="D133" s="114"/>
      <c r="E133" s="114"/>
    </row>
    <row r="134" spans="1:5">
      <c r="A134" s="112"/>
      <c r="B134" s="114"/>
      <c r="C134" s="114"/>
      <c r="D134" s="114"/>
      <c r="E134" s="114"/>
    </row>
    <row r="135" spans="1:5">
      <c r="A135" s="112"/>
      <c r="B135" s="114"/>
      <c r="C135" s="114"/>
      <c r="D135" s="114"/>
      <c r="E135" s="114"/>
    </row>
    <row r="136" spans="1:5">
      <c r="A136" s="112"/>
      <c r="B136" s="114"/>
      <c r="C136" s="114"/>
      <c r="D136" s="114"/>
      <c r="E136" s="114"/>
    </row>
    <row r="137" spans="1:5">
      <c r="A137" s="112"/>
      <c r="B137" s="114"/>
      <c r="C137" s="114"/>
      <c r="D137" s="114"/>
      <c r="E137" s="114"/>
    </row>
    <row r="138" spans="1:5">
      <c r="A138" s="112"/>
      <c r="B138" s="114"/>
      <c r="C138" s="114"/>
      <c r="D138" s="114"/>
      <c r="E138" s="114"/>
    </row>
    <row r="139" spans="1:5">
      <c r="A139" s="112"/>
      <c r="B139" s="114"/>
      <c r="C139" s="114"/>
      <c r="D139" s="114"/>
      <c r="E139" s="114"/>
    </row>
    <row r="140" spans="1:5">
      <c r="A140" s="112"/>
      <c r="B140" s="114"/>
      <c r="C140" s="114"/>
      <c r="D140" s="114"/>
      <c r="E140" s="114"/>
    </row>
    <row r="141" spans="1:5">
      <c r="A141" s="112"/>
      <c r="B141" s="114"/>
      <c r="C141" s="114"/>
      <c r="D141" s="114"/>
      <c r="E141" s="114"/>
    </row>
    <row r="142" spans="1:5">
      <c r="A142" s="112"/>
      <c r="B142" s="114"/>
      <c r="C142" s="114"/>
      <c r="D142" s="114"/>
      <c r="E142" s="114"/>
    </row>
    <row r="143" spans="1:5">
      <c r="A143" s="112"/>
      <c r="B143" s="114"/>
      <c r="C143" s="114"/>
      <c r="D143" s="114"/>
      <c r="E143" s="114"/>
    </row>
    <row r="144" spans="1:5">
      <c r="A144" s="112"/>
      <c r="B144" s="114"/>
      <c r="C144" s="114"/>
      <c r="D144" s="114"/>
      <c r="E144" s="114"/>
    </row>
    <row r="145" spans="1:5">
      <c r="A145" s="112"/>
      <c r="B145" s="114"/>
      <c r="C145" s="114"/>
      <c r="D145" s="114"/>
      <c r="E145" s="114"/>
    </row>
    <row r="146" spans="1:5">
      <c r="A146" s="112"/>
      <c r="B146" s="114"/>
      <c r="C146" s="114"/>
      <c r="D146" s="114"/>
      <c r="E146" s="114"/>
    </row>
    <row r="147" spans="1:5">
      <c r="A147" s="112"/>
      <c r="B147" s="114"/>
      <c r="C147" s="114"/>
      <c r="D147" s="114"/>
      <c r="E147" s="114"/>
    </row>
    <row r="148" spans="1:5">
      <c r="A148" s="112"/>
      <c r="B148" s="114"/>
      <c r="C148" s="114"/>
      <c r="D148" s="114"/>
      <c r="E148" s="114"/>
    </row>
    <row r="149" spans="1:5">
      <c r="A149" s="112"/>
      <c r="B149" s="114"/>
      <c r="C149" s="114"/>
      <c r="D149" s="114"/>
      <c r="E149" s="114"/>
    </row>
    <row r="150" spans="1:5">
      <c r="A150" s="112"/>
      <c r="B150" s="114"/>
      <c r="C150" s="114"/>
      <c r="D150" s="114"/>
      <c r="E150" s="114"/>
    </row>
    <row r="151" spans="1:5">
      <c r="A151" s="112"/>
      <c r="B151" s="114"/>
      <c r="C151" s="114"/>
      <c r="D151" s="114"/>
      <c r="E151" s="114"/>
    </row>
    <row r="152" spans="1:5">
      <c r="A152" s="112"/>
      <c r="B152" s="114"/>
      <c r="C152" s="114"/>
      <c r="D152" s="114"/>
      <c r="E152" s="114"/>
    </row>
    <row r="153" spans="1:5">
      <c r="A153" s="112"/>
      <c r="B153" s="114"/>
      <c r="C153" s="114"/>
      <c r="D153" s="114"/>
      <c r="E153" s="114"/>
    </row>
    <row r="154" spans="1:5">
      <c r="A154" s="112"/>
      <c r="B154" s="114"/>
      <c r="C154" s="114"/>
      <c r="D154" s="114"/>
      <c r="E154" s="114"/>
    </row>
    <row r="155" spans="1:5">
      <c r="A155" s="112"/>
      <c r="B155" s="114"/>
      <c r="C155" s="114"/>
      <c r="D155" s="114"/>
      <c r="E155" s="114"/>
    </row>
    <row r="156" spans="1:5">
      <c r="A156" s="112"/>
      <c r="B156" s="114"/>
      <c r="C156" s="114"/>
      <c r="D156" s="114"/>
      <c r="E156" s="114"/>
    </row>
  </sheetData>
  <mergeCells count="6">
    <mergeCell ref="A1:Q1"/>
    <mergeCell ref="A2:Q2"/>
    <mergeCell ref="A54:M54"/>
    <mergeCell ref="A52:Q52"/>
    <mergeCell ref="A50:N50"/>
    <mergeCell ref="A51:N51"/>
  </mergeCells>
  <phoneticPr fontId="7" type="noConversion"/>
  <pageMargins left="0.25" right="0.25" top="0.5" bottom="0.75" header="0.5" footer="0.5"/>
  <pageSetup scale="74" orientation="landscape"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V101"/>
  <sheetViews>
    <sheetView zoomScaleNormal="100" workbookViewId="0">
      <pane xSplit="1" ySplit="3" topLeftCell="B4" activePane="bottomRight" state="frozen"/>
      <selection activeCell="S1" sqref="S1:S65536"/>
      <selection pane="topRight" activeCell="S1" sqref="S1:S65536"/>
      <selection pane="bottomLeft" activeCell="S1" sqref="S1:S65536"/>
      <selection pane="bottomRight" activeCell="G8" sqref="G8"/>
    </sheetView>
  </sheetViews>
  <sheetFormatPr defaultRowHeight="11.25"/>
  <cols>
    <col min="1" max="1" width="33.7109375" style="1" customWidth="1"/>
    <col min="2" max="2" width="9.7109375" style="5" customWidth="1"/>
    <col min="3" max="3" width="8" style="5" hidden="1" customWidth="1"/>
    <col min="4" max="5" width="9.42578125" style="5" customWidth="1"/>
    <col min="6" max="6" width="6.7109375" style="5" customWidth="1"/>
    <col min="7" max="7" width="9.85546875" style="5" customWidth="1"/>
    <col min="8" max="8" width="8.140625" style="5" customWidth="1"/>
    <col min="9" max="9" width="10.140625" style="8" customWidth="1"/>
    <col min="10" max="10" width="7.5703125" style="5" customWidth="1"/>
    <col min="11" max="11" width="7.140625" style="5" customWidth="1"/>
    <col min="12" max="12" width="7.5703125" style="5" customWidth="1"/>
    <col min="13" max="13" width="7.85546875" style="5" hidden="1" customWidth="1"/>
    <col min="14" max="14" width="10.140625" style="5" customWidth="1"/>
    <col min="15" max="15" width="10.85546875" style="6" customWidth="1"/>
    <col min="16" max="16" width="9.85546875" style="6" customWidth="1"/>
    <col min="17" max="17" width="5.5703125" style="5" bestFit="1" customWidth="1"/>
    <col min="18" max="19" width="0" style="1" hidden="1" customWidth="1"/>
    <col min="20" max="20" width="4.7109375" style="1" customWidth="1"/>
    <col min="21" max="21" width="8.5703125" style="1" hidden="1" customWidth="1"/>
    <col min="22" max="22" width="0" style="1" hidden="1" customWidth="1"/>
    <col min="23" max="16384" width="9.140625" style="1"/>
  </cols>
  <sheetData>
    <row r="1" spans="1:21">
      <c r="A1" s="406" t="s">
        <v>63</v>
      </c>
      <c r="B1" s="406"/>
      <c r="C1" s="406"/>
      <c r="D1" s="406"/>
      <c r="E1" s="406"/>
      <c r="F1" s="406"/>
      <c r="G1" s="406"/>
      <c r="H1" s="406"/>
      <c r="I1" s="406"/>
      <c r="J1" s="406"/>
      <c r="K1" s="406"/>
      <c r="L1" s="406"/>
      <c r="M1" s="406"/>
      <c r="N1" s="406"/>
      <c r="O1" s="406"/>
      <c r="P1" s="406"/>
      <c r="Q1" s="406"/>
    </row>
    <row r="2" spans="1:21" ht="12" thickBot="1">
      <c r="A2" s="405" t="s">
        <v>330</v>
      </c>
      <c r="B2" s="405"/>
      <c r="C2" s="405"/>
      <c r="D2" s="405"/>
      <c r="E2" s="405"/>
      <c r="F2" s="405"/>
      <c r="G2" s="405"/>
      <c r="H2" s="405"/>
      <c r="I2" s="405"/>
      <c r="J2" s="405"/>
      <c r="K2" s="405"/>
      <c r="L2" s="405"/>
      <c r="M2" s="405"/>
      <c r="N2" s="405"/>
      <c r="O2" s="405"/>
      <c r="P2" s="405"/>
      <c r="Q2" s="405"/>
    </row>
    <row r="3" spans="1:21" s="3" customFormat="1" ht="63.75" thickBot="1">
      <c r="A3" s="143" t="s">
        <v>229</v>
      </c>
      <c r="B3" s="218" t="s">
        <v>230</v>
      </c>
      <c r="C3" s="218" t="s">
        <v>258</v>
      </c>
      <c r="D3" s="218" t="s">
        <v>21</v>
      </c>
      <c r="E3" s="218" t="s">
        <v>23</v>
      </c>
      <c r="F3" s="218" t="s">
        <v>22</v>
      </c>
      <c r="G3" s="218" t="s">
        <v>336</v>
      </c>
      <c r="H3" s="218" t="s">
        <v>6</v>
      </c>
      <c r="I3" s="145" t="s">
        <v>7</v>
      </c>
      <c r="J3" s="233" t="s">
        <v>11</v>
      </c>
      <c r="K3" s="233" t="s">
        <v>12</v>
      </c>
      <c r="L3" s="233" t="s">
        <v>10</v>
      </c>
      <c r="M3" s="218" t="s">
        <v>228</v>
      </c>
      <c r="N3" s="218" t="s">
        <v>25</v>
      </c>
      <c r="O3" s="233" t="s">
        <v>308</v>
      </c>
      <c r="P3" s="233" t="s">
        <v>309</v>
      </c>
      <c r="Q3" s="354" t="s">
        <v>231</v>
      </c>
      <c r="R3" s="3" t="s">
        <v>86</v>
      </c>
      <c r="S3" s="3" t="s">
        <v>164</v>
      </c>
    </row>
    <row r="4" spans="1:21" s="4" customFormat="1" ht="9">
      <c r="A4" s="234" t="s">
        <v>237</v>
      </c>
      <c r="B4" s="235" t="s">
        <v>264</v>
      </c>
      <c r="C4" s="235"/>
      <c r="D4" s="236"/>
      <c r="E4" s="236"/>
      <c r="F4" s="236"/>
      <c r="G4" s="235"/>
      <c r="H4" s="235"/>
      <c r="I4" s="237"/>
      <c r="J4" s="237"/>
      <c r="K4" s="237"/>
      <c r="L4" s="237"/>
      <c r="M4" s="235"/>
      <c r="N4" s="236"/>
      <c r="O4" s="236"/>
      <c r="P4" s="236"/>
      <c r="Q4" s="229"/>
    </row>
    <row r="5" spans="1:21" s="4" customFormat="1" ht="9">
      <c r="A5" s="121" t="s">
        <v>238</v>
      </c>
      <c r="B5" s="28" t="s">
        <v>264</v>
      </c>
      <c r="C5" s="28"/>
      <c r="D5" s="32"/>
      <c r="E5" s="32"/>
      <c r="F5" s="32"/>
      <c r="G5" s="28"/>
      <c r="H5" s="28"/>
      <c r="I5" s="43"/>
      <c r="J5" s="43"/>
      <c r="K5" s="43"/>
      <c r="L5" s="43"/>
      <c r="M5" s="28"/>
      <c r="N5" s="32"/>
      <c r="O5" s="32"/>
      <c r="P5" s="32"/>
      <c r="Q5" s="122"/>
    </row>
    <row r="6" spans="1:21" s="4" customFormat="1" ht="9">
      <c r="A6" s="121" t="s">
        <v>239</v>
      </c>
      <c r="B6" s="28"/>
      <c r="C6" s="28"/>
      <c r="D6" s="32"/>
      <c r="E6" s="32"/>
      <c r="F6" s="32"/>
      <c r="G6" s="28"/>
      <c r="H6" s="28"/>
      <c r="I6" s="43"/>
      <c r="J6" s="43"/>
      <c r="K6" s="43"/>
      <c r="L6" s="43"/>
      <c r="M6" s="28"/>
      <c r="N6" s="32"/>
      <c r="O6" s="32"/>
      <c r="P6" s="32"/>
      <c r="Q6" s="122"/>
    </row>
    <row r="7" spans="1:21" s="4" customFormat="1" ht="9">
      <c r="A7" s="123" t="s">
        <v>240</v>
      </c>
      <c r="B7" s="28">
        <v>40</v>
      </c>
      <c r="C7" s="28"/>
      <c r="D7" s="32">
        <v>0</v>
      </c>
      <c r="E7" s="32">
        <v>0</v>
      </c>
      <c r="F7" s="32">
        <v>0</v>
      </c>
      <c r="G7" s="28">
        <v>1</v>
      </c>
      <c r="H7" s="28">
        <f>B7*G7</f>
        <v>40</v>
      </c>
      <c r="I7" s="42">
        <v>0</v>
      </c>
      <c r="J7" s="43">
        <f>H7*I7</f>
        <v>0</v>
      </c>
      <c r="K7" s="43">
        <f>J7*0.1</f>
        <v>0</v>
      </c>
      <c r="L7" s="42">
        <f>J7*0.05</f>
        <v>0</v>
      </c>
      <c r="M7" s="28">
        <f>C7*G7*I7</f>
        <v>0</v>
      </c>
      <c r="N7" s="32">
        <f>(J7*'Base Data'!$C$5)+(K7*'Base Data'!$C$6)+(L7*'Base Data'!$C$7)</f>
        <v>0</v>
      </c>
      <c r="O7" s="32">
        <v>0</v>
      </c>
      <c r="P7" s="43">
        <v>0</v>
      </c>
      <c r="Q7" s="122" t="s">
        <v>214</v>
      </c>
    </row>
    <row r="8" spans="1:21" s="4" customFormat="1" ht="9">
      <c r="A8" s="121" t="s">
        <v>241</v>
      </c>
      <c r="B8" s="28"/>
      <c r="C8" s="28"/>
      <c r="D8" s="32"/>
      <c r="E8" s="32"/>
      <c r="F8" s="32"/>
      <c r="G8" s="28"/>
      <c r="H8" s="28"/>
      <c r="I8" s="43"/>
      <c r="J8" s="43"/>
      <c r="K8" s="43"/>
      <c r="L8" s="43"/>
      <c r="M8" s="28"/>
      <c r="N8" s="32"/>
      <c r="O8" s="32"/>
      <c r="P8" s="32"/>
      <c r="Q8" s="122"/>
      <c r="U8" s="15"/>
    </row>
    <row r="9" spans="1:21" s="4" customFormat="1" ht="9">
      <c r="A9" s="123" t="s">
        <v>253</v>
      </c>
      <c r="B9" s="28"/>
      <c r="C9" s="28"/>
      <c r="D9" s="105"/>
      <c r="E9" s="32"/>
      <c r="F9" s="32"/>
      <c r="G9" s="28"/>
      <c r="H9" s="28"/>
      <c r="I9" s="42"/>
      <c r="J9" s="43"/>
      <c r="K9" s="43"/>
      <c r="L9" s="43"/>
      <c r="M9" s="106"/>
      <c r="N9" s="32"/>
      <c r="O9" s="32"/>
      <c r="P9" s="32"/>
      <c r="Q9" s="122"/>
      <c r="U9" s="15"/>
    </row>
    <row r="10" spans="1:21" s="4" customFormat="1" ht="9">
      <c r="A10" s="121" t="s">
        <v>35</v>
      </c>
      <c r="B10" s="28">
        <v>20</v>
      </c>
      <c r="C10" s="28"/>
      <c r="D10" s="32">
        <v>18292</v>
      </c>
      <c r="E10" s="32">
        <v>0</v>
      </c>
      <c r="F10" s="32">
        <v>0</v>
      </c>
      <c r="G10" s="28">
        <v>1</v>
      </c>
      <c r="H10" s="28">
        <f t="shared" ref="H10:H17" si="0">B10*G10</f>
        <v>20</v>
      </c>
      <c r="I10" s="42">
        <f>ROUND(SUM('Base Data'!$D$16:$D$17,'Base Data'!$D$19)/2,0)*0.1</f>
        <v>202</v>
      </c>
      <c r="J10" s="43">
        <f t="shared" ref="J10:J17" si="1">H10*I10</f>
        <v>4040</v>
      </c>
      <c r="K10" s="43">
        <f t="shared" ref="K10:K17" si="2">J10*0.1</f>
        <v>404</v>
      </c>
      <c r="L10" s="43">
        <f t="shared" ref="L10:L17" si="3">J10*0.05</f>
        <v>202</v>
      </c>
      <c r="M10" s="106">
        <f>C10*G10*I10</f>
        <v>0</v>
      </c>
      <c r="N10" s="32">
        <f>(J10*'Base Data'!$C$5)+(K10*'Base Data'!$C$6)+(L10*'Base Data'!$C$7)</f>
        <v>439461.1</v>
      </c>
      <c r="O10" s="32">
        <f>D10*G10*I10</f>
        <v>3694984</v>
      </c>
      <c r="P10" s="43">
        <v>0</v>
      </c>
      <c r="Q10" s="122" t="s">
        <v>310</v>
      </c>
      <c r="U10" s="15"/>
    </row>
    <row r="11" spans="1:21" s="4" customFormat="1" ht="9">
      <c r="A11" s="121" t="s">
        <v>42</v>
      </c>
      <c r="B11" s="28">
        <v>20</v>
      </c>
      <c r="C11" s="28"/>
      <c r="D11" s="32">
        <v>854</v>
      </c>
      <c r="E11" s="32">
        <v>0</v>
      </c>
      <c r="F11" s="32">
        <v>0</v>
      </c>
      <c r="G11" s="28">
        <v>1</v>
      </c>
      <c r="H11" s="28">
        <f t="shared" si="0"/>
        <v>20</v>
      </c>
      <c r="I11" s="42">
        <f>ROUND(SUM('Base Data'!$D$16:$D$17,'Base Data'!$D$19)/2,0)*0.9-1</f>
        <v>1817</v>
      </c>
      <c r="J11" s="43">
        <f t="shared" si="1"/>
        <v>36340</v>
      </c>
      <c r="K11" s="43">
        <f t="shared" si="2"/>
        <v>3634</v>
      </c>
      <c r="L11" s="43">
        <f t="shared" si="3"/>
        <v>1817</v>
      </c>
      <c r="M11" s="106">
        <f>C11*G11*I11</f>
        <v>0</v>
      </c>
      <c r="N11" s="32">
        <f>(J11*'Base Data'!$C$5)+(K11*'Base Data'!$C$6)+(L11*'Base Data'!$C$7)</f>
        <v>3952974.35</v>
      </c>
      <c r="O11" s="32">
        <f>D11*G11*I11</f>
        <v>1551718</v>
      </c>
      <c r="P11" s="43">
        <v>0</v>
      </c>
      <c r="Q11" s="122" t="s">
        <v>310</v>
      </c>
      <c r="U11" s="15"/>
    </row>
    <row r="12" spans="1:21" s="4" customFormat="1" ht="9">
      <c r="A12" s="123" t="s">
        <v>224</v>
      </c>
      <c r="B12" s="28">
        <v>12</v>
      </c>
      <c r="C12" s="28"/>
      <c r="D12" s="32">
        <v>0</v>
      </c>
      <c r="E12" s="32">
        <v>5000</v>
      </c>
      <c r="F12" s="32">
        <v>0</v>
      </c>
      <c r="G12" s="28">
        <v>1</v>
      </c>
      <c r="H12" s="28">
        <f t="shared" si="0"/>
        <v>12</v>
      </c>
      <c r="I12" s="42">
        <f>ROUNDDOWN(SUM('Base Data'!$D$19)/2,0)</f>
        <v>286</v>
      </c>
      <c r="J12" s="43">
        <f t="shared" si="1"/>
        <v>3432</v>
      </c>
      <c r="K12" s="43">
        <f t="shared" si="2"/>
        <v>343.20000000000005</v>
      </c>
      <c r="L12" s="43">
        <f t="shared" si="3"/>
        <v>171.60000000000002</v>
      </c>
      <c r="M12" s="106"/>
      <c r="N12" s="32">
        <f>(J12*'Base Data'!$C$5)+(K12*'Base Data'!$C$6)+(L12*'Base Data'!$C$7)</f>
        <v>373324.38</v>
      </c>
      <c r="O12" s="32">
        <f t="shared" ref="O12:O17" si="4">E12*G12*I12</f>
        <v>1430000</v>
      </c>
      <c r="P12" s="43">
        <v>0</v>
      </c>
      <c r="Q12" s="122" t="s">
        <v>314</v>
      </c>
      <c r="U12" s="15"/>
    </row>
    <row r="13" spans="1:21" s="4" customFormat="1" ht="9">
      <c r="A13" s="123" t="s">
        <v>304</v>
      </c>
      <c r="B13" s="28">
        <v>12</v>
      </c>
      <c r="C13" s="28"/>
      <c r="D13" s="32">
        <v>0</v>
      </c>
      <c r="E13" s="32">
        <v>6000</v>
      </c>
      <c r="F13" s="32">
        <v>0</v>
      </c>
      <c r="G13" s="28">
        <v>1</v>
      </c>
      <c r="H13" s="28">
        <f t="shared" si="0"/>
        <v>12</v>
      </c>
      <c r="I13" s="42">
        <f>ROUNDDOWN(SUM('Base Data'!$D$19)/2,0)</f>
        <v>286</v>
      </c>
      <c r="J13" s="43">
        <f t="shared" si="1"/>
        <v>3432</v>
      </c>
      <c r="K13" s="43">
        <f t="shared" si="2"/>
        <v>343.20000000000005</v>
      </c>
      <c r="L13" s="43">
        <f t="shared" si="3"/>
        <v>171.60000000000002</v>
      </c>
      <c r="M13" s="106"/>
      <c r="N13" s="32">
        <f>(J13*'Base Data'!$C$5)+(K13*'Base Data'!$C$6)+(L13*'Base Data'!$C$7)</f>
        <v>373324.38</v>
      </c>
      <c r="O13" s="32">
        <f t="shared" si="4"/>
        <v>1716000</v>
      </c>
      <c r="P13" s="43">
        <v>0</v>
      </c>
      <c r="Q13" s="122" t="s">
        <v>314</v>
      </c>
      <c r="U13" s="15"/>
    </row>
    <row r="14" spans="1:21" s="4" customFormat="1" ht="9">
      <c r="A14" s="123" t="s">
        <v>143</v>
      </c>
      <c r="B14" s="28">
        <v>12</v>
      </c>
      <c r="C14" s="28"/>
      <c r="D14" s="32">
        <v>0</v>
      </c>
      <c r="E14" s="32">
        <v>5000</v>
      </c>
      <c r="F14" s="32">
        <v>0</v>
      </c>
      <c r="G14" s="28">
        <v>1</v>
      </c>
      <c r="H14" s="28">
        <f t="shared" si="0"/>
        <v>12</v>
      </c>
      <c r="I14" s="42">
        <f>'Fac-ExistLrgSolid-Yr2'!I12</f>
        <v>287</v>
      </c>
      <c r="J14" s="43">
        <f t="shared" si="1"/>
        <v>3444</v>
      </c>
      <c r="K14" s="43">
        <f t="shared" si="2"/>
        <v>344.40000000000003</v>
      </c>
      <c r="L14" s="43">
        <f t="shared" si="3"/>
        <v>172.20000000000002</v>
      </c>
      <c r="M14" s="106"/>
      <c r="N14" s="32">
        <f>(J14*'Base Data'!$C$5)+(K14*'Base Data'!$C$6)+(L14*'Base Data'!$C$7)</f>
        <v>374629.71</v>
      </c>
      <c r="O14" s="32">
        <f t="shared" si="4"/>
        <v>1435000</v>
      </c>
      <c r="P14" s="43">
        <v>0</v>
      </c>
      <c r="Q14" s="122" t="s">
        <v>314</v>
      </c>
      <c r="U14" s="15"/>
    </row>
    <row r="15" spans="1:21" s="4" customFormat="1" ht="9">
      <c r="A15" s="123" t="s">
        <v>302</v>
      </c>
      <c r="B15" s="28">
        <v>12</v>
      </c>
      <c r="C15" s="28"/>
      <c r="D15" s="32">
        <v>0</v>
      </c>
      <c r="E15" s="32">
        <v>6000</v>
      </c>
      <c r="F15" s="32">
        <v>0</v>
      </c>
      <c r="G15" s="28">
        <v>1</v>
      </c>
      <c r="H15" s="28">
        <f t="shared" si="0"/>
        <v>12</v>
      </c>
      <c r="I15" s="42">
        <f>'Fac-ExistLrgSolid-Yr2'!I13</f>
        <v>287</v>
      </c>
      <c r="J15" s="43">
        <f t="shared" si="1"/>
        <v>3444</v>
      </c>
      <c r="K15" s="43">
        <f t="shared" si="2"/>
        <v>344.40000000000003</v>
      </c>
      <c r="L15" s="43">
        <f t="shared" si="3"/>
        <v>172.20000000000002</v>
      </c>
      <c r="M15" s="106"/>
      <c r="N15" s="32">
        <f>(J15*'Base Data'!$C$5)+(K15*'Base Data'!$C$6)+(L15*'Base Data'!$C$7)</f>
        <v>374629.71</v>
      </c>
      <c r="O15" s="32">
        <f t="shared" si="4"/>
        <v>1722000</v>
      </c>
      <c r="P15" s="43">
        <v>0</v>
      </c>
      <c r="Q15" s="122" t="s">
        <v>314</v>
      </c>
      <c r="U15" s="15"/>
    </row>
    <row r="16" spans="1:21" s="4" customFormat="1" ht="9">
      <c r="A16" s="123" t="s">
        <v>144</v>
      </c>
      <c r="B16" s="28">
        <v>5</v>
      </c>
      <c r="C16" s="28"/>
      <c r="D16" s="32">
        <v>0</v>
      </c>
      <c r="E16" s="32">
        <v>200</v>
      </c>
      <c r="F16" s="32">
        <v>0</v>
      </c>
      <c r="G16" s="28">
        <v>1</v>
      </c>
      <c r="H16" s="28">
        <f t="shared" si="0"/>
        <v>5</v>
      </c>
      <c r="I16" s="42">
        <v>0</v>
      </c>
      <c r="J16" s="43">
        <f t="shared" si="1"/>
        <v>0</v>
      </c>
      <c r="K16" s="43">
        <f t="shared" si="2"/>
        <v>0</v>
      </c>
      <c r="L16" s="43">
        <f t="shared" si="3"/>
        <v>0</v>
      </c>
      <c r="M16" s="106"/>
      <c r="N16" s="32">
        <f>(J16*'Base Data'!$C$5)+(K16*'Base Data'!$C$6)+(L16*'Base Data'!$C$7)</f>
        <v>0</v>
      </c>
      <c r="O16" s="32">
        <f t="shared" si="4"/>
        <v>0</v>
      </c>
      <c r="P16" s="43">
        <v>0</v>
      </c>
      <c r="Q16" s="122" t="s">
        <v>27</v>
      </c>
      <c r="U16" s="15"/>
    </row>
    <row r="17" spans="1:22" s="4" customFormat="1" ht="9">
      <c r="A17" s="123" t="s">
        <v>145</v>
      </c>
      <c r="B17" s="28">
        <v>5</v>
      </c>
      <c r="C17" s="28"/>
      <c r="D17" s="32">
        <v>0</v>
      </c>
      <c r="E17" s="32">
        <v>200</v>
      </c>
      <c r="F17" s="32">
        <v>0</v>
      </c>
      <c r="G17" s="28">
        <v>12</v>
      </c>
      <c r="H17" s="28">
        <f t="shared" si="0"/>
        <v>60</v>
      </c>
      <c r="I17" s="42">
        <f>'Fac-ExistLrgSolid-Yr2'!I16</f>
        <v>0</v>
      </c>
      <c r="J17" s="43">
        <f t="shared" si="1"/>
        <v>0</v>
      </c>
      <c r="K17" s="43">
        <f t="shared" si="2"/>
        <v>0</v>
      </c>
      <c r="L17" s="43">
        <f t="shared" si="3"/>
        <v>0</v>
      </c>
      <c r="M17" s="106"/>
      <c r="N17" s="32">
        <f>(J17*'Base Data'!$C$5)+(K17*'Base Data'!$C$6)+(L17*'Base Data'!$C$7)</f>
        <v>0</v>
      </c>
      <c r="O17" s="32">
        <f t="shared" si="4"/>
        <v>0</v>
      </c>
      <c r="P17" s="43">
        <v>0</v>
      </c>
      <c r="Q17" s="122" t="s">
        <v>27</v>
      </c>
      <c r="U17" s="15"/>
    </row>
    <row r="18" spans="1:22" s="4" customFormat="1" ht="9">
      <c r="A18" s="123" t="s">
        <v>146</v>
      </c>
      <c r="B18" s="28"/>
      <c r="C18" s="28"/>
      <c r="D18" s="32"/>
      <c r="E18" s="32"/>
      <c r="F18" s="32"/>
      <c r="G18" s="28"/>
      <c r="H18" s="28"/>
      <c r="I18" s="43"/>
      <c r="J18" s="43"/>
      <c r="K18" s="43"/>
      <c r="L18" s="43"/>
      <c r="M18" s="106"/>
      <c r="N18" s="32"/>
      <c r="O18" s="32"/>
      <c r="P18" s="32"/>
      <c r="Q18" s="122"/>
      <c r="U18" s="15"/>
    </row>
    <row r="19" spans="1:22" s="4" customFormat="1" ht="9">
      <c r="A19" s="123" t="s">
        <v>262</v>
      </c>
      <c r="B19" s="28">
        <v>40</v>
      </c>
      <c r="C19" s="28"/>
      <c r="D19" s="32">
        <v>0</v>
      </c>
      <c r="E19" s="32"/>
      <c r="F19" s="32">
        <v>0</v>
      </c>
      <c r="G19" s="28">
        <v>1</v>
      </c>
      <c r="H19" s="28">
        <f>B19*G19</f>
        <v>40</v>
      </c>
      <c r="I19" s="42">
        <f>ROUND('Base Data'!H19/2,0)</f>
        <v>144</v>
      </c>
      <c r="J19" s="43">
        <f>H19*I19</f>
        <v>5760</v>
      </c>
      <c r="K19" s="43">
        <f>J19*0.1</f>
        <v>576</v>
      </c>
      <c r="L19" s="43">
        <f>J19*0.05</f>
        <v>288</v>
      </c>
      <c r="M19" s="106"/>
      <c r="N19" s="32">
        <f>(J19*'Base Data'!$C$5)+(K19*'Base Data'!$C$6)+(L19*'Base Data'!$C$7)</f>
        <v>626558.4</v>
      </c>
      <c r="O19" s="32">
        <v>0</v>
      </c>
      <c r="P19" s="43">
        <v>0</v>
      </c>
      <c r="Q19" s="122" t="s">
        <v>314</v>
      </c>
      <c r="U19" s="15"/>
    </row>
    <row r="20" spans="1:22" s="4" customFormat="1" ht="18">
      <c r="A20" s="123" t="s">
        <v>3</v>
      </c>
      <c r="B20" s="28"/>
      <c r="C20" s="28"/>
      <c r="D20" s="32"/>
      <c r="E20" s="32"/>
      <c r="F20" s="32"/>
      <c r="G20" s="28"/>
      <c r="H20" s="28"/>
      <c r="I20" s="107"/>
      <c r="J20" s="43"/>
      <c r="K20" s="43"/>
      <c r="L20" s="43"/>
      <c r="M20" s="106"/>
      <c r="N20" s="32"/>
      <c r="O20" s="32"/>
      <c r="P20" s="32"/>
      <c r="Q20" s="122"/>
      <c r="U20" s="15"/>
    </row>
    <row r="21" spans="1:22" s="4" customFormat="1" ht="9">
      <c r="A21" s="121" t="s">
        <v>243</v>
      </c>
      <c r="B21" s="28">
        <v>10</v>
      </c>
      <c r="C21" s="28"/>
      <c r="D21" s="32">
        <v>0</v>
      </c>
      <c r="E21" s="32">
        <v>0</v>
      </c>
      <c r="F21" s="32">
        <v>25500</v>
      </c>
      <c r="G21" s="28">
        <v>1</v>
      </c>
      <c r="H21" s="28">
        <f>B21*G21</f>
        <v>10</v>
      </c>
      <c r="I21" s="42">
        <f>ROUND('Base Data'!$C$29/2,0)</f>
        <v>40</v>
      </c>
      <c r="J21" s="43">
        <f>H21*I21</f>
        <v>400</v>
      </c>
      <c r="K21" s="43">
        <f>J21*0.1</f>
        <v>40</v>
      </c>
      <c r="L21" s="43">
        <f>J21*0.05</f>
        <v>20</v>
      </c>
      <c r="M21" s="106"/>
      <c r="N21" s="32">
        <f>(J21*'Base Data'!$C$5)+(K21*'Base Data'!$C$6)+(L21*'Base Data'!$C$7)</f>
        <v>43511</v>
      </c>
      <c r="O21" s="32">
        <f>F21*G21*I21</f>
        <v>1020000</v>
      </c>
      <c r="P21" s="43">
        <v>0</v>
      </c>
      <c r="Q21" s="122" t="s">
        <v>215</v>
      </c>
      <c r="U21" s="15"/>
    </row>
    <row r="22" spans="1:22" s="4" customFormat="1" ht="9">
      <c r="A22" s="121" t="s">
        <v>244</v>
      </c>
      <c r="B22" s="28">
        <v>10</v>
      </c>
      <c r="C22" s="28"/>
      <c r="D22" s="32">
        <v>0</v>
      </c>
      <c r="E22" s="32">
        <v>0</v>
      </c>
      <c r="F22" s="32">
        <v>9700</v>
      </c>
      <c r="G22" s="28">
        <v>1</v>
      </c>
      <c r="H22" s="28">
        <f>B22*G22</f>
        <v>10</v>
      </c>
      <c r="I22" s="42">
        <f>ROUND('Base Data'!$C$29/2,0)</f>
        <v>40</v>
      </c>
      <c r="J22" s="43">
        <f>H22*I22</f>
        <v>400</v>
      </c>
      <c r="K22" s="43">
        <f>J22*0.1</f>
        <v>40</v>
      </c>
      <c r="L22" s="43">
        <f>J22*0.05</f>
        <v>20</v>
      </c>
      <c r="M22" s="106"/>
      <c r="N22" s="32">
        <f>(J22*'Base Data'!$C$5)+(K22*'Base Data'!$C$6)+(L22*'Base Data'!$C$7)</f>
        <v>43511</v>
      </c>
      <c r="O22" s="32">
        <f>F22*G22*I22</f>
        <v>388000</v>
      </c>
      <c r="P22" s="43">
        <v>0</v>
      </c>
      <c r="Q22" s="122" t="s">
        <v>215</v>
      </c>
      <c r="U22" s="15"/>
    </row>
    <row r="23" spans="1:22" s="4" customFormat="1" ht="9">
      <c r="A23" s="123" t="s">
        <v>303</v>
      </c>
      <c r="B23" s="28">
        <v>12</v>
      </c>
      <c r="C23" s="28"/>
      <c r="D23" s="32">
        <v>0</v>
      </c>
      <c r="E23" s="32">
        <v>2875</v>
      </c>
      <c r="F23" s="32">
        <v>0</v>
      </c>
      <c r="G23" s="28">
        <v>0.5</v>
      </c>
      <c r="H23" s="28">
        <f>B23*G23</f>
        <v>6</v>
      </c>
      <c r="I23" s="43">
        <f>('Base Data'!D16+'Base Data'!D17)/2</f>
        <v>1733</v>
      </c>
      <c r="J23" s="42">
        <f>H23*I23</f>
        <v>10398</v>
      </c>
      <c r="K23" s="42">
        <f>J23*0.1</f>
        <v>1039.8</v>
      </c>
      <c r="L23" s="42">
        <f>J23*0.05</f>
        <v>519.9</v>
      </c>
      <c r="M23" s="43"/>
      <c r="N23" s="32">
        <f>(J23*'Base Data'!$C$5)+(K23*'Base Data'!$C$6)+(L23*'Base Data'!$C$7)</f>
        <v>1131068.4450000001</v>
      </c>
      <c r="O23" s="32">
        <f>F23*G23*I23</f>
        <v>0</v>
      </c>
      <c r="P23" s="43">
        <v>0</v>
      </c>
      <c r="Q23" s="122" t="s">
        <v>151</v>
      </c>
      <c r="R23" s="46"/>
      <c r="T23" s="15"/>
    </row>
    <row r="24" spans="1:22" s="4" customFormat="1" ht="9">
      <c r="A24" s="121" t="s">
        <v>245</v>
      </c>
      <c r="B24" s="28" t="s">
        <v>264</v>
      </c>
      <c r="C24" s="28"/>
      <c r="D24" s="32"/>
      <c r="E24" s="32"/>
      <c r="F24" s="32"/>
      <c r="G24" s="28"/>
      <c r="H24" s="28"/>
      <c r="I24" s="43"/>
      <c r="J24" s="43"/>
      <c r="K24" s="43"/>
      <c r="L24" s="43"/>
      <c r="M24" s="28"/>
      <c r="N24" s="32"/>
      <c r="O24" s="32"/>
      <c r="P24" s="32"/>
      <c r="Q24" s="122"/>
      <c r="U24" s="15"/>
    </row>
    <row r="25" spans="1:22" s="4" customFormat="1" ht="9">
      <c r="A25" s="121" t="s">
        <v>246</v>
      </c>
      <c r="B25" s="28" t="s">
        <v>264</v>
      </c>
      <c r="C25" s="28"/>
      <c r="D25" s="32"/>
      <c r="E25" s="32"/>
      <c r="F25" s="32"/>
      <c r="G25" s="28"/>
      <c r="H25" s="28"/>
      <c r="I25" s="43"/>
      <c r="J25" s="43"/>
      <c r="K25" s="43"/>
      <c r="L25" s="43"/>
      <c r="M25" s="28"/>
      <c r="N25" s="32"/>
      <c r="O25" s="32"/>
      <c r="P25" s="32"/>
      <c r="Q25" s="122"/>
    </row>
    <row r="26" spans="1:22" s="4" customFormat="1" ht="9">
      <c r="A26" s="121" t="s">
        <v>247</v>
      </c>
      <c r="B26" s="28"/>
      <c r="C26" s="28"/>
      <c r="D26" s="32"/>
      <c r="E26" s="32"/>
      <c r="F26" s="32"/>
      <c r="G26" s="28"/>
      <c r="H26" s="28"/>
      <c r="I26" s="43"/>
      <c r="J26" s="43"/>
      <c r="K26" s="43"/>
      <c r="L26" s="43"/>
      <c r="M26" s="28"/>
      <c r="N26" s="32"/>
      <c r="O26" s="32"/>
      <c r="P26" s="32"/>
      <c r="Q26" s="122"/>
    </row>
    <row r="27" spans="1:22" s="4" customFormat="1" ht="9">
      <c r="A27" s="124" t="s">
        <v>266</v>
      </c>
      <c r="B27" s="28">
        <v>2</v>
      </c>
      <c r="C27" s="28"/>
      <c r="D27" s="32">
        <v>0</v>
      </c>
      <c r="E27" s="32">
        <v>0</v>
      </c>
      <c r="F27" s="32">
        <v>0</v>
      </c>
      <c r="G27" s="28">
        <v>1</v>
      </c>
      <c r="H27" s="28">
        <f>B27*G27</f>
        <v>2</v>
      </c>
      <c r="I27" s="42">
        <v>0</v>
      </c>
      <c r="J27" s="43">
        <f>H27*I27</f>
        <v>0</v>
      </c>
      <c r="K27" s="43">
        <f>J27*0.1</f>
        <v>0</v>
      </c>
      <c r="L27" s="43">
        <f>J27*0.05</f>
        <v>0</v>
      </c>
      <c r="M27" s="28">
        <f>C27*G27*I27</f>
        <v>0</v>
      </c>
      <c r="N27" s="32">
        <f>(J27*'Base Data'!$C$5)+(K27*'Base Data'!$C$6)+(L27*'Base Data'!$C$7)</f>
        <v>0</v>
      </c>
      <c r="O27" s="32">
        <v>0</v>
      </c>
      <c r="P27" s="43">
        <f>G27*I27</f>
        <v>0</v>
      </c>
      <c r="Q27" s="122" t="s">
        <v>214</v>
      </c>
    </row>
    <row r="28" spans="1:22" s="4" customFormat="1" ht="9" customHeight="1">
      <c r="A28" s="124" t="s">
        <v>208</v>
      </c>
      <c r="B28" s="28">
        <v>8</v>
      </c>
      <c r="C28" s="28"/>
      <c r="D28" s="32">
        <v>0</v>
      </c>
      <c r="E28" s="32">
        <v>0</v>
      </c>
      <c r="F28" s="32">
        <v>0</v>
      </c>
      <c r="G28" s="28">
        <v>1</v>
      </c>
      <c r="H28" s="28">
        <f>B28*G28</f>
        <v>8</v>
      </c>
      <c r="I28" s="42">
        <f>ROUND(SUM('Base Data'!$H$16:$H$17,'Base Data'!$H$19),0)</f>
        <v>2020</v>
      </c>
      <c r="J28" s="43">
        <f>H28*I28</f>
        <v>16160</v>
      </c>
      <c r="K28" s="43">
        <f>J28*0.1</f>
        <v>1616</v>
      </c>
      <c r="L28" s="43">
        <f>J28*0.05</f>
        <v>808</v>
      </c>
      <c r="M28" s="28">
        <f>C28*G28*I28</f>
        <v>0</v>
      </c>
      <c r="N28" s="32">
        <f>(J28*'Base Data'!$C$5)+(K28*'Base Data'!$C$6)+(L28*'Base Data'!$C$7)</f>
        <v>1757844.4</v>
      </c>
      <c r="O28" s="32">
        <v>0</v>
      </c>
      <c r="P28" s="43">
        <f>G28*I28</f>
        <v>2020</v>
      </c>
      <c r="Q28" s="122" t="s">
        <v>215</v>
      </c>
      <c r="U28" s="4" t="s">
        <v>316</v>
      </c>
      <c r="V28" s="4" t="s">
        <v>320</v>
      </c>
    </row>
    <row r="29" spans="1:22" s="4" customFormat="1" ht="9">
      <c r="A29" s="124" t="s">
        <v>209</v>
      </c>
      <c r="B29" s="28">
        <v>5</v>
      </c>
      <c r="C29" s="28"/>
      <c r="D29" s="32">
        <v>0</v>
      </c>
      <c r="E29" s="32">
        <v>0</v>
      </c>
      <c r="F29" s="32">
        <v>0</v>
      </c>
      <c r="G29" s="28">
        <v>1</v>
      </c>
      <c r="H29" s="28">
        <f>B29*G29</f>
        <v>5</v>
      </c>
      <c r="I29" s="42">
        <f>ROUND(SUM('Base Data'!$H$16:$H$17,'Base Data'!$H$19),0)</f>
        <v>2020</v>
      </c>
      <c r="J29" s="43">
        <f>H29*I29</f>
        <v>10100</v>
      </c>
      <c r="K29" s="43">
        <f>J29*0.1</f>
        <v>1010</v>
      </c>
      <c r="L29" s="43">
        <f>J29*0.05</f>
        <v>505</v>
      </c>
      <c r="M29" s="28">
        <f>C29*G29*I29</f>
        <v>0</v>
      </c>
      <c r="N29" s="32">
        <f>(J29*'Base Data'!$C$5)+(K29*'Base Data'!$C$6)+(L29*'Base Data'!$C$7)</f>
        <v>1098652.75</v>
      </c>
      <c r="O29" s="32">
        <v>0</v>
      </c>
      <c r="P29" s="43">
        <f>G29*I29</f>
        <v>2020</v>
      </c>
      <c r="Q29" s="122" t="s">
        <v>310</v>
      </c>
      <c r="R29" s="46"/>
      <c r="U29" s="4" t="s">
        <v>316</v>
      </c>
      <c r="V29" s="4" t="s">
        <v>320</v>
      </c>
    </row>
    <row r="30" spans="1:22" s="4" customFormat="1" ht="9">
      <c r="A30" s="125" t="s">
        <v>338</v>
      </c>
      <c r="B30" s="28">
        <v>30</v>
      </c>
      <c r="C30" s="28">
        <v>0</v>
      </c>
      <c r="D30" s="32">
        <v>0</v>
      </c>
      <c r="E30" s="32">
        <v>0</v>
      </c>
      <c r="F30" s="32">
        <v>0</v>
      </c>
      <c r="G30" s="28">
        <v>1</v>
      </c>
      <c r="H30" s="28">
        <f>B30*G30</f>
        <v>30</v>
      </c>
      <c r="I30" s="42">
        <f>'Base Data'!H19</f>
        <v>287</v>
      </c>
      <c r="J30" s="43">
        <f>H30*I30</f>
        <v>8610</v>
      </c>
      <c r="K30" s="43">
        <f>J30*0.1</f>
        <v>861</v>
      </c>
      <c r="L30" s="43">
        <f>J30*0.05</f>
        <v>430.5</v>
      </c>
      <c r="M30" s="43">
        <f>C30*G30*I30</f>
        <v>0</v>
      </c>
      <c r="N30" s="32">
        <f>(J30*'Base Data'!$C$5)+(K30*'Base Data'!$C$6)+(L30*'Base Data'!$C$7)</f>
        <v>936574.27499999991</v>
      </c>
      <c r="O30" s="32">
        <v>0</v>
      </c>
      <c r="P30" s="43">
        <f>G30*I30</f>
        <v>287</v>
      </c>
      <c r="Q30" s="122" t="s">
        <v>314</v>
      </c>
      <c r="R30" s="78"/>
      <c r="U30" s="4" t="s">
        <v>316</v>
      </c>
      <c r="V30" s="4" t="s">
        <v>306</v>
      </c>
    </row>
    <row r="31" spans="1:22" s="4" customFormat="1" ht="9">
      <c r="A31" s="125" t="s">
        <v>317</v>
      </c>
      <c r="B31" s="28">
        <v>5</v>
      </c>
      <c r="C31" s="28"/>
      <c r="D31" s="32">
        <v>0</v>
      </c>
      <c r="E31" s="32">
        <v>0</v>
      </c>
      <c r="F31" s="32">
        <v>0</v>
      </c>
      <c r="G31" s="28">
        <v>0.5</v>
      </c>
      <c r="H31" s="28">
        <f>B31*G31</f>
        <v>2.5</v>
      </c>
      <c r="I31" s="42">
        <f>'Base Data'!H16+'Base Data'!H17</f>
        <v>1733</v>
      </c>
      <c r="J31" s="43">
        <f>H31*I31</f>
        <v>4332.5</v>
      </c>
      <c r="K31" s="43">
        <f>J31*0.1</f>
        <v>433.25</v>
      </c>
      <c r="L31" s="43">
        <f>J31*0.05</f>
        <v>216.625</v>
      </c>
      <c r="M31" s="43"/>
      <c r="N31" s="32">
        <f>(J31*'Base Data'!$C$5)+(K31*'Base Data'!$C$6)+(L31*'Base Data'!$C$7)</f>
        <v>471278.51874999999</v>
      </c>
      <c r="O31" s="32">
        <v>0</v>
      </c>
      <c r="P31" s="43">
        <f>G31*I31</f>
        <v>866.5</v>
      </c>
      <c r="Q31" s="122" t="s">
        <v>151</v>
      </c>
      <c r="R31" s="78"/>
      <c r="S31" s="46"/>
      <c r="U31" s="4" t="s">
        <v>316</v>
      </c>
      <c r="V31" s="4" t="s">
        <v>307</v>
      </c>
    </row>
    <row r="32" spans="1:22" s="4" customFormat="1" ht="9">
      <c r="A32" s="126" t="s">
        <v>24</v>
      </c>
      <c r="B32" s="28"/>
      <c r="C32" s="28"/>
      <c r="D32" s="32"/>
      <c r="E32" s="32"/>
      <c r="F32" s="32"/>
      <c r="G32" s="28"/>
      <c r="H32" s="28"/>
      <c r="I32" s="42"/>
      <c r="J32" s="43">
        <f>SUM(J7:J30)-J21</f>
        <v>105560</v>
      </c>
      <c r="K32" s="43">
        <f t="shared" ref="K32:N32" si="5">SUM(K7:K30)-K21</f>
        <v>10556</v>
      </c>
      <c r="L32" s="43">
        <f t="shared" si="5"/>
        <v>5278</v>
      </c>
      <c r="M32" s="43">
        <f t="shared" si="5"/>
        <v>0</v>
      </c>
      <c r="N32" s="32">
        <f t="shared" si="5"/>
        <v>11482552.9</v>
      </c>
      <c r="O32" s="32">
        <f>SUM(O7:O30)-O21</f>
        <v>11937702</v>
      </c>
      <c r="P32" s="43">
        <f t="shared" ref="P32" si="6">SUM(P7:P30)</f>
        <v>4327</v>
      </c>
      <c r="Q32" s="122"/>
      <c r="R32" s="54" t="e">
        <f>SUM(O10,O11,#REF!,O22,O12:O17)</f>
        <v>#REF!</v>
      </c>
      <c r="S32" s="85" t="e">
        <f>SUM(#REF!,O21)</f>
        <v>#REF!</v>
      </c>
    </row>
    <row r="33" spans="1:22" s="4" customFormat="1" ht="9">
      <c r="A33" s="121" t="s">
        <v>261</v>
      </c>
      <c r="B33" s="28"/>
      <c r="C33" s="28"/>
      <c r="D33" s="32"/>
      <c r="E33" s="32"/>
      <c r="F33" s="32"/>
      <c r="G33" s="28"/>
      <c r="H33" s="28"/>
      <c r="I33" s="43"/>
      <c r="J33" s="43"/>
      <c r="K33" s="43"/>
      <c r="L33" s="43"/>
      <c r="M33" s="28"/>
      <c r="N33" s="32"/>
      <c r="O33" s="32"/>
      <c r="P33" s="32"/>
      <c r="Q33" s="122"/>
      <c r="R33" s="46"/>
    </row>
    <row r="34" spans="1:22" s="4" customFormat="1" ht="9">
      <c r="A34" s="121" t="s">
        <v>248</v>
      </c>
      <c r="B34" s="28" t="s">
        <v>252</v>
      </c>
      <c r="C34" s="28"/>
      <c r="D34" s="32"/>
      <c r="E34" s="32"/>
      <c r="F34" s="32"/>
      <c r="G34" s="28"/>
      <c r="H34" s="28"/>
      <c r="I34" s="43"/>
      <c r="J34" s="43"/>
      <c r="K34" s="43"/>
      <c r="L34" s="43"/>
      <c r="M34" s="28"/>
      <c r="N34" s="32"/>
      <c r="O34" s="32"/>
      <c r="P34" s="32"/>
      <c r="Q34" s="122"/>
      <c r="R34" s="46"/>
    </row>
    <row r="35" spans="1:22" s="4" customFormat="1" ht="9">
      <c r="A35" s="121" t="s">
        <v>249</v>
      </c>
      <c r="B35" s="28" t="s">
        <v>264</v>
      </c>
      <c r="C35" s="28"/>
      <c r="D35" s="32"/>
      <c r="E35" s="32"/>
      <c r="F35" s="32"/>
      <c r="G35" s="28"/>
      <c r="H35" s="28"/>
      <c r="I35" s="43"/>
      <c r="J35" s="43"/>
      <c r="K35" s="43"/>
      <c r="L35" s="43"/>
      <c r="M35" s="28"/>
      <c r="N35" s="32"/>
      <c r="O35" s="32"/>
      <c r="P35" s="32"/>
      <c r="Q35" s="122"/>
    </row>
    <row r="36" spans="1:22" s="4" customFormat="1" ht="9">
      <c r="A36" s="121" t="s">
        <v>250</v>
      </c>
      <c r="B36" s="28" t="s">
        <v>264</v>
      </c>
      <c r="C36" s="28"/>
      <c r="D36" s="32"/>
      <c r="E36" s="32"/>
      <c r="F36" s="32"/>
      <c r="G36" s="28"/>
      <c r="H36" s="28"/>
      <c r="I36" s="43"/>
      <c r="J36" s="43"/>
      <c r="K36" s="43"/>
      <c r="L36" s="43"/>
      <c r="M36" s="28"/>
      <c r="N36" s="32"/>
      <c r="O36" s="32"/>
      <c r="P36" s="32"/>
      <c r="Q36" s="122" t="s">
        <v>216</v>
      </c>
    </row>
    <row r="37" spans="1:22" s="4" customFormat="1" ht="9">
      <c r="A37" s="121" t="s">
        <v>251</v>
      </c>
      <c r="B37" s="28"/>
      <c r="C37" s="28"/>
      <c r="D37" s="32"/>
      <c r="E37" s="32"/>
      <c r="F37" s="32"/>
      <c r="G37" s="28"/>
      <c r="H37" s="28"/>
      <c r="I37" s="43"/>
      <c r="J37" s="43"/>
      <c r="K37" s="43"/>
      <c r="L37" s="43"/>
      <c r="M37" s="28"/>
      <c r="N37" s="32"/>
      <c r="O37" s="32"/>
      <c r="P37" s="32"/>
      <c r="Q37" s="122"/>
    </row>
    <row r="38" spans="1:22" s="4" customFormat="1" ht="9.75" customHeight="1">
      <c r="A38" s="121" t="s">
        <v>257</v>
      </c>
      <c r="B38" s="28">
        <v>20</v>
      </c>
      <c r="C38" s="28"/>
      <c r="D38" s="32">
        <v>0</v>
      </c>
      <c r="E38" s="32">
        <v>0</v>
      </c>
      <c r="F38" s="32">
        <v>0</v>
      </c>
      <c r="G38" s="28">
        <v>1</v>
      </c>
      <c r="H38" s="28">
        <f t="shared" ref="H38:H43" si="7">B38*G38</f>
        <v>20</v>
      </c>
      <c r="I38" s="42">
        <f>'Base Data'!$D$19</f>
        <v>573</v>
      </c>
      <c r="J38" s="43">
        <f t="shared" ref="J38:J43" si="8">H38*I38</f>
        <v>11460</v>
      </c>
      <c r="K38" s="43">
        <f t="shared" ref="K38:K43" si="9">J38*0.1</f>
        <v>1146</v>
      </c>
      <c r="L38" s="43">
        <f t="shared" ref="L38:L43" si="10">J38*0.05</f>
        <v>573</v>
      </c>
      <c r="M38" s="28"/>
      <c r="N38" s="32">
        <f>(J38*'Base Data'!$C$5)+(K38*'Base Data'!$C$6)+(L38*'Base Data'!$C$7)</f>
        <v>1246590.1499999999</v>
      </c>
      <c r="O38" s="32">
        <v>0</v>
      </c>
      <c r="P38" s="43">
        <v>0</v>
      </c>
      <c r="Q38" s="122" t="s">
        <v>314</v>
      </c>
      <c r="U38" s="4" t="s">
        <v>315</v>
      </c>
      <c r="V38" s="4" t="s">
        <v>306</v>
      </c>
    </row>
    <row r="39" spans="1:22" s="4" customFormat="1" ht="9">
      <c r="A39" s="123" t="s">
        <v>318</v>
      </c>
      <c r="B39" s="28">
        <v>15</v>
      </c>
      <c r="C39" s="28">
        <v>0</v>
      </c>
      <c r="D39" s="32">
        <v>0</v>
      </c>
      <c r="E39" s="32">
        <v>0</v>
      </c>
      <c r="F39" s="32">
        <v>0</v>
      </c>
      <c r="G39" s="28">
        <v>1</v>
      </c>
      <c r="H39" s="28">
        <f t="shared" si="7"/>
        <v>15</v>
      </c>
      <c r="I39" s="42">
        <f>'Base Data'!$D$19</f>
        <v>573</v>
      </c>
      <c r="J39" s="43">
        <f t="shared" si="8"/>
        <v>8595</v>
      </c>
      <c r="K39" s="43">
        <f t="shared" si="9"/>
        <v>859.5</v>
      </c>
      <c r="L39" s="43">
        <f t="shared" si="10"/>
        <v>429.75</v>
      </c>
      <c r="M39" s="28">
        <f>C39*G39*I39</f>
        <v>0</v>
      </c>
      <c r="N39" s="32">
        <f>(J39*'Base Data'!$C$5)+(K39*'Base Data'!$C$6)+(L39*'Base Data'!$C$7)</f>
        <v>934942.61250000005</v>
      </c>
      <c r="O39" s="32">
        <v>0</v>
      </c>
      <c r="P39" s="43">
        <v>0</v>
      </c>
      <c r="Q39" s="122" t="s">
        <v>314</v>
      </c>
      <c r="U39" s="4" t="s">
        <v>315</v>
      </c>
      <c r="V39" s="4" t="s">
        <v>306</v>
      </c>
    </row>
    <row r="40" spans="1:22" s="4" customFormat="1" ht="9.75" customHeight="1">
      <c r="A40" s="121" t="s">
        <v>254</v>
      </c>
      <c r="B40" s="28">
        <v>2</v>
      </c>
      <c r="C40" s="28"/>
      <c r="D40" s="32">
        <v>0</v>
      </c>
      <c r="E40" s="32">
        <v>0</v>
      </c>
      <c r="F40" s="32">
        <v>0</v>
      </c>
      <c r="G40" s="28">
        <v>1</v>
      </c>
      <c r="H40" s="28">
        <f t="shared" si="7"/>
        <v>2</v>
      </c>
      <c r="I40" s="42">
        <f>'Base Data'!$D$19</f>
        <v>573</v>
      </c>
      <c r="J40" s="43">
        <f t="shared" si="8"/>
        <v>1146</v>
      </c>
      <c r="K40" s="43">
        <f t="shared" si="9"/>
        <v>114.60000000000001</v>
      </c>
      <c r="L40" s="43">
        <f t="shared" si="10"/>
        <v>57.300000000000004</v>
      </c>
      <c r="M40" s="28"/>
      <c r="N40" s="32">
        <f>(J40*'Base Data'!$C$5)+(K40*'Base Data'!$C$6)+(L40*'Base Data'!$C$7)</f>
        <v>124659.015</v>
      </c>
      <c r="O40" s="32">
        <v>0</v>
      </c>
      <c r="P40" s="43">
        <v>0</v>
      </c>
      <c r="Q40" s="122" t="s">
        <v>314</v>
      </c>
      <c r="U40" s="4" t="s">
        <v>315</v>
      </c>
      <c r="V40" s="4" t="s">
        <v>306</v>
      </c>
    </row>
    <row r="41" spans="1:22" s="4" customFormat="1" ht="9">
      <c r="A41" s="123" t="s">
        <v>269</v>
      </c>
      <c r="B41" s="28">
        <v>2</v>
      </c>
      <c r="C41" s="28"/>
      <c r="D41" s="32">
        <v>0</v>
      </c>
      <c r="E41" s="32">
        <v>0</v>
      </c>
      <c r="F41" s="32">
        <v>0</v>
      </c>
      <c r="G41" s="28">
        <v>1</v>
      </c>
      <c r="H41" s="28">
        <f t="shared" si="7"/>
        <v>2</v>
      </c>
      <c r="I41" s="42">
        <f>'Base Data'!$D$19</f>
        <v>573</v>
      </c>
      <c r="J41" s="43">
        <f t="shared" si="8"/>
        <v>1146</v>
      </c>
      <c r="K41" s="43">
        <f t="shared" si="9"/>
        <v>114.60000000000001</v>
      </c>
      <c r="L41" s="43">
        <f t="shared" si="10"/>
        <v>57.300000000000004</v>
      </c>
      <c r="M41" s="28"/>
      <c r="N41" s="32">
        <f>(J41*'Base Data'!$C$5)+(K41*'Base Data'!$C$6)+(L41*'Base Data'!$C$7)</f>
        <v>124659.015</v>
      </c>
      <c r="O41" s="32">
        <v>0</v>
      </c>
      <c r="P41" s="43">
        <v>0</v>
      </c>
      <c r="Q41" s="122" t="s">
        <v>314</v>
      </c>
      <c r="U41" s="4" t="s">
        <v>315</v>
      </c>
      <c r="V41" s="4" t="s">
        <v>306</v>
      </c>
    </row>
    <row r="42" spans="1:22" s="4" customFormat="1" ht="9">
      <c r="A42" s="123" t="s">
        <v>270</v>
      </c>
      <c r="B42" s="28">
        <v>2</v>
      </c>
      <c r="C42" s="28">
        <v>0</v>
      </c>
      <c r="D42" s="32">
        <v>0</v>
      </c>
      <c r="E42" s="32">
        <v>0</v>
      </c>
      <c r="F42" s="32">
        <v>0</v>
      </c>
      <c r="G42" s="28">
        <v>2</v>
      </c>
      <c r="H42" s="28">
        <f t="shared" si="7"/>
        <v>4</v>
      </c>
      <c r="I42" s="42">
        <f>'Base Data'!D16+'Base Data'!D17+'Base Data'!D19</f>
        <v>4039</v>
      </c>
      <c r="J42" s="43">
        <f t="shared" si="8"/>
        <v>16156</v>
      </c>
      <c r="K42" s="43">
        <f t="shared" si="9"/>
        <v>1615.6000000000001</v>
      </c>
      <c r="L42" s="43">
        <f t="shared" si="10"/>
        <v>807.80000000000007</v>
      </c>
      <c r="M42" s="28">
        <f>C42*G42*I42</f>
        <v>0</v>
      </c>
      <c r="N42" s="32">
        <f>(J42*'Base Data'!$C$5)+(K42*'Base Data'!$C$6)+(L42*'Base Data'!$C$7)</f>
        <v>1757409.29</v>
      </c>
      <c r="O42" s="32">
        <v>0</v>
      </c>
      <c r="P42" s="43">
        <v>0</v>
      </c>
      <c r="Q42" s="122" t="s">
        <v>215</v>
      </c>
      <c r="U42" s="4" t="s">
        <v>315</v>
      </c>
      <c r="V42" s="4" t="s">
        <v>320</v>
      </c>
    </row>
    <row r="43" spans="1:22" s="4" customFormat="1" ht="9">
      <c r="A43" s="123" t="s">
        <v>271</v>
      </c>
      <c r="B43" s="28">
        <v>0.5</v>
      </c>
      <c r="C43" s="28"/>
      <c r="D43" s="32">
        <v>0</v>
      </c>
      <c r="E43" s="32">
        <v>0</v>
      </c>
      <c r="F43" s="32">
        <v>0</v>
      </c>
      <c r="G43" s="28">
        <v>12</v>
      </c>
      <c r="H43" s="28">
        <f t="shared" si="7"/>
        <v>6</v>
      </c>
      <c r="I43" s="42">
        <f>'Base Data'!$D$19</f>
        <v>573</v>
      </c>
      <c r="J43" s="43">
        <f t="shared" si="8"/>
        <v>3438</v>
      </c>
      <c r="K43" s="43">
        <f t="shared" si="9"/>
        <v>343.8</v>
      </c>
      <c r="L43" s="43">
        <f t="shared" si="10"/>
        <v>171.9</v>
      </c>
      <c r="M43" s="28"/>
      <c r="N43" s="32">
        <f>(J43*'Base Data'!$C$5)+(K43*'Base Data'!$C$6)+(L43*'Base Data'!$C$7)</f>
        <v>373977.04500000004</v>
      </c>
      <c r="O43" s="32">
        <v>0</v>
      </c>
      <c r="P43" s="43">
        <v>0</v>
      </c>
      <c r="Q43" s="122" t="s">
        <v>314</v>
      </c>
      <c r="U43" s="4" t="s">
        <v>315</v>
      </c>
      <c r="V43" s="4" t="s">
        <v>306</v>
      </c>
    </row>
    <row r="44" spans="1:22" s="4" customFormat="1" ht="9">
      <c r="A44" s="121" t="s">
        <v>255</v>
      </c>
      <c r="B44" s="28" t="s">
        <v>264</v>
      </c>
      <c r="C44" s="28"/>
      <c r="D44" s="32"/>
      <c r="E44" s="32"/>
      <c r="F44" s="32"/>
      <c r="G44" s="28"/>
      <c r="H44" s="28"/>
      <c r="I44" s="42"/>
      <c r="J44" s="43"/>
      <c r="K44" s="43"/>
      <c r="L44" s="43"/>
      <c r="M44" s="28"/>
      <c r="N44" s="32"/>
      <c r="O44" s="32"/>
      <c r="P44" s="32"/>
      <c r="Q44" s="122"/>
    </row>
    <row r="45" spans="1:22" s="4" customFormat="1" ht="9">
      <c r="A45" s="121" t="s">
        <v>256</v>
      </c>
      <c r="B45" s="28" t="s">
        <v>264</v>
      </c>
      <c r="C45" s="28"/>
      <c r="D45" s="32"/>
      <c r="E45" s="32"/>
      <c r="F45" s="32"/>
      <c r="G45" s="28"/>
      <c r="H45" s="28"/>
      <c r="I45" s="43"/>
      <c r="J45" s="43"/>
      <c r="K45" s="43"/>
      <c r="L45" s="43"/>
      <c r="M45" s="28"/>
      <c r="N45" s="32"/>
      <c r="O45" s="32"/>
      <c r="P45" s="32"/>
      <c r="Q45" s="122"/>
    </row>
    <row r="46" spans="1:22" s="4" customFormat="1" ht="9.75" thickBot="1">
      <c r="A46" s="230" t="s">
        <v>26</v>
      </c>
      <c r="B46" s="231"/>
      <c r="C46" s="231"/>
      <c r="D46" s="139"/>
      <c r="E46" s="139"/>
      <c r="F46" s="139"/>
      <c r="G46" s="231"/>
      <c r="H46" s="231"/>
      <c r="I46" s="138"/>
      <c r="J46" s="138">
        <f>SUM(J34:J45)</f>
        <v>41941</v>
      </c>
      <c r="K46" s="138">
        <f t="shared" ref="K46:P46" si="11">SUM(K34:K45)</f>
        <v>4194.1000000000004</v>
      </c>
      <c r="L46" s="138">
        <f t="shared" si="11"/>
        <v>2097.0500000000002</v>
      </c>
      <c r="M46" s="138">
        <f t="shared" si="11"/>
        <v>0</v>
      </c>
      <c r="N46" s="138">
        <f t="shared" si="11"/>
        <v>4562237.1275000004</v>
      </c>
      <c r="O46" s="138">
        <f t="shared" si="11"/>
        <v>0</v>
      </c>
      <c r="P46" s="138">
        <f t="shared" si="11"/>
        <v>0</v>
      </c>
      <c r="Q46" s="232"/>
    </row>
    <row r="47" spans="1:22" s="2" customFormat="1" ht="12" thickBot="1">
      <c r="A47" s="131" t="s">
        <v>236</v>
      </c>
      <c r="B47" s="132"/>
      <c r="C47" s="132"/>
      <c r="D47" s="132"/>
      <c r="E47" s="132"/>
      <c r="F47" s="133"/>
      <c r="G47" s="132"/>
      <c r="H47" s="132"/>
      <c r="I47" s="134"/>
      <c r="J47" s="135">
        <f>J32+J46</f>
        <v>147501</v>
      </c>
      <c r="K47" s="135">
        <f>K32+K46</f>
        <v>14750.1</v>
      </c>
      <c r="L47" s="135">
        <f t="shared" ref="L47:P47" si="12">L32+L46</f>
        <v>7375.05</v>
      </c>
      <c r="M47" s="136">
        <f t="shared" si="12"/>
        <v>0</v>
      </c>
      <c r="N47" s="136">
        <f>N32+N46</f>
        <v>16044790.0275</v>
      </c>
      <c r="O47" s="136">
        <f t="shared" si="12"/>
        <v>11937702</v>
      </c>
      <c r="P47" s="135">
        <f t="shared" si="12"/>
        <v>4327</v>
      </c>
      <c r="Q47" s="137"/>
    </row>
    <row r="48" spans="1:22" ht="6" customHeight="1">
      <c r="A48" s="73"/>
      <c r="B48" s="34"/>
      <c r="C48" s="34"/>
      <c r="D48" s="34"/>
      <c r="E48" s="34"/>
      <c r="F48" s="34"/>
      <c r="G48" s="34"/>
      <c r="H48" s="34"/>
      <c r="I48" s="35"/>
      <c r="J48" s="34"/>
      <c r="K48" s="34"/>
      <c r="L48" s="34"/>
      <c r="M48" s="34"/>
      <c r="N48" s="34"/>
      <c r="O48" s="355"/>
      <c r="P48" s="355"/>
      <c r="Q48" s="34"/>
    </row>
    <row r="49" spans="1:17" s="9" customFormat="1" ht="9" customHeight="1">
      <c r="A49" s="33" t="s">
        <v>219</v>
      </c>
      <c r="B49" s="36"/>
      <c r="C49" s="36"/>
      <c r="D49" s="36"/>
      <c r="E49" s="36"/>
      <c r="F49" s="36"/>
      <c r="G49" s="36"/>
      <c r="H49" s="37"/>
      <c r="I49" s="36"/>
      <c r="J49" s="36"/>
      <c r="K49" s="36"/>
      <c r="L49" s="36"/>
      <c r="M49" s="36"/>
      <c r="N49" s="36"/>
      <c r="O49" s="356"/>
      <c r="P49" s="356"/>
      <c r="Q49" s="36"/>
    </row>
    <row r="50" spans="1:17" s="9" customFormat="1" ht="18" customHeight="1">
      <c r="A50" s="404" t="s">
        <v>28</v>
      </c>
      <c r="B50" s="404"/>
      <c r="C50" s="404"/>
      <c r="D50" s="404"/>
      <c r="E50" s="404"/>
      <c r="F50" s="404"/>
      <c r="G50" s="404"/>
      <c r="H50" s="404"/>
      <c r="I50" s="404"/>
      <c r="J50" s="404"/>
      <c r="K50" s="404"/>
      <c r="L50" s="404"/>
      <c r="M50" s="404"/>
      <c r="N50" s="404"/>
      <c r="O50" s="357"/>
      <c r="P50" s="357"/>
      <c r="Q50" s="36"/>
    </row>
    <row r="51" spans="1:17" s="9" customFormat="1" ht="27.75" customHeight="1">
      <c r="A51" s="404" t="s">
        <v>16</v>
      </c>
      <c r="B51" s="404"/>
      <c r="C51" s="404"/>
      <c r="D51" s="404"/>
      <c r="E51" s="404"/>
      <c r="F51" s="404"/>
      <c r="G51" s="404"/>
      <c r="H51" s="404"/>
      <c r="I51" s="404"/>
      <c r="J51" s="404"/>
      <c r="K51" s="404"/>
      <c r="L51" s="404"/>
      <c r="M51" s="404"/>
      <c r="N51" s="404"/>
      <c r="O51" s="357"/>
      <c r="P51" s="357"/>
      <c r="Q51" s="34"/>
    </row>
    <row r="52" spans="1:17" s="9" customFormat="1" ht="18.75" customHeight="1">
      <c r="A52" s="404" t="s">
        <v>41</v>
      </c>
      <c r="B52" s="404"/>
      <c r="C52" s="404"/>
      <c r="D52" s="404"/>
      <c r="E52" s="404"/>
      <c r="F52" s="404"/>
      <c r="G52" s="404"/>
      <c r="H52" s="404"/>
      <c r="I52" s="404"/>
      <c r="J52" s="404"/>
      <c r="K52" s="404"/>
      <c r="L52" s="404"/>
      <c r="M52" s="404"/>
      <c r="N52" s="404"/>
      <c r="O52" s="404"/>
      <c r="P52" s="404"/>
      <c r="Q52" s="404"/>
    </row>
    <row r="53" spans="1:17" s="9" customFormat="1" ht="9">
      <c r="A53" s="33" t="s">
        <v>274</v>
      </c>
      <c r="B53" s="36"/>
      <c r="C53" s="36"/>
      <c r="D53" s="36"/>
      <c r="E53" s="36"/>
      <c r="F53" s="36"/>
      <c r="G53" s="36"/>
      <c r="H53" s="37"/>
      <c r="I53" s="36"/>
      <c r="J53" s="36"/>
      <c r="K53" s="36"/>
      <c r="L53" s="36"/>
      <c r="M53" s="36"/>
      <c r="N53" s="36"/>
      <c r="O53" s="356"/>
      <c r="P53" s="356"/>
      <c r="Q53" s="36"/>
    </row>
    <row r="54" spans="1:17" s="9" customFormat="1" ht="9">
      <c r="A54" s="404" t="s">
        <v>311</v>
      </c>
      <c r="B54" s="404"/>
      <c r="C54" s="404"/>
      <c r="D54" s="404"/>
      <c r="E54" s="404"/>
      <c r="F54" s="404"/>
      <c r="G54" s="404"/>
      <c r="H54" s="404"/>
      <c r="I54" s="404"/>
      <c r="J54" s="404"/>
      <c r="K54" s="404"/>
      <c r="L54" s="404"/>
      <c r="M54" s="404"/>
      <c r="N54" s="36"/>
      <c r="O54" s="356"/>
      <c r="P54" s="356"/>
      <c r="Q54" s="36"/>
    </row>
    <row r="55" spans="1:17" s="9" customFormat="1" ht="9">
      <c r="A55" s="33" t="s">
        <v>312</v>
      </c>
      <c r="B55" s="36"/>
      <c r="C55" s="36"/>
      <c r="D55" s="36"/>
      <c r="E55" s="36"/>
      <c r="F55" s="36"/>
      <c r="G55" s="36"/>
      <c r="H55" s="36"/>
      <c r="I55" s="37"/>
      <c r="J55" s="36"/>
      <c r="K55" s="36"/>
      <c r="L55" s="36"/>
      <c r="M55" s="36"/>
      <c r="N55" s="36"/>
      <c r="O55" s="356"/>
      <c r="P55" s="356"/>
      <c r="Q55" s="36"/>
    </row>
    <row r="56" spans="1:17" s="9" customFormat="1" ht="9">
      <c r="A56" s="33" t="s">
        <v>313</v>
      </c>
      <c r="B56" s="36"/>
      <c r="C56" s="36"/>
      <c r="D56" s="36"/>
      <c r="E56" s="36"/>
      <c r="F56" s="36"/>
      <c r="G56" s="36"/>
      <c r="H56" s="36"/>
      <c r="I56" s="37"/>
      <c r="J56" s="36"/>
      <c r="K56" s="36"/>
      <c r="L56" s="36"/>
      <c r="M56" s="36"/>
      <c r="N56" s="36"/>
      <c r="O56" s="356"/>
      <c r="P56" s="356"/>
      <c r="Q56" s="36"/>
    </row>
    <row r="57" spans="1:17" s="9" customFormat="1" ht="9">
      <c r="A57" s="33" t="s">
        <v>319</v>
      </c>
      <c r="B57" s="33"/>
      <c r="C57" s="33"/>
      <c r="D57" s="33"/>
      <c r="E57" s="33"/>
      <c r="F57" s="33"/>
      <c r="G57" s="33"/>
      <c r="H57" s="33"/>
      <c r="I57" s="33"/>
      <c r="J57" s="33"/>
      <c r="K57" s="33"/>
      <c r="L57" s="33"/>
      <c r="M57" s="33"/>
      <c r="N57" s="33"/>
      <c r="O57" s="33"/>
      <c r="P57" s="33"/>
      <c r="Q57" s="33"/>
    </row>
    <row r="58" spans="1:17" s="9" customFormat="1" ht="9">
      <c r="A58" s="33"/>
      <c r="B58" s="36"/>
      <c r="C58" s="36"/>
      <c r="D58" s="36"/>
      <c r="E58" s="36"/>
      <c r="F58" s="36"/>
      <c r="G58" s="36"/>
      <c r="H58" s="36"/>
      <c r="I58" s="37"/>
      <c r="J58" s="36"/>
      <c r="K58" s="36"/>
      <c r="L58" s="36"/>
      <c r="M58" s="36"/>
      <c r="N58" s="36"/>
      <c r="O58" s="356"/>
      <c r="P58" s="356"/>
      <c r="Q58" s="36"/>
    </row>
    <row r="59" spans="1:17" s="9" customFormat="1" ht="9">
      <c r="B59" s="10"/>
      <c r="C59" s="10"/>
      <c r="D59" s="10"/>
      <c r="E59" s="10"/>
      <c r="F59" s="10"/>
      <c r="G59" s="10"/>
      <c r="H59" s="10"/>
      <c r="I59" s="11"/>
      <c r="J59" s="10"/>
      <c r="K59" s="10"/>
      <c r="L59" s="10"/>
      <c r="M59" s="10"/>
      <c r="N59" s="10"/>
      <c r="O59" s="12"/>
      <c r="P59" s="12"/>
      <c r="Q59" s="10"/>
    </row>
    <row r="60" spans="1:17" s="9" customFormat="1" ht="9">
      <c r="B60" s="10"/>
      <c r="C60" s="10"/>
      <c r="D60" s="10"/>
      <c r="E60" s="10"/>
      <c r="F60" s="10"/>
      <c r="G60" s="10"/>
      <c r="H60" s="10"/>
      <c r="I60" s="11"/>
      <c r="J60" s="10"/>
      <c r="K60" s="10"/>
      <c r="L60" s="10"/>
      <c r="M60" s="10"/>
      <c r="N60" s="10"/>
      <c r="O60" s="12"/>
      <c r="P60" s="12"/>
      <c r="Q60" s="10"/>
    </row>
    <row r="61" spans="1:17" s="9" customFormat="1" ht="9">
      <c r="B61" s="10"/>
      <c r="C61" s="10"/>
      <c r="D61" s="10"/>
      <c r="E61" s="10"/>
      <c r="F61" s="10"/>
      <c r="G61" s="10"/>
      <c r="H61" s="10"/>
      <c r="I61" s="11"/>
      <c r="J61" s="10"/>
      <c r="K61" s="10"/>
      <c r="L61" s="10"/>
      <c r="M61" s="10"/>
      <c r="N61" s="10"/>
      <c r="O61" s="12"/>
      <c r="P61" s="12"/>
      <c r="Q61" s="10"/>
    </row>
    <row r="62" spans="1:17" s="9" customFormat="1" ht="9">
      <c r="B62" s="10"/>
      <c r="C62" s="10"/>
      <c r="D62" s="10"/>
      <c r="E62" s="10"/>
      <c r="F62" s="10"/>
      <c r="G62" s="10"/>
      <c r="H62" s="10"/>
      <c r="I62" s="11"/>
      <c r="J62" s="10"/>
      <c r="K62" s="10"/>
      <c r="L62" s="10"/>
      <c r="M62" s="10"/>
      <c r="N62" s="10"/>
      <c r="O62" s="12"/>
      <c r="P62" s="12"/>
      <c r="Q62" s="10"/>
    </row>
    <row r="63" spans="1:17" s="9" customFormat="1" ht="9">
      <c r="B63" s="10"/>
      <c r="C63" s="10"/>
      <c r="D63" s="10"/>
      <c r="E63" s="10"/>
      <c r="F63" s="10"/>
      <c r="G63" s="10"/>
      <c r="H63" s="10"/>
      <c r="I63" s="11"/>
      <c r="J63" s="10"/>
      <c r="K63" s="10"/>
      <c r="L63" s="10"/>
      <c r="M63" s="10"/>
      <c r="N63" s="10"/>
      <c r="O63" s="12"/>
      <c r="P63" s="12"/>
      <c r="Q63" s="10"/>
    </row>
    <row r="64" spans="1:17" s="9" customFormat="1" ht="9">
      <c r="B64" s="10"/>
      <c r="C64" s="10"/>
      <c r="D64" s="10"/>
      <c r="E64" s="10"/>
      <c r="F64" s="10"/>
      <c r="G64" s="10"/>
      <c r="H64" s="10"/>
      <c r="I64" s="11"/>
      <c r="J64" s="10"/>
      <c r="K64" s="10"/>
      <c r="L64" s="10"/>
      <c r="M64" s="10"/>
      <c r="N64" s="10"/>
      <c r="O64" s="12"/>
      <c r="P64" s="12"/>
      <c r="Q64" s="10"/>
    </row>
    <row r="65" spans="2:17" s="9" customFormat="1" ht="9">
      <c r="B65" s="10"/>
      <c r="C65" s="10"/>
      <c r="D65" s="10"/>
      <c r="E65" s="10"/>
      <c r="F65" s="10"/>
      <c r="G65" s="10"/>
      <c r="H65" s="10"/>
      <c r="I65" s="11"/>
      <c r="J65" s="10"/>
      <c r="K65" s="10"/>
      <c r="L65" s="10"/>
      <c r="M65" s="10"/>
      <c r="N65" s="10"/>
      <c r="O65" s="12"/>
      <c r="P65" s="12"/>
      <c r="Q65" s="10"/>
    </row>
    <row r="66" spans="2:17" s="9" customFormat="1" ht="9">
      <c r="B66" s="10"/>
      <c r="C66" s="10"/>
      <c r="D66" s="10"/>
      <c r="E66" s="10"/>
      <c r="F66" s="10"/>
      <c r="G66" s="10"/>
      <c r="H66" s="10"/>
      <c r="I66" s="11"/>
      <c r="J66" s="10"/>
      <c r="K66" s="10"/>
      <c r="L66" s="10"/>
      <c r="M66" s="10"/>
      <c r="N66" s="10"/>
      <c r="O66" s="12"/>
      <c r="P66" s="12"/>
      <c r="Q66" s="10"/>
    </row>
    <row r="67" spans="2:17" s="9" customFormat="1" ht="9">
      <c r="B67" s="10"/>
      <c r="C67" s="10"/>
      <c r="D67" s="10"/>
      <c r="E67" s="10"/>
      <c r="F67" s="10"/>
      <c r="G67" s="10"/>
      <c r="H67" s="10"/>
      <c r="I67" s="11"/>
      <c r="J67" s="10"/>
      <c r="K67" s="10"/>
      <c r="L67" s="10"/>
      <c r="M67" s="10"/>
      <c r="N67" s="10"/>
      <c r="O67" s="12"/>
      <c r="P67" s="12"/>
      <c r="Q67" s="10"/>
    </row>
    <row r="68" spans="2:17" s="9" customFormat="1" ht="9">
      <c r="B68" s="10"/>
      <c r="C68" s="10"/>
      <c r="D68" s="10"/>
      <c r="E68" s="10"/>
      <c r="F68" s="10"/>
      <c r="G68" s="10"/>
      <c r="H68" s="10"/>
      <c r="I68" s="11"/>
      <c r="J68" s="10"/>
      <c r="K68" s="10"/>
      <c r="L68" s="10"/>
      <c r="M68" s="10"/>
      <c r="N68" s="10"/>
      <c r="O68" s="12"/>
      <c r="P68" s="12"/>
      <c r="Q68" s="10"/>
    </row>
    <row r="69" spans="2:17" s="9" customFormat="1" ht="9">
      <c r="B69" s="10"/>
      <c r="C69" s="10"/>
      <c r="D69" s="10"/>
      <c r="E69" s="10"/>
      <c r="F69" s="10"/>
      <c r="G69" s="10"/>
      <c r="H69" s="10"/>
      <c r="I69" s="11"/>
      <c r="J69" s="10"/>
      <c r="K69" s="10"/>
      <c r="L69" s="10"/>
      <c r="M69" s="10"/>
      <c r="N69" s="10"/>
      <c r="O69" s="12"/>
      <c r="P69" s="12"/>
      <c r="Q69" s="10"/>
    </row>
    <row r="70" spans="2:17" s="9" customFormat="1" ht="9">
      <c r="B70" s="10"/>
      <c r="C70" s="10"/>
      <c r="D70" s="10"/>
      <c r="E70" s="10"/>
      <c r="F70" s="10"/>
      <c r="G70" s="10"/>
      <c r="H70" s="10"/>
      <c r="I70" s="11"/>
      <c r="J70" s="10"/>
      <c r="K70" s="10"/>
      <c r="L70" s="10"/>
      <c r="M70" s="10"/>
      <c r="N70" s="10"/>
      <c r="O70" s="12"/>
      <c r="P70" s="12"/>
      <c r="Q70" s="10"/>
    </row>
    <row r="71" spans="2:17" s="9" customFormat="1" ht="9">
      <c r="B71" s="10"/>
      <c r="C71" s="10"/>
      <c r="D71" s="10"/>
      <c r="E71" s="10"/>
      <c r="F71" s="10"/>
      <c r="G71" s="10"/>
      <c r="H71" s="10"/>
      <c r="I71" s="11"/>
      <c r="J71" s="10"/>
      <c r="K71" s="10"/>
      <c r="L71" s="10"/>
      <c r="M71" s="10"/>
      <c r="N71" s="10"/>
      <c r="O71" s="12"/>
      <c r="P71" s="12"/>
      <c r="Q71" s="10"/>
    </row>
    <row r="72" spans="2:17" s="9" customFormat="1" ht="9">
      <c r="B72" s="10"/>
      <c r="C72" s="10"/>
      <c r="D72" s="10"/>
      <c r="E72" s="10"/>
      <c r="F72" s="10"/>
      <c r="G72" s="10"/>
      <c r="H72" s="10"/>
      <c r="I72" s="11"/>
      <c r="J72" s="10"/>
      <c r="K72" s="10"/>
      <c r="L72" s="10"/>
      <c r="M72" s="10"/>
      <c r="N72" s="10"/>
      <c r="O72" s="12"/>
      <c r="P72" s="12"/>
      <c r="Q72" s="10"/>
    </row>
    <row r="73" spans="2:17" s="9" customFormat="1" ht="9">
      <c r="B73" s="10"/>
      <c r="C73" s="10"/>
      <c r="D73" s="10"/>
      <c r="E73" s="10"/>
      <c r="F73" s="10"/>
      <c r="G73" s="10"/>
      <c r="H73" s="10"/>
      <c r="I73" s="11"/>
      <c r="J73" s="10"/>
      <c r="K73" s="10"/>
      <c r="L73" s="10"/>
      <c r="M73" s="10"/>
      <c r="N73" s="10"/>
      <c r="O73" s="12"/>
      <c r="P73" s="12"/>
      <c r="Q73" s="10"/>
    </row>
    <row r="74" spans="2:17" s="9" customFormat="1" ht="9">
      <c r="B74" s="10"/>
      <c r="C74" s="10"/>
      <c r="D74" s="10"/>
      <c r="E74" s="10"/>
      <c r="F74" s="10"/>
      <c r="G74" s="10"/>
      <c r="H74" s="10"/>
      <c r="I74" s="11"/>
      <c r="J74" s="10"/>
      <c r="K74" s="10"/>
      <c r="L74" s="10"/>
      <c r="M74" s="10"/>
      <c r="N74" s="10"/>
      <c r="O74" s="12"/>
      <c r="P74" s="12"/>
      <c r="Q74" s="10"/>
    </row>
    <row r="75" spans="2:17" s="9" customFormat="1" ht="9">
      <c r="B75" s="10"/>
      <c r="C75" s="10"/>
      <c r="D75" s="10"/>
      <c r="E75" s="10"/>
      <c r="F75" s="10"/>
      <c r="G75" s="10"/>
      <c r="H75" s="10"/>
      <c r="I75" s="11"/>
      <c r="J75" s="10"/>
      <c r="K75" s="10"/>
      <c r="L75" s="10"/>
      <c r="M75" s="10"/>
      <c r="N75" s="10"/>
      <c r="O75" s="12"/>
      <c r="P75" s="12"/>
      <c r="Q75" s="10"/>
    </row>
    <row r="76" spans="2:17" s="9" customFormat="1" ht="9">
      <c r="B76" s="10"/>
      <c r="C76" s="10"/>
      <c r="D76" s="10"/>
      <c r="E76" s="10"/>
      <c r="F76" s="10"/>
      <c r="G76" s="10"/>
      <c r="H76" s="10"/>
      <c r="I76" s="11"/>
      <c r="J76" s="10"/>
      <c r="K76" s="10"/>
      <c r="L76" s="10"/>
      <c r="M76" s="10"/>
      <c r="N76" s="10"/>
      <c r="O76" s="12"/>
      <c r="P76" s="12"/>
      <c r="Q76" s="10"/>
    </row>
    <row r="77" spans="2:17" s="9" customFormat="1" ht="9">
      <c r="B77" s="10"/>
      <c r="C77" s="10"/>
      <c r="D77" s="10"/>
      <c r="E77" s="10"/>
      <c r="F77" s="10"/>
      <c r="G77" s="10"/>
      <c r="H77" s="10"/>
      <c r="I77" s="11"/>
      <c r="J77" s="10"/>
      <c r="K77" s="10"/>
      <c r="L77" s="10"/>
      <c r="M77" s="10"/>
      <c r="N77" s="10"/>
      <c r="O77" s="12"/>
      <c r="P77" s="12"/>
      <c r="Q77" s="10"/>
    </row>
    <row r="78" spans="2:17" s="9" customFormat="1" ht="9">
      <c r="B78" s="10"/>
      <c r="C78" s="10"/>
      <c r="D78" s="10"/>
      <c r="E78" s="10"/>
      <c r="F78" s="10"/>
      <c r="G78" s="10"/>
      <c r="H78" s="10"/>
      <c r="I78" s="11"/>
      <c r="J78" s="10"/>
      <c r="K78" s="10"/>
      <c r="L78" s="10"/>
      <c r="M78" s="10"/>
      <c r="N78" s="10"/>
      <c r="O78" s="12"/>
      <c r="P78" s="12"/>
      <c r="Q78" s="10"/>
    </row>
    <row r="79" spans="2:17" s="9" customFormat="1" ht="9">
      <c r="B79" s="10"/>
      <c r="C79" s="10"/>
      <c r="D79" s="10"/>
      <c r="E79" s="10"/>
      <c r="F79" s="10"/>
      <c r="G79" s="10"/>
      <c r="H79" s="10"/>
      <c r="I79" s="11"/>
      <c r="J79" s="10"/>
      <c r="K79" s="10"/>
      <c r="L79" s="10"/>
      <c r="M79" s="10"/>
      <c r="N79" s="10"/>
      <c r="O79" s="12"/>
      <c r="P79" s="12"/>
      <c r="Q79" s="10"/>
    </row>
    <row r="80" spans="2:17" s="9" customFormat="1" ht="9">
      <c r="B80" s="10"/>
      <c r="C80" s="10"/>
      <c r="D80" s="10"/>
      <c r="E80" s="10"/>
      <c r="F80" s="10"/>
      <c r="G80" s="10"/>
      <c r="H80" s="10"/>
      <c r="I80" s="11"/>
      <c r="J80" s="10"/>
      <c r="K80" s="10"/>
      <c r="L80" s="10"/>
      <c r="M80" s="10"/>
      <c r="N80" s="10"/>
      <c r="O80" s="12"/>
      <c r="P80" s="12"/>
      <c r="Q80" s="10"/>
    </row>
    <row r="81" spans="2:17" s="9" customFormat="1" ht="9">
      <c r="B81" s="10"/>
      <c r="C81" s="10"/>
      <c r="D81" s="10"/>
      <c r="E81" s="10"/>
      <c r="F81" s="10"/>
      <c r="G81" s="10"/>
      <c r="H81" s="10"/>
      <c r="I81" s="11"/>
      <c r="J81" s="10"/>
      <c r="K81" s="10"/>
      <c r="L81" s="10"/>
      <c r="M81" s="10"/>
      <c r="N81" s="10"/>
      <c r="O81" s="12"/>
      <c r="P81" s="12"/>
      <c r="Q81" s="10"/>
    </row>
    <row r="82" spans="2:17" s="9" customFormat="1" ht="9">
      <c r="B82" s="10"/>
      <c r="C82" s="10"/>
      <c r="D82" s="10"/>
      <c r="E82" s="10"/>
      <c r="F82" s="10"/>
      <c r="G82" s="10"/>
      <c r="H82" s="10"/>
      <c r="I82" s="11"/>
      <c r="J82" s="10"/>
      <c r="K82" s="10"/>
      <c r="L82" s="10"/>
      <c r="M82" s="10"/>
      <c r="N82" s="10"/>
      <c r="O82" s="12"/>
      <c r="P82" s="12"/>
      <c r="Q82" s="10"/>
    </row>
    <row r="83" spans="2:17" s="9" customFormat="1" ht="9">
      <c r="B83" s="10"/>
      <c r="C83" s="10"/>
      <c r="D83" s="10"/>
      <c r="E83" s="10"/>
      <c r="F83" s="10"/>
      <c r="G83" s="10"/>
      <c r="H83" s="10"/>
      <c r="I83" s="11"/>
      <c r="J83" s="10"/>
      <c r="K83" s="10"/>
      <c r="L83" s="10"/>
      <c r="M83" s="10"/>
      <c r="N83" s="10"/>
      <c r="O83" s="12"/>
      <c r="P83" s="12"/>
      <c r="Q83" s="10"/>
    </row>
    <row r="84" spans="2:17" s="9" customFormat="1" ht="9">
      <c r="B84" s="10"/>
      <c r="C84" s="10"/>
      <c r="D84" s="10"/>
      <c r="E84" s="10"/>
      <c r="F84" s="10"/>
      <c r="G84" s="10"/>
      <c r="H84" s="10"/>
      <c r="I84" s="11"/>
      <c r="J84" s="10"/>
      <c r="K84" s="10"/>
      <c r="L84" s="10"/>
      <c r="M84" s="10"/>
      <c r="N84" s="10"/>
      <c r="O84" s="12"/>
      <c r="P84" s="12"/>
      <c r="Q84" s="10"/>
    </row>
    <row r="85" spans="2:17" s="9" customFormat="1" ht="9">
      <c r="B85" s="10"/>
      <c r="C85" s="10"/>
      <c r="D85" s="10"/>
      <c r="E85" s="10"/>
      <c r="F85" s="10"/>
      <c r="G85" s="10"/>
      <c r="H85" s="10"/>
      <c r="I85" s="11"/>
      <c r="J85" s="10"/>
      <c r="K85" s="10"/>
      <c r="L85" s="10"/>
      <c r="M85" s="10"/>
      <c r="N85" s="10"/>
      <c r="O85" s="12"/>
      <c r="P85" s="12"/>
      <c r="Q85" s="10"/>
    </row>
    <row r="86" spans="2:17" s="9" customFormat="1" ht="9">
      <c r="B86" s="10"/>
      <c r="C86" s="10"/>
      <c r="D86" s="10"/>
      <c r="E86" s="10"/>
      <c r="F86" s="10"/>
      <c r="G86" s="10"/>
      <c r="H86" s="10"/>
      <c r="I86" s="11"/>
      <c r="J86" s="10"/>
      <c r="K86" s="10"/>
      <c r="L86" s="10"/>
      <c r="M86" s="10"/>
      <c r="N86" s="10"/>
      <c r="O86" s="12"/>
      <c r="P86" s="12"/>
      <c r="Q86" s="10"/>
    </row>
    <row r="87" spans="2:17" s="9" customFormat="1" ht="9">
      <c r="B87" s="10"/>
      <c r="C87" s="10"/>
      <c r="D87" s="10"/>
      <c r="E87" s="10"/>
      <c r="F87" s="10"/>
      <c r="G87" s="10"/>
      <c r="H87" s="10"/>
      <c r="I87" s="11"/>
      <c r="J87" s="10"/>
      <c r="K87" s="10"/>
      <c r="L87" s="10"/>
      <c r="M87" s="10"/>
      <c r="N87" s="10"/>
      <c r="O87" s="12"/>
      <c r="P87" s="12"/>
      <c r="Q87" s="10"/>
    </row>
    <row r="88" spans="2:17" s="9" customFormat="1" ht="9">
      <c r="B88" s="10"/>
      <c r="C88" s="10"/>
      <c r="D88" s="10"/>
      <c r="E88" s="10"/>
      <c r="F88" s="10"/>
      <c r="G88" s="10"/>
      <c r="H88" s="10"/>
      <c r="I88" s="11"/>
      <c r="J88" s="10"/>
      <c r="K88" s="10"/>
      <c r="L88" s="10"/>
      <c r="M88" s="10"/>
      <c r="N88" s="10"/>
      <c r="O88" s="12"/>
      <c r="P88" s="12"/>
      <c r="Q88" s="10"/>
    </row>
    <row r="89" spans="2:17" s="9" customFormat="1" ht="9">
      <c r="B89" s="10"/>
      <c r="C89" s="10"/>
      <c r="D89" s="10"/>
      <c r="E89" s="10"/>
      <c r="F89" s="10"/>
      <c r="G89" s="10"/>
      <c r="H89" s="10"/>
      <c r="I89" s="11"/>
      <c r="J89" s="10"/>
      <c r="K89" s="10"/>
      <c r="L89" s="10"/>
      <c r="M89" s="10"/>
      <c r="N89" s="10"/>
      <c r="O89" s="12"/>
      <c r="P89" s="12"/>
      <c r="Q89" s="10"/>
    </row>
    <row r="90" spans="2:17" s="9" customFormat="1" ht="9">
      <c r="B90" s="10"/>
      <c r="C90" s="10"/>
      <c r="D90" s="10"/>
      <c r="E90" s="10"/>
      <c r="F90" s="10"/>
      <c r="G90" s="10"/>
      <c r="H90" s="10"/>
      <c r="I90" s="11"/>
      <c r="J90" s="10"/>
      <c r="K90" s="10"/>
      <c r="L90" s="10"/>
      <c r="M90" s="10"/>
      <c r="N90" s="10"/>
      <c r="O90" s="12"/>
      <c r="P90" s="12"/>
      <c r="Q90" s="10"/>
    </row>
    <row r="91" spans="2:17" s="9" customFormat="1" ht="9">
      <c r="B91" s="10"/>
      <c r="C91" s="10"/>
      <c r="D91" s="10"/>
      <c r="E91" s="10"/>
      <c r="F91" s="10"/>
      <c r="G91" s="10"/>
      <c r="H91" s="10"/>
      <c r="I91" s="11"/>
      <c r="J91" s="10"/>
      <c r="K91" s="10"/>
      <c r="L91" s="10"/>
      <c r="M91" s="10"/>
      <c r="N91" s="10"/>
      <c r="O91" s="12"/>
      <c r="P91" s="12"/>
      <c r="Q91" s="10"/>
    </row>
    <row r="92" spans="2:17" s="9" customFormat="1" ht="9">
      <c r="B92" s="10"/>
      <c r="C92" s="10"/>
      <c r="D92" s="10"/>
      <c r="E92" s="10"/>
      <c r="F92" s="10"/>
      <c r="G92" s="10"/>
      <c r="H92" s="10"/>
      <c r="I92" s="11"/>
      <c r="J92" s="10"/>
      <c r="K92" s="10"/>
      <c r="L92" s="10"/>
      <c r="M92" s="10"/>
      <c r="N92" s="10"/>
      <c r="O92" s="12"/>
      <c r="P92" s="12"/>
      <c r="Q92" s="10"/>
    </row>
    <row r="93" spans="2:17" s="9" customFormat="1" ht="9">
      <c r="B93" s="10"/>
      <c r="C93" s="10"/>
      <c r="D93" s="10"/>
      <c r="E93" s="10"/>
      <c r="F93" s="10"/>
      <c r="G93" s="10"/>
      <c r="H93" s="10"/>
      <c r="I93" s="11"/>
      <c r="J93" s="10"/>
      <c r="K93" s="10"/>
      <c r="L93" s="10"/>
      <c r="M93" s="10"/>
      <c r="N93" s="10"/>
      <c r="O93" s="12"/>
      <c r="P93" s="12"/>
      <c r="Q93" s="10"/>
    </row>
    <row r="94" spans="2:17" s="9" customFormat="1" ht="9">
      <c r="B94" s="10"/>
      <c r="C94" s="10"/>
      <c r="D94" s="10"/>
      <c r="E94" s="10"/>
      <c r="F94" s="10"/>
      <c r="G94" s="10"/>
      <c r="H94" s="10"/>
      <c r="I94" s="11"/>
      <c r="J94" s="10"/>
      <c r="K94" s="10"/>
      <c r="L94" s="10"/>
      <c r="M94" s="10"/>
      <c r="N94" s="10"/>
      <c r="O94" s="12"/>
      <c r="P94" s="12"/>
      <c r="Q94" s="10"/>
    </row>
    <row r="95" spans="2:17" s="9" customFormat="1" ht="9">
      <c r="B95" s="10"/>
      <c r="C95" s="10"/>
      <c r="D95" s="10"/>
      <c r="E95" s="10"/>
      <c r="F95" s="10"/>
      <c r="G95" s="10"/>
      <c r="H95" s="10"/>
      <c r="I95" s="11"/>
      <c r="J95" s="10"/>
      <c r="K95" s="10"/>
      <c r="L95" s="10"/>
      <c r="M95" s="10"/>
      <c r="N95" s="10"/>
      <c r="O95" s="12"/>
      <c r="P95" s="12"/>
      <c r="Q95" s="10"/>
    </row>
    <row r="96" spans="2:17" s="9" customFormat="1" ht="9">
      <c r="B96" s="10"/>
      <c r="C96" s="10"/>
      <c r="D96" s="10"/>
      <c r="E96" s="10"/>
      <c r="F96" s="10"/>
      <c r="G96" s="10"/>
      <c r="H96" s="10"/>
      <c r="I96" s="11"/>
      <c r="J96" s="10"/>
      <c r="K96" s="10"/>
      <c r="L96" s="10"/>
      <c r="M96" s="10"/>
      <c r="N96" s="10"/>
      <c r="O96" s="12"/>
      <c r="P96" s="12"/>
      <c r="Q96" s="10"/>
    </row>
    <row r="97" spans="2:17" s="9" customFormat="1" ht="9">
      <c r="B97" s="10"/>
      <c r="C97" s="10"/>
      <c r="D97" s="10"/>
      <c r="E97" s="10"/>
      <c r="F97" s="10"/>
      <c r="G97" s="10"/>
      <c r="H97" s="10"/>
      <c r="I97" s="11"/>
      <c r="J97" s="10"/>
      <c r="K97" s="10"/>
      <c r="L97" s="10"/>
      <c r="M97" s="10"/>
      <c r="N97" s="10"/>
      <c r="O97" s="12"/>
      <c r="P97" s="12"/>
      <c r="Q97" s="10"/>
    </row>
    <row r="98" spans="2:17" s="9" customFormat="1" ht="9">
      <c r="B98" s="10"/>
      <c r="C98" s="10"/>
      <c r="D98" s="10"/>
      <c r="E98" s="10"/>
      <c r="F98" s="10"/>
      <c r="G98" s="10"/>
      <c r="H98" s="10"/>
      <c r="I98" s="11"/>
      <c r="J98" s="10"/>
      <c r="K98" s="10"/>
      <c r="L98" s="10"/>
      <c r="M98" s="10"/>
      <c r="N98" s="10"/>
      <c r="O98" s="12"/>
      <c r="P98" s="12"/>
      <c r="Q98" s="10"/>
    </row>
    <row r="99" spans="2:17" s="9" customFormat="1" ht="9">
      <c r="B99" s="10"/>
      <c r="C99" s="10"/>
      <c r="D99" s="10"/>
      <c r="E99" s="10"/>
      <c r="F99" s="10"/>
      <c r="G99" s="10"/>
      <c r="H99" s="10"/>
      <c r="I99" s="11"/>
      <c r="J99" s="10"/>
      <c r="K99" s="10"/>
      <c r="L99" s="10"/>
      <c r="M99" s="10"/>
      <c r="N99" s="10"/>
      <c r="O99" s="12"/>
      <c r="P99" s="12"/>
      <c r="Q99" s="10"/>
    </row>
    <row r="100" spans="2:17" s="9" customFormat="1" ht="9">
      <c r="B100" s="10"/>
      <c r="C100" s="10"/>
      <c r="D100" s="10"/>
      <c r="E100" s="10"/>
      <c r="F100" s="10"/>
      <c r="G100" s="10"/>
      <c r="H100" s="10"/>
      <c r="I100" s="11"/>
      <c r="J100" s="10"/>
      <c r="K100" s="10"/>
      <c r="L100" s="10"/>
      <c r="M100" s="10"/>
      <c r="N100" s="10"/>
      <c r="O100" s="12"/>
      <c r="P100" s="12"/>
      <c r="Q100" s="10"/>
    </row>
    <row r="101" spans="2:17">
      <c r="Q101" s="10"/>
    </row>
  </sheetData>
  <mergeCells count="6">
    <mergeCell ref="A2:Q2"/>
    <mergeCell ref="A1:Q1"/>
    <mergeCell ref="A54:M54"/>
    <mergeCell ref="A52:Q52"/>
    <mergeCell ref="A50:N50"/>
    <mergeCell ref="A51:N51"/>
  </mergeCells>
  <phoneticPr fontId="7" type="noConversion"/>
  <pageMargins left="0.25" right="0.25" top="0.5" bottom="0.75" header="0.5" footer="0.5"/>
  <pageSetup scale="74" orientation="landscape"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Q80"/>
  <sheetViews>
    <sheetView zoomScaleNormal="100" workbookViewId="0">
      <pane xSplit="1" ySplit="3" topLeftCell="B4" activePane="bottomRight" state="frozen"/>
      <selection activeCell="S1" sqref="S1:S65536"/>
      <selection pane="topRight" activeCell="S1" sqref="S1:S65536"/>
      <selection pane="bottomLeft" activeCell="S1" sqref="S1:S65536"/>
      <selection pane="bottomRight" activeCell="M42" sqref="M42"/>
    </sheetView>
  </sheetViews>
  <sheetFormatPr defaultRowHeight="11.25"/>
  <cols>
    <col min="1" max="1" width="33.85546875" style="1" customWidth="1"/>
    <col min="2" max="2" width="9" style="5" bestFit="1" customWidth="1"/>
    <col min="3" max="7" width="7.42578125" style="5" customWidth="1"/>
    <col min="8" max="8" width="7.42578125" style="8" customWidth="1"/>
    <col min="9" max="11" width="7.42578125" style="5" customWidth="1"/>
    <col min="12" max="12" width="11.85546875" style="5" bestFit="1" customWidth="1"/>
    <col min="13" max="14" width="7.42578125" style="6" customWidth="1"/>
    <col min="15" max="15" width="4.28515625" style="5" bestFit="1" customWidth="1"/>
    <col min="16" max="19" width="7.42578125" style="1" customWidth="1"/>
    <col min="20" max="16384" width="9.140625" style="1"/>
  </cols>
  <sheetData>
    <row r="1" spans="1:17">
      <c r="A1" s="406" t="s">
        <v>64</v>
      </c>
      <c r="B1" s="406"/>
      <c r="C1" s="406"/>
      <c r="D1" s="406"/>
      <c r="E1" s="406"/>
      <c r="F1" s="406"/>
      <c r="G1" s="406"/>
      <c r="H1" s="406"/>
      <c r="I1" s="406"/>
      <c r="J1" s="406"/>
      <c r="K1" s="406"/>
      <c r="L1" s="406"/>
      <c r="M1" s="406"/>
      <c r="N1" s="406"/>
      <c r="O1" s="406"/>
    </row>
    <row r="2" spans="1:17" ht="12" thickBot="1">
      <c r="A2" s="405" t="s">
        <v>324</v>
      </c>
      <c r="B2" s="405"/>
      <c r="C2" s="405"/>
      <c r="D2" s="405"/>
      <c r="E2" s="405"/>
      <c r="F2" s="405"/>
      <c r="G2" s="405"/>
      <c r="H2" s="405"/>
      <c r="I2" s="405"/>
      <c r="J2" s="405"/>
      <c r="K2" s="405"/>
      <c r="L2" s="405"/>
      <c r="M2" s="405"/>
      <c r="N2" s="405"/>
      <c r="O2" s="405"/>
    </row>
    <row r="3" spans="1:17" s="3" customFormat="1" ht="67.5" customHeight="1" thickBot="1">
      <c r="A3" s="128" t="s">
        <v>229</v>
      </c>
      <c r="B3" s="358" t="s">
        <v>230</v>
      </c>
      <c r="C3" s="358" t="s">
        <v>21</v>
      </c>
      <c r="D3" s="358" t="s">
        <v>321</v>
      </c>
      <c r="E3" s="358" t="s">
        <v>22</v>
      </c>
      <c r="F3" s="358" t="s">
        <v>336</v>
      </c>
      <c r="G3" s="358" t="s">
        <v>6</v>
      </c>
      <c r="H3" s="130" t="s">
        <v>7</v>
      </c>
      <c r="I3" s="359" t="s">
        <v>11</v>
      </c>
      <c r="J3" s="359" t="s">
        <v>12</v>
      </c>
      <c r="K3" s="359" t="s">
        <v>10</v>
      </c>
      <c r="L3" s="358" t="s">
        <v>25</v>
      </c>
      <c r="M3" s="233" t="s">
        <v>308</v>
      </c>
      <c r="N3" s="233" t="s">
        <v>309</v>
      </c>
      <c r="O3" s="360" t="s">
        <v>231</v>
      </c>
    </row>
    <row r="4" spans="1:17" s="4" customFormat="1" ht="9">
      <c r="A4" s="234" t="s">
        <v>237</v>
      </c>
      <c r="B4" s="235" t="s">
        <v>264</v>
      </c>
      <c r="C4" s="236"/>
      <c r="D4" s="236"/>
      <c r="E4" s="236"/>
      <c r="F4" s="235"/>
      <c r="G4" s="235"/>
      <c r="H4" s="237"/>
      <c r="I4" s="237"/>
      <c r="J4" s="237"/>
      <c r="K4" s="237"/>
      <c r="L4" s="236"/>
      <c r="M4" s="236"/>
      <c r="N4" s="236"/>
      <c r="O4" s="229"/>
    </row>
    <row r="5" spans="1:17" s="4" customFormat="1" ht="9">
      <c r="A5" s="121" t="s">
        <v>238</v>
      </c>
      <c r="B5" s="28" t="s">
        <v>264</v>
      </c>
      <c r="C5" s="32"/>
      <c r="D5" s="32"/>
      <c r="E5" s="32"/>
      <c r="F5" s="28"/>
      <c r="G5" s="28"/>
      <c r="H5" s="43"/>
      <c r="I5" s="43"/>
      <c r="J5" s="43"/>
      <c r="K5" s="43"/>
      <c r="L5" s="32"/>
      <c r="M5" s="32"/>
      <c r="N5" s="32"/>
      <c r="O5" s="122"/>
    </row>
    <row r="6" spans="1:17" s="4" customFormat="1" ht="9">
      <c r="A6" s="121" t="s">
        <v>239</v>
      </c>
      <c r="B6" s="28"/>
      <c r="C6" s="32"/>
      <c r="D6" s="32"/>
      <c r="E6" s="32"/>
      <c r="F6" s="28"/>
      <c r="G6" s="28"/>
      <c r="H6" s="43"/>
      <c r="I6" s="43"/>
      <c r="J6" s="43"/>
      <c r="K6" s="43"/>
      <c r="L6" s="32"/>
      <c r="M6" s="32"/>
      <c r="N6" s="32"/>
      <c r="O6" s="122"/>
    </row>
    <row r="7" spans="1:17" s="4" customFormat="1" ht="9">
      <c r="A7" s="123" t="s">
        <v>240</v>
      </c>
      <c r="B7" s="28">
        <v>40</v>
      </c>
      <c r="C7" s="32">
        <v>0</v>
      </c>
      <c r="D7" s="32">
        <v>0</v>
      </c>
      <c r="E7" s="32">
        <v>0</v>
      </c>
      <c r="F7" s="28">
        <v>1</v>
      </c>
      <c r="G7" s="28">
        <f>B7*F7</f>
        <v>40</v>
      </c>
      <c r="H7" s="42">
        <f>'Base Data'!$H$21+'Base Data'!$H$22</f>
        <v>4615</v>
      </c>
      <c r="I7" s="43">
        <f>G7*H7</f>
        <v>184600</v>
      </c>
      <c r="J7" s="43">
        <f>I7*0.1</f>
        <v>18460</v>
      </c>
      <c r="K7" s="42">
        <f>I7*0.05</f>
        <v>9230</v>
      </c>
      <c r="L7" s="32">
        <f>(I7*'Base Data'!$C$5)+(J7*'Base Data'!$C$6)+(K7*'Base Data'!$C$7)</f>
        <v>20080326.5</v>
      </c>
      <c r="M7" s="32">
        <v>0</v>
      </c>
      <c r="N7" s="43">
        <v>0</v>
      </c>
      <c r="O7" s="122" t="s">
        <v>214</v>
      </c>
    </row>
    <row r="8" spans="1:17" s="4" customFormat="1" ht="9">
      <c r="A8" s="123" t="s">
        <v>241</v>
      </c>
      <c r="B8" s="28"/>
      <c r="C8" s="32"/>
      <c r="D8" s="32"/>
      <c r="E8" s="32"/>
      <c r="F8" s="28"/>
      <c r="G8" s="28"/>
      <c r="H8" s="43"/>
      <c r="I8" s="43"/>
      <c r="J8" s="43"/>
      <c r="K8" s="43"/>
      <c r="L8" s="32"/>
      <c r="M8" s="32"/>
      <c r="N8" s="32"/>
      <c r="O8" s="122"/>
    </row>
    <row r="9" spans="1:17" s="4" customFormat="1" ht="9">
      <c r="A9" s="123" t="s">
        <v>253</v>
      </c>
      <c r="B9" s="28"/>
      <c r="C9" s="105"/>
      <c r="D9" s="32"/>
      <c r="E9" s="32"/>
      <c r="F9" s="28"/>
      <c r="G9" s="28"/>
      <c r="H9" s="42"/>
      <c r="I9" s="43"/>
      <c r="J9" s="43"/>
      <c r="K9" s="43"/>
      <c r="L9" s="32"/>
      <c r="M9" s="32"/>
      <c r="N9" s="32"/>
      <c r="O9" s="122"/>
    </row>
    <row r="10" spans="1:17" s="4" customFormat="1" ht="9">
      <c r="A10" s="121" t="s">
        <v>35</v>
      </c>
      <c r="B10" s="28">
        <v>20</v>
      </c>
      <c r="C10" s="32">
        <v>18292</v>
      </c>
      <c r="D10" s="32">
        <v>0</v>
      </c>
      <c r="E10" s="32">
        <v>0</v>
      </c>
      <c r="F10" s="28">
        <v>1</v>
      </c>
      <c r="G10" s="28">
        <f>B10*F10</f>
        <v>20</v>
      </c>
      <c r="H10" s="42">
        <v>0</v>
      </c>
      <c r="I10" s="43">
        <f>G10*H10</f>
        <v>0</v>
      </c>
      <c r="J10" s="43">
        <f>I10*0.1</f>
        <v>0</v>
      </c>
      <c r="K10" s="43">
        <f>I10*0.05</f>
        <v>0</v>
      </c>
      <c r="L10" s="32">
        <f>(I10*'Base Data'!$C$5)+(J10*'Base Data'!$C$6)+(K10*'Base Data'!$C$7)</f>
        <v>0</v>
      </c>
      <c r="M10" s="32">
        <f>C10*F10*H10</f>
        <v>0</v>
      </c>
      <c r="N10" s="43">
        <v>0</v>
      </c>
      <c r="O10" s="122" t="s">
        <v>273</v>
      </c>
    </row>
    <row r="11" spans="1:17" s="4" customFormat="1" ht="9">
      <c r="A11" s="121" t="s">
        <v>42</v>
      </c>
      <c r="B11" s="28">
        <v>20</v>
      </c>
      <c r="C11" s="32">
        <v>854</v>
      </c>
      <c r="D11" s="32">
        <v>0</v>
      </c>
      <c r="E11" s="32">
        <v>0</v>
      </c>
      <c r="F11" s="28">
        <v>1</v>
      </c>
      <c r="G11" s="28">
        <f>B11*F11</f>
        <v>20</v>
      </c>
      <c r="H11" s="42">
        <v>0</v>
      </c>
      <c r="I11" s="43">
        <f>G11*H11</f>
        <v>0</v>
      </c>
      <c r="J11" s="43">
        <f>I11*0.1</f>
        <v>0</v>
      </c>
      <c r="K11" s="43">
        <f>I11*0.05</f>
        <v>0</v>
      </c>
      <c r="L11" s="32">
        <f>(I11*'Base Data'!$C$5)+(J11*'Base Data'!$C$6)+(K11*'Base Data'!$C$7)</f>
        <v>0</v>
      </c>
      <c r="M11" s="32">
        <f>C11*F11*H11</f>
        <v>0</v>
      </c>
      <c r="N11" s="43">
        <v>0</v>
      </c>
      <c r="O11" s="122" t="s">
        <v>273</v>
      </c>
    </row>
    <row r="12" spans="1:17" s="4" customFormat="1" ht="9">
      <c r="A12" s="123" t="s">
        <v>147</v>
      </c>
      <c r="B12" s="28">
        <v>12</v>
      </c>
      <c r="C12" s="32">
        <v>0</v>
      </c>
      <c r="D12" s="32">
        <v>2875</v>
      </c>
      <c r="E12" s="32">
        <v>0</v>
      </c>
      <c r="F12" s="28">
        <v>0.5</v>
      </c>
      <c r="G12" s="28">
        <f>B12*F12</f>
        <v>6</v>
      </c>
      <c r="H12" s="42">
        <v>0</v>
      </c>
      <c r="I12" s="43">
        <f>G12*H12</f>
        <v>0</v>
      </c>
      <c r="J12" s="43">
        <f>I12*0.1</f>
        <v>0</v>
      </c>
      <c r="K12" s="43">
        <f>I12*0.05</f>
        <v>0</v>
      </c>
      <c r="L12" s="32">
        <f>(I12*'Base Data'!$C$5)+(J12*'Base Data'!$C$6)+(K12*'Base Data'!$C$7)</f>
        <v>0</v>
      </c>
      <c r="M12" s="32">
        <f>D12*F12*H12</f>
        <v>0</v>
      </c>
      <c r="N12" s="43">
        <v>0</v>
      </c>
      <c r="O12" s="122" t="s">
        <v>215</v>
      </c>
    </row>
    <row r="13" spans="1:17" s="4" customFormat="1" ht="9">
      <c r="A13" s="123" t="s">
        <v>245</v>
      </c>
      <c r="B13" s="28" t="s">
        <v>264</v>
      </c>
      <c r="C13" s="32"/>
      <c r="D13" s="32"/>
      <c r="E13" s="32"/>
      <c r="F13" s="28"/>
      <c r="G13" s="28"/>
      <c r="H13" s="43"/>
      <c r="I13" s="43"/>
      <c r="J13" s="43"/>
      <c r="K13" s="43"/>
      <c r="L13" s="32"/>
      <c r="M13" s="32"/>
      <c r="N13" s="32"/>
      <c r="O13" s="122"/>
    </row>
    <row r="14" spans="1:17" s="4" customFormat="1" ht="9">
      <c r="A14" s="123" t="s">
        <v>246</v>
      </c>
      <c r="B14" s="28" t="s">
        <v>264</v>
      </c>
      <c r="C14" s="32"/>
      <c r="D14" s="32"/>
      <c r="E14" s="32"/>
      <c r="F14" s="28"/>
      <c r="G14" s="28"/>
      <c r="H14" s="43"/>
      <c r="I14" s="43"/>
      <c r="J14" s="43"/>
      <c r="K14" s="43"/>
      <c r="L14" s="32"/>
      <c r="M14" s="32"/>
      <c r="N14" s="32"/>
      <c r="O14" s="122"/>
      <c r="P14" s="46"/>
      <c r="Q14" s="46"/>
    </row>
    <row r="15" spans="1:17" s="4" customFormat="1" ht="9">
      <c r="A15" s="123" t="s">
        <v>247</v>
      </c>
      <c r="B15" s="28"/>
      <c r="C15" s="32"/>
      <c r="D15" s="32"/>
      <c r="E15" s="32"/>
      <c r="F15" s="28"/>
      <c r="G15" s="28"/>
      <c r="H15" s="42"/>
      <c r="I15" s="43"/>
      <c r="J15" s="43"/>
      <c r="K15" s="43"/>
      <c r="L15" s="32"/>
      <c r="M15" s="32"/>
      <c r="N15" s="43"/>
      <c r="O15" s="122"/>
      <c r="P15" s="46"/>
      <c r="Q15" s="46"/>
    </row>
    <row r="16" spans="1:17" s="4" customFormat="1" ht="9" customHeight="1">
      <c r="A16" s="124" t="s">
        <v>266</v>
      </c>
      <c r="B16" s="28">
        <v>2</v>
      </c>
      <c r="C16" s="32">
        <v>0</v>
      </c>
      <c r="D16" s="32">
        <v>0</v>
      </c>
      <c r="E16" s="32">
        <v>0</v>
      </c>
      <c r="F16" s="28">
        <v>1</v>
      </c>
      <c r="G16" s="28">
        <f>B16*F16</f>
        <v>2</v>
      </c>
      <c r="H16" s="42">
        <f>'Base Data'!$H$21+'Base Data'!$H$22</f>
        <v>4615</v>
      </c>
      <c r="I16" s="43">
        <f>G16*H16</f>
        <v>9230</v>
      </c>
      <c r="J16" s="43">
        <f>I16*0.1</f>
        <v>923</v>
      </c>
      <c r="K16" s="43">
        <f>I16*0.05</f>
        <v>461.5</v>
      </c>
      <c r="L16" s="32">
        <f>(I16*'Base Data'!$C$5)+(J16*'Base Data'!$C$6)+(K16*'Base Data'!$C$7)</f>
        <v>1004016.325</v>
      </c>
      <c r="M16" s="32">
        <v>0</v>
      </c>
      <c r="N16" s="43">
        <f>F16*H16</f>
        <v>4615</v>
      </c>
      <c r="O16" s="122" t="s">
        <v>214</v>
      </c>
      <c r="P16" s="46"/>
      <c r="Q16" s="46"/>
    </row>
    <row r="17" spans="1:17" s="4" customFormat="1" ht="9">
      <c r="A17" s="124" t="s">
        <v>208</v>
      </c>
      <c r="B17" s="28">
        <v>8</v>
      </c>
      <c r="C17" s="32">
        <v>0</v>
      </c>
      <c r="D17" s="32">
        <v>0</v>
      </c>
      <c r="E17" s="361">
        <v>0</v>
      </c>
      <c r="F17" s="28">
        <v>1</v>
      </c>
      <c r="G17" s="28">
        <f>B17*F17</f>
        <v>8</v>
      </c>
      <c r="H17" s="42">
        <v>0</v>
      </c>
      <c r="I17" s="43">
        <f>G17*H17</f>
        <v>0</v>
      </c>
      <c r="J17" s="43">
        <f>I17*0.1</f>
        <v>0</v>
      </c>
      <c r="K17" s="43">
        <f>I17*0.05</f>
        <v>0</v>
      </c>
      <c r="L17" s="32">
        <f>(I17*'Base Data'!$C$5)+(J17*'Base Data'!$C$6)+(K17*'Base Data'!$C$7)</f>
        <v>0</v>
      </c>
      <c r="M17" s="32">
        <v>0</v>
      </c>
      <c r="N17" s="43">
        <f>F17*H17</f>
        <v>0</v>
      </c>
      <c r="O17" s="122" t="s">
        <v>215</v>
      </c>
      <c r="P17" s="46"/>
      <c r="Q17" s="46"/>
    </row>
    <row r="18" spans="1:17" s="4" customFormat="1" ht="9">
      <c r="A18" s="124" t="s">
        <v>148</v>
      </c>
      <c r="B18" s="28">
        <v>5</v>
      </c>
      <c r="C18" s="32">
        <v>0</v>
      </c>
      <c r="D18" s="362">
        <v>0</v>
      </c>
      <c r="E18" s="32">
        <v>0</v>
      </c>
      <c r="F18" s="363">
        <v>0.5</v>
      </c>
      <c r="G18" s="28">
        <f>B18*F18</f>
        <v>2.5</v>
      </c>
      <c r="H18" s="42">
        <v>0</v>
      </c>
      <c r="I18" s="43">
        <f>G18*H18</f>
        <v>0</v>
      </c>
      <c r="J18" s="43">
        <f>I18*0.1</f>
        <v>0</v>
      </c>
      <c r="K18" s="43">
        <f>I18*0.05</f>
        <v>0</v>
      </c>
      <c r="L18" s="32">
        <f>(I18*'Base Data'!$C$5)+(J18*'Base Data'!$C$6)+(K18*'Base Data'!$C$7)</f>
        <v>0</v>
      </c>
      <c r="M18" s="32">
        <v>0</v>
      </c>
      <c r="N18" s="43">
        <f>F18*H18</f>
        <v>0</v>
      </c>
      <c r="O18" s="122" t="s">
        <v>215</v>
      </c>
      <c r="P18" s="46"/>
      <c r="Q18" s="46"/>
    </row>
    <row r="19" spans="1:17" s="4" customFormat="1" ht="9">
      <c r="A19" s="126" t="s">
        <v>24</v>
      </c>
      <c r="B19" s="28"/>
      <c r="C19" s="32"/>
      <c r="D19" s="32"/>
      <c r="E19" s="364"/>
      <c r="F19" s="28"/>
      <c r="G19" s="28"/>
      <c r="H19" s="42"/>
      <c r="I19" s="43">
        <f>SUM(I7:I18)</f>
        <v>193830</v>
      </c>
      <c r="J19" s="43">
        <f t="shared" ref="J19:M19" si="0">SUM(J7:J18)</f>
        <v>19383</v>
      </c>
      <c r="K19" s="43">
        <f t="shared" si="0"/>
        <v>9691.5</v>
      </c>
      <c r="L19" s="32">
        <f t="shared" si="0"/>
        <v>21084342.824999999</v>
      </c>
      <c r="M19" s="32">
        <f t="shared" si="0"/>
        <v>0</v>
      </c>
      <c r="N19" s="43">
        <f>SUM(N15:N18)</f>
        <v>4615</v>
      </c>
      <c r="O19" s="122"/>
      <c r="P19" s="86"/>
      <c r="Q19" s="46"/>
    </row>
    <row r="20" spans="1:17" s="4" customFormat="1" ht="9">
      <c r="A20" s="121" t="s">
        <v>261</v>
      </c>
      <c r="B20" s="28"/>
      <c r="C20" s="32"/>
      <c r="D20" s="32"/>
      <c r="E20" s="32"/>
      <c r="F20" s="28"/>
      <c r="G20" s="28"/>
      <c r="H20" s="43"/>
      <c r="I20" s="43"/>
      <c r="J20" s="43"/>
      <c r="K20" s="43"/>
      <c r="L20" s="32"/>
      <c r="M20" s="32"/>
      <c r="N20" s="32"/>
      <c r="O20" s="122"/>
      <c r="P20" s="46"/>
      <c r="Q20" s="46"/>
    </row>
    <row r="21" spans="1:17" s="4" customFormat="1" ht="9">
      <c r="A21" s="121" t="s">
        <v>248</v>
      </c>
      <c r="B21" s="28" t="s">
        <v>252</v>
      </c>
      <c r="C21" s="32"/>
      <c r="D21" s="32"/>
      <c r="E21" s="32"/>
      <c r="F21" s="28"/>
      <c r="G21" s="28"/>
      <c r="H21" s="43"/>
      <c r="I21" s="43"/>
      <c r="J21" s="43"/>
      <c r="K21" s="43"/>
      <c r="L21" s="32"/>
      <c r="M21" s="32"/>
      <c r="N21" s="32"/>
      <c r="O21" s="122"/>
      <c r="P21" s="46"/>
      <c r="Q21" s="46"/>
    </row>
    <row r="22" spans="1:17" s="4" customFormat="1" ht="9">
      <c r="A22" s="121" t="s">
        <v>249</v>
      </c>
      <c r="B22" s="28" t="s">
        <v>264</v>
      </c>
      <c r="C22" s="32"/>
      <c r="D22" s="32"/>
      <c r="E22" s="32"/>
      <c r="F22" s="28"/>
      <c r="G22" s="28"/>
      <c r="H22" s="43"/>
      <c r="I22" s="43"/>
      <c r="J22" s="43"/>
      <c r="K22" s="43"/>
      <c r="L22" s="32"/>
      <c r="M22" s="32"/>
      <c r="N22" s="32"/>
      <c r="O22" s="122"/>
      <c r="P22" s="46"/>
      <c r="Q22" s="46"/>
    </row>
    <row r="23" spans="1:17" s="4" customFormat="1" ht="9">
      <c r="A23" s="121" t="s">
        <v>250</v>
      </c>
      <c r="B23" s="28" t="s">
        <v>264</v>
      </c>
      <c r="C23" s="32"/>
      <c r="D23" s="32"/>
      <c r="E23" s="32"/>
      <c r="F23" s="28"/>
      <c r="G23" s="28"/>
      <c r="H23" s="43"/>
      <c r="I23" s="43"/>
      <c r="J23" s="43"/>
      <c r="K23" s="43"/>
      <c r="L23" s="32"/>
      <c r="M23" s="32"/>
      <c r="N23" s="32"/>
      <c r="O23" s="122" t="s">
        <v>216</v>
      </c>
      <c r="P23" s="46"/>
      <c r="Q23" s="46"/>
    </row>
    <row r="24" spans="1:17" s="4" customFormat="1" ht="9">
      <c r="A24" s="121" t="s">
        <v>251</v>
      </c>
      <c r="B24" s="28"/>
      <c r="C24" s="32"/>
      <c r="D24" s="32"/>
      <c r="E24" s="32"/>
      <c r="F24" s="28"/>
      <c r="G24" s="28"/>
      <c r="H24" s="43"/>
      <c r="I24" s="43"/>
      <c r="J24" s="43"/>
      <c r="K24" s="43"/>
      <c r="L24" s="32"/>
      <c r="M24" s="32"/>
      <c r="N24" s="32"/>
      <c r="O24" s="122"/>
      <c r="P24" s="46"/>
      <c r="Q24" s="46"/>
    </row>
    <row r="25" spans="1:17" s="4" customFormat="1" ht="9">
      <c r="A25" s="124" t="s">
        <v>323</v>
      </c>
      <c r="B25" s="28">
        <v>2</v>
      </c>
      <c r="C25" s="32">
        <v>0</v>
      </c>
      <c r="D25" s="32">
        <v>0</v>
      </c>
      <c r="E25" s="32">
        <v>0</v>
      </c>
      <c r="F25" s="28">
        <v>1</v>
      </c>
      <c r="G25" s="28">
        <f>B25*F25</f>
        <v>2</v>
      </c>
      <c r="H25" s="43">
        <v>0</v>
      </c>
      <c r="I25" s="42">
        <f>G25*H25</f>
        <v>0</v>
      </c>
      <c r="J25" s="42">
        <f>I25*0.1</f>
        <v>0</v>
      </c>
      <c r="K25" s="42">
        <f>I25*0.05</f>
        <v>0</v>
      </c>
      <c r="L25" s="32">
        <f>(I25*'Base Data'!$C$5)+(J25*'Base Data'!$C$6)+(K25*'Base Data'!$C$7)</f>
        <v>0</v>
      </c>
      <c r="M25" s="32">
        <v>0</v>
      </c>
      <c r="N25" s="43">
        <f>F25*H25</f>
        <v>0</v>
      </c>
      <c r="O25" s="365" t="s">
        <v>215</v>
      </c>
    </row>
    <row r="26" spans="1:17" s="4" customFormat="1" ht="9">
      <c r="A26" s="124" t="s">
        <v>322</v>
      </c>
      <c r="B26" s="28">
        <v>0.5</v>
      </c>
      <c r="C26" s="32">
        <v>0</v>
      </c>
      <c r="D26" s="32">
        <v>0</v>
      </c>
      <c r="E26" s="32">
        <v>0</v>
      </c>
      <c r="F26" s="28">
        <v>0.5</v>
      </c>
      <c r="G26" s="28">
        <f>B26*F26</f>
        <v>0.25</v>
      </c>
      <c r="H26" s="43">
        <v>0</v>
      </c>
      <c r="I26" s="42">
        <f>G26*H26</f>
        <v>0</v>
      </c>
      <c r="J26" s="42">
        <f>I26*0.1</f>
        <v>0</v>
      </c>
      <c r="K26" s="42">
        <f>I26*0.05</f>
        <v>0</v>
      </c>
      <c r="L26" s="32">
        <f>(I26*'Base Data'!$C$5)+(J26*'Base Data'!$C$6)+(K26*'Base Data'!$C$7)</f>
        <v>0</v>
      </c>
      <c r="M26" s="32">
        <v>0</v>
      </c>
      <c r="N26" s="43">
        <f>F26*H26</f>
        <v>0</v>
      </c>
      <c r="O26" s="365" t="s">
        <v>215</v>
      </c>
    </row>
    <row r="27" spans="1:17" s="4" customFormat="1" ht="9">
      <c r="A27" s="121" t="s">
        <v>255</v>
      </c>
      <c r="B27" s="28" t="s">
        <v>264</v>
      </c>
      <c r="C27" s="32"/>
      <c r="D27" s="32"/>
      <c r="E27" s="32"/>
      <c r="F27" s="28"/>
      <c r="G27" s="28"/>
      <c r="H27" s="42"/>
      <c r="I27" s="43"/>
      <c r="J27" s="43"/>
      <c r="K27" s="43"/>
      <c r="L27" s="32"/>
      <c r="M27" s="32"/>
      <c r="N27" s="32"/>
      <c r="O27" s="122"/>
      <c r="P27" s="46"/>
      <c r="Q27" s="46"/>
    </row>
    <row r="28" spans="1:17" s="4" customFormat="1" ht="9">
      <c r="A28" s="121" t="s">
        <v>256</v>
      </c>
      <c r="B28" s="28" t="s">
        <v>264</v>
      </c>
      <c r="C28" s="32"/>
      <c r="D28" s="32"/>
      <c r="E28" s="32"/>
      <c r="F28" s="28"/>
      <c r="G28" s="28"/>
      <c r="H28" s="43"/>
      <c r="I28" s="43"/>
      <c r="J28" s="43"/>
      <c r="K28" s="43"/>
      <c r="L28" s="32"/>
      <c r="M28" s="32"/>
      <c r="N28" s="32"/>
      <c r="O28" s="122"/>
    </row>
    <row r="29" spans="1:17" s="4" customFormat="1" ht="9.75" thickBot="1">
      <c r="A29" s="204" t="s">
        <v>26</v>
      </c>
      <c r="B29" s="205"/>
      <c r="C29" s="161"/>
      <c r="D29" s="161"/>
      <c r="E29" s="161"/>
      <c r="F29" s="205"/>
      <c r="G29" s="205"/>
      <c r="H29" s="160"/>
      <c r="I29" s="160">
        <f>SUM(I25:I26)</f>
        <v>0</v>
      </c>
      <c r="J29" s="160">
        <f t="shared" ref="J29:M29" si="1">SUM(J25:J26)</f>
        <v>0</v>
      </c>
      <c r="K29" s="160">
        <f t="shared" si="1"/>
        <v>0</v>
      </c>
      <c r="L29" s="161">
        <f t="shared" si="1"/>
        <v>0</v>
      </c>
      <c r="M29" s="161">
        <f t="shared" si="1"/>
        <v>0</v>
      </c>
      <c r="N29" s="160">
        <f>SUM(N25:N26)</f>
        <v>0</v>
      </c>
      <c r="O29" s="206"/>
    </row>
    <row r="30" spans="1:17" s="2" customFormat="1" ht="12" thickBot="1">
      <c r="A30" s="149" t="s">
        <v>236</v>
      </c>
      <c r="B30" s="150"/>
      <c r="C30" s="150"/>
      <c r="D30" s="150"/>
      <c r="E30" s="151"/>
      <c r="F30" s="150"/>
      <c r="G30" s="150"/>
      <c r="H30" s="152"/>
      <c r="I30" s="153">
        <f>I19+I29</f>
        <v>193830</v>
      </c>
      <c r="J30" s="153">
        <f t="shared" ref="J30:N30" si="2">J19+J29</f>
        <v>19383</v>
      </c>
      <c r="K30" s="153">
        <f t="shared" si="2"/>
        <v>9691.5</v>
      </c>
      <c r="L30" s="154">
        <f t="shared" si="2"/>
        <v>21084342.824999999</v>
      </c>
      <c r="M30" s="154">
        <f t="shared" si="2"/>
        <v>0</v>
      </c>
      <c r="N30" s="153">
        <f t="shared" si="2"/>
        <v>4615</v>
      </c>
      <c r="O30" s="155"/>
    </row>
    <row r="31" spans="1:17" ht="6" customHeight="1">
      <c r="B31" s="34"/>
      <c r="C31" s="34"/>
      <c r="D31" s="34"/>
      <c r="E31" s="34"/>
      <c r="F31" s="34"/>
      <c r="G31" s="34"/>
      <c r="H31" s="35"/>
      <c r="N31" s="49"/>
    </row>
    <row r="32" spans="1:17" s="9" customFormat="1" ht="9">
      <c r="A32" s="33" t="s">
        <v>19</v>
      </c>
      <c r="B32" s="36"/>
      <c r="C32" s="36"/>
      <c r="D32" s="36"/>
      <c r="E32" s="36"/>
      <c r="F32" s="36"/>
      <c r="G32" s="36"/>
      <c r="H32" s="37"/>
      <c r="I32" s="10"/>
      <c r="J32" s="10"/>
      <c r="K32" s="10"/>
      <c r="L32" s="10"/>
      <c r="M32" s="12"/>
      <c r="N32" s="12"/>
      <c r="O32" s="36"/>
    </row>
    <row r="33" spans="1:15" s="9" customFormat="1" ht="18" customHeight="1">
      <c r="A33" s="409" t="s">
        <v>28</v>
      </c>
      <c r="B33" s="409"/>
      <c r="C33" s="409"/>
      <c r="D33" s="409"/>
      <c r="E33" s="409"/>
      <c r="F33" s="409"/>
      <c r="G33" s="409"/>
      <c r="H33" s="409"/>
      <c r="I33" s="409"/>
      <c r="J33" s="409"/>
      <c r="K33" s="409"/>
      <c r="L33" s="409"/>
      <c r="M33" s="191"/>
      <c r="N33" s="51"/>
      <c r="O33" s="10"/>
    </row>
    <row r="34" spans="1:15" s="9" customFormat="1" ht="28.5" customHeight="1">
      <c r="A34" s="409" t="s">
        <v>16</v>
      </c>
      <c r="B34" s="409"/>
      <c r="C34" s="409"/>
      <c r="D34" s="409"/>
      <c r="E34" s="409"/>
      <c r="F34" s="409"/>
      <c r="G34" s="409"/>
      <c r="H34" s="409"/>
      <c r="I34" s="409"/>
      <c r="J34" s="409"/>
      <c r="K34" s="409"/>
      <c r="L34" s="409"/>
      <c r="M34" s="191"/>
      <c r="N34" s="51"/>
      <c r="O34" s="5"/>
    </row>
    <row r="35" spans="1:15" s="9" customFormat="1" ht="16.5" customHeight="1">
      <c r="A35" s="409" t="s">
        <v>41</v>
      </c>
      <c r="B35" s="409"/>
      <c r="C35" s="409"/>
      <c r="D35" s="409"/>
      <c r="E35" s="409"/>
      <c r="F35" s="409"/>
      <c r="G35" s="409"/>
      <c r="H35" s="409"/>
      <c r="I35" s="409"/>
      <c r="J35" s="409"/>
      <c r="K35" s="409"/>
      <c r="L35" s="409"/>
      <c r="M35" s="409"/>
      <c r="N35" s="409"/>
      <c r="O35" s="409"/>
    </row>
    <row r="36" spans="1:15" s="9" customFormat="1" ht="9">
      <c r="A36" s="9" t="s">
        <v>274</v>
      </c>
      <c r="B36" s="10"/>
      <c r="C36" s="10"/>
      <c r="D36" s="10"/>
      <c r="E36" s="10"/>
      <c r="F36" s="10"/>
      <c r="G36" s="11"/>
      <c r="H36" s="10"/>
      <c r="I36" s="10"/>
      <c r="J36" s="10"/>
      <c r="K36" s="10"/>
      <c r="L36" s="10"/>
      <c r="M36" s="12"/>
      <c r="N36" s="50"/>
      <c r="O36" s="10"/>
    </row>
    <row r="37" spans="1:15" s="9" customFormat="1" ht="10.5" customHeight="1">
      <c r="B37" s="10"/>
      <c r="C37" s="10"/>
      <c r="D37" s="10"/>
      <c r="E37" s="10"/>
      <c r="F37" s="10"/>
      <c r="G37" s="11"/>
      <c r="H37" s="10"/>
      <c r="I37" s="10"/>
      <c r="J37" s="10"/>
      <c r="K37" s="10"/>
      <c r="L37" s="10"/>
      <c r="M37" s="12"/>
      <c r="N37" s="12"/>
      <c r="O37" s="12"/>
    </row>
    <row r="38" spans="1:15" s="9" customFormat="1" ht="9">
      <c r="B38" s="10"/>
      <c r="C38" s="10"/>
      <c r="D38" s="10"/>
      <c r="E38" s="10"/>
      <c r="F38" s="10"/>
      <c r="G38" s="10"/>
      <c r="H38" s="11"/>
      <c r="I38" s="10"/>
      <c r="J38" s="10"/>
      <c r="K38" s="10"/>
      <c r="L38" s="10"/>
      <c r="M38" s="12"/>
      <c r="N38" s="12"/>
      <c r="O38" s="10"/>
    </row>
    <row r="39" spans="1:15" s="9" customFormat="1" ht="9">
      <c r="B39" s="10"/>
      <c r="C39" s="10"/>
      <c r="D39" s="10"/>
      <c r="E39" s="10"/>
      <c r="F39" s="10"/>
      <c r="G39" s="10"/>
      <c r="H39" s="11"/>
      <c r="I39" s="10"/>
      <c r="J39" s="10"/>
      <c r="K39" s="10"/>
      <c r="L39" s="10"/>
      <c r="M39" s="12"/>
      <c r="N39" s="12"/>
      <c r="O39" s="10"/>
    </row>
    <row r="40" spans="1:15" s="9" customFormat="1" ht="9">
      <c r="B40" s="10"/>
      <c r="C40" s="10"/>
      <c r="D40" s="10"/>
      <c r="E40" s="10"/>
      <c r="F40" s="10"/>
      <c r="G40" s="10"/>
      <c r="H40" s="11"/>
      <c r="I40" s="10"/>
      <c r="J40" s="10"/>
      <c r="K40" s="10"/>
      <c r="L40" s="10"/>
      <c r="M40" s="12"/>
      <c r="N40" s="12"/>
      <c r="O40" s="10"/>
    </row>
    <row r="41" spans="1:15" s="9" customFormat="1" ht="9">
      <c r="B41" s="10"/>
      <c r="C41" s="10"/>
      <c r="D41" s="10"/>
      <c r="E41" s="10"/>
      <c r="F41" s="10"/>
      <c r="G41" s="10"/>
      <c r="H41" s="11"/>
      <c r="I41" s="10"/>
      <c r="J41" s="10"/>
      <c r="K41" s="10"/>
      <c r="L41" s="10"/>
      <c r="M41" s="12"/>
      <c r="N41" s="12"/>
      <c r="O41" s="10"/>
    </row>
    <row r="42" spans="1:15" s="9" customFormat="1" ht="9">
      <c r="B42" s="10"/>
      <c r="C42" s="10"/>
      <c r="D42" s="10"/>
      <c r="E42" s="10"/>
      <c r="F42" s="10"/>
      <c r="G42" s="10"/>
      <c r="H42" s="11"/>
      <c r="I42" s="10"/>
      <c r="J42" s="10"/>
      <c r="K42" s="10"/>
      <c r="L42" s="10"/>
      <c r="M42" s="12"/>
      <c r="N42" s="12"/>
      <c r="O42" s="10"/>
    </row>
    <row r="43" spans="1:15" s="9" customFormat="1" ht="9">
      <c r="B43" s="10"/>
      <c r="C43" s="10"/>
      <c r="D43" s="10"/>
      <c r="E43" s="10"/>
      <c r="F43" s="10"/>
      <c r="G43" s="10"/>
      <c r="H43" s="11"/>
      <c r="I43" s="10"/>
      <c r="J43" s="10"/>
      <c r="K43" s="10"/>
      <c r="L43" s="10"/>
      <c r="M43" s="12"/>
      <c r="N43" s="12"/>
      <c r="O43" s="10"/>
    </row>
    <row r="44" spans="1:15" s="9" customFormat="1" ht="9">
      <c r="B44" s="10"/>
      <c r="C44" s="10"/>
      <c r="D44" s="10"/>
      <c r="E44" s="10"/>
      <c r="F44" s="10"/>
      <c r="G44" s="10"/>
      <c r="H44" s="11"/>
      <c r="I44" s="10"/>
      <c r="J44" s="10"/>
      <c r="K44" s="10"/>
      <c r="L44" s="10"/>
      <c r="M44" s="12"/>
      <c r="N44" s="12"/>
      <c r="O44" s="10"/>
    </row>
    <row r="45" spans="1:15" s="9" customFormat="1" ht="9">
      <c r="B45" s="10"/>
      <c r="C45" s="10"/>
      <c r="D45" s="10"/>
      <c r="E45" s="10"/>
      <c r="F45" s="10"/>
      <c r="G45" s="10"/>
      <c r="H45" s="11"/>
      <c r="I45" s="10"/>
      <c r="J45" s="10"/>
      <c r="K45" s="10"/>
      <c r="L45" s="10"/>
      <c r="M45" s="12"/>
      <c r="N45" s="12"/>
      <c r="O45" s="10"/>
    </row>
    <row r="46" spans="1:15" s="9" customFormat="1" ht="9">
      <c r="B46" s="10"/>
      <c r="C46" s="10"/>
      <c r="D46" s="10"/>
      <c r="E46" s="10"/>
      <c r="F46" s="10"/>
      <c r="G46" s="10"/>
      <c r="H46" s="11"/>
      <c r="I46" s="10"/>
      <c r="J46" s="10"/>
      <c r="K46" s="10"/>
      <c r="L46" s="10"/>
      <c r="M46" s="12"/>
      <c r="N46" s="12"/>
      <c r="O46" s="10"/>
    </row>
    <row r="47" spans="1:15" s="9" customFormat="1" ht="9">
      <c r="B47" s="10"/>
      <c r="C47" s="10"/>
      <c r="D47" s="10"/>
      <c r="E47" s="10"/>
      <c r="F47" s="10"/>
      <c r="G47" s="10"/>
      <c r="H47" s="11"/>
      <c r="I47" s="10"/>
      <c r="J47" s="10"/>
      <c r="K47" s="10"/>
      <c r="L47" s="10"/>
      <c r="M47" s="12"/>
      <c r="N47" s="12"/>
      <c r="O47" s="10"/>
    </row>
    <row r="48" spans="1:15" s="9" customFormat="1" ht="9">
      <c r="B48" s="10"/>
      <c r="C48" s="10"/>
      <c r="D48" s="10"/>
      <c r="E48" s="10"/>
      <c r="F48" s="10"/>
      <c r="G48" s="10"/>
      <c r="H48" s="11"/>
      <c r="I48" s="10"/>
      <c r="J48" s="10"/>
      <c r="K48" s="10"/>
      <c r="L48" s="10"/>
      <c r="M48" s="12"/>
      <c r="N48" s="12"/>
      <c r="O48" s="10"/>
    </row>
    <row r="49" spans="2:15" s="9" customFormat="1" ht="9">
      <c r="B49" s="10"/>
      <c r="C49" s="10"/>
      <c r="D49" s="10"/>
      <c r="E49" s="10"/>
      <c r="F49" s="10"/>
      <c r="G49" s="10"/>
      <c r="H49" s="11"/>
      <c r="I49" s="10"/>
      <c r="J49" s="10"/>
      <c r="K49" s="10"/>
      <c r="L49" s="10"/>
      <c r="M49" s="12"/>
      <c r="N49" s="12"/>
      <c r="O49" s="10"/>
    </row>
    <row r="50" spans="2:15" s="9" customFormat="1" ht="9">
      <c r="B50" s="10"/>
      <c r="C50" s="10"/>
      <c r="D50" s="10"/>
      <c r="E50" s="10"/>
      <c r="F50" s="10"/>
      <c r="G50" s="10"/>
      <c r="H50" s="11"/>
      <c r="I50" s="10"/>
      <c r="J50" s="10"/>
      <c r="K50" s="10"/>
      <c r="L50" s="10"/>
      <c r="M50" s="12"/>
      <c r="N50" s="12"/>
      <c r="O50" s="10"/>
    </row>
    <row r="51" spans="2:15" s="9" customFormat="1" ht="9">
      <c r="B51" s="10"/>
      <c r="C51" s="10"/>
      <c r="D51" s="10"/>
      <c r="E51" s="10"/>
      <c r="F51" s="10"/>
      <c r="G51" s="10"/>
      <c r="H51" s="11"/>
      <c r="I51" s="10"/>
      <c r="J51" s="10"/>
      <c r="K51" s="10"/>
      <c r="L51" s="10"/>
      <c r="M51" s="12"/>
      <c r="N51" s="12"/>
      <c r="O51" s="10"/>
    </row>
    <row r="52" spans="2:15" s="9" customFormat="1" ht="9">
      <c r="B52" s="10"/>
      <c r="C52" s="10"/>
      <c r="D52" s="10"/>
      <c r="E52" s="10"/>
      <c r="F52" s="10"/>
      <c r="G52" s="10"/>
      <c r="H52" s="11"/>
      <c r="I52" s="10"/>
      <c r="J52" s="10"/>
      <c r="K52" s="10"/>
      <c r="L52" s="10"/>
      <c r="M52" s="12"/>
      <c r="N52" s="12"/>
      <c r="O52" s="10"/>
    </row>
    <row r="53" spans="2:15" s="9" customFormat="1" ht="9">
      <c r="B53" s="10"/>
      <c r="C53" s="10"/>
      <c r="D53" s="10"/>
      <c r="E53" s="10"/>
      <c r="F53" s="10"/>
      <c r="G53" s="10"/>
      <c r="H53" s="11"/>
      <c r="I53" s="10"/>
      <c r="J53" s="10"/>
      <c r="K53" s="10"/>
      <c r="L53" s="10"/>
      <c r="M53" s="12"/>
      <c r="N53" s="12"/>
      <c r="O53" s="10"/>
    </row>
    <row r="54" spans="2:15" s="9" customFormat="1" ht="9">
      <c r="B54" s="10"/>
      <c r="C54" s="10"/>
      <c r="D54" s="10"/>
      <c r="E54" s="10"/>
      <c r="F54" s="10"/>
      <c r="G54" s="10"/>
      <c r="H54" s="11"/>
      <c r="I54" s="10"/>
      <c r="J54" s="10"/>
      <c r="K54" s="10"/>
      <c r="L54" s="10"/>
      <c r="M54" s="12"/>
      <c r="N54" s="12"/>
      <c r="O54" s="10"/>
    </row>
    <row r="55" spans="2:15" s="9" customFormat="1" ht="9">
      <c r="B55" s="10"/>
      <c r="C55" s="10"/>
      <c r="D55" s="10"/>
      <c r="E55" s="10"/>
      <c r="F55" s="10"/>
      <c r="G55" s="10"/>
      <c r="H55" s="11"/>
      <c r="I55" s="10"/>
      <c r="J55" s="10"/>
      <c r="K55" s="10"/>
      <c r="L55" s="10"/>
      <c r="M55" s="12"/>
      <c r="N55" s="12"/>
      <c r="O55" s="10"/>
    </row>
    <row r="56" spans="2:15" s="9" customFormat="1" ht="9">
      <c r="B56" s="10"/>
      <c r="C56" s="10"/>
      <c r="D56" s="10"/>
      <c r="E56" s="10"/>
      <c r="F56" s="10"/>
      <c r="G56" s="10"/>
      <c r="H56" s="11"/>
      <c r="I56" s="10"/>
      <c r="J56" s="10"/>
      <c r="K56" s="10"/>
      <c r="L56" s="10"/>
      <c r="M56" s="12"/>
      <c r="N56" s="12"/>
      <c r="O56" s="10"/>
    </row>
    <row r="57" spans="2:15" s="9" customFormat="1" ht="9">
      <c r="B57" s="10"/>
      <c r="C57" s="10"/>
      <c r="D57" s="10"/>
      <c r="E57" s="10"/>
      <c r="F57" s="10"/>
      <c r="G57" s="10"/>
      <c r="H57" s="11"/>
      <c r="I57" s="10"/>
      <c r="J57" s="10"/>
      <c r="K57" s="10"/>
      <c r="L57" s="10"/>
      <c r="M57" s="12"/>
      <c r="N57" s="12"/>
      <c r="O57" s="10"/>
    </row>
    <row r="58" spans="2:15" s="9" customFormat="1" ht="9">
      <c r="B58" s="10"/>
      <c r="C58" s="10"/>
      <c r="D58" s="10"/>
      <c r="E58" s="10"/>
      <c r="F58" s="10"/>
      <c r="G58" s="10"/>
      <c r="H58" s="11"/>
      <c r="I58" s="10"/>
      <c r="J58" s="10"/>
      <c r="K58" s="10"/>
      <c r="L58" s="10"/>
      <c r="M58" s="12"/>
      <c r="N58" s="12"/>
      <c r="O58" s="10"/>
    </row>
    <row r="59" spans="2:15" s="9" customFormat="1" ht="9">
      <c r="B59" s="10"/>
      <c r="C59" s="10"/>
      <c r="D59" s="10"/>
      <c r="E59" s="10"/>
      <c r="F59" s="10"/>
      <c r="G59" s="10"/>
      <c r="H59" s="11"/>
      <c r="I59" s="10"/>
      <c r="J59" s="10"/>
      <c r="K59" s="10"/>
      <c r="L59" s="10"/>
      <c r="M59" s="12"/>
      <c r="N59" s="12"/>
      <c r="O59" s="10"/>
    </row>
    <row r="60" spans="2:15" s="9" customFormat="1" ht="9">
      <c r="B60" s="10"/>
      <c r="C60" s="10"/>
      <c r="D60" s="10"/>
      <c r="E60" s="10"/>
      <c r="F60" s="10"/>
      <c r="G60" s="10"/>
      <c r="H60" s="11"/>
      <c r="I60" s="10"/>
      <c r="J60" s="10"/>
      <c r="K60" s="10"/>
      <c r="L60" s="10"/>
      <c r="M60" s="12"/>
      <c r="N60" s="12"/>
      <c r="O60" s="10"/>
    </row>
    <row r="61" spans="2:15" s="9" customFormat="1" ht="9">
      <c r="B61" s="10"/>
      <c r="C61" s="10"/>
      <c r="D61" s="10"/>
      <c r="E61" s="10"/>
      <c r="F61" s="10"/>
      <c r="G61" s="10"/>
      <c r="H61" s="11"/>
      <c r="I61" s="10"/>
      <c r="J61" s="10"/>
      <c r="K61" s="10"/>
      <c r="L61" s="10"/>
      <c r="M61" s="12"/>
      <c r="N61" s="12"/>
      <c r="O61" s="10"/>
    </row>
    <row r="62" spans="2:15" s="9" customFormat="1" ht="9">
      <c r="B62" s="10"/>
      <c r="C62" s="10"/>
      <c r="D62" s="10"/>
      <c r="E62" s="10"/>
      <c r="F62" s="10"/>
      <c r="G62" s="10"/>
      <c r="H62" s="11"/>
      <c r="I62" s="10"/>
      <c r="J62" s="10"/>
      <c r="K62" s="10"/>
      <c r="L62" s="10"/>
      <c r="M62" s="12"/>
      <c r="N62" s="12"/>
      <c r="O62" s="10"/>
    </row>
    <row r="63" spans="2:15" s="9" customFormat="1" ht="9">
      <c r="B63" s="10"/>
      <c r="C63" s="10"/>
      <c r="D63" s="10"/>
      <c r="E63" s="10"/>
      <c r="F63" s="10"/>
      <c r="G63" s="10"/>
      <c r="H63" s="11"/>
      <c r="I63" s="10"/>
      <c r="J63" s="10"/>
      <c r="K63" s="10"/>
      <c r="L63" s="10"/>
      <c r="M63" s="12"/>
      <c r="N63" s="12"/>
      <c r="O63" s="10"/>
    </row>
    <row r="64" spans="2:15" s="9" customFormat="1" ht="9">
      <c r="B64" s="10"/>
      <c r="C64" s="10"/>
      <c r="D64" s="10"/>
      <c r="E64" s="10"/>
      <c r="F64" s="10"/>
      <c r="G64" s="10"/>
      <c r="H64" s="11"/>
      <c r="I64" s="10"/>
      <c r="J64" s="10"/>
      <c r="K64" s="10"/>
      <c r="L64" s="10"/>
      <c r="M64" s="12"/>
      <c r="N64" s="12"/>
      <c r="O64" s="10"/>
    </row>
    <row r="65" spans="2:15" s="9" customFormat="1" ht="9">
      <c r="B65" s="10"/>
      <c r="C65" s="10"/>
      <c r="D65" s="10"/>
      <c r="E65" s="10"/>
      <c r="F65" s="10"/>
      <c r="G65" s="10"/>
      <c r="H65" s="11"/>
      <c r="I65" s="10"/>
      <c r="J65" s="10"/>
      <c r="K65" s="10"/>
      <c r="L65" s="10"/>
      <c r="M65" s="12"/>
      <c r="N65" s="12"/>
      <c r="O65" s="10"/>
    </row>
    <row r="66" spans="2:15" s="9" customFormat="1" ht="9">
      <c r="B66" s="10"/>
      <c r="C66" s="10"/>
      <c r="D66" s="10"/>
      <c r="E66" s="10"/>
      <c r="F66" s="10"/>
      <c r="G66" s="10"/>
      <c r="H66" s="11"/>
      <c r="I66" s="10"/>
      <c r="J66" s="10"/>
      <c r="K66" s="10"/>
      <c r="L66" s="10"/>
      <c r="M66" s="12"/>
      <c r="N66" s="12"/>
      <c r="O66" s="10"/>
    </row>
    <row r="67" spans="2:15" s="9" customFormat="1" ht="9">
      <c r="B67" s="10"/>
      <c r="C67" s="10"/>
      <c r="D67" s="10"/>
      <c r="E67" s="10"/>
      <c r="F67" s="10"/>
      <c r="G67" s="10"/>
      <c r="H67" s="11"/>
      <c r="I67" s="10"/>
      <c r="J67" s="10"/>
      <c r="K67" s="10"/>
      <c r="L67" s="10"/>
      <c r="M67" s="12"/>
      <c r="N67" s="12"/>
      <c r="O67" s="10"/>
    </row>
    <row r="68" spans="2:15" s="9" customFormat="1" ht="9">
      <c r="B68" s="10"/>
      <c r="C68" s="10"/>
      <c r="D68" s="10"/>
      <c r="E68" s="10"/>
      <c r="F68" s="10"/>
      <c r="G68" s="10"/>
      <c r="H68" s="11"/>
      <c r="I68" s="10"/>
      <c r="J68" s="10"/>
      <c r="K68" s="10"/>
      <c r="L68" s="10"/>
      <c r="M68" s="12"/>
      <c r="N68" s="12"/>
      <c r="O68" s="10"/>
    </row>
    <row r="69" spans="2:15" s="9" customFormat="1" ht="9">
      <c r="B69" s="10"/>
      <c r="C69" s="10"/>
      <c r="D69" s="10"/>
      <c r="E69" s="10"/>
      <c r="F69" s="10"/>
      <c r="G69" s="10"/>
      <c r="H69" s="11"/>
      <c r="I69" s="10"/>
      <c r="J69" s="10"/>
      <c r="K69" s="10"/>
      <c r="L69" s="10"/>
      <c r="M69" s="12"/>
      <c r="N69" s="12"/>
      <c r="O69" s="10"/>
    </row>
    <row r="70" spans="2:15" s="9" customFormat="1" ht="9">
      <c r="B70" s="10"/>
      <c r="C70" s="10"/>
      <c r="D70" s="10"/>
      <c r="E70" s="10"/>
      <c r="F70" s="10"/>
      <c r="G70" s="10"/>
      <c r="H70" s="11"/>
      <c r="I70" s="10"/>
      <c r="J70" s="10"/>
      <c r="K70" s="10"/>
      <c r="L70" s="10"/>
      <c r="M70" s="12"/>
      <c r="N70" s="12"/>
      <c r="O70" s="10"/>
    </row>
    <row r="71" spans="2:15" s="9" customFormat="1" ht="9">
      <c r="B71" s="10"/>
      <c r="C71" s="10"/>
      <c r="D71" s="10"/>
      <c r="E71" s="10"/>
      <c r="F71" s="10"/>
      <c r="G71" s="10"/>
      <c r="H71" s="11"/>
      <c r="I71" s="10"/>
      <c r="J71" s="10"/>
      <c r="K71" s="10"/>
      <c r="L71" s="10"/>
      <c r="M71" s="12"/>
      <c r="N71" s="12"/>
      <c r="O71" s="10"/>
    </row>
    <row r="72" spans="2:15" s="9" customFormat="1" ht="9">
      <c r="B72" s="10"/>
      <c r="C72" s="10"/>
      <c r="D72" s="10"/>
      <c r="E72" s="10"/>
      <c r="F72" s="10"/>
      <c r="G72" s="10"/>
      <c r="H72" s="11"/>
      <c r="I72" s="10"/>
      <c r="J72" s="10"/>
      <c r="K72" s="10"/>
      <c r="L72" s="10"/>
      <c r="M72" s="12"/>
      <c r="N72" s="12"/>
      <c r="O72" s="10"/>
    </row>
    <row r="73" spans="2:15" s="9" customFormat="1" ht="9">
      <c r="B73" s="10"/>
      <c r="C73" s="10"/>
      <c r="D73" s="10"/>
      <c r="E73" s="10"/>
      <c r="F73" s="10"/>
      <c r="G73" s="10"/>
      <c r="H73" s="11"/>
      <c r="I73" s="10"/>
      <c r="J73" s="10"/>
      <c r="K73" s="10"/>
      <c r="L73" s="10"/>
      <c r="M73" s="12"/>
      <c r="N73" s="12"/>
      <c r="O73" s="10"/>
    </row>
    <row r="74" spans="2:15" s="9" customFormat="1" ht="9">
      <c r="B74" s="10"/>
      <c r="C74" s="10"/>
      <c r="D74" s="10"/>
      <c r="E74" s="10"/>
      <c r="F74" s="10"/>
      <c r="G74" s="10"/>
      <c r="H74" s="11"/>
      <c r="I74" s="10"/>
      <c r="J74" s="10"/>
      <c r="K74" s="10"/>
      <c r="L74" s="10"/>
      <c r="M74" s="12"/>
      <c r="N74" s="12"/>
      <c r="O74" s="10"/>
    </row>
    <row r="75" spans="2:15" s="9" customFormat="1" ht="9">
      <c r="B75" s="10"/>
      <c r="C75" s="10"/>
      <c r="D75" s="10"/>
      <c r="E75" s="10"/>
      <c r="F75" s="10"/>
      <c r="G75" s="10"/>
      <c r="H75" s="11"/>
      <c r="I75" s="10"/>
      <c r="J75" s="10"/>
      <c r="K75" s="10"/>
      <c r="L75" s="10"/>
      <c r="M75" s="12"/>
      <c r="N75" s="12"/>
      <c r="O75" s="10"/>
    </row>
    <row r="76" spans="2:15" s="9" customFormat="1" ht="9">
      <c r="B76" s="10"/>
      <c r="C76" s="10"/>
      <c r="D76" s="10"/>
      <c r="E76" s="10"/>
      <c r="F76" s="10"/>
      <c r="G76" s="10"/>
      <c r="H76" s="11"/>
      <c r="I76" s="10"/>
      <c r="J76" s="10"/>
      <c r="K76" s="10"/>
      <c r="L76" s="10"/>
      <c r="M76" s="12"/>
      <c r="N76" s="12"/>
      <c r="O76" s="10"/>
    </row>
    <row r="77" spans="2:15" s="9" customFormat="1" ht="9">
      <c r="B77" s="10"/>
      <c r="C77" s="10"/>
      <c r="D77" s="10"/>
      <c r="E77" s="10"/>
      <c r="F77" s="10"/>
      <c r="G77" s="10"/>
      <c r="H77" s="11"/>
      <c r="I77" s="10"/>
      <c r="J77" s="10"/>
      <c r="K77" s="10"/>
      <c r="L77" s="10"/>
      <c r="M77" s="12"/>
      <c r="N77" s="12"/>
      <c r="O77" s="10"/>
    </row>
    <row r="78" spans="2:15" s="9" customFormat="1" ht="9">
      <c r="B78" s="10"/>
      <c r="C78" s="10"/>
      <c r="D78" s="10"/>
      <c r="E78" s="10"/>
      <c r="F78" s="10"/>
      <c r="G78" s="10"/>
      <c r="H78" s="11"/>
      <c r="I78" s="10"/>
      <c r="J78" s="10"/>
      <c r="K78" s="10"/>
      <c r="L78" s="10"/>
      <c r="M78" s="12"/>
      <c r="N78" s="12"/>
      <c r="O78" s="10"/>
    </row>
    <row r="79" spans="2:15" s="9" customFormat="1" ht="9">
      <c r="B79" s="10"/>
      <c r="C79" s="10"/>
      <c r="D79" s="10"/>
      <c r="E79" s="10"/>
      <c r="F79" s="10"/>
      <c r="G79" s="10"/>
      <c r="H79" s="11"/>
      <c r="I79" s="10"/>
      <c r="J79" s="10"/>
      <c r="K79" s="10"/>
      <c r="L79" s="10"/>
      <c r="M79" s="12"/>
      <c r="N79" s="12"/>
      <c r="O79" s="10"/>
    </row>
    <row r="80" spans="2:15" s="9" customFormat="1" ht="9">
      <c r="B80" s="10"/>
      <c r="C80" s="10"/>
      <c r="D80" s="10"/>
      <c r="E80" s="10"/>
      <c r="F80" s="10"/>
      <c r="G80" s="10"/>
      <c r="H80" s="11"/>
      <c r="I80" s="10"/>
      <c r="J80" s="10"/>
      <c r="K80" s="10"/>
      <c r="L80" s="10"/>
      <c r="M80" s="12"/>
      <c r="N80" s="12"/>
      <c r="O80" s="10"/>
    </row>
  </sheetData>
  <mergeCells count="5">
    <mergeCell ref="A1:O1"/>
    <mergeCell ref="A2:O2"/>
    <mergeCell ref="A33:L33"/>
    <mergeCell ref="A34:L34"/>
    <mergeCell ref="A35:O35"/>
  </mergeCells>
  <phoneticPr fontId="7" type="noConversion"/>
  <pageMargins left="0.25" right="0.25" top="0.5" bottom="0.75" header="0.5" footer="0.5"/>
  <pageSetup scale="96" orientation="landscape"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R65"/>
  <sheetViews>
    <sheetView zoomScaleNormal="100" workbookViewId="0">
      <pane xSplit="1" ySplit="3" topLeftCell="B4" activePane="bottomRight" state="frozen"/>
      <selection activeCell="S1" sqref="S1:S65536"/>
      <selection pane="topRight" activeCell="S1" sqref="S1:S65536"/>
      <selection pane="bottomLeft" activeCell="S1" sqref="S1:S65536"/>
      <selection pane="bottomRight" activeCell="D5" sqref="D5"/>
    </sheetView>
  </sheetViews>
  <sheetFormatPr defaultRowHeight="11.25"/>
  <cols>
    <col min="1" max="1" width="33.7109375" style="1" customWidth="1"/>
    <col min="2" max="2" width="9" style="5" bestFit="1" customWidth="1"/>
    <col min="3" max="5" width="7.42578125" style="5" customWidth="1"/>
    <col min="6" max="6" width="8.5703125" style="5" customWidth="1"/>
    <col min="7" max="7" width="7.42578125" style="5" customWidth="1"/>
    <col min="8" max="8" width="9.5703125" style="8" bestFit="1" customWidth="1"/>
    <col min="9" max="9" width="8" style="5" bestFit="1" customWidth="1"/>
    <col min="10" max="10" width="7" style="5" bestFit="1" customWidth="1"/>
    <col min="11" max="11" width="7.5703125" style="5" bestFit="1" customWidth="1"/>
    <col min="12" max="12" width="10.140625" style="5" customWidth="1"/>
    <col min="13" max="13" width="11.85546875" style="6" bestFit="1" customWidth="1"/>
    <col min="14" max="14" width="8.140625" style="49" customWidth="1"/>
    <col min="15" max="15" width="4.28515625" style="5" bestFit="1" customWidth="1"/>
    <col min="16" max="16" width="3.85546875" style="1" customWidth="1"/>
    <col min="17" max="17" width="8.5703125" style="1" hidden="1" customWidth="1"/>
    <col min="18" max="18" width="9.28515625" style="1" hidden="1" customWidth="1"/>
    <col min="19" max="16384" width="9.140625" style="1"/>
  </cols>
  <sheetData>
    <row r="1" spans="1:18">
      <c r="A1" s="407" t="s">
        <v>65</v>
      </c>
      <c r="B1" s="407"/>
      <c r="C1" s="407"/>
      <c r="D1" s="407"/>
      <c r="E1" s="407"/>
      <c r="F1" s="407"/>
      <c r="G1" s="407"/>
      <c r="H1" s="407"/>
      <c r="I1" s="407"/>
      <c r="J1" s="407"/>
      <c r="K1" s="407"/>
      <c r="L1" s="407"/>
      <c r="M1" s="407"/>
      <c r="N1" s="407"/>
      <c r="O1" s="407"/>
    </row>
    <row r="2" spans="1:18" ht="12" thickBot="1">
      <c r="A2" s="408" t="s">
        <v>325</v>
      </c>
      <c r="B2" s="408"/>
      <c r="C2" s="408"/>
      <c r="D2" s="408"/>
      <c r="E2" s="408"/>
      <c r="F2" s="408"/>
      <c r="G2" s="408"/>
      <c r="H2" s="408"/>
      <c r="I2" s="408"/>
      <c r="J2" s="408"/>
      <c r="K2" s="408"/>
      <c r="L2" s="408"/>
      <c r="M2" s="408"/>
      <c r="N2" s="408"/>
      <c r="O2" s="408"/>
    </row>
    <row r="3" spans="1:18" s="3" customFormat="1" ht="63.75" thickBot="1">
      <c r="A3" s="143" t="s">
        <v>229</v>
      </c>
      <c r="B3" s="144" t="s">
        <v>230</v>
      </c>
      <c r="C3" s="144" t="s">
        <v>21</v>
      </c>
      <c r="D3" s="144" t="s">
        <v>321</v>
      </c>
      <c r="E3" s="144" t="s">
        <v>22</v>
      </c>
      <c r="F3" s="129" t="s">
        <v>336</v>
      </c>
      <c r="G3" s="144" t="s">
        <v>6</v>
      </c>
      <c r="H3" s="145" t="s">
        <v>7</v>
      </c>
      <c r="I3" s="146" t="s">
        <v>11</v>
      </c>
      <c r="J3" s="146" t="s">
        <v>12</v>
      </c>
      <c r="K3" s="146" t="s">
        <v>10</v>
      </c>
      <c r="L3" s="144" t="s">
        <v>25</v>
      </c>
      <c r="M3" s="146" t="s">
        <v>308</v>
      </c>
      <c r="N3" s="146" t="s">
        <v>309</v>
      </c>
      <c r="O3" s="147" t="s">
        <v>231</v>
      </c>
    </row>
    <row r="4" spans="1:18" s="4" customFormat="1" ht="9">
      <c r="A4" s="156" t="s">
        <v>237</v>
      </c>
      <c r="B4" s="157" t="s">
        <v>264</v>
      </c>
      <c r="C4" s="158"/>
      <c r="D4" s="158"/>
      <c r="E4" s="158"/>
      <c r="F4" s="157"/>
      <c r="G4" s="157"/>
      <c r="H4" s="159"/>
      <c r="I4" s="159"/>
      <c r="J4" s="159"/>
      <c r="K4" s="159"/>
      <c r="L4" s="158"/>
      <c r="M4" s="158"/>
      <c r="N4" s="158"/>
      <c r="O4" s="203"/>
    </row>
    <row r="5" spans="1:18" s="4" customFormat="1" ht="9">
      <c r="A5" s="140" t="s">
        <v>238</v>
      </c>
      <c r="B5" s="13" t="s">
        <v>264</v>
      </c>
      <c r="C5" s="22"/>
      <c r="D5" s="22"/>
      <c r="E5" s="22"/>
      <c r="F5" s="13"/>
      <c r="G5" s="13"/>
      <c r="H5" s="14"/>
      <c r="I5" s="14"/>
      <c r="J5" s="14"/>
      <c r="K5" s="14"/>
      <c r="L5" s="22"/>
      <c r="M5" s="22"/>
      <c r="N5" s="22"/>
      <c r="O5" s="141"/>
    </row>
    <row r="6" spans="1:18" s="4" customFormat="1" ht="9">
      <c r="A6" s="140" t="s">
        <v>239</v>
      </c>
      <c r="B6" s="13"/>
      <c r="C6" s="22"/>
      <c r="D6" s="22"/>
      <c r="E6" s="22"/>
      <c r="F6" s="13"/>
      <c r="G6" s="13"/>
      <c r="H6" s="14"/>
      <c r="I6" s="14"/>
      <c r="J6" s="14"/>
      <c r="K6" s="14"/>
      <c r="L6" s="22"/>
      <c r="M6" s="22"/>
      <c r="N6" s="22"/>
      <c r="O6" s="141"/>
    </row>
    <row r="7" spans="1:18" s="4" customFormat="1" ht="9">
      <c r="A7" s="148" t="s">
        <v>240</v>
      </c>
      <c r="B7" s="13">
        <v>40</v>
      </c>
      <c r="C7" s="22">
        <v>0</v>
      </c>
      <c r="D7" s="22">
        <v>0</v>
      </c>
      <c r="E7" s="22">
        <v>0</v>
      </c>
      <c r="F7" s="13">
        <v>1</v>
      </c>
      <c r="G7" s="13">
        <f>B7*F7</f>
        <v>40</v>
      </c>
      <c r="H7" s="31">
        <v>0</v>
      </c>
      <c r="I7" s="14">
        <f>G7*H7</f>
        <v>0</v>
      </c>
      <c r="J7" s="14">
        <f>I7*0.1</f>
        <v>0</v>
      </c>
      <c r="K7" s="31">
        <f>I7*0.05</f>
        <v>0</v>
      </c>
      <c r="L7" s="22">
        <f>(I7*'Base Data'!$C$5)+(J7*'Base Data'!$C$6)+(K7*'Base Data'!$C$7)</f>
        <v>0</v>
      </c>
      <c r="M7" s="22">
        <v>0</v>
      </c>
      <c r="N7" s="14">
        <v>0</v>
      </c>
      <c r="O7" s="141" t="s">
        <v>214</v>
      </c>
    </row>
    <row r="8" spans="1:18" s="4" customFormat="1" ht="9">
      <c r="A8" s="148" t="s">
        <v>241</v>
      </c>
      <c r="B8" s="13"/>
      <c r="C8" s="22"/>
      <c r="D8" s="22"/>
      <c r="E8" s="22"/>
      <c r="F8" s="13"/>
      <c r="G8" s="13"/>
      <c r="H8" s="43"/>
      <c r="I8" s="43"/>
      <c r="J8" s="14"/>
      <c r="K8" s="14"/>
      <c r="L8" s="22"/>
      <c r="M8" s="22"/>
      <c r="N8" s="22"/>
      <c r="O8" s="141"/>
      <c r="Q8" s="15"/>
    </row>
    <row r="9" spans="1:18" s="4" customFormat="1" ht="9">
      <c r="A9" s="148" t="s">
        <v>253</v>
      </c>
      <c r="B9" s="28"/>
      <c r="C9" s="40"/>
      <c r="D9" s="22"/>
      <c r="E9" s="22"/>
      <c r="F9" s="13"/>
      <c r="G9" s="13"/>
      <c r="H9" s="42"/>
      <c r="I9" s="43"/>
      <c r="J9" s="14"/>
      <c r="K9" s="14"/>
      <c r="L9" s="22"/>
      <c r="M9" s="22"/>
      <c r="N9" s="22"/>
      <c r="O9" s="141"/>
      <c r="Q9" s="15"/>
    </row>
    <row r="10" spans="1:18" s="4" customFormat="1" ht="9">
      <c r="A10" s="121" t="s">
        <v>35</v>
      </c>
      <c r="B10" s="28">
        <v>20</v>
      </c>
      <c r="C10" s="32">
        <v>18292</v>
      </c>
      <c r="D10" s="32">
        <v>0</v>
      </c>
      <c r="E10" s="32">
        <v>0</v>
      </c>
      <c r="F10" s="28">
        <v>1</v>
      </c>
      <c r="G10" s="28">
        <f>B10*F10</f>
        <v>20</v>
      </c>
      <c r="H10" s="42">
        <f>ROUND(SUM('Base Data'!$D$21:$D$22)/2*0.1,0)</f>
        <v>461</v>
      </c>
      <c r="I10" s="43">
        <f>G10*H10</f>
        <v>9220</v>
      </c>
      <c r="J10" s="14">
        <f>I10*0.1</f>
        <v>922</v>
      </c>
      <c r="K10" s="14">
        <f>I10*0.05</f>
        <v>461</v>
      </c>
      <c r="L10" s="22">
        <f>(I10*'Base Data'!$C$5)+(J10*'Base Data'!$C$6)+(K10*'Base Data'!$C$7)</f>
        <v>1002928.55</v>
      </c>
      <c r="M10" s="22">
        <f>C10*F10*H10</f>
        <v>8432612</v>
      </c>
      <c r="N10" s="14">
        <v>0</v>
      </c>
      <c r="O10" s="122" t="s">
        <v>273</v>
      </c>
      <c r="Q10" s="199">
        <f>H10+H11</f>
        <v>4615</v>
      </c>
      <c r="R10" s="4">
        <f>Q10*2</f>
        <v>9230</v>
      </c>
    </row>
    <row r="11" spans="1:18" s="4" customFormat="1" ht="9">
      <c r="A11" s="121" t="s">
        <v>42</v>
      </c>
      <c r="B11" s="28">
        <v>20</v>
      </c>
      <c r="C11" s="32">
        <v>854</v>
      </c>
      <c r="D11" s="32">
        <v>0</v>
      </c>
      <c r="E11" s="32">
        <v>0</v>
      </c>
      <c r="F11" s="28">
        <v>1</v>
      </c>
      <c r="G11" s="28">
        <f>B11*F11</f>
        <v>20</v>
      </c>
      <c r="H11" s="42">
        <f>ROUND(SUM('Base Data'!$D$21:$D$22)/2*0.9,0)+1</f>
        <v>4154</v>
      </c>
      <c r="I11" s="43">
        <f>G11*H11</f>
        <v>83080</v>
      </c>
      <c r="J11" s="14">
        <f>I11*0.1</f>
        <v>8308</v>
      </c>
      <c r="K11" s="14">
        <f>I11*0.05</f>
        <v>4154</v>
      </c>
      <c r="L11" s="22">
        <f>(I11*'Base Data'!$C$5)+(J11*'Base Data'!$C$6)+(K11*'Base Data'!$C$7)</f>
        <v>9037234.6999999993</v>
      </c>
      <c r="M11" s="22">
        <f>C11*F11*H11</f>
        <v>3547516</v>
      </c>
      <c r="N11" s="14">
        <v>0</v>
      </c>
      <c r="O11" s="122" t="s">
        <v>273</v>
      </c>
      <c r="Q11" s="15"/>
    </row>
    <row r="12" spans="1:18" s="4" customFormat="1" ht="9">
      <c r="A12" s="123" t="s">
        <v>147</v>
      </c>
      <c r="B12" s="13">
        <v>12</v>
      </c>
      <c r="C12" s="22">
        <v>0</v>
      </c>
      <c r="D12" s="32">
        <v>2875</v>
      </c>
      <c r="E12" s="22">
        <v>0</v>
      </c>
      <c r="F12" s="13">
        <v>0.5</v>
      </c>
      <c r="G12" s="13">
        <f>B12*F12</f>
        <v>6</v>
      </c>
      <c r="H12" s="42">
        <f>ROUND(SUM('Base Data'!$D$21:$D$22)/2,0)</f>
        <v>4615</v>
      </c>
      <c r="I12" s="43">
        <f>G12*H12</f>
        <v>27690</v>
      </c>
      <c r="J12" s="14">
        <f>I12*0.1</f>
        <v>2769</v>
      </c>
      <c r="K12" s="14">
        <f>I12*0.05</f>
        <v>1384.5</v>
      </c>
      <c r="L12" s="22">
        <f>(I12*'Base Data'!$C$5)+(J12*'Base Data'!$C$6)+(K12*'Base Data'!$C$7)</f>
        <v>3012048.9749999996</v>
      </c>
      <c r="M12" s="22">
        <f>D12*F12*H12</f>
        <v>6634062.5</v>
      </c>
      <c r="N12" s="14">
        <v>0</v>
      </c>
      <c r="O12" s="141" t="s">
        <v>215</v>
      </c>
      <c r="Q12" s="197"/>
    </row>
    <row r="13" spans="1:18" s="4" customFormat="1" ht="9">
      <c r="A13" s="123" t="s">
        <v>245</v>
      </c>
      <c r="B13" s="13" t="s">
        <v>264</v>
      </c>
      <c r="C13" s="22"/>
      <c r="D13" s="22"/>
      <c r="E13" s="22"/>
      <c r="F13" s="13"/>
      <c r="G13" s="13"/>
      <c r="H13" s="43"/>
      <c r="I13" s="43"/>
      <c r="J13" s="14"/>
      <c r="K13" s="14"/>
      <c r="L13" s="22"/>
      <c r="M13" s="22"/>
      <c r="N13" s="22"/>
      <c r="O13" s="141"/>
      <c r="Q13" s="198"/>
    </row>
    <row r="14" spans="1:18" s="4" customFormat="1" ht="9">
      <c r="A14" s="123" t="s">
        <v>246</v>
      </c>
      <c r="B14" s="13" t="s">
        <v>264</v>
      </c>
      <c r="C14" s="22"/>
      <c r="D14" s="22"/>
      <c r="E14" s="22"/>
      <c r="F14" s="13"/>
      <c r="G14" s="13"/>
      <c r="H14" s="43"/>
      <c r="I14" s="43"/>
      <c r="J14" s="14"/>
      <c r="K14" s="14"/>
      <c r="L14" s="22"/>
      <c r="M14" s="32"/>
      <c r="N14" s="32"/>
      <c r="O14" s="122"/>
      <c r="P14" s="46"/>
    </row>
    <row r="15" spans="1:18" s="4" customFormat="1" ht="9">
      <c r="A15" s="123" t="s">
        <v>247</v>
      </c>
      <c r="B15" s="13"/>
      <c r="C15" s="22"/>
      <c r="D15" s="22"/>
      <c r="E15" s="22"/>
      <c r="F15" s="13"/>
      <c r="G15" s="13"/>
      <c r="H15" s="31"/>
      <c r="I15" s="14"/>
      <c r="J15" s="14"/>
      <c r="K15" s="14"/>
      <c r="L15" s="22"/>
      <c r="M15" s="32"/>
      <c r="N15" s="43"/>
      <c r="O15" s="122"/>
      <c r="P15" s="46"/>
    </row>
    <row r="16" spans="1:18" s="4" customFormat="1" ht="9" customHeight="1">
      <c r="A16" s="124" t="s">
        <v>266</v>
      </c>
      <c r="B16" s="13">
        <v>2</v>
      </c>
      <c r="C16" s="22">
        <v>0</v>
      </c>
      <c r="D16" s="22">
        <v>0</v>
      </c>
      <c r="E16" s="22">
        <v>0</v>
      </c>
      <c r="F16" s="13">
        <v>1</v>
      </c>
      <c r="G16" s="13">
        <f>B16*F16</f>
        <v>2</v>
      </c>
      <c r="H16" s="31">
        <v>0</v>
      </c>
      <c r="I16" s="14">
        <f>G16*H16</f>
        <v>0</v>
      </c>
      <c r="J16" s="14">
        <f>I16*0.1</f>
        <v>0</v>
      </c>
      <c r="K16" s="14">
        <f>I16*0.05</f>
        <v>0</v>
      </c>
      <c r="L16" s="22">
        <f>(I16*'Base Data'!$C$5)+(J16*'Base Data'!$C$6)+(K16*'Base Data'!$C$7)</f>
        <v>0</v>
      </c>
      <c r="M16" s="32">
        <v>0</v>
      </c>
      <c r="N16" s="43">
        <f>F16*H16</f>
        <v>0</v>
      </c>
      <c r="O16" s="122" t="s">
        <v>214</v>
      </c>
      <c r="P16" s="46"/>
    </row>
    <row r="17" spans="1:17" s="4" customFormat="1" ht="9">
      <c r="A17" s="124" t="s">
        <v>208</v>
      </c>
      <c r="B17" s="13">
        <v>8</v>
      </c>
      <c r="C17" s="22">
        <v>0</v>
      </c>
      <c r="D17" s="22">
        <v>0</v>
      </c>
      <c r="E17" s="23">
        <v>0</v>
      </c>
      <c r="F17" s="13">
        <v>1</v>
      </c>
      <c r="G17" s="13">
        <f>B17*F17</f>
        <v>8</v>
      </c>
      <c r="H17" s="31">
        <v>0</v>
      </c>
      <c r="I17" s="14">
        <f>G17*H17</f>
        <v>0</v>
      </c>
      <c r="J17" s="14">
        <f>I17*0.1</f>
        <v>0</v>
      </c>
      <c r="K17" s="14">
        <f>I17*0.05</f>
        <v>0</v>
      </c>
      <c r="L17" s="22">
        <f>(I17*'Base Data'!$C$5)+(J17*'Base Data'!$C$6)+(K17*'Base Data'!$C$7)</f>
        <v>0</v>
      </c>
      <c r="M17" s="32">
        <v>0</v>
      </c>
      <c r="N17" s="43">
        <f>F17*H17</f>
        <v>0</v>
      </c>
      <c r="O17" s="122" t="s">
        <v>215</v>
      </c>
      <c r="P17" s="46"/>
    </row>
    <row r="18" spans="1:17" s="4" customFormat="1" ht="9">
      <c r="A18" s="124" t="s">
        <v>148</v>
      </c>
      <c r="B18" s="13">
        <v>5</v>
      </c>
      <c r="C18" s="22">
        <v>0</v>
      </c>
      <c r="D18" s="48">
        <v>0</v>
      </c>
      <c r="E18" s="22">
        <v>0</v>
      </c>
      <c r="F18" s="201">
        <v>0.5</v>
      </c>
      <c r="G18" s="13">
        <f>B18*F18</f>
        <v>2.5</v>
      </c>
      <c r="H18" s="31">
        <v>0</v>
      </c>
      <c r="I18" s="14">
        <f>G18*H18</f>
        <v>0</v>
      </c>
      <c r="J18" s="14">
        <f>I18*0.1</f>
        <v>0</v>
      </c>
      <c r="K18" s="14">
        <f>I18*0.05</f>
        <v>0</v>
      </c>
      <c r="L18" s="22">
        <f>(I18*'Base Data'!$C$5)+(J18*'Base Data'!$C$6)+(K18*'Base Data'!$C$7)</f>
        <v>0</v>
      </c>
      <c r="M18" s="32">
        <v>0</v>
      </c>
      <c r="N18" s="43">
        <f>F18*H18</f>
        <v>0</v>
      </c>
      <c r="O18" s="122" t="s">
        <v>215</v>
      </c>
      <c r="P18" s="46"/>
    </row>
    <row r="19" spans="1:17" s="4" customFormat="1" ht="9">
      <c r="A19" s="126" t="s">
        <v>24</v>
      </c>
      <c r="B19" s="13"/>
      <c r="C19" s="22"/>
      <c r="D19" s="22"/>
      <c r="E19" s="142"/>
      <c r="F19" s="13"/>
      <c r="G19" s="13"/>
      <c r="H19" s="31"/>
      <c r="I19" s="14">
        <f>SUM(I7:I18)</f>
        <v>119990</v>
      </c>
      <c r="J19" s="14">
        <f t="shared" ref="J19:L19" si="0">SUM(J7:J18)</f>
        <v>11999</v>
      </c>
      <c r="K19" s="14">
        <f t="shared" si="0"/>
        <v>5999.5</v>
      </c>
      <c r="L19" s="22">
        <f t="shared" si="0"/>
        <v>13052212.225</v>
      </c>
      <c r="M19" s="22">
        <f>SUM(M7:M18)</f>
        <v>18614190.5</v>
      </c>
      <c r="N19" s="43">
        <f>SUM(N15:N18)</f>
        <v>0</v>
      </c>
      <c r="O19" s="122"/>
      <c r="P19" s="46"/>
    </row>
    <row r="20" spans="1:17" s="4" customFormat="1" ht="9">
      <c r="A20" s="121" t="s">
        <v>261</v>
      </c>
      <c r="B20" s="13"/>
      <c r="C20" s="22"/>
      <c r="D20" s="22"/>
      <c r="E20" s="22"/>
      <c r="F20" s="13"/>
      <c r="G20" s="13"/>
      <c r="H20" s="14"/>
      <c r="I20" s="14"/>
      <c r="J20" s="14"/>
      <c r="K20" s="14"/>
      <c r="L20" s="22"/>
      <c r="M20" s="22"/>
      <c r="N20" s="32"/>
      <c r="O20" s="122"/>
      <c r="P20" s="46"/>
      <c r="Q20" s="200"/>
    </row>
    <row r="21" spans="1:17" s="4" customFormat="1" ht="9">
      <c r="A21" s="121" t="s">
        <v>248</v>
      </c>
      <c r="B21" s="13" t="s">
        <v>252</v>
      </c>
      <c r="C21" s="22"/>
      <c r="D21" s="22"/>
      <c r="E21" s="22"/>
      <c r="F21" s="13"/>
      <c r="G21" s="13"/>
      <c r="H21" s="14"/>
      <c r="I21" s="14"/>
      <c r="J21" s="14"/>
      <c r="K21" s="14"/>
      <c r="L21" s="22"/>
      <c r="M21" s="22"/>
      <c r="N21" s="32"/>
      <c r="O21" s="122"/>
      <c r="P21" s="46"/>
    </row>
    <row r="22" spans="1:17" s="4" customFormat="1" ht="9">
      <c r="A22" s="121" t="s">
        <v>249</v>
      </c>
      <c r="B22" s="13" t="s">
        <v>264</v>
      </c>
      <c r="C22" s="22"/>
      <c r="D22" s="22"/>
      <c r="E22" s="22"/>
      <c r="F22" s="13"/>
      <c r="G22" s="13"/>
      <c r="H22" s="14"/>
      <c r="I22" s="14"/>
      <c r="J22" s="14"/>
      <c r="K22" s="14"/>
      <c r="L22" s="22"/>
      <c r="M22" s="22"/>
      <c r="N22" s="32"/>
      <c r="O22" s="122"/>
      <c r="P22" s="46"/>
    </row>
    <row r="23" spans="1:17" s="4" customFormat="1" ht="9">
      <c r="A23" s="121" t="s">
        <v>250</v>
      </c>
      <c r="B23" s="13" t="s">
        <v>264</v>
      </c>
      <c r="C23" s="22"/>
      <c r="D23" s="22"/>
      <c r="E23" s="22"/>
      <c r="F23" s="13"/>
      <c r="G23" s="13"/>
      <c r="H23" s="14"/>
      <c r="I23" s="14"/>
      <c r="J23" s="14"/>
      <c r="K23" s="14"/>
      <c r="L23" s="22"/>
      <c r="M23" s="22"/>
      <c r="N23" s="32"/>
      <c r="O23" s="122" t="s">
        <v>216</v>
      </c>
      <c r="P23" s="46"/>
    </row>
    <row r="24" spans="1:17" s="4" customFormat="1" ht="9">
      <c r="A24" s="121" t="s">
        <v>251</v>
      </c>
      <c r="B24" s="13"/>
      <c r="C24" s="22"/>
      <c r="D24" s="22"/>
      <c r="E24" s="22"/>
      <c r="F24" s="13"/>
      <c r="G24" s="13"/>
      <c r="H24" s="14"/>
      <c r="I24" s="14"/>
      <c r="J24" s="14"/>
      <c r="K24" s="14"/>
      <c r="L24" s="22"/>
      <c r="M24" s="22"/>
      <c r="N24" s="32"/>
      <c r="O24" s="122"/>
      <c r="P24" s="46"/>
    </row>
    <row r="25" spans="1:17" s="4" customFormat="1" ht="9">
      <c r="A25" s="124" t="s">
        <v>323</v>
      </c>
      <c r="B25" s="13">
        <v>2</v>
      </c>
      <c r="C25" s="22">
        <v>0</v>
      </c>
      <c r="D25" s="22">
        <v>0</v>
      </c>
      <c r="E25" s="22">
        <v>0</v>
      </c>
      <c r="F25" s="13">
        <v>1</v>
      </c>
      <c r="G25" s="13">
        <f>B25*F25</f>
        <v>2</v>
      </c>
      <c r="H25" s="14">
        <v>0</v>
      </c>
      <c r="I25" s="31">
        <f>G25*H25</f>
        <v>0</v>
      </c>
      <c r="J25" s="31">
        <f>I25*0.1</f>
        <v>0</v>
      </c>
      <c r="K25" s="31">
        <f>I25*0.05</f>
        <v>0</v>
      </c>
      <c r="L25" s="22">
        <f>(I25*'Base Data'!$C$5)+(J25*'Base Data'!$C$6)+(K25*'Base Data'!$C$7)</f>
        <v>0</v>
      </c>
      <c r="M25" s="22">
        <v>0</v>
      </c>
      <c r="N25" s="43">
        <f>F25*H25</f>
        <v>0</v>
      </c>
      <c r="O25" s="202" t="s">
        <v>215</v>
      </c>
    </row>
    <row r="26" spans="1:17" s="4" customFormat="1" ht="9">
      <c r="A26" s="124" t="s">
        <v>322</v>
      </c>
      <c r="B26" s="13">
        <v>0.5</v>
      </c>
      <c r="C26" s="22">
        <v>0</v>
      </c>
      <c r="D26" s="22">
        <v>0</v>
      </c>
      <c r="E26" s="22">
        <v>0</v>
      </c>
      <c r="F26" s="13">
        <v>0.5</v>
      </c>
      <c r="G26" s="13">
        <f>B26*F26</f>
        <v>0.25</v>
      </c>
      <c r="H26" s="14">
        <v>0</v>
      </c>
      <c r="I26" s="31">
        <f>G26*H26</f>
        <v>0</v>
      </c>
      <c r="J26" s="31">
        <f>I26*0.1</f>
        <v>0</v>
      </c>
      <c r="K26" s="31">
        <f>I26*0.05</f>
        <v>0</v>
      </c>
      <c r="L26" s="22">
        <f>(I26*'Base Data'!$C$5)+(J26*'Base Data'!$C$6)+(K26*'Base Data'!$C$7)</f>
        <v>0</v>
      </c>
      <c r="M26" s="22">
        <v>0</v>
      </c>
      <c r="N26" s="43">
        <f>F26*H26</f>
        <v>0</v>
      </c>
      <c r="O26" s="202" t="s">
        <v>215</v>
      </c>
    </row>
    <row r="27" spans="1:17" s="4" customFormat="1" ht="9">
      <c r="A27" s="140" t="s">
        <v>255</v>
      </c>
      <c r="B27" s="13" t="s">
        <v>264</v>
      </c>
      <c r="C27" s="22"/>
      <c r="D27" s="22"/>
      <c r="E27" s="22"/>
      <c r="F27" s="13"/>
      <c r="G27" s="13"/>
      <c r="H27" s="31"/>
      <c r="I27" s="14"/>
      <c r="J27" s="14"/>
      <c r="K27" s="14"/>
      <c r="L27" s="22"/>
      <c r="M27" s="22"/>
      <c r="N27" s="32"/>
      <c r="O27" s="122"/>
      <c r="P27" s="46"/>
    </row>
    <row r="28" spans="1:17" s="4" customFormat="1" ht="9">
      <c r="A28" s="140" t="s">
        <v>256</v>
      </c>
      <c r="B28" s="13" t="s">
        <v>264</v>
      </c>
      <c r="C28" s="22"/>
      <c r="D28" s="22"/>
      <c r="E28" s="22"/>
      <c r="F28" s="13"/>
      <c r="G28" s="13"/>
      <c r="H28" s="14"/>
      <c r="I28" s="14"/>
      <c r="J28" s="14"/>
      <c r="K28" s="14"/>
      <c r="L28" s="22"/>
      <c r="M28" s="22"/>
      <c r="N28" s="22"/>
      <c r="O28" s="141"/>
    </row>
    <row r="29" spans="1:17" s="4" customFormat="1" ht="9.75" thickBot="1">
      <c r="A29" s="204" t="s">
        <v>26</v>
      </c>
      <c r="B29" s="205"/>
      <c r="C29" s="161"/>
      <c r="D29" s="161"/>
      <c r="E29" s="161"/>
      <c r="F29" s="205"/>
      <c r="G29" s="205"/>
      <c r="H29" s="160"/>
      <c r="I29" s="160">
        <f>SUM(I25:I26)</f>
        <v>0</v>
      </c>
      <c r="J29" s="160">
        <f t="shared" ref="J29:M29" si="1">SUM(J25:J26)</f>
        <v>0</v>
      </c>
      <c r="K29" s="160">
        <f t="shared" si="1"/>
        <v>0</v>
      </c>
      <c r="L29" s="161">
        <f t="shared" si="1"/>
        <v>0</v>
      </c>
      <c r="M29" s="161">
        <f t="shared" si="1"/>
        <v>0</v>
      </c>
      <c r="N29" s="160">
        <f>SUM(N25:N26)</f>
        <v>0</v>
      </c>
      <c r="O29" s="206"/>
    </row>
    <row r="30" spans="1:17" s="2" customFormat="1" ht="12" thickBot="1">
      <c r="A30" s="149" t="s">
        <v>236</v>
      </c>
      <c r="B30" s="150"/>
      <c r="C30" s="150"/>
      <c r="D30" s="150"/>
      <c r="E30" s="151"/>
      <c r="F30" s="150"/>
      <c r="G30" s="150"/>
      <c r="H30" s="152"/>
      <c r="I30" s="153">
        <f>I19+I29</f>
        <v>119990</v>
      </c>
      <c r="J30" s="153">
        <f t="shared" ref="J30:N30" si="2">J19+J29</f>
        <v>11999</v>
      </c>
      <c r="K30" s="153">
        <f t="shared" si="2"/>
        <v>5999.5</v>
      </c>
      <c r="L30" s="154">
        <f t="shared" si="2"/>
        <v>13052212.225</v>
      </c>
      <c r="M30" s="154">
        <f t="shared" si="2"/>
        <v>18614190.5</v>
      </c>
      <c r="N30" s="153">
        <f t="shared" si="2"/>
        <v>0</v>
      </c>
      <c r="O30" s="155"/>
    </row>
    <row r="31" spans="1:17" ht="6" customHeight="1">
      <c r="B31" s="34"/>
      <c r="C31" s="34"/>
      <c r="D31" s="34"/>
      <c r="E31" s="34"/>
      <c r="F31" s="34"/>
      <c r="G31" s="34"/>
      <c r="H31" s="35"/>
    </row>
    <row r="32" spans="1:17" s="9" customFormat="1" ht="9" customHeight="1">
      <c r="A32" s="9" t="s">
        <v>219</v>
      </c>
      <c r="B32" s="10"/>
      <c r="C32" s="10"/>
      <c r="D32" s="10"/>
      <c r="E32" s="10"/>
      <c r="F32" s="10"/>
      <c r="G32" s="11"/>
      <c r="H32" s="10"/>
      <c r="I32" s="10"/>
      <c r="J32" s="10"/>
      <c r="K32" s="10"/>
      <c r="L32" s="10"/>
      <c r="M32" s="12"/>
      <c r="N32" s="50"/>
      <c r="O32" s="10"/>
    </row>
    <row r="33" spans="1:15" s="9" customFormat="1" ht="18" customHeight="1">
      <c r="A33" s="409" t="s">
        <v>28</v>
      </c>
      <c r="B33" s="409"/>
      <c r="C33" s="409"/>
      <c r="D33" s="409"/>
      <c r="E33" s="409"/>
      <c r="F33" s="409"/>
      <c r="G33" s="409"/>
      <c r="H33" s="409"/>
      <c r="I33" s="409"/>
      <c r="J33" s="409"/>
      <c r="K33" s="409"/>
      <c r="L33" s="409"/>
      <c r="M33" s="41"/>
      <c r="N33" s="51"/>
      <c r="O33" s="10"/>
    </row>
    <row r="34" spans="1:15" s="9" customFormat="1" ht="28.5" customHeight="1">
      <c r="A34" s="409" t="s">
        <v>16</v>
      </c>
      <c r="B34" s="409"/>
      <c r="C34" s="409"/>
      <c r="D34" s="409"/>
      <c r="E34" s="409"/>
      <c r="F34" s="409"/>
      <c r="G34" s="409"/>
      <c r="H34" s="409"/>
      <c r="I34" s="409"/>
      <c r="J34" s="409"/>
      <c r="K34" s="409"/>
      <c r="L34" s="409"/>
      <c r="M34" s="41"/>
      <c r="N34" s="51"/>
      <c r="O34" s="5"/>
    </row>
    <row r="35" spans="1:15" s="9" customFormat="1" ht="16.5" customHeight="1">
      <c r="A35" s="409" t="s">
        <v>41</v>
      </c>
      <c r="B35" s="409"/>
      <c r="C35" s="409"/>
      <c r="D35" s="409"/>
      <c r="E35" s="409"/>
      <c r="F35" s="409"/>
      <c r="G35" s="409"/>
      <c r="H35" s="409"/>
      <c r="I35" s="409"/>
      <c r="J35" s="409"/>
      <c r="K35" s="409"/>
      <c r="L35" s="409"/>
      <c r="M35" s="409"/>
      <c r="N35" s="409"/>
      <c r="O35" s="409"/>
    </row>
    <row r="36" spans="1:15" s="9" customFormat="1" ht="9">
      <c r="A36" s="9" t="s">
        <v>274</v>
      </c>
      <c r="B36" s="10"/>
      <c r="C36" s="10"/>
      <c r="D36" s="10"/>
      <c r="E36" s="10"/>
      <c r="F36" s="10"/>
      <c r="G36" s="11"/>
      <c r="H36" s="10"/>
      <c r="I36" s="10"/>
      <c r="J36" s="10"/>
      <c r="K36" s="10"/>
      <c r="L36" s="10"/>
      <c r="M36" s="12"/>
      <c r="N36" s="50"/>
      <c r="O36" s="10"/>
    </row>
    <row r="37" spans="1:15" s="9" customFormat="1" ht="10.5" customHeight="1">
      <c r="B37" s="10"/>
      <c r="C37" s="10"/>
      <c r="D37" s="10"/>
      <c r="E37" s="10"/>
      <c r="F37" s="10"/>
      <c r="G37" s="11"/>
      <c r="H37" s="10"/>
      <c r="I37" s="10"/>
      <c r="J37" s="10"/>
      <c r="K37" s="10"/>
      <c r="L37" s="10"/>
      <c r="M37" s="12"/>
      <c r="N37" s="12"/>
      <c r="O37" s="12"/>
    </row>
    <row r="38" spans="1:15" s="9" customFormat="1" ht="9">
      <c r="B38" s="10"/>
      <c r="C38" s="10"/>
      <c r="D38" s="10"/>
      <c r="E38" s="10"/>
      <c r="F38" s="10"/>
      <c r="G38" s="10"/>
      <c r="H38" s="11"/>
      <c r="I38" s="10"/>
      <c r="J38" s="10"/>
      <c r="K38" s="10"/>
      <c r="L38" s="10"/>
      <c r="M38" s="12"/>
      <c r="N38" s="50"/>
      <c r="O38" s="10"/>
    </row>
    <row r="39" spans="1:15" s="9" customFormat="1" ht="9">
      <c r="B39" s="10"/>
      <c r="C39" s="10"/>
      <c r="D39" s="10"/>
      <c r="E39" s="10"/>
      <c r="F39" s="10"/>
      <c r="G39" s="10"/>
      <c r="H39" s="11"/>
      <c r="I39" s="10"/>
      <c r="J39" s="10"/>
      <c r="K39" s="10"/>
      <c r="L39" s="10"/>
      <c r="M39" s="12"/>
      <c r="N39" s="50"/>
      <c r="O39" s="10"/>
    </row>
    <row r="40" spans="1:15" s="9" customFormat="1" ht="9">
      <c r="B40" s="10"/>
      <c r="C40" s="10"/>
      <c r="D40" s="10"/>
      <c r="E40" s="10"/>
      <c r="F40" s="10"/>
      <c r="G40" s="10"/>
      <c r="H40" s="11"/>
      <c r="I40" s="10"/>
      <c r="J40" s="10"/>
      <c r="K40" s="10"/>
      <c r="L40" s="10"/>
      <c r="M40" s="12"/>
      <c r="N40" s="50"/>
      <c r="O40" s="10"/>
    </row>
    <row r="41" spans="1:15" s="9" customFormat="1" ht="9">
      <c r="B41" s="10"/>
      <c r="C41" s="10"/>
      <c r="D41" s="10"/>
      <c r="E41" s="10"/>
      <c r="F41" s="10"/>
      <c r="G41" s="10"/>
      <c r="H41" s="11"/>
      <c r="I41" s="10"/>
      <c r="J41" s="10"/>
      <c r="K41" s="10"/>
      <c r="L41" s="10"/>
      <c r="M41" s="12"/>
      <c r="N41" s="50"/>
      <c r="O41" s="10"/>
    </row>
    <row r="42" spans="1:15" s="9" customFormat="1" ht="9">
      <c r="B42" s="10"/>
      <c r="C42" s="10"/>
      <c r="D42" s="10"/>
      <c r="E42" s="10"/>
      <c r="F42" s="10"/>
      <c r="G42" s="10"/>
      <c r="H42" s="11"/>
      <c r="I42" s="10"/>
      <c r="J42" s="10"/>
      <c r="K42" s="10"/>
      <c r="L42" s="10"/>
      <c r="M42" s="12"/>
      <c r="N42" s="50"/>
      <c r="O42" s="10"/>
    </row>
    <row r="43" spans="1:15" s="9" customFormat="1" ht="9">
      <c r="B43" s="10"/>
      <c r="C43" s="10"/>
      <c r="D43" s="10"/>
      <c r="E43" s="10"/>
      <c r="F43" s="10"/>
      <c r="G43" s="10"/>
      <c r="H43" s="11"/>
      <c r="I43" s="10"/>
      <c r="J43" s="10"/>
      <c r="K43" s="10"/>
      <c r="L43" s="10"/>
      <c r="M43" s="12"/>
      <c r="N43" s="50"/>
      <c r="O43" s="10"/>
    </row>
    <row r="44" spans="1:15" s="9" customFormat="1" ht="9">
      <c r="B44" s="10"/>
      <c r="C44" s="10"/>
      <c r="D44" s="10"/>
      <c r="E44" s="10"/>
      <c r="F44" s="10"/>
      <c r="G44" s="10"/>
      <c r="H44" s="11"/>
      <c r="I44" s="10"/>
      <c r="J44" s="10"/>
      <c r="K44" s="10"/>
      <c r="L44" s="10"/>
      <c r="M44" s="12"/>
      <c r="N44" s="50"/>
      <c r="O44" s="10"/>
    </row>
    <row r="45" spans="1:15" s="9" customFormat="1" ht="9">
      <c r="B45" s="10"/>
      <c r="C45" s="10"/>
      <c r="D45" s="10"/>
      <c r="E45" s="10"/>
      <c r="F45" s="10"/>
      <c r="G45" s="10"/>
      <c r="H45" s="11"/>
      <c r="I45" s="10"/>
      <c r="J45" s="10"/>
      <c r="K45" s="10"/>
      <c r="L45" s="10"/>
      <c r="M45" s="12"/>
      <c r="N45" s="50"/>
      <c r="O45" s="10"/>
    </row>
    <row r="46" spans="1:15" s="9" customFormat="1" ht="9">
      <c r="B46" s="10"/>
      <c r="C46" s="10"/>
      <c r="D46" s="10"/>
      <c r="E46" s="10"/>
      <c r="F46" s="10"/>
      <c r="G46" s="10"/>
      <c r="H46" s="11"/>
      <c r="I46" s="10"/>
      <c r="J46" s="10"/>
      <c r="K46" s="10"/>
      <c r="L46" s="10"/>
      <c r="M46" s="12"/>
      <c r="N46" s="50"/>
      <c r="O46" s="10"/>
    </row>
    <row r="47" spans="1:15" s="9" customFormat="1" ht="9">
      <c r="B47" s="10"/>
      <c r="C47" s="10"/>
      <c r="D47" s="10"/>
      <c r="E47" s="10"/>
      <c r="F47" s="10"/>
      <c r="G47" s="10"/>
      <c r="H47" s="11"/>
      <c r="I47" s="10"/>
      <c r="J47" s="10"/>
      <c r="K47" s="10"/>
      <c r="L47" s="10"/>
      <c r="M47" s="12"/>
      <c r="N47" s="50"/>
      <c r="O47" s="10"/>
    </row>
    <row r="48" spans="1:15" s="9" customFormat="1" ht="9">
      <c r="B48" s="10"/>
      <c r="C48" s="10"/>
      <c r="D48" s="10"/>
      <c r="E48" s="10"/>
      <c r="F48" s="10"/>
      <c r="G48" s="10"/>
      <c r="H48" s="11"/>
      <c r="I48" s="10"/>
      <c r="J48" s="10"/>
      <c r="K48" s="10"/>
      <c r="L48" s="10"/>
      <c r="M48" s="12"/>
      <c r="N48" s="50"/>
      <c r="O48" s="10"/>
    </row>
    <row r="49" spans="2:15" s="9" customFormat="1" ht="9">
      <c r="B49" s="10"/>
      <c r="C49" s="10"/>
      <c r="D49" s="10"/>
      <c r="E49" s="10"/>
      <c r="F49" s="10"/>
      <c r="G49" s="10"/>
      <c r="H49" s="11"/>
      <c r="I49" s="10"/>
      <c r="J49" s="10"/>
      <c r="K49" s="10"/>
      <c r="L49" s="10"/>
      <c r="M49" s="12"/>
      <c r="N49" s="50"/>
      <c r="O49" s="10"/>
    </row>
    <row r="50" spans="2:15" s="9" customFormat="1" ht="9">
      <c r="B50" s="10"/>
      <c r="C50" s="10"/>
      <c r="D50" s="10"/>
      <c r="E50" s="10"/>
      <c r="F50" s="10"/>
      <c r="G50" s="10"/>
      <c r="H50" s="11"/>
      <c r="I50" s="10"/>
      <c r="J50" s="10"/>
      <c r="K50" s="10"/>
      <c r="L50" s="10"/>
      <c r="M50" s="12"/>
      <c r="N50" s="50"/>
      <c r="O50" s="10"/>
    </row>
    <row r="51" spans="2:15" s="9" customFormat="1" ht="9">
      <c r="B51" s="10"/>
      <c r="C51" s="10"/>
      <c r="D51" s="10"/>
      <c r="E51" s="10"/>
      <c r="F51" s="10"/>
      <c r="G51" s="10"/>
      <c r="H51" s="11"/>
      <c r="I51" s="10"/>
      <c r="J51" s="10"/>
      <c r="K51" s="10"/>
      <c r="L51" s="10"/>
      <c r="M51" s="12"/>
      <c r="N51" s="50"/>
      <c r="O51" s="10"/>
    </row>
    <row r="52" spans="2:15" s="9" customFormat="1" ht="9">
      <c r="B52" s="10"/>
      <c r="C52" s="10"/>
      <c r="D52" s="10"/>
      <c r="E52" s="10"/>
      <c r="F52" s="10"/>
      <c r="G52" s="10"/>
      <c r="H52" s="11"/>
      <c r="I52" s="10"/>
      <c r="J52" s="10"/>
      <c r="K52" s="10"/>
      <c r="L52" s="10"/>
      <c r="M52" s="12"/>
      <c r="N52" s="50"/>
      <c r="O52" s="10"/>
    </row>
    <row r="53" spans="2:15" s="9" customFormat="1" ht="9">
      <c r="B53" s="10"/>
      <c r="C53" s="10"/>
      <c r="D53" s="10"/>
      <c r="E53" s="10"/>
      <c r="F53" s="10"/>
      <c r="G53" s="10"/>
      <c r="H53" s="11"/>
      <c r="I53" s="10"/>
      <c r="J53" s="10"/>
      <c r="K53" s="10"/>
      <c r="L53" s="10"/>
      <c r="M53" s="12"/>
      <c r="N53" s="50"/>
      <c r="O53" s="10"/>
    </row>
    <row r="54" spans="2:15" s="9" customFormat="1" ht="9">
      <c r="B54" s="10"/>
      <c r="C54" s="10"/>
      <c r="D54" s="10"/>
      <c r="E54" s="10"/>
      <c r="F54" s="10"/>
      <c r="G54" s="10"/>
      <c r="H54" s="11"/>
      <c r="I54" s="10"/>
      <c r="J54" s="10"/>
      <c r="K54" s="10"/>
      <c r="L54" s="10"/>
      <c r="M54" s="12"/>
      <c r="N54" s="50"/>
      <c r="O54" s="10"/>
    </row>
    <row r="55" spans="2:15" s="9" customFormat="1" ht="9">
      <c r="B55" s="10"/>
      <c r="C55" s="10"/>
      <c r="D55" s="10"/>
      <c r="E55" s="10"/>
      <c r="F55" s="10"/>
      <c r="G55" s="10"/>
      <c r="H55" s="11"/>
      <c r="I55" s="10"/>
      <c r="J55" s="10"/>
      <c r="K55" s="10"/>
      <c r="L55" s="10"/>
      <c r="M55" s="12"/>
      <c r="N55" s="50"/>
      <c r="O55" s="10"/>
    </row>
    <row r="56" spans="2:15" s="9" customFormat="1" ht="9">
      <c r="B56" s="10"/>
      <c r="C56" s="10"/>
      <c r="D56" s="10"/>
      <c r="E56" s="10"/>
      <c r="F56" s="10"/>
      <c r="G56" s="10"/>
      <c r="H56" s="11"/>
      <c r="I56" s="10"/>
      <c r="J56" s="10"/>
      <c r="K56" s="10"/>
      <c r="L56" s="10"/>
      <c r="M56" s="12"/>
      <c r="N56" s="50"/>
      <c r="O56" s="10"/>
    </row>
    <row r="57" spans="2:15" s="9" customFormat="1" ht="9">
      <c r="B57" s="10"/>
      <c r="C57" s="10"/>
      <c r="D57" s="10"/>
      <c r="E57" s="10"/>
      <c r="F57" s="10"/>
      <c r="G57" s="10"/>
      <c r="H57" s="11"/>
      <c r="I57" s="10"/>
      <c r="J57" s="10"/>
      <c r="K57" s="10"/>
      <c r="L57" s="10"/>
      <c r="M57" s="12"/>
      <c r="N57" s="50"/>
      <c r="O57" s="10"/>
    </row>
    <row r="58" spans="2:15" s="9" customFormat="1" ht="9">
      <c r="B58" s="10"/>
      <c r="C58" s="10"/>
      <c r="D58" s="10"/>
      <c r="E58" s="10"/>
      <c r="F58" s="10"/>
      <c r="G58" s="10"/>
      <c r="H58" s="11"/>
      <c r="I58" s="10"/>
      <c r="J58" s="10"/>
      <c r="K58" s="10"/>
      <c r="L58" s="10"/>
      <c r="M58" s="12"/>
      <c r="N58" s="50"/>
      <c r="O58" s="10"/>
    </row>
    <row r="59" spans="2:15" s="9" customFormat="1" ht="9">
      <c r="B59" s="10"/>
      <c r="C59" s="10"/>
      <c r="D59" s="10"/>
      <c r="E59" s="10"/>
      <c r="F59" s="10"/>
      <c r="G59" s="10"/>
      <c r="H59" s="11"/>
      <c r="I59" s="10"/>
      <c r="J59" s="10"/>
      <c r="K59" s="10"/>
      <c r="L59" s="10"/>
      <c r="M59" s="12"/>
      <c r="N59" s="50"/>
      <c r="O59" s="10"/>
    </row>
    <row r="60" spans="2:15" s="9" customFormat="1" ht="9">
      <c r="B60" s="10"/>
      <c r="C60" s="10"/>
      <c r="D60" s="10"/>
      <c r="E60" s="10"/>
      <c r="F60" s="10"/>
      <c r="G60" s="10"/>
      <c r="H60" s="11"/>
      <c r="I60" s="10"/>
      <c r="J60" s="10"/>
      <c r="K60" s="10"/>
      <c r="L60" s="10"/>
      <c r="M60" s="12"/>
      <c r="N60" s="50"/>
      <c r="O60" s="10"/>
    </row>
    <row r="61" spans="2:15" s="9" customFormat="1" ht="9">
      <c r="B61" s="10"/>
      <c r="C61" s="10"/>
      <c r="D61" s="10"/>
      <c r="E61" s="10"/>
      <c r="F61" s="10"/>
      <c r="G61" s="10"/>
      <c r="H61" s="11"/>
      <c r="I61" s="10"/>
      <c r="J61" s="10"/>
      <c r="K61" s="10"/>
      <c r="L61" s="10"/>
      <c r="M61" s="12"/>
      <c r="N61" s="50"/>
      <c r="O61" s="10"/>
    </row>
    <row r="62" spans="2:15" s="9" customFormat="1" ht="9">
      <c r="B62" s="10"/>
      <c r="C62" s="10"/>
      <c r="D62" s="10"/>
      <c r="E62" s="10"/>
      <c r="F62" s="10"/>
      <c r="G62" s="10"/>
      <c r="H62" s="11"/>
      <c r="I62" s="10"/>
      <c r="J62" s="10"/>
      <c r="K62" s="10"/>
      <c r="L62" s="10"/>
      <c r="M62" s="12"/>
      <c r="N62" s="50"/>
      <c r="O62" s="10"/>
    </row>
    <row r="63" spans="2:15" s="9" customFormat="1" ht="9">
      <c r="B63" s="10"/>
      <c r="C63" s="10"/>
      <c r="D63" s="10"/>
      <c r="E63" s="10"/>
      <c r="F63" s="10"/>
      <c r="G63" s="10"/>
      <c r="H63" s="11"/>
      <c r="I63" s="10"/>
      <c r="J63" s="10"/>
      <c r="K63" s="10"/>
      <c r="L63" s="10"/>
      <c r="M63" s="12"/>
      <c r="N63" s="50"/>
      <c r="O63" s="10"/>
    </row>
    <row r="64" spans="2:15" s="9" customFormat="1" ht="9">
      <c r="B64" s="10"/>
      <c r="C64" s="10"/>
      <c r="D64" s="10"/>
      <c r="E64" s="10"/>
      <c r="F64" s="10"/>
      <c r="G64" s="10"/>
      <c r="H64" s="11"/>
      <c r="I64" s="10"/>
      <c r="J64" s="10"/>
      <c r="K64" s="10"/>
      <c r="L64" s="10"/>
      <c r="M64" s="12"/>
      <c r="N64" s="50"/>
      <c r="O64" s="10"/>
    </row>
    <row r="65" spans="2:15" s="9" customFormat="1" ht="9">
      <c r="B65" s="10"/>
      <c r="C65" s="10"/>
      <c r="D65" s="10"/>
      <c r="E65" s="10"/>
      <c r="F65" s="10"/>
      <c r="G65" s="10"/>
      <c r="H65" s="11"/>
      <c r="I65" s="10"/>
      <c r="J65" s="10"/>
      <c r="K65" s="10"/>
      <c r="L65" s="10"/>
      <c r="M65" s="12"/>
      <c r="N65" s="50"/>
      <c r="O65" s="10"/>
    </row>
  </sheetData>
  <mergeCells count="5">
    <mergeCell ref="A1:O1"/>
    <mergeCell ref="A2:O2"/>
    <mergeCell ref="A35:O35"/>
    <mergeCell ref="A33:L33"/>
    <mergeCell ref="A34:L34"/>
  </mergeCells>
  <phoneticPr fontId="7" type="noConversion"/>
  <pageMargins left="0.25" right="0.25" top="0.5" bottom="0.75" header="0.5" footer="0.5"/>
  <pageSetup scale="9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31</vt:i4>
      </vt:variant>
      <vt:variant>
        <vt:lpstr>Named Ranges</vt:lpstr>
      </vt:variant>
      <vt:variant>
        <vt:i4>39</vt:i4>
      </vt:variant>
    </vt:vector>
  </HeadingPairs>
  <TitlesOfParts>
    <vt:vector size="70" baseType="lpstr">
      <vt:lpstr>Responses</vt:lpstr>
      <vt:lpstr>Capital vs. O&amp;M</vt:lpstr>
      <vt:lpstr>ICRAS Summary</vt:lpstr>
      <vt:lpstr>Base Data</vt:lpstr>
      <vt:lpstr>Fac-ExistLrgSolid-Yr1</vt:lpstr>
      <vt:lpstr>Fac-ExistLrgSolid-Yr2</vt:lpstr>
      <vt:lpstr>Fac-ExistLrgSolid-Yr3</vt:lpstr>
      <vt:lpstr>Fac-ExistLrgLiquid-Yr1</vt:lpstr>
      <vt:lpstr>Fac-ExistLrgLiquid-Yr2</vt:lpstr>
      <vt:lpstr>Fac-ExistLrgLiquid-Yr3</vt:lpstr>
      <vt:lpstr>Fac-NewLrgSolid-Yr1</vt:lpstr>
      <vt:lpstr>Fac-NewLrgSolid-Yr2</vt:lpstr>
      <vt:lpstr>Fac-NewLrgSolid-Yr3</vt:lpstr>
      <vt:lpstr>Fac-NewLrgLiquid-Yr1</vt:lpstr>
      <vt:lpstr>Fac-NewLrgLiquid-Yr2</vt:lpstr>
      <vt:lpstr>Fac-NewLrgLiquid-Yr3</vt:lpstr>
      <vt:lpstr>Fac - ExistSmlSolid-Yr1</vt:lpstr>
      <vt:lpstr>Fac - ExistSmlSolid-Yr2</vt:lpstr>
      <vt:lpstr>Fac - ExistSmlSolid-Yr3</vt:lpstr>
      <vt:lpstr>Fac - ExistSmlLiquid-Yr1</vt:lpstr>
      <vt:lpstr>Fac - ExistSmlLiquid-Yr2</vt:lpstr>
      <vt:lpstr>Fac - ExistSmlLiquid-Yr3</vt:lpstr>
      <vt:lpstr>Fac-NewSmlSolid-Yr1</vt:lpstr>
      <vt:lpstr>Fac-NewSmlSolid-Yr2</vt:lpstr>
      <vt:lpstr>Fac-NewSmlSolid-Yr3</vt:lpstr>
      <vt:lpstr>Fac-NewSmlLiquid-Yr1</vt:lpstr>
      <vt:lpstr>Fac-NewSmlLiquid-Yr2</vt:lpstr>
      <vt:lpstr>Fac-NewSmlLiquid-Yr3</vt:lpstr>
      <vt:lpstr>AgencyYR1</vt:lpstr>
      <vt:lpstr>AgencyYR2</vt:lpstr>
      <vt:lpstr>AgencyYR3</vt:lpstr>
      <vt:lpstr>AgencyYR1!Print_Area</vt:lpstr>
      <vt:lpstr>AgencyYR2!Print_Area</vt:lpstr>
      <vt:lpstr>AgencyYR3!Print_Area</vt:lpstr>
      <vt:lpstr>'Fac - ExistSmlSolid-Yr1'!Print_Area</vt:lpstr>
      <vt:lpstr>'Fac - ExistSmlSolid-Yr2'!Print_Area</vt:lpstr>
      <vt:lpstr>'Fac - ExistSmlSolid-Yr3'!Print_Area</vt:lpstr>
      <vt:lpstr>'Fac-ExistLrgLiquid-Yr2'!Print_Area</vt:lpstr>
      <vt:lpstr>'Fac-ExistLrgLiquid-Yr3'!Print_Area</vt:lpstr>
      <vt:lpstr>'Fac-ExistLrgSolid-Yr2'!Print_Area</vt:lpstr>
      <vt:lpstr>'Fac-ExistLrgSolid-Yr3'!Print_Area</vt:lpstr>
      <vt:lpstr>'Fac-NewLrgLiquid-Yr1'!Print_Area</vt:lpstr>
      <vt:lpstr>'Fac-NewLrgLiquid-Yr2'!Print_Area</vt:lpstr>
      <vt:lpstr>'Fac-NewLrgLiquid-Yr3'!Print_Area</vt:lpstr>
      <vt:lpstr>'Fac-NewLrgSolid-Yr1'!Print_Area</vt:lpstr>
      <vt:lpstr>'Fac-NewLrgSolid-Yr2'!Print_Area</vt:lpstr>
      <vt:lpstr>'Fac-NewLrgSolid-Yr3'!Print_Area</vt:lpstr>
      <vt:lpstr>'Fac-NewSmlLiquid-Yr1'!Print_Area</vt:lpstr>
      <vt:lpstr>'Fac-NewSmlLiquid-Yr2'!Print_Area</vt:lpstr>
      <vt:lpstr>'Fac-NewSmlLiquid-Yr3'!Print_Area</vt:lpstr>
      <vt:lpstr>'Fac - ExistSmlLiquid-Yr1'!Print_Titles</vt:lpstr>
      <vt:lpstr>'Fac - ExistSmlLiquid-Yr2'!Print_Titles</vt:lpstr>
      <vt:lpstr>'Fac - ExistSmlLiquid-Yr3'!Print_Titles</vt:lpstr>
      <vt:lpstr>'Fac - ExistSmlSolid-Yr1'!Print_Titles</vt:lpstr>
      <vt:lpstr>'Fac - ExistSmlSolid-Yr2'!Print_Titles</vt:lpstr>
      <vt:lpstr>'Fac - ExistSmlSolid-Yr3'!Print_Titles</vt:lpstr>
      <vt:lpstr>'Fac-ExistLrgLiquid-Yr1'!Print_Titles</vt:lpstr>
      <vt:lpstr>'Fac-ExistLrgLiquid-Yr2'!Print_Titles</vt:lpstr>
      <vt:lpstr>'Fac-ExistLrgLiquid-Yr3'!Print_Titles</vt:lpstr>
      <vt:lpstr>'Fac-ExistLrgSolid-Yr1'!Print_Titles</vt:lpstr>
      <vt:lpstr>'Fac-ExistLrgSolid-Yr2'!Print_Titles</vt:lpstr>
      <vt:lpstr>'Fac-ExistLrgSolid-Yr3'!Print_Titles</vt:lpstr>
      <vt:lpstr>'Fac-NewLrgLiquid-Yr1'!Print_Titles</vt:lpstr>
      <vt:lpstr>'Fac-NewLrgLiquid-Yr2'!Print_Titles</vt:lpstr>
      <vt:lpstr>'Fac-NewLrgLiquid-Yr3'!Print_Titles</vt:lpstr>
      <vt:lpstr>'Fac-NewLrgSolid-Yr1'!Print_Titles</vt:lpstr>
      <vt:lpstr>'Fac-NewLrgSolid-Yr2'!Print_Titles</vt:lpstr>
      <vt:lpstr>'Fac-NewLrgSolid-Yr3'!Print_Titles</vt:lpstr>
      <vt:lpstr>AgencyYR1!retest</vt:lpstr>
      <vt:lpstr>AgencyYR1!sperfac</vt:lpstr>
    </vt:vector>
  </TitlesOfParts>
  <Company>Eastern Research Group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ERG - Morrisville</dc:creator>
  <cp:lastModifiedBy>ERG_BML</cp:lastModifiedBy>
  <cp:lastPrinted>2010-12-23T17:42:31Z</cp:lastPrinted>
  <dcterms:created xsi:type="dcterms:W3CDTF">2000-08-03T19:32:28Z</dcterms:created>
  <dcterms:modified xsi:type="dcterms:W3CDTF">2011-01-03T15:13:54Z</dcterms:modified>
</cp:coreProperties>
</file>