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9.22.2014\ICRs\1626\"/>
    </mc:Choice>
  </mc:AlternateContent>
  <bookViews>
    <workbookView xWindow="0" yWindow="0" windowWidth="19200" windowHeight="11595"/>
  </bookViews>
  <sheets>
    <sheet name="Respondent Burden" sheetId="6" r:id="rId1"/>
    <sheet name="Agency Burden" sheetId="9" r:id="rId2"/>
    <sheet name="Summary of Burden By Respondent" sheetId="8" r:id="rId3"/>
    <sheet name="Change in Burden" sheetId="10" r:id="rId4"/>
  </sheets>
  <calcPr calcId="152511"/>
</workbook>
</file>

<file path=xl/calcChain.xml><?xml version="1.0" encoding="utf-8"?>
<calcChain xmlns="http://schemas.openxmlformats.org/spreadsheetml/2006/main">
  <c r="E30" i="6" l="1"/>
  <c r="F30" i="6"/>
  <c r="G30" i="6"/>
  <c r="E19" i="6"/>
  <c r="E16" i="6"/>
  <c r="G13" i="6"/>
  <c r="F13" i="6"/>
  <c r="E13" i="6"/>
  <c r="F22" i="6"/>
  <c r="E46" i="6" s="1"/>
  <c r="F40" i="6"/>
  <c r="F28" i="6"/>
  <c r="B6" i="9" l="1"/>
  <c r="E28" i="10"/>
  <c r="F28" i="10"/>
  <c r="C27" i="10"/>
  <c r="G27" i="10" s="1"/>
  <c r="B26" i="8"/>
  <c r="B15" i="8"/>
  <c r="E12" i="9"/>
  <c r="C20" i="8"/>
  <c r="B13" i="8"/>
  <c r="B24" i="8"/>
  <c r="B7" i="6"/>
  <c r="D20" i="9"/>
  <c r="C20" i="9"/>
  <c r="E19" i="9"/>
  <c r="E18" i="9"/>
  <c r="E17" i="9"/>
  <c r="E16" i="9"/>
  <c r="E15" i="9"/>
  <c r="E14" i="9"/>
  <c r="E13" i="9"/>
  <c r="E11" i="9"/>
  <c r="E39" i="6"/>
  <c r="H39" i="6" s="1"/>
  <c r="C9" i="8"/>
  <c r="G14" i="6"/>
  <c r="B8" i="8" l="1"/>
  <c r="I13" i="6"/>
  <c r="D6" i="10"/>
  <c r="H6" i="10" s="1"/>
  <c r="C6" i="10"/>
  <c r="G6" i="10" s="1"/>
  <c r="H13" i="6"/>
  <c r="B19" i="8" s="1"/>
  <c r="F12" i="9"/>
  <c r="F14" i="9"/>
  <c r="F19" i="9"/>
  <c r="F17" i="9"/>
  <c r="F16" i="9"/>
  <c r="F18" i="9"/>
  <c r="F13" i="9"/>
  <c r="F15" i="9"/>
  <c r="E20" i="9"/>
  <c r="B20" i="9"/>
  <c r="F11" i="9"/>
  <c r="F20" i="9" l="1"/>
  <c r="B22" i="6" l="1"/>
  <c r="B32" i="6" l="1"/>
  <c r="C41" i="6" l="1"/>
  <c r="H30" i="6" l="1"/>
  <c r="C26" i="8" s="1"/>
  <c r="D26" i="8" s="1"/>
  <c r="C18" i="10"/>
  <c r="G18" i="10" s="1"/>
  <c r="C15" i="8"/>
  <c r="D15" i="8" s="1"/>
  <c r="E14" i="6"/>
  <c r="C7" i="10" s="1"/>
  <c r="G7" i="10" s="1"/>
  <c r="E20" i="6"/>
  <c r="E21" i="6"/>
  <c r="B31" i="6"/>
  <c r="G31" i="6" s="1"/>
  <c r="E17" i="6"/>
  <c r="C10" i="10" s="1"/>
  <c r="G10" i="10" s="1"/>
  <c r="E15" i="6"/>
  <c r="E18" i="6"/>
  <c r="C11" i="10" s="1"/>
  <c r="G11" i="10" s="1"/>
  <c r="B29" i="6"/>
  <c r="E29" i="6" s="1"/>
  <c r="C17" i="10" s="1"/>
  <c r="G17" i="10" s="1"/>
  <c r="B27" i="6"/>
  <c r="E28" i="6"/>
  <c r="C16" i="10" s="1"/>
  <c r="G16" i="10" s="1"/>
  <c r="G32" i="6"/>
  <c r="E32" i="6"/>
  <c r="C20" i="10" s="1"/>
  <c r="E34" i="6"/>
  <c r="E35" i="6"/>
  <c r="C23" i="10" s="1"/>
  <c r="G23" i="10" s="1"/>
  <c r="E36" i="6"/>
  <c r="E37" i="6"/>
  <c r="E38" i="6"/>
  <c r="G33" i="6"/>
  <c r="E33" i="6"/>
  <c r="G28" i="6"/>
  <c r="G34" i="6"/>
  <c r="G35" i="6"/>
  <c r="G36" i="6"/>
  <c r="G37" i="6"/>
  <c r="G38" i="6"/>
  <c r="G39" i="6"/>
  <c r="G17" i="6"/>
  <c r="G19" i="6"/>
  <c r="G15" i="6"/>
  <c r="G16" i="6"/>
  <c r="G18" i="6"/>
  <c r="G20" i="6"/>
  <c r="G21" i="6"/>
  <c r="C42" i="6"/>
  <c r="D42" i="6"/>
  <c r="D41" i="6"/>
  <c r="H34" i="6" l="1"/>
  <c r="C22" i="10"/>
  <c r="G22" i="10" s="1"/>
  <c r="C8" i="10"/>
  <c r="G8" i="10" s="1"/>
  <c r="B10" i="8"/>
  <c r="H21" i="6"/>
  <c r="C14" i="10"/>
  <c r="G14" i="10" s="1"/>
  <c r="F21" i="6"/>
  <c r="D14" i="10" s="1"/>
  <c r="H14" i="10" s="1"/>
  <c r="H38" i="6"/>
  <c r="C26" i="10"/>
  <c r="G26" i="10" s="1"/>
  <c r="F20" i="6"/>
  <c r="C13" i="10"/>
  <c r="G13" i="10" s="1"/>
  <c r="H37" i="6"/>
  <c r="C25" i="10"/>
  <c r="G25" i="10" s="1"/>
  <c r="H19" i="6"/>
  <c r="C12" i="10"/>
  <c r="G12" i="10" s="1"/>
  <c r="H36" i="6"/>
  <c r="C24" i="10"/>
  <c r="G24" i="10" s="1"/>
  <c r="G22" i="6"/>
  <c r="H16" i="6"/>
  <c r="C9" i="10"/>
  <c r="G9" i="10" s="1"/>
  <c r="G20" i="10"/>
  <c r="H33" i="6"/>
  <c r="C21" i="10"/>
  <c r="G21" i="10" s="1"/>
  <c r="B40" i="6"/>
  <c r="B46" i="6" s="1"/>
  <c r="H35" i="6"/>
  <c r="C14" i="8"/>
  <c r="F14" i="6"/>
  <c r="B9" i="8"/>
  <c r="D9" i="8" s="1"/>
  <c r="H14" i="6"/>
  <c r="H15" i="6"/>
  <c r="B21" i="8" s="1"/>
  <c r="H28" i="6"/>
  <c r="C21" i="8" s="1"/>
  <c r="C10" i="8"/>
  <c r="F32" i="6"/>
  <c r="H32" i="6"/>
  <c r="C13" i="8"/>
  <c r="D13" i="8" s="1"/>
  <c r="C11" i="8"/>
  <c r="H29" i="6"/>
  <c r="C22" i="8" s="1"/>
  <c r="H20" i="6"/>
  <c r="B14" i="8"/>
  <c r="B12" i="8"/>
  <c r="H18" i="6"/>
  <c r="B11" i="8"/>
  <c r="H17" i="6"/>
  <c r="E27" i="6"/>
  <c r="G29" i="6"/>
  <c r="B41" i="6"/>
  <c r="B47" i="6" s="1"/>
  <c r="E31" i="6"/>
  <c r="C19" i="10" s="1"/>
  <c r="G19" i="10" s="1"/>
  <c r="E22" i="6"/>
  <c r="B42" i="6"/>
  <c r="B48" i="6" s="1"/>
  <c r="G27" i="6"/>
  <c r="G40" i="6" l="1"/>
  <c r="C46" i="6" s="1"/>
  <c r="B25" i="8"/>
  <c r="B20" i="8"/>
  <c r="D20" i="8" s="1"/>
  <c r="C15" i="10"/>
  <c r="G15" i="10" s="1"/>
  <c r="G28" i="10" s="1"/>
  <c r="G29" i="10" s="1"/>
  <c r="C8" i="8"/>
  <c r="D8" i="8" s="1"/>
  <c r="I14" i="6"/>
  <c r="E20" i="8" s="1"/>
  <c r="D7" i="10"/>
  <c r="H7" i="10" s="1"/>
  <c r="E9" i="8"/>
  <c r="D18" i="10"/>
  <c r="H18" i="10" s="1"/>
  <c r="E15" i="8"/>
  <c r="C24" i="8"/>
  <c r="D24" i="8" s="1"/>
  <c r="B22" i="8"/>
  <c r="D22" i="8" s="1"/>
  <c r="B23" i="8"/>
  <c r="C25" i="8"/>
  <c r="D13" i="10"/>
  <c r="H13" i="10" s="1"/>
  <c r="D20" i="10"/>
  <c r="H27" i="6"/>
  <c r="C19" i="8" s="1"/>
  <c r="D19" i="8" s="1"/>
  <c r="D10" i="8"/>
  <c r="D14" i="8"/>
  <c r="D21" i="8"/>
  <c r="D11" i="8"/>
  <c r="H31" i="6"/>
  <c r="C12" i="8"/>
  <c r="D12" i="8" s="1"/>
  <c r="E40" i="6"/>
  <c r="D46" i="6" s="1"/>
  <c r="E41" i="6"/>
  <c r="D47" i="6" s="1"/>
  <c r="E42" i="6"/>
  <c r="D48" i="6" s="1"/>
  <c r="F33" i="6"/>
  <c r="D21" i="10" s="1"/>
  <c r="H21" i="10" s="1"/>
  <c r="F18" i="6"/>
  <c r="F39" i="6"/>
  <c r="I21" i="6"/>
  <c r="F35" i="6"/>
  <c r="F27" i="6"/>
  <c r="F15" i="6"/>
  <c r="F36" i="6"/>
  <c r="F19" i="6"/>
  <c r="F31" i="6"/>
  <c r="D19" i="10" s="1"/>
  <c r="H19" i="10" s="1"/>
  <c r="F16" i="6"/>
  <c r="F37" i="6"/>
  <c r="F17" i="6"/>
  <c r="I20" i="6"/>
  <c r="G42" i="6"/>
  <c r="C48" i="6" s="1"/>
  <c r="G41" i="6"/>
  <c r="C47" i="6" s="1"/>
  <c r="F29" i="6"/>
  <c r="I30" i="6"/>
  <c r="E26" i="8" s="1"/>
  <c r="F34" i="6"/>
  <c r="F38" i="6"/>
  <c r="D25" i="8" l="1"/>
  <c r="I29" i="6"/>
  <c r="D17" i="10"/>
  <c r="H17" i="10" s="1"/>
  <c r="I19" i="6"/>
  <c r="D12" i="10"/>
  <c r="H12" i="10" s="1"/>
  <c r="I18" i="6"/>
  <c r="E23" i="8" s="1"/>
  <c r="E12" i="8"/>
  <c r="D11" i="10"/>
  <c r="H11" i="10" s="1"/>
  <c r="I36" i="6"/>
  <c r="D24" i="10"/>
  <c r="H24" i="10" s="1"/>
  <c r="I15" i="6"/>
  <c r="E10" i="8"/>
  <c r="D8" i="10"/>
  <c r="H8" i="10" s="1"/>
  <c r="D15" i="10"/>
  <c r="H15" i="10" s="1"/>
  <c r="E8" i="8"/>
  <c r="I17" i="6"/>
  <c r="D10" i="10"/>
  <c r="H10" i="10" s="1"/>
  <c r="I35" i="6"/>
  <c r="D23" i="10"/>
  <c r="H23" i="10" s="1"/>
  <c r="I38" i="6"/>
  <c r="D26" i="10"/>
  <c r="H26" i="10" s="1"/>
  <c r="I37" i="6"/>
  <c r="D25" i="10"/>
  <c r="H25" i="10" s="1"/>
  <c r="C28" i="10"/>
  <c r="I34" i="6"/>
  <c r="D22" i="10"/>
  <c r="H22" i="10" s="1"/>
  <c r="I16" i="6"/>
  <c r="D9" i="10"/>
  <c r="H9" i="10" s="1"/>
  <c r="E11" i="8"/>
  <c r="I28" i="6"/>
  <c r="D16" i="10"/>
  <c r="H16" i="10" s="1"/>
  <c r="C23" i="8"/>
  <c r="D23" i="8" s="1"/>
  <c r="I39" i="6"/>
  <c r="D27" i="10"/>
  <c r="H27" i="10" s="1"/>
  <c r="E14" i="8"/>
  <c r="H20" i="10"/>
  <c r="E13" i="8"/>
  <c r="I33" i="6"/>
  <c r="I31" i="6"/>
  <c r="I27" i="6"/>
  <c r="E19" i="8" s="1"/>
  <c r="F42" i="6"/>
  <c r="F41" i="6"/>
  <c r="I32" i="6"/>
  <c r="E21" i="8" l="1"/>
  <c r="E25" i="8"/>
  <c r="H28" i="10"/>
  <c r="H29" i="10" s="1"/>
  <c r="E24" i="8"/>
  <c r="D28" i="10"/>
  <c r="E22" i="8"/>
  <c r="E48" i="6"/>
  <c r="E47" i="6"/>
  <c r="F47" i="6" l="1"/>
  <c r="F48" i="6"/>
</calcChain>
</file>

<file path=xl/sharedStrings.xml><?xml version="1.0" encoding="utf-8"?>
<sst xmlns="http://schemas.openxmlformats.org/spreadsheetml/2006/main" count="209" uniqueCount="91">
  <si>
    <t>Activity</t>
  </si>
  <si>
    <t>Burden Hours</t>
  </si>
  <si>
    <t>Annual Labor Costs</t>
  </si>
  <si>
    <t>Annual Agency Burden and Cost</t>
  </si>
  <si>
    <t>Technician Certification Programs</t>
  </si>
  <si>
    <t>Number of Respondents</t>
  </si>
  <si>
    <t>Number of Responses per Respondent</t>
  </si>
  <si>
    <t>Burden Hours (Time) per Response</t>
  </si>
  <si>
    <t>Reporting</t>
  </si>
  <si>
    <t>Refrigerant Recovery/ Recycling Equipment Testing Organizations - Submit reports on approved equipment (including new model lines and failed retests/inspections)</t>
  </si>
  <si>
    <t>Certification by Owners of Refrigerant Recovery/ Recycling Equipment (or Service Established) that Change Ownership or Enter the Market Compile information, complete certification requirements</t>
  </si>
  <si>
    <t>Certification by Disposal Establishments that change Ownership or Enter the Market</t>
  </si>
  <si>
    <t>Certification by Refrigerant Reclaimers that Change Ownership or Enter the Market</t>
  </si>
  <si>
    <t>Reclaimer Annual Activity Report</t>
  </si>
  <si>
    <t>Technician Certification Programs Applying for Approval</t>
  </si>
  <si>
    <t>Biannual Reporting by Existing Technician Certification Programs</t>
  </si>
  <si>
    <t xml:space="preserve">Owners/operators of appliances w/charge sizes &gt;50 lbs prepare &amp; submit requests for extensions to 30-day repair timeline </t>
  </si>
  <si>
    <t xml:space="preserve">Owners/operators of appliances w/charge sizes &gt;50 lbs prepare &amp; submit requests for extensions to 1 yr retrofit/retire timeline </t>
  </si>
  <si>
    <t>SUBTOTAL</t>
  </si>
  <si>
    <t>Recordkeeping</t>
  </si>
  <si>
    <t>Refrigerant Recovery/ Recycling Equipment Testing Organizations  - Maintain records of refrigerant recovery/recycling equipment tested and its performance</t>
  </si>
  <si>
    <t>Maintenance of copies of signed statements of previous refrigerant recovery by disposal establishments</t>
  </si>
  <si>
    <t>Reclaimer  recordkeeping</t>
  </si>
  <si>
    <t>Refrigerant wholesalers recordkeeping for refrigerant sales, including maintenance of technician certification cards from purchasers employing at least one certified technician</t>
  </si>
  <si>
    <t>Record keeping by Existing Technician Certification Programs</t>
  </si>
  <si>
    <t>Persons servicing appliances w/charge sizes &gt;50 lbs provide invoices to appliance owners/operators</t>
  </si>
  <si>
    <t>Owners/operators of appliances w/charge sizes &gt;50 lbs maintain purchase and service records</t>
  </si>
  <si>
    <t>Owners/operators of appliances w/charge sizes &gt;50 lbs - Maintain information on purged/destroyed refrigerant</t>
  </si>
  <si>
    <t>Owners/operators of appliances w/charge sizes &gt;50 lbs - Develop/Maintain plan to retire/replace or retrofit equipment, as applicable</t>
  </si>
  <si>
    <t>Owners/operators of appliances w/charge sizes &gt;50 lbs - Maintain information on the calculation of the full charge using a range, as applicable</t>
  </si>
  <si>
    <r>
      <t xml:space="preserve">Owners/operators of appliances w/charge sizes &gt;50 lbs - Maintain reports on the  results of verification tests </t>
    </r>
    <r>
      <rPr>
        <i/>
        <sz val="10"/>
        <color theme="1"/>
        <rFont val="Times New Roman"/>
        <family val="1"/>
      </rPr>
      <t>(IPR and in limited instances federally owned equipment)</t>
    </r>
  </si>
  <si>
    <t>SUBTOTAL - Year 2</t>
  </si>
  <si>
    <t>SUBTOTAL - Year 3</t>
  </si>
  <si>
    <t>Total Number of Respondents</t>
  </si>
  <si>
    <t>Total Number of Annual Responses</t>
  </si>
  <si>
    <t>Number of Annual Responses</t>
  </si>
  <si>
    <t>Agency Burden Hours (Time) to Review each Response</t>
  </si>
  <si>
    <t xml:space="preserve">Total Agency Labor Costs </t>
  </si>
  <si>
    <t>Reviewing and Responding</t>
  </si>
  <si>
    <t>Agency Tally</t>
  </si>
  <si>
    <t>Respondent Tally</t>
  </si>
  <si>
    <t xml:space="preserve">Technicians Maintaining Certification Cards </t>
  </si>
  <si>
    <t>Technicians Aquiring Certification Cards</t>
  </si>
  <si>
    <t>The hourly rate for EPA staff at the GS-9 Step 1 level is $20.11 per hour (see the GS salary schedule at http://www.opm.gov/oca).  EPA then multiplied the hourly rate by the standard government benefits and overhead multiplication factor of 1.6 to estimate the annual Agency burden and cost ($20.11 x 1.6).</t>
  </si>
  <si>
    <t>Refrigerant Recovery/ Recycling Equipment Testing Organization</t>
  </si>
  <si>
    <t>Service Establishments</t>
  </si>
  <si>
    <t>Disposal Establishments</t>
  </si>
  <si>
    <t>Refrigerant Reclaimers</t>
  </si>
  <si>
    <t>Refrigerant Wholesalers</t>
  </si>
  <si>
    <t>Technicians</t>
  </si>
  <si>
    <t>Owners</t>
  </si>
  <si>
    <t>Total</t>
  </si>
  <si>
    <t>All Respondents</t>
  </si>
  <si>
    <t>Total Annual Labor Costs</t>
  </si>
  <si>
    <t>Per Respondent</t>
  </si>
  <si>
    <t>Annual Labor Cost</t>
  </si>
  <si>
    <t>Annual Burden Hours</t>
  </si>
  <si>
    <t>Assumptions</t>
  </si>
  <si>
    <t>Annual Respondent Burden and Cost</t>
  </si>
  <si>
    <t>The following tables illustrate the calculations performed to calculate the annual respondent burden and cost for the National Refrigerant Recycling and Emissions Reduction Program.</t>
  </si>
  <si>
    <t>EPA used the median hourly earnings of $21.10 for heating, air-conditioning, and refrigeration mechanics and installers from the Bureau of Labor Statistics (http://www.bls.gov/oes/current/oes499021.htm).  EPA then multiplied this number by 110% for overhead ($21.10  x 1.10 = $23.21).</t>
  </si>
  <si>
    <t>Average Administrative Cost (Labor + Overhead)</t>
  </si>
  <si>
    <t>varies</t>
  </si>
  <si>
    <t>Total Hours</t>
  </si>
  <si>
    <t>Total Cost</t>
  </si>
  <si>
    <t>Repondent</t>
  </si>
  <si>
    <t>Respondent</t>
  </si>
  <si>
    <t>Total Annual Hour Burden</t>
  </si>
  <si>
    <t>The following tables summarize the total annual burden hours and cost by respondent type. Table 1 provides a summary for all respondents and Table 2 provides a summary on a per respondent basis.</t>
  </si>
  <si>
    <t>Table 1. Total Annual Burden Hours and Costs (All Respondents)</t>
  </si>
  <si>
    <t>Table 2. Total Annual Burden Hours and Costs (Per Respondent)</t>
  </si>
  <si>
    <t>Reporting (Hours)</t>
  </si>
  <si>
    <t>Recordkeeping (Hours)</t>
  </si>
  <si>
    <t>Summary of Annual Respondent Burden and Cost By Respondent</t>
  </si>
  <si>
    <t>The following table illustrates the calculations performed to calculate the annual agency burden and cost for the National Refrigerant Recycling and Emissions Reduction Program.</t>
  </si>
  <si>
    <t>Total Annual Agency Hours</t>
  </si>
  <si>
    <t>Burden Change</t>
  </si>
  <si>
    <t>2014 ICR Renewal</t>
  </si>
  <si>
    <t>2011 ICR</t>
  </si>
  <si>
    <t>Labor Costs</t>
  </si>
  <si>
    <t>Percent Change</t>
  </si>
  <si>
    <t>Change in Annual Respondent Burden and Cost</t>
  </si>
  <si>
    <t>The following table illustrates the change in annual burden between the 2011 and 2014 ICR values.</t>
  </si>
  <si>
    <t>Notes</t>
  </si>
  <si>
    <t>The number of reclaimers increased from 49 to 60.</t>
  </si>
  <si>
    <t>Activity was previously omitted in 2011 ICR and added to 2014 for completeness.</t>
  </si>
  <si>
    <t>Agency Burden Cost</t>
  </si>
  <si>
    <t>Due to updated labor rates.</t>
  </si>
  <si>
    <t>National Refrigerant Recycling and Emissions Reduction Program, EPA ICR Number: 1626.12, OMB Control Number:  2060-0256</t>
  </si>
  <si>
    <t>Adjustment of figures to match assumptions described on page 28 of ICR ("EPA estimates the breakdown to be for 15 owners/operators seeking extensions to the 30-day leak repair requirement").</t>
  </si>
  <si>
    <t>Adjustment of figures to match assumptions described on page 28 of ICR ("EPA estimates the breakdown to be … 5 owners/operators seeking extensions to the one-year retrofit requirement").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</si>
</sst>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$&quot;#,##0"/>
    <numFmt numFmtId="169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 wrapText="1"/>
    </xf>
    <xf numFmtId="164" fontId="0" fillId="0" borderId="0" xfId="0" applyNumberFormat="1"/>
    <xf numFmtId="164" fontId="3" fillId="0" borderId="0" xfId="0" applyNumberFormat="1" applyFont="1"/>
    <xf numFmtId="166" fontId="3" fillId="0" borderId="0" xfId="3" applyNumberFormat="1" applyFont="1"/>
    <xf numFmtId="43" fontId="0" fillId="0" borderId="0" xfId="0" applyNumberFormat="1"/>
    <xf numFmtId="166" fontId="3" fillId="0" borderId="0" xfId="3" applyNumberFormat="1" applyFont="1" applyAlignment="1">
      <alignment horizontal="right"/>
    </xf>
    <xf numFmtId="166" fontId="0" fillId="0" borderId="0" xfId="0" applyNumberFormat="1"/>
    <xf numFmtId="164" fontId="3" fillId="0" borderId="0" xfId="0" applyNumberFormat="1" applyFont="1" applyAlignment="1">
      <alignment horizontal="right"/>
    </xf>
    <xf numFmtId="168" fontId="0" fillId="0" borderId="0" xfId="0" applyNumberFormat="1"/>
    <xf numFmtId="43" fontId="3" fillId="0" borderId="0" xfId="3" applyNumberFormat="1" applyFont="1" applyAlignment="1">
      <alignment horizontal="right"/>
    </xf>
    <xf numFmtId="167" fontId="3" fillId="0" borderId="0" xfId="3" applyNumberFormat="1" applyFont="1" applyAlignment="1">
      <alignment horizontal="right"/>
    </xf>
    <xf numFmtId="169" fontId="0" fillId="0" borderId="0" xfId="2" applyNumberFormat="1" applyFont="1"/>
    <xf numFmtId="166" fontId="3" fillId="0" borderId="0" xfId="0" applyNumberFormat="1" applyFont="1" applyAlignment="1">
      <alignment horizontal="right"/>
    </xf>
    <xf numFmtId="166" fontId="3" fillId="0" borderId="0" xfId="0" applyNumberFormat="1" applyFont="1"/>
    <xf numFmtId="0" fontId="2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64" fontId="0" fillId="0" borderId="4" xfId="1" applyNumberFormat="1" applyFont="1" applyBorder="1"/>
    <xf numFmtId="166" fontId="0" fillId="0" borderId="4" xfId="3" applyNumberFormat="1" applyFont="1" applyFill="1" applyBorder="1"/>
    <xf numFmtId="0" fontId="2" fillId="2" borderId="2" xfId="0" applyFont="1" applyFill="1" applyBorder="1" applyAlignment="1">
      <alignment horizontal="center" vertical="center" wrapText="1"/>
    </xf>
    <xf numFmtId="166" fontId="0" fillId="0" borderId="4" xfId="3" applyNumberFormat="1" applyFont="1" applyBorder="1"/>
    <xf numFmtId="43" fontId="0" fillId="0" borderId="4" xfId="3" applyNumberFormat="1" applyFont="1" applyBorder="1"/>
    <xf numFmtId="164" fontId="0" fillId="0" borderId="4" xfId="3" applyNumberFormat="1" applyFont="1" applyBorder="1"/>
    <xf numFmtId="2" fontId="0" fillId="0" borderId="4" xfId="3" applyNumberFormat="1" applyFont="1" applyBorder="1"/>
    <xf numFmtId="43" fontId="0" fillId="0" borderId="4" xfId="3" applyNumberFormat="1" applyFont="1" applyFill="1" applyBorder="1"/>
    <xf numFmtId="164" fontId="0" fillId="0" borderId="4" xfId="3" applyNumberFormat="1" applyFont="1" applyFill="1" applyBorder="1"/>
    <xf numFmtId="0" fontId="0" fillId="0" borderId="4" xfId="0" applyBorder="1"/>
    <xf numFmtId="0" fontId="3" fillId="0" borderId="7" xfId="0" applyFont="1" applyBorder="1" applyAlignment="1">
      <alignment wrapText="1"/>
    </xf>
    <xf numFmtId="166" fontId="3" fillId="0" borderId="7" xfId="3" applyNumberFormat="1" applyFont="1" applyBorder="1"/>
    <xf numFmtId="43" fontId="3" fillId="0" borderId="7" xfId="3" applyNumberFormat="1" applyFont="1" applyBorder="1"/>
    <xf numFmtId="164" fontId="3" fillId="0" borderId="7" xfId="3" applyNumberFormat="1" applyFont="1" applyBorder="1"/>
    <xf numFmtId="0" fontId="0" fillId="0" borderId="7" xfId="0" applyBorder="1"/>
    <xf numFmtId="0" fontId="0" fillId="0" borderId="6" xfId="0" applyBorder="1" applyAlignment="1">
      <alignment wrapText="1"/>
    </xf>
    <xf numFmtId="166" fontId="0" fillId="0" borderId="6" xfId="3" applyNumberFormat="1" applyFont="1" applyFill="1" applyBorder="1"/>
    <xf numFmtId="43" fontId="0" fillId="0" borderId="6" xfId="3" applyNumberFormat="1" applyFont="1" applyFill="1" applyBorder="1"/>
    <xf numFmtId="164" fontId="0" fillId="0" borderId="6" xfId="3" applyNumberFormat="1" applyFont="1" applyFill="1" applyBorder="1"/>
    <xf numFmtId="2" fontId="0" fillId="0" borderId="6" xfId="3" applyNumberFormat="1" applyFont="1" applyBorder="1"/>
    <xf numFmtId="164" fontId="0" fillId="0" borderId="6" xfId="3" applyNumberFormat="1" applyFont="1" applyBorder="1"/>
    <xf numFmtId="43" fontId="0" fillId="0" borderId="4" xfId="3" applyNumberFormat="1" applyFont="1" applyBorder="1" applyAlignment="1">
      <alignment horizontal="right"/>
    </xf>
    <xf numFmtId="43" fontId="6" fillId="0" borderId="4" xfId="3" applyNumberFormat="1" applyFont="1" applyBorder="1" applyAlignment="1">
      <alignment horizontal="right"/>
    </xf>
    <xf numFmtId="167" fontId="6" fillId="0" borderId="4" xfId="3" applyNumberFormat="1" applyFont="1" applyBorder="1" applyAlignment="1">
      <alignment horizontal="right"/>
    </xf>
    <xf numFmtId="164" fontId="0" fillId="0" borderId="4" xfId="3" applyNumberFormat="1" applyFont="1" applyBorder="1" applyAlignment="1">
      <alignment horizontal="right"/>
    </xf>
    <xf numFmtId="166" fontId="0" fillId="0" borderId="4" xfId="0" applyNumberFormat="1" applyBorder="1"/>
    <xf numFmtId="166" fontId="6" fillId="0" borderId="4" xfId="3" applyNumberFormat="1" applyFont="1" applyBorder="1" applyAlignment="1">
      <alignment horizontal="right"/>
    </xf>
    <xf numFmtId="167" fontId="0" fillId="0" borderId="4" xfId="3" applyNumberFormat="1" applyFont="1" applyBorder="1" applyAlignment="1">
      <alignment horizontal="right"/>
    </xf>
    <xf numFmtId="165" fontId="0" fillId="0" borderId="4" xfId="3" applyNumberFormat="1" applyFont="1" applyBorder="1" applyAlignment="1">
      <alignment horizontal="right"/>
    </xf>
    <xf numFmtId="166" fontId="0" fillId="0" borderId="7" xfId="0" applyNumberFormat="1" applyBorder="1"/>
    <xf numFmtId="168" fontId="0" fillId="0" borderId="7" xfId="0" applyNumberFormat="1" applyBorder="1"/>
    <xf numFmtId="0" fontId="9" fillId="0" borderId="0" xfId="0" applyFont="1"/>
    <xf numFmtId="43" fontId="3" fillId="0" borderId="7" xfId="3" applyNumberFormat="1" applyFont="1" applyBorder="1" applyAlignment="1">
      <alignment horizontal="center"/>
    </xf>
    <xf numFmtId="166" fontId="3" fillId="0" borderId="7" xfId="3" applyNumberFormat="1" applyFont="1" applyBorder="1" applyAlignment="1">
      <alignment horizontal="center"/>
    </xf>
    <xf numFmtId="166" fontId="0" fillId="0" borderId="4" xfId="3" applyNumberFormat="1" applyFont="1" applyBorder="1" applyAlignment="1">
      <alignment horizontal="right"/>
    </xf>
    <xf numFmtId="166" fontId="6" fillId="0" borderId="4" xfId="3" applyNumberFormat="1" applyFont="1" applyFill="1" applyBorder="1" applyAlignment="1">
      <alignment horizontal="right"/>
    </xf>
    <xf numFmtId="166" fontId="3" fillId="0" borderId="7" xfId="3" applyNumberFormat="1" applyFont="1" applyBorder="1" applyAlignment="1">
      <alignment horizontal="right"/>
    </xf>
    <xf numFmtId="164" fontId="3" fillId="0" borderId="7" xfId="3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166" fontId="0" fillId="0" borderId="6" xfId="3" applyNumberFormat="1" applyFont="1" applyBorder="1" applyAlignment="1">
      <alignment horizontal="right"/>
    </xf>
    <xf numFmtId="167" fontId="0" fillId="0" borderId="6" xfId="3" applyNumberFormat="1" applyFont="1" applyBorder="1" applyAlignment="1">
      <alignment horizontal="right"/>
    </xf>
    <xf numFmtId="43" fontId="0" fillId="0" borderId="6" xfId="3" applyNumberFormat="1" applyFont="1" applyBorder="1" applyAlignment="1">
      <alignment horizontal="right"/>
    </xf>
    <xf numFmtId="164" fontId="0" fillId="0" borderId="6" xfId="3" applyNumberFormat="1" applyFont="1" applyBorder="1" applyAlignment="1">
      <alignment horizontal="right"/>
    </xf>
    <xf numFmtId="166" fontId="0" fillId="0" borderId="6" xfId="0" applyNumberFormat="1" applyBorder="1"/>
    <xf numFmtId="0" fontId="0" fillId="0" borderId="6" xfId="0" applyBorder="1"/>
    <xf numFmtId="164" fontId="0" fillId="0" borderId="4" xfId="0" applyNumberFormat="1" applyBorder="1"/>
    <xf numFmtId="43" fontId="0" fillId="0" borderId="7" xfId="3" applyNumberFormat="1" applyFont="1" applyBorder="1"/>
    <xf numFmtId="164" fontId="0" fillId="0" borderId="7" xfId="0" applyNumberFormat="1" applyBorder="1"/>
    <xf numFmtId="164" fontId="0" fillId="0" borderId="7" xfId="3" applyNumberFormat="1" applyFont="1" applyBorder="1"/>
    <xf numFmtId="0" fontId="0" fillId="0" borderId="7" xfId="0" applyBorder="1" applyAlignment="1">
      <alignment wrapText="1"/>
    </xf>
    <xf numFmtId="0" fontId="3" fillId="0" borderId="0" xfId="0" applyFont="1"/>
    <xf numFmtId="165" fontId="3" fillId="0" borderId="7" xfId="3" applyNumberFormat="1" applyFont="1" applyBorder="1" applyAlignment="1">
      <alignment horizontal="right"/>
    </xf>
    <xf numFmtId="43" fontId="3" fillId="0" borderId="7" xfId="3" applyNumberFormat="1" applyFont="1" applyBorder="1" applyAlignment="1">
      <alignment horizontal="right"/>
    </xf>
    <xf numFmtId="165" fontId="0" fillId="0" borderId="6" xfId="3" applyNumberFormat="1" applyFont="1" applyBorder="1" applyAlignment="1">
      <alignment horizontal="right"/>
    </xf>
    <xf numFmtId="0" fontId="0" fillId="0" borderId="0" xfId="0" applyBorder="1" applyAlignment="1">
      <alignment wrapText="1"/>
    </xf>
    <xf numFmtId="43" fontId="0" fillId="0" borderId="4" xfId="0" applyNumberFormat="1" applyBorder="1"/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43" fontId="0" fillId="0" borderId="7" xfId="0" applyNumberFormat="1" applyBorder="1"/>
    <xf numFmtId="0" fontId="3" fillId="0" borderId="4" xfId="0" applyFont="1" applyFill="1" applyBorder="1" applyAlignment="1">
      <alignment wrapText="1"/>
    </xf>
    <xf numFmtId="10" fontId="0" fillId="0" borderId="4" xfId="2" applyNumberFormat="1" applyFont="1" applyFill="1" applyBorder="1"/>
    <xf numFmtId="43" fontId="0" fillId="0" borderId="6" xfId="0" applyNumberFormat="1" applyBorder="1"/>
    <xf numFmtId="164" fontId="0" fillId="0" borderId="6" xfId="0" applyNumberFormat="1" applyBorder="1"/>
    <xf numFmtId="0" fontId="0" fillId="0" borderId="9" xfId="0" applyBorder="1" applyAlignment="1">
      <alignment wrapText="1"/>
    </xf>
    <xf numFmtId="43" fontId="0" fillId="0" borderId="9" xfId="3" applyNumberFormat="1" applyFont="1" applyBorder="1"/>
    <xf numFmtId="164" fontId="0" fillId="0" borderId="9" xfId="3" applyNumberFormat="1" applyFont="1" applyBorder="1"/>
    <xf numFmtId="44" fontId="0" fillId="0" borderId="7" xfId="0" applyNumberFormat="1" applyBorder="1"/>
    <xf numFmtId="0" fontId="10" fillId="0" borderId="0" xfId="0" applyFont="1"/>
    <xf numFmtId="164" fontId="0" fillId="0" borderId="12" xfId="1" applyNumberFormat="1" applyFont="1" applyBorder="1"/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3" fillId="0" borderId="10" xfId="0" applyFont="1" applyBorder="1" applyAlignment="1">
      <alignment horizontal="center" vertical="center" textRotation="90"/>
    </xf>
    <xf numFmtId="0" fontId="5" fillId="6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zoomScale="80" zoomScaleNormal="80" workbookViewId="0">
      <selection activeCell="E31" sqref="E31"/>
    </sheetView>
  </sheetViews>
  <sheetFormatPr defaultRowHeight="15" x14ac:dyDescent="0.25"/>
  <cols>
    <col min="1" max="1" width="56.85546875" customWidth="1"/>
    <col min="2" max="9" width="14.7109375" customWidth="1"/>
    <col min="10" max="10" width="34.7109375" style="1" customWidth="1"/>
  </cols>
  <sheetData>
    <row r="1" spans="1:10" s="3" customFormat="1" ht="23.25" x14ac:dyDescent="0.35">
      <c r="A1" s="96" t="s">
        <v>88</v>
      </c>
      <c r="J1" s="1"/>
    </row>
    <row r="2" spans="1:10" s="3" customFormat="1" x14ac:dyDescent="0.25">
      <c r="J2" s="1"/>
    </row>
    <row r="3" spans="1:10" s="3" customFormat="1" ht="23.25" x14ac:dyDescent="0.35">
      <c r="A3" s="59" t="s">
        <v>58</v>
      </c>
      <c r="J3" s="1"/>
    </row>
    <row r="4" spans="1:10" s="3" customFormat="1" ht="30.75" customHeight="1" x14ac:dyDescent="0.25">
      <c r="A4" s="99" t="s">
        <v>59</v>
      </c>
      <c r="B4" s="99"/>
      <c r="C4" s="99"/>
      <c r="D4" s="99"/>
      <c r="E4" s="99"/>
      <c r="F4" s="99"/>
      <c r="G4" s="99"/>
      <c r="H4" s="99"/>
      <c r="I4" s="99"/>
      <c r="J4" s="1"/>
    </row>
    <row r="5" spans="1:10" s="3" customFormat="1" x14ac:dyDescent="0.25">
      <c r="J5" s="82"/>
    </row>
    <row r="6" spans="1:10" s="3" customFormat="1" ht="18.75" x14ac:dyDescent="0.3">
      <c r="A6" s="24" t="s">
        <v>57</v>
      </c>
      <c r="J6" s="82"/>
    </row>
    <row r="7" spans="1:10" s="3" customFormat="1" ht="44.25" customHeight="1" x14ac:dyDescent="0.25">
      <c r="A7" s="27" t="s">
        <v>61</v>
      </c>
      <c r="B7" s="97">
        <f>21.1+21.1*1.1</f>
        <v>44.31</v>
      </c>
      <c r="C7" s="98" t="s">
        <v>60</v>
      </c>
      <c r="D7" s="98"/>
      <c r="E7" s="98"/>
      <c r="F7" s="98"/>
      <c r="G7" s="98"/>
      <c r="H7" s="98"/>
      <c r="I7" s="98"/>
      <c r="J7" s="98"/>
    </row>
    <row r="8" spans="1:10" s="3" customFormat="1" x14ac:dyDescent="0.25">
      <c r="J8" s="82"/>
    </row>
    <row r="9" spans="1:10" s="3" customFormat="1" ht="18.75" x14ac:dyDescent="0.3">
      <c r="A9" s="24" t="s">
        <v>40</v>
      </c>
      <c r="J9" s="82"/>
    </row>
    <row r="10" spans="1:10" ht="15.75" x14ac:dyDescent="0.25">
      <c r="A10" s="21" t="s">
        <v>8</v>
      </c>
      <c r="B10" s="22"/>
      <c r="C10" s="22"/>
      <c r="D10" s="22"/>
      <c r="E10" s="22"/>
      <c r="F10" s="22"/>
      <c r="G10" s="22"/>
      <c r="H10" s="23"/>
      <c r="I10" s="23"/>
    </row>
    <row r="11" spans="1:10" s="3" customFormat="1" ht="15.75" customHeight="1" x14ac:dyDescent="0.25">
      <c r="A11" s="105" t="s">
        <v>0</v>
      </c>
      <c r="B11" s="101" t="s">
        <v>5</v>
      </c>
      <c r="C11" s="101" t="s">
        <v>6</v>
      </c>
      <c r="D11" s="101" t="s">
        <v>7</v>
      </c>
      <c r="E11" s="103" t="s">
        <v>52</v>
      </c>
      <c r="F11" s="103"/>
      <c r="G11" s="103"/>
      <c r="H11" s="103" t="s">
        <v>54</v>
      </c>
      <c r="I11" s="103"/>
      <c r="J11" s="100" t="s">
        <v>66</v>
      </c>
    </row>
    <row r="12" spans="1:10" ht="45" x14ac:dyDescent="0.25">
      <c r="A12" s="106"/>
      <c r="B12" s="102"/>
      <c r="C12" s="102"/>
      <c r="D12" s="102"/>
      <c r="E12" s="30" t="s">
        <v>56</v>
      </c>
      <c r="F12" s="30" t="s">
        <v>2</v>
      </c>
      <c r="G12" s="30" t="s">
        <v>35</v>
      </c>
      <c r="H12" s="30" t="s">
        <v>56</v>
      </c>
      <c r="I12" s="30" t="s">
        <v>55</v>
      </c>
      <c r="J12" s="100"/>
    </row>
    <row r="13" spans="1:10" ht="60" customHeight="1" x14ac:dyDescent="0.25">
      <c r="A13" s="27" t="s">
        <v>9</v>
      </c>
      <c r="B13" s="29">
        <v>2</v>
      </c>
      <c r="C13" s="31">
        <v>1</v>
      </c>
      <c r="D13" s="32">
        <v>4</v>
      </c>
      <c r="E13" s="32">
        <f>B13*C13*D13</f>
        <v>8</v>
      </c>
      <c r="F13" s="33">
        <f>E13*$B$7</f>
        <v>354.48</v>
      </c>
      <c r="G13" s="31">
        <f>B13*C13</f>
        <v>2</v>
      </c>
      <c r="H13" s="34">
        <f>E13/B13</f>
        <v>4</v>
      </c>
      <c r="I13" s="33">
        <f>F13/B13</f>
        <v>177.24</v>
      </c>
      <c r="J13" s="27" t="s">
        <v>44</v>
      </c>
    </row>
    <row r="14" spans="1:10" ht="59.25" customHeight="1" x14ac:dyDescent="0.25">
      <c r="A14" s="27" t="s">
        <v>10</v>
      </c>
      <c r="B14" s="31">
        <v>2250</v>
      </c>
      <c r="C14" s="31">
        <v>1</v>
      </c>
      <c r="D14" s="32">
        <v>1</v>
      </c>
      <c r="E14" s="32">
        <f>B14*C14*D14</f>
        <v>2250</v>
      </c>
      <c r="F14" s="33">
        <f>E14*$B$7</f>
        <v>99697.5</v>
      </c>
      <c r="G14" s="31">
        <f>B14*C14</f>
        <v>2250</v>
      </c>
      <c r="H14" s="34">
        <f t="shared" ref="H14:H21" si="0">E14/B14</f>
        <v>1</v>
      </c>
      <c r="I14" s="33">
        <f>F14/B14</f>
        <v>44.31</v>
      </c>
      <c r="J14" s="27" t="s">
        <v>45</v>
      </c>
    </row>
    <row r="15" spans="1:10" ht="30" x14ac:dyDescent="0.25">
      <c r="A15" s="27" t="s">
        <v>11</v>
      </c>
      <c r="B15" s="31">
        <v>375</v>
      </c>
      <c r="C15" s="31">
        <v>1</v>
      </c>
      <c r="D15" s="32">
        <v>1</v>
      </c>
      <c r="E15" s="32">
        <f t="shared" ref="E15:E20" si="1">B15*C15*D15</f>
        <v>375</v>
      </c>
      <c r="F15" s="33">
        <f t="shared" ref="F15:F19" si="2">E15*$B$7</f>
        <v>16616.25</v>
      </c>
      <c r="G15" s="31">
        <f t="shared" ref="G15:G21" si="3">B15*C15</f>
        <v>375</v>
      </c>
      <c r="H15" s="34">
        <f t="shared" si="0"/>
        <v>1</v>
      </c>
      <c r="I15" s="33">
        <f t="shared" ref="I15:I21" si="4">F15/B15</f>
        <v>44.31</v>
      </c>
      <c r="J15" s="27" t="s">
        <v>46</v>
      </c>
    </row>
    <row r="16" spans="1:10" ht="30" x14ac:dyDescent="0.25">
      <c r="A16" s="27" t="s">
        <v>12</v>
      </c>
      <c r="B16" s="29">
        <v>4</v>
      </c>
      <c r="C16" s="31">
        <v>1</v>
      </c>
      <c r="D16" s="32">
        <v>5</v>
      </c>
      <c r="E16" s="32">
        <f>B16*C16*D16</f>
        <v>20</v>
      </c>
      <c r="F16" s="33">
        <f t="shared" si="2"/>
        <v>886.2</v>
      </c>
      <c r="G16" s="31">
        <f t="shared" si="3"/>
        <v>4</v>
      </c>
      <c r="H16" s="34">
        <f>E16/B16</f>
        <v>5</v>
      </c>
      <c r="I16" s="33">
        <f t="shared" si="4"/>
        <v>221.55</v>
      </c>
      <c r="J16" s="27" t="s">
        <v>47</v>
      </c>
    </row>
    <row r="17" spans="1:10" x14ac:dyDescent="0.25">
      <c r="A17" s="27" t="s">
        <v>13</v>
      </c>
      <c r="B17" s="29">
        <v>60</v>
      </c>
      <c r="C17" s="31">
        <v>1</v>
      </c>
      <c r="D17" s="32">
        <v>5</v>
      </c>
      <c r="E17" s="32">
        <f>B17*C17*D17</f>
        <v>300</v>
      </c>
      <c r="F17" s="33">
        <f t="shared" si="2"/>
        <v>13293</v>
      </c>
      <c r="G17" s="31">
        <f t="shared" si="3"/>
        <v>60</v>
      </c>
      <c r="H17" s="34">
        <f>E17/B17</f>
        <v>5</v>
      </c>
      <c r="I17" s="33">
        <f t="shared" si="4"/>
        <v>221.55</v>
      </c>
      <c r="J17" s="27" t="s">
        <v>47</v>
      </c>
    </row>
    <row r="18" spans="1:10" x14ac:dyDescent="0.25">
      <c r="A18" s="27" t="s">
        <v>14</v>
      </c>
      <c r="B18" s="29">
        <v>5</v>
      </c>
      <c r="C18" s="31">
        <v>1</v>
      </c>
      <c r="D18" s="32">
        <v>5</v>
      </c>
      <c r="E18" s="32">
        <f t="shared" si="1"/>
        <v>25</v>
      </c>
      <c r="F18" s="33">
        <f t="shared" si="2"/>
        <v>1107.75</v>
      </c>
      <c r="G18" s="31">
        <f t="shared" si="3"/>
        <v>5</v>
      </c>
      <c r="H18" s="34">
        <f>E18/B18</f>
        <v>5</v>
      </c>
      <c r="I18" s="33">
        <f t="shared" si="4"/>
        <v>221.55</v>
      </c>
      <c r="J18" s="27" t="s">
        <v>4</v>
      </c>
    </row>
    <row r="19" spans="1:10" ht="30" x14ac:dyDescent="0.25">
      <c r="A19" s="27" t="s">
        <v>15</v>
      </c>
      <c r="B19" s="29">
        <v>91</v>
      </c>
      <c r="C19" s="31">
        <v>2</v>
      </c>
      <c r="D19" s="32">
        <v>1</v>
      </c>
      <c r="E19" s="32">
        <f>B19*C19*D19</f>
        <v>182</v>
      </c>
      <c r="F19" s="33">
        <f t="shared" si="2"/>
        <v>8064.42</v>
      </c>
      <c r="G19" s="31">
        <f t="shared" si="3"/>
        <v>182</v>
      </c>
      <c r="H19" s="34">
        <f>E19/B19</f>
        <v>2</v>
      </c>
      <c r="I19" s="33">
        <f t="shared" si="4"/>
        <v>88.62</v>
      </c>
      <c r="J19" s="27" t="s">
        <v>4</v>
      </c>
    </row>
    <row r="20" spans="1:10" ht="45" x14ac:dyDescent="0.25">
      <c r="A20" s="27" t="s">
        <v>16</v>
      </c>
      <c r="B20" s="29">
        <v>15</v>
      </c>
      <c r="C20" s="29">
        <v>1</v>
      </c>
      <c r="D20" s="35">
        <v>0.5</v>
      </c>
      <c r="E20" s="35">
        <f t="shared" si="1"/>
        <v>7.5</v>
      </c>
      <c r="F20" s="36">
        <f>E20*$B$7</f>
        <v>332.32500000000005</v>
      </c>
      <c r="G20" s="29">
        <f t="shared" si="3"/>
        <v>15</v>
      </c>
      <c r="H20" s="34">
        <f t="shared" si="0"/>
        <v>0.5</v>
      </c>
      <c r="I20" s="33">
        <f t="shared" si="4"/>
        <v>22.155000000000005</v>
      </c>
      <c r="J20" s="27" t="s">
        <v>50</v>
      </c>
    </row>
    <row r="21" spans="1:10" ht="45.75" thickBot="1" x14ac:dyDescent="0.3">
      <c r="A21" s="43" t="s">
        <v>17</v>
      </c>
      <c r="B21" s="44">
        <v>5</v>
      </c>
      <c r="C21" s="44">
        <v>1</v>
      </c>
      <c r="D21" s="45">
        <v>0.5</v>
      </c>
      <c r="E21" s="45">
        <f>B21*C21*D21</f>
        <v>2.5</v>
      </c>
      <c r="F21" s="46">
        <f>E21*$B$7</f>
        <v>110.77500000000001</v>
      </c>
      <c r="G21" s="44">
        <f t="shared" si="3"/>
        <v>5</v>
      </c>
      <c r="H21" s="47">
        <f t="shared" si="0"/>
        <v>0.5</v>
      </c>
      <c r="I21" s="48">
        <f t="shared" si="4"/>
        <v>22.155000000000001</v>
      </c>
      <c r="J21" s="43" t="s">
        <v>50</v>
      </c>
    </row>
    <row r="22" spans="1:10" ht="15.75" thickTop="1" x14ac:dyDescent="0.25">
      <c r="A22" s="38" t="s">
        <v>18</v>
      </c>
      <c r="B22" s="39">
        <f>SUM(B13:B21)</f>
        <v>2807</v>
      </c>
      <c r="C22" s="60" t="s">
        <v>62</v>
      </c>
      <c r="D22" s="60" t="s">
        <v>62</v>
      </c>
      <c r="E22" s="40">
        <f>SUM(E13:E21)</f>
        <v>3170</v>
      </c>
      <c r="F22" s="41">
        <f>SUM(F13:F21)</f>
        <v>140462.70000000001</v>
      </c>
      <c r="G22" s="61">
        <f>SUM(G13:G21)</f>
        <v>2898</v>
      </c>
      <c r="H22" s="61" t="s">
        <v>62</v>
      </c>
      <c r="I22" s="61" t="s">
        <v>62</v>
      </c>
      <c r="J22" s="77"/>
    </row>
    <row r="23" spans="1:10" x14ac:dyDescent="0.25">
      <c r="A23" s="1"/>
      <c r="B23" s="3"/>
      <c r="C23" s="3"/>
      <c r="D23" s="3"/>
      <c r="E23" s="3"/>
      <c r="F23" s="3"/>
      <c r="G23" s="3"/>
    </row>
    <row r="24" spans="1:10" s="3" customFormat="1" ht="15.75" x14ac:dyDescent="0.25">
      <c r="A24" s="21" t="s">
        <v>19</v>
      </c>
      <c r="J24" s="1"/>
    </row>
    <row r="25" spans="1:10" x14ac:dyDescent="0.25">
      <c r="A25" s="104" t="s">
        <v>0</v>
      </c>
      <c r="B25" s="101" t="s">
        <v>5</v>
      </c>
      <c r="C25" s="101" t="s">
        <v>6</v>
      </c>
      <c r="D25" s="101" t="s">
        <v>7</v>
      </c>
      <c r="E25" s="103" t="s">
        <v>52</v>
      </c>
      <c r="F25" s="103"/>
      <c r="G25" s="103"/>
      <c r="H25" s="103" t="s">
        <v>54</v>
      </c>
      <c r="I25" s="103"/>
      <c r="J25" s="100" t="s">
        <v>66</v>
      </c>
    </row>
    <row r="26" spans="1:10" ht="45" x14ac:dyDescent="0.25">
      <c r="A26" s="104"/>
      <c r="B26" s="102"/>
      <c r="C26" s="102"/>
      <c r="D26" s="102"/>
      <c r="E26" s="30" t="s">
        <v>56</v>
      </c>
      <c r="F26" s="30" t="s">
        <v>2</v>
      </c>
      <c r="G26" s="30" t="s">
        <v>35</v>
      </c>
      <c r="H26" s="30" t="s">
        <v>56</v>
      </c>
      <c r="I26" s="30" t="s">
        <v>55</v>
      </c>
      <c r="J26" s="100"/>
    </row>
    <row r="27" spans="1:10" ht="47.25" customHeight="1" x14ac:dyDescent="0.25">
      <c r="A27" s="27" t="s">
        <v>20</v>
      </c>
      <c r="B27" s="62">
        <f>B13</f>
        <v>2</v>
      </c>
      <c r="C27" s="54">
        <v>1</v>
      </c>
      <c r="D27" s="51">
        <v>0.125</v>
      </c>
      <c r="E27" s="50">
        <f>B27*C27*D27</f>
        <v>0.25</v>
      </c>
      <c r="F27" s="52">
        <f>E27*$B$7</f>
        <v>11.077500000000001</v>
      </c>
      <c r="G27" s="53">
        <f>B27*C27</f>
        <v>2</v>
      </c>
      <c r="H27" s="37">
        <f>E27/B27</f>
        <v>0.125</v>
      </c>
      <c r="I27" s="33">
        <f>F27/B27</f>
        <v>5.5387500000000003</v>
      </c>
      <c r="J27" s="27" t="s">
        <v>44</v>
      </c>
    </row>
    <row r="28" spans="1:10" ht="30" x14ac:dyDescent="0.25">
      <c r="A28" s="27" t="s">
        <v>21</v>
      </c>
      <c r="B28" s="62">
        <v>7500</v>
      </c>
      <c r="C28" s="54">
        <v>260</v>
      </c>
      <c r="D28" s="51">
        <v>0.05</v>
      </c>
      <c r="E28" s="50">
        <f>B28*C28*D28</f>
        <v>97500</v>
      </c>
      <c r="F28" s="52">
        <f>E28*$B$7</f>
        <v>4320225</v>
      </c>
      <c r="G28" s="53">
        <f t="shared" ref="G28:G38" si="5">B28*C28</f>
        <v>1950000</v>
      </c>
      <c r="H28" s="37">
        <f>E28/B28</f>
        <v>13</v>
      </c>
      <c r="I28" s="33">
        <f t="shared" ref="I28:I39" si="6">F28/B28</f>
        <v>576.03</v>
      </c>
      <c r="J28" s="27" t="s">
        <v>46</v>
      </c>
    </row>
    <row r="29" spans="1:10" x14ac:dyDescent="0.25">
      <c r="A29" s="27" t="s">
        <v>22</v>
      </c>
      <c r="B29" s="62">
        <f>B17</f>
        <v>60</v>
      </c>
      <c r="C29" s="54">
        <v>50</v>
      </c>
      <c r="D29" s="51">
        <v>0.125</v>
      </c>
      <c r="E29" s="50">
        <f>B29*C29*D29</f>
        <v>375</v>
      </c>
      <c r="F29" s="52">
        <f t="shared" ref="F29:F39" si="7">E29*$B$7</f>
        <v>16616.25</v>
      </c>
      <c r="G29" s="53">
        <f t="shared" si="5"/>
        <v>3000</v>
      </c>
      <c r="H29" s="37">
        <f t="shared" ref="H29:H36" si="8">E29/B29</f>
        <v>6.25</v>
      </c>
      <c r="I29" s="33">
        <f t="shared" si="6"/>
        <v>276.9375</v>
      </c>
      <c r="J29" s="27" t="s">
        <v>47</v>
      </c>
    </row>
    <row r="30" spans="1:10" ht="45" x14ac:dyDescent="0.25">
      <c r="A30" s="27" t="s">
        <v>23</v>
      </c>
      <c r="B30" s="62">
        <v>200000</v>
      </c>
      <c r="C30" s="63">
        <v>25</v>
      </c>
      <c r="D30" s="51">
        <v>3.3000000000000002E-2</v>
      </c>
      <c r="E30" s="54">
        <f>B30*C30*D30</f>
        <v>165000</v>
      </c>
      <c r="F30" s="52">
        <f>E30*$B$7</f>
        <v>7311150</v>
      </c>
      <c r="G30" s="53">
        <f>B30*C30</f>
        <v>5000000</v>
      </c>
      <c r="H30" s="37">
        <f>E30/B30</f>
        <v>0.82499999999999996</v>
      </c>
      <c r="I30" s="33">
        <f t="shared" si="6"/>
        <v>36.555750000000003</v>
      </c>
      <c r="J30" s="27" t="s">
        <v>48</v>
      </c>
    </row>
    <row r="31" spans="1:10" x14ac:dyDescent="0.25">
      <c r="A31" s="27" t="s">
        <v>24</v>
      </c>
      <c r="B31" s="62">
        <f>B19</f>
        <v>91</v>
      </c>
      <c r="C31" s="54">
        <v>1</v>
      </c>
      <c r="D31" s="51">
        <v>5</v>
      </c>
      <c r="E31" s="50">
        <f t="shared" ref="E31:E38" si="9">B31*C31*D31</f>
        <v>455</v>
      </c>
      <c r="F31" s="52">
        <f t="shared" si="7"/>
        <v>20161.05</v>
      </c>
      <c r="G31" s="53">
        <f t="shared" si="5"/>
        <v>91</v>
      </c>
      <c r="H31" s="37">
        <f>E31/B31</f>
        <v>5</v>
      </c>
      <c r="I31" s="33">
        <f t="shared" si="6"/>
        <v>221.54999999999998</v>
      </c>
      <c r="J31" s="27" t="s">
        <v>4</v>
      </c>
    </row>
    <row r="32" spans="1:10" s="3" customFormat="1" x14ac:dyDescent="0.25">
      <c r="A32" s="27" t="s">
        <v>42</v>
      </c>
      <c r="B32" s="62">
        <f>B33*0.1</f>
        <v>30000</v>
      </c>
      <c r="C32" s="54">
        <v>1</v>
      </c>
      <c r="D32" s="51">
        <v>1.67E-2</v>
      </c>
      <c r="E32" s="50">
        <f>B32*C32*D32</f>
        <v>501</v>
      </c>
      <c r="F32" s="52">
        <f>E32*$B$7</f>
        <v>22199.31</v>
      </c>
      <c r="G32" s="53">
        <f>B32*C32</f>
        <v>30000</v>
      </c>
      <c r="H32" s="37">
        <f t="shared" si="8"/>
        <v>1.67E-2</v>
      </c>
      <c r="I32" s="33">
        <f>F32/B32</f>
        <v>0.739977</v>
      </c>
      <c r="J32" s="27" t="s">
        <v>49</v>
      </c>
    </row>
    <row r="33" spans="1:10" x14ac:dyDescent="0.25">
      <c r="A33" s="27" t="s">
        <v>41</v>
      </c>
      <c r="B33" s="62">
        <v>300000</v>
      </c>
      <c r="C33" s="54">
        <v>1</v>
      </c>
      <c r="D33" s="51">
        <v>1.67E-2</v>
      </c>
      <c r="E33" s="50">
        <f>B33*C33*D33</f>
        <v>5010</v>
      </c>
      <c r="F33" s="52">
        <f t="shared" si="7"/>
        <v>221993.1</v>
      </c>
      <c r="G33" s="53">
        <f t="shared" si="5"/>
        <v>300000</v>
      </c>
      <c r="H33" s="37">
        <f t="shared" si="8"/>
        <v>1.67E-2</v>
      </c>
      <c r="I33" s="33">
        <f t="shared" si="6"/>
        <v>0.739977</v>
      </c>
      <c r="J33" s="27" t="s">
        <v>49</v>
      </c>
    </row>
    <row r="34" spans="1:10" ht="30" x14ac:dyDescent="0.25">
      <c r="A34" s="27" t="s">
        <v>25</v>
      </c>
      <c r="B34" s="62">
        <v>20500</v>
      </c>
      <c r="C34" s="62">
        <v>1</v>
      </c>
      <c r="D34" s="55">
        <v>2.5000000000000001E-2</v>
      </c>
      <c r="E34" s="49">
        <f t="shared" si="9"/>
        <v>512.5</v>
      </c>
      <c r="F34" s="52">
        <f t="shared" si="7"/>
        <v>22708.875</v>
      </c>
      <c r="G34" s="53">
        <f t="shared" si="5"/>
        <v>20500</v>
      </c>
      <c r="H34" s="37">
        <f t="shared" si="8"/>
        <v>2.5000000000000001E-2</v>
      </c>
      <c r="I34" s="33">
        <f t="shared" si="6"/>
        <v>1.10775</v>
      </c>
      <c r="J34" s="27" t="s">
        <v>49</v>
      </c>
    </row>
    <row r="35" spans="1:10" ht="30" x14ac:dyDescent="0.25">
      <c r="A35" s="27" t="s">
        <v>26</v>
      </c>
      <c r="B35" s="62">
        <v>20500</v>
      </c>
      <c r="C35" s="62">
        <v>1</v>
      </c>
      <c r="D35" s="55">
        <v>2.5000000000000001E-2</v>
      </c>
      <c r="E35" s="49">
        <f t="shared" si="9"/>
        <v>512.5</v>
      </c>
      <c r="F35" s="52">
        <f t="shared" si="7"/>
        <v>22708.875</v>
      </c>
      <c r="G35" s="53">
        <f t="shared" si="5"/>
        <v>20500</v>
      </c>
      <c r="H35" s="37">
        <f t="shared" si="8"/>
        <v>2.5000000000000001E-2</v>
      </c>
      <c r="I35" s="33">
        <f t="shared" si="6"/>
        <v>1.10775</v>
      </c>
      <c r="J35" s="27" t="s">
        <v>50</v>
      </c>
    </row>
    <row r="36" spans="1:10" ht="30" x14ac:dyDescent="0.25">
      <c r="A36" s="27" t="s">
        <v>27</v>
      </c>
      <c r="B36" s="62">
        <v>2</v>
      </c>
      <c r="C36" s="62">
        <v>1</v>
      </c>
      <c r="D36" s="55">
        <v>2.5000000000000001E-2</v>
      </c>
      <c r="E36" s="49">
        <f t="shared" si="9"/>
        <v>0.05</v>
      </c>
      <c r="F36" s="52">
        <f t="shared" si="7"/>
        <v>2.2155</v>
      </c>
      <c r="G36" s="53">
        <f t="shared" si="5"/>
        <v>2</v>
      </c>
      <c r="H36" s="37">
        <f t="shared" si="8"/>
        <v>2.5000000000000001E-2</v>
      </c>
      <c r="I36" s="33">
        <f t="shared" si="6"/>
        <v>1.10775</v>
      </c>
      <c r="J36" s="27" t="s">
        <v>50</v>
      </c>
    </row>
    <row r="37" spans="1:10" ht="45" x14ac:dyDescent="0.25">
      <c r="A37" s="27" t="s">
        <v>28</v>
      </c>
      <c r="B37" s="62">
        <v>5000</v>
      </c>
      <c r="C37" s="62">
        <v>1</v>
      </c>
      <c r="D37" s="55">
        <v>8</v>
      </c>
      <c r="E37" s="49">
        <f t="shared" si="9"/>
        <v>40000</v>
      </c>
      <c r="F37" s="52">
        <f t="shared" si="7"/>
        <v>1772400</v>
      </c>
      <c r="G37" s="53">
        <f t="shared" si="5"/>
        <v>5000</v>
      </c>
      <c r="H37" s="37">
        <f>E37/B37</f>
        <v>8</v>
      </c>
      <c r="I37" s="33">
        <f t="shared" si="6"/>
        <v>354.48</v>
      </c>
      <c r="J37" s="27" t="s">
        <v>50</v>
      </c>
    </row>
    <row r="38" spans="1:10" ht="45" x14ac:dyDescent="0.25">
      <c r="A38" s="27" t="s">
        <v>29</v>
      </c>
      <c r="B38" s="62">
        <v>200000</v>
      </c>
      <c r="C38" s="62">
        <v>1</v>
      </c>
      <c r="D38" s="55">
        <v>2.5000000000000001E-2</v>
      </c>
      <c r="E38" s="49">
        <f t="shared" si="9"/>
        <v>5000</v>
      </c>
      <c r="F38" s="52">
        <f t="shared" si="7"/>
        <v>221550</v>
      </c>
      <c r="G38" s="53">
        <f t="shared" si="5"/>
        <v>200000</v>
      </c>
      <c r="H38" s="37">
        <f>E38/B38</f>
        <v>2.5000000000000001E-2</v>
      </c>
      <c r="I38" s="33">
        <f t="shared" si="6"/>
        <v>1.10775</v>
      </c>
      <c r="J38" s="27" t="s">
        <v>50</v>
      </c>
    </row>
    <row r="39" spans="1:10" ht="44.25" thickBot="1" x14ac:dyDescent="0.3">
      <c r="A39" s="43" t="s">
        <v>30</v>
      </c>
      <c r="B39" s="67">
        <v>100025</v>
      </c>
      <c r="C39" s="67">
        <v>1</v>
      </c>
      <c r="D39" s="68">
        <v>2.5000000000000001E-2</v>
      </c>
      <c r="E39" s="69">
        <f>B39*C39*D39</f>
        <v>2500.625</v>
      </c>
      <c r="F39" s="70">
        <f t="shared" si="7"/>
        <v>110802.69375000001</v>
      </c>
      <c r="G39" s="71">
        <f>B39*C39</f>
        <v>100025</v>
      </c>
      <c r="H39" s="72">
        <f>E39/B39</f>
        <v>2.5000000000000001E-2</v>
      </c>
      <c r="I39" s="48">
        <f t="shared" si="6"/>
        <v>1.10775</v>
      </c>
      <c r="J39" s="48" t="s">
        <v>50</v>
      </c>
    </row>
    <row r="40" spans="1:10" ht="15.75" thickTop="1" x14ac:dyDescent="0.25">
      <c r="A40" s="38" t="s">
        <v>18</v>
      </c>
      <c r="B40" s="64">
        <f>SUM(B27:B39)</f>
        <v>883680</v>
      </c>
      <c r="C40" s="61" t="s">
        <v>62</v>
      </c>
      <c r="D40" s="61" t="s">
        <v>62</v>
      </c>
      <c r="E40" s="64">
        <f t="shared" ref="E40" si="10">SUM(E27:E39)</f>
        <v>317366.92499999999</v>
      </c>
      <c r="F40" s="65">
        <f>SUM(F27:F39)</f>
        <v>14062528.446750002</v>
      </c>
      <c r="G40" s="61">
        <f>SUM(G27:G39)</f>
        <v>7629120</v>
      </c>
      <c r="H40" s="66" t="s">
        <v>62</v>
      </c>
      <c r="I40" s="66" t="s">
        <v>62</v>
      </c>
      <c r="J40" s="27"/>
    </row>
    <row r="41" spans="1:10" hidden="1" x14ac:dyDescent="0.25">
      <c r="A41" s="5" t="s">
        <v>31</v>
      </c>
      <c r="B41" s="18">
        <f t="shared" ref="B41:G41" si="11">SUM(B27:B31)+B32+SUM(B34:B39)</f>
        <v>583680</v>
      </c>
      <c r="C41" s="18">
        <f t="shared" si="11"/>
        <v>344</v>
      </c>
      <c r="D41" s="18">
        <f t="shared" si="11"/>
        <v>13.4747</v>
      </c>
      <c r="E41" s="18">
        <f t="shared" si="11"/>
        <v>312356.92499999999</v>
      </c>
      <c r="F41" s="13">
        <f t="shared" si="11"/>
        <v>13840535.346750002</v>
      </c>
      <c r="G41" s="11">
        <f t="shared" si="11"/>
        <v>7329120</v>
      </c>
      <c r="H41" s="3"/>
    </row>
    <row r="42" spans="1:10" hidden="1" x14ac:dyDescent="0.25">
      <c r="A42" s="5" t="s">
        <v>32</v>
      </c>
      <c r="B42" s="19">
        <f t="shared" ref="B42:G42" si="12">SUM(B27:B31)+SUM(B34:B39)</f>
        <v>553680</v>
      </c>
      <c r="C42" s="19">
        <f t="shared" si="12"/>
        <v>343</v>
      </c>
      <c r="D42" s="19">
        <f t="shared" si="12"/>
        <v>13.458</v>
      </c>
      <c r="E42" s="19">
        <f t="shared" si="12"/>
        <v>311855.92499999999</v>
      </c>
      <c r="F42" s="8">
        <f t="shared" si="12"/>
        <v>13818336.036750002</v>
      </c>
      <c r="G42" s="9">
        <f t="shared" si="12"/>
        <v>7299120</v>
      </c>
      <c r="H42" s="3"/>
    </row>
    <row r="43" spans="1:10" x14ac:dyDescent="0.25">
      <c r="A43" s="1"/>
      <c r="B43" s="3"/>
      <c r="C43" s="3"/>
      <c r="D43" s="3"/>
      <c r="E43" s="3"/>
      <c r="F43" s="3"/>
      <c r="G43" s="3"/>
      <c r="H43" s="3"/>
    </row>
    <row r="44" spans="1:10" x14ac:dyDescent="0.25">
      <c r="A44" s="1"/>
      <c r="B44" s="3"/>
      <c r="C44" s="3"/>
      <c r="D44" s="3"/>
      <c r="E44" s="3"/>
      <c r="F44" s="3"/>
      <c r="G44" s="3"/>
      <c r="H44" s="3"/>
    </row>
    <row r="45" spans="1:10" ht="45" x14ac:dyDescent="0.25">
      <c r="A45" s="20"/>
      <c r="B45" s="25" t="s">
        <v>33</v>
      </c>
      <c r="C45" s="25" t="s">
        <v>34</v>
      </c>
      <c r="D45" s="25" t="s">
        <v>67</v>
      </c>
      <c r="E45" s="25" t="s">
        <v>53</v>
      </c>
      <c r="F45" s="3"/>
      <c r="G45" s="3"/>
      <c r="H45" s="3"/>
    </row>
    <row r="46" spans="1:10" x14ac:dyDescent="0.25">
      <c r="A46" s="4"/>
      <c r="B46" s="57">
        <f>B40</f>
        <v>883680</v>
      </c>
      <c r="C46" s="57">
        <f>$G$22+G40</f>
        <v>7632018</v>
      </c>
      <c r="D46" s="57">
        <f>$E$22+E40</f>
        <v>320536.92499999999</v>
      </c>
      <c r="E46" s="58">
        <f>$F$22+F40</f>
        <v>14202991.146750001</v>
      </c>
      <c r="F46" s="10"/>
    </row>
    <row r="47" spans="1:10" hidden="1" x14ac:dyDescent="0.25">
      <c r="A47" s="4">
        <v>2</v>
      </c>
      <c r="B47" s="12">
        <f t="shared" ref="B47:B48" si="13">B41</f>
        <v>583680</v>
      </c>
      <c r="C47" s="12">
        <f t="shared" ref="C47:C48" si="14">$G$22+G41</f>
        <v>7332018</v>
      </c>
      <c r="D47" s="12">
        <f t="shared" ref="D47:D48" si="15">$E$22+E41</f>
        <v>315526.92499999999</v>
      </c>
      <c r="E47" s="14">
        <f t="shared" ref="E47:E48" si="16">$F$22+F41</f>
        <v>13980998.046750002</v>
      </c>
      <c r="F47" s="17">
        <f>(E47-$E$46)/$E$46</f>
        <v>-1.5630024528375291E-2</v>
      </c>
    </row>
    <row r="48" spans="1:10" hidden="1" x14ac:dyDescent="0.25">
      <c r="A48" s="4">
        <v>3</v>
      </c>
      <c r="B48" s="12">
        <f t="shared" si="13"/>
        <v>553680</v>
      </c>
      <c r="C48" s="12">
        <f t="shared" si="14"/>
        <v>7302018</v>
      </c>
      <c r="D48" s="12">
        <f t="shared" si="15"/>
        <v>315025.92499999999</v>
      </c>
      <c r="E48" s="14">
        <f t="shared" si="16"/>
        <v>13958798.736750001</v>
      </c>
      <c r="F48" s="17">
        <f>(E48-$E$46)/$E$46</f>
        <v>-1.7193026981212861E-2</v>
      </c>
    </row>
  </sheetData>
  <mergeCells count="16">
    <mergeCell ref="C7:J7"/>
    <mergeCell ref="A4:I4"/>
    <mergeCell ref="J11:J12"/>
    <mergeCell ref="J25:J26"/>
    <mergeCell ref="B25:B26"/>
    <mergeCell ref="C25:C26"/>
    <mergeCell ref="D25:D26"/>
    <mergeCell ref="E25:G25"/>
    <mergeCell ref="H25:I25"/>
    <mergeCell ref="A25:A26"/>
    <mergeCell ref="E11:G11"/>
    <mergeCell ref="H11:I11"/>
    <mergeCell ref="A11:A12"/>
    <mergeCell ref="B11:B12"/>
    <mergeCell ref="C11:C12"/>
    <mergeCell ref="D11:D12"/>
  </mergeCells>
  <pageMargins left="0.7" right="0.7" top="0.75" bottom="0.75" header="0.3" footer="0.3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7" zoomScale="80" zoomScaleNormal="80" workbookViewId="0">
      <selection activeCell="J10" sqref="J10"/>
    </sheetView>
  </sheetViews>
  <sheetFormatPr defaultRowHeight="15" x14ac:dyDescent="0.25"/>
  <cols>
    <col min="1" max="1" width="56.85546875" style="3" customWidth="1"/>
    <col min="2" max="9" width="14.7109375" style="3" customWidth="1"/>
    <col min="10" max="16384" width="9.140625" style="3"/>
  </cols>
  <sheetData>
    <row r="1" spans="1:10" ht="23.25" x14ac:dyDescent="0.35">
      <c r="A1" s="96" t="s">
        <v>88</v>
      </c>
      <c r="J1" s="1"/>
    </row>
    <row r="2" spans="1:10" x14ac:dyDescent="0.25">
      <c r="J2" s="1"/>
    </row>
    <row r="3" spans="1:10" ht="23.25" x14ac:dyDescent="0.35">
      <c r="A3" s="59" t="s">
        <v>3</v>
      </c>
      <c r="J3" s="1"/>
    </row>
    <row r="4" spans="1:10" x14ac:dyDescent="0.25">
      <c r="A4" s="99" t="s">
        <v>74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ht="18.75" x14ac:dyDescent="0.3">
      <c r="A5" s="24" t="s">
        <v>57</v>
      </c>
    </row>
    <row r="6" spans="1:10" ht="48" customHeight="1" x14ac:dyDescent="0.25">
      <c r="A6" s="27" t="s">
        <v>86</v>
      </c>
      <c r="B6" s="28">
        <f>20.11*1.6</f>
        <v>32.176000000000002</v>
      </c>
      <c r="C6" s="107" t="s">
        <v>43</v>
      </c>
      <c r="D6" s="107"/>
      <c r="E6" s="107"/>
      <c r="F6" s="107"/>
      <c r="G6" s="107"/>
      <c r="H6" s="107"/>
      <c r="I6" s="107"/>
    </row>
    <row r="8" spans="1:10" ht="18.75" x14ac:dyDescent="0.3">
      <c r="A8" s="24" t="s">
        <v>39</v>
      </c>
    </row>
    <row r="9" spans="1:10" ht="15.75" x14ac:dyDescent="0.25">
      <c r="A9" s="21" t="s">
        <v>38</v>
      </c>
      <c r="B9" s="21"/>
      <c r="C9" s="21"/>
      <c r="D9" s="21"/>
      <c r="E9" s="21"/>
      <c r="F9" s="21"/>
    </row>
    <row r="10" spans="1:10" ht="60" x14ac:dyDescent="0.25">
      <c r="A10" s="2" t="s">
        <v>0</v>
      </c>
      <c r="B10" s="6" t="s">
        <v>5</v>
      </c>
      <c r="C10" s="6" t="s">
        <v>6</v>
      </c>
      <c r="D10" s="6" t="s">
        <v>36</v>
      </c>
      <c r="E10" s="6" t="s">
        <v>75</v>
      </c>
      <c r="F10" s="6" t="s">
        <v>37</v>
      </c>
    </row>
    <row r="11" spans="1:10" ht="15" customHeight="1" x14ac:dyDescent="0.25">
      <c r="A11" s="27" t="s">
        <v>9</v>
      </c>
      <c r="B11" s="62">
        <v>2</v>
      </c>
      <c r="C11" s="62">
        <v>1</v>
      </c>
      <c r="D11" s="56">
        <v>0.5</v>
      </c>
      <c r="E11" s="56">
        <f>B11*C11*D11</f>
        <v>1</v>
      </c>
      <c r="F11" s="52">
        <f>E11*$B$6</f>
        <v>32.176000000000002</v>
      </c>
    </row>
    <row r="12" spans="1:10" ht="60" x14ac:dyDescent="0.25">
      <c r="A12" s="27" t="s">
        <v>10</v>
      </c>
      <c r="B12" s="62">
        <v>2250</v>
      </c>
      <c r="C12" s="62">
        <v>1</v>
      </c>
      <c r="D12" s="49">
        <v>0.25</v>
      </c>
      <c r="E12" s="56">
        <f>B12*C12*D12</f>
        <v>562.5</v>
      </c>
      <c r="F12" s="52">
        <f>E12*$B$6</f>
        <v>18099</v>
      </c>
    </row>
    <row r="13" spans="1:10" ht="30" x14ac:dyDescent="0.25">
      <c r="A13" s="27" t="s">
        <v>11</v>
      </c>
      <c r="B13" s="62">
        <v>375</v>
      </c>
      <c r="C13" s="62">
        <v>1</v>
      </c>
      <c r="D13" s="49">
        <v>0.25</v>
      </c>
      <c r="E13" s="49">
        <f t="shared" ref="E13:E19" si="0">B13*C13*D13</f>
        <v>93.75</v>
      </c>
      <c r="F13" s="52">
        <f t="shared" ref="F13:F18" si="1">E13*$B$6</f>
        <v>3016.5</v>
      </c>
    </row>
    <row r="14" spans="1:10" ht="30" x14ac:dyDescent="0.25">
      <c r="A14" s="27" t="s">
        <v>12</v>
      </c>
      <c r="B14" s="62">
        <v>4</v>
      </c>
      <c r="C14" s="62">
        <v>1</v>
      </c>
      <c r="D14" s="56">
        <v>1</v>
      </c>
      <c r="E14" s="56">
        <f t="shared" si="0"/>
        <v>4</v>
      </c>
      <c r="F14" s="52">
        <f t="shared" si="1"/>
        <v>128.70400000000001</v>
      </c>
    </row>
    <row r="15" spans="1:10" x14ac:dyDescent="0.25">
      <c r="A15" s="27" t="s">
        <v>13</v>
      </c>
      <c r="B15" s="62">
        <v>60</v>
      </c>
      <c r="C15" s="62">
        <v>1</v>
      </c>
      <c r="D15" s="56">
        <v>1</v>
      </c>
      <c r="E15" s="56">
        <f t="shared" si="0"/>
        <v>60</v>
      </c>
      <c r="F15" s="52">
        <f t="shared" si="1"/>
        <v>1930.5600000000002</v>
      </c>
    </row>
    <row r="16" spans="1:10" x14ac:dyDescent="0.25">
      <c r="A16" s="27" t="s">
        <v>14</v>
      </c>
      <c r="B16" s="62">
        <v>5</v>
      </c>
      <c r="C16" s="62">
        <v>1</v>
      </c>
      <c r="D16" s="56">
        <v>2</v>
      </c>
      <c r="E16" s="56">
        <f t="shared" si="0"/>
        <v>10</v>
      </c>
      <c r="F16" s="52">
        <f t="shared" si="1"/>
        <v>321.76</v>
      </c>
    </row>
    <row r="17" spans="1:8" ht="30" x14ac:dyDescent="0.25">
      <c r="A17" s="27" t="s">
        <v>15</v>
      </c>
      <c r="B17" s="62">
        <v>91</v>
      </c>
      <c r="C17" s="62">
        <v>2</v>
      </c>
      <c r="D17" s="56">
        <v>1</v>
      </c>
      <c r="E17" s="56">
        <f t="shared" si="0"/>
        <v>182</v>
      </c>
      <c r="F17" s="52">
        <f t="shared" si="1"/>
        <v>5856.0320000000002</v>
      </c>
    </row>
    <row r="18" spans="1:8" ht="45" x14ac:dyDescent="0.25">
      <c r="A18" s="27" t="s">
        <v>16</v>
      </c>
      <c r="B18" s="62">
        <v>15</v>
      </c>
      <c r="C18" s="62">
        <v>1</v>
      </c>
      <c r="D18" s="56">
        <v>0.5</v>
      </c>
      <c r="E18" s="56">
        <f t="shared" si="0"/>
        <v>7.5</v>
      </c>
      <c r="F18" s="52">
        <f t="shared" si="1"/>
        <v>241.32000000000002</v>
      </c>
    </row>
    <row r="19" spans="1:8" ht="45.75" thickBot="1" x14ac:dyDescent="0.3">
      <c r="A19" s="43" t="s">
        <v>17</v>
      </c>
      <c r="B19" s="67">
        <v>5</v>
      </c>
      <c r="C19" s="67">
        <v>1</v>
      </c>
      <c r="D19" s="81">
        <v>1</v>
      </c>
      <c r="E19" s="81">
        <f t="shared" si="0"/>
        <v>5</v>
      </c>
      <c r="F19" s="70">
        <f>E19*$B$6</f>
        <v>160.88</v>
      </c>
    </row>
    <row r="20" spans="1:8" ht="15.75" thickTop="1" x14ac:dyDescent="0.25">
      <c r="A20" s="38" t="s">
        <v>18</v>
      </c>
      <c r="B20" s="64">
        <f>SUM(B11:B19)</f>
        <v>2807</v>
      </c>
      <c r="C20" s="64">
        <f t="shared" ref="C20:D20" si="2">SUM(C11:C19)</f>
        <v>10</v>
      </c>
      <c r="D20" s="79">
        <f t="shared" si="2"/>
        <v>7.5</v>
      </c>
      <c r="E20" s="80">
        <f>SUM(E11:E19)</f>
        <v>925.75</v>
      </c>
      <c r="F20" s="65">
        <f>SUM(F11:F19)</f>
        <v>29786.932000000001</v>
      </c>
      <c r="G20" s="16"/>
      <c r="H20" s="15"/>
    </row>
    <row r="21" spans="1:8" x14ac:dyDescent="0.25">
      <c r="A21" s="1"/>
      <c r="H21" s="7"/>
    </row>
  </sheetData>
  <mergeCells count="2">
    <mergeCell ref="A4:J4"/>
    <mergeCell ref="C6:I6"/>
  </mergeCells>
  <pageMargins left="0.7" right="0.7" top="0.75" bottom="0.75" header="0.3" footer="0.3"/>
  <pageSetup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80" zoomScaleNormal="80" workbookViewId="0">
      <selection activeCell="I20" sqref="I20"/>
    </sheetView>
  </sheetViews>
  <sheetFormatPr defaultRowHeight="15" x14ac:dyDescent="0.25"/>
  <cols>
    <col min="1" max="1" width="65.28515625" bestFit="1" customWidth="1"/>
    <col min="2" max="2" width="20.28515625" customWidth="1"/>
    <col min="3" max="3" width="21.5703125" customWidth="1"/>
    <col min="4" max="5" width="20.28515625" style="3" customWidth="1"/>
    <col min="6" max="6" width="13.28515625" bestFit="1" customWidth="1"/>
    <col min="7" max="8" width="12.7109375" customWidth="1"/>
  </cols>
  <sheetData>
    <row r="1" spans="1:10" s="3" customFormat="1" ht="23.25" x14ac:dyDescent="0.35">
      <c r="A1" s="96" t="s">
        <v>88</v>
      </c>
      <c r="J1" s="1"/>
    </row>
    <row r="2" spans="1:10" s="3" customFormat="1" x14ac:dyDescent="0.25">
      <c r="J2" s="1"/>
    </row>
    <row r="3" spans="1:10" s="3" customFormat="1" ht="23.25" x14ac:dyDescent="0.35">
      <c r="A3" s="59" t="s">
        <v>73</v>
      </c>
      <c r="J3" s="1"/>
    </row>
    <row r="4" spans="1:10" s="3" customFormat="1" ht="30.75" customHeight="1" x14ac:dyDescent="0.25">
      <c r="A4" s="99" t="s">
        <v>68</v>
      </c>
      <c r="B4" s="99"/>
      <c r="C4" s="99"/>
      <c r="D4" s="99"/>
      <c r="E4" s="99"/>
      <c r="F4" s="1"/>
      <c r="G4" s="1"/>
      <c r="H4" s="1"/>
      <c r="I4" s="1"/>
      <c r="J4" s="1"/>
    </row>
    <row r="6" spans="1:10" s="3" customFormat="1" x14ac:dyDescent="0.25">
      <c r="A6" s="78" t="s">
        <v>69</v>
      </c>
    </row>
    <row r="7" spans="1:10" ht="30" x14ac:dyDescent="0.25">
      <c r="A7" s="30" t="s">
        <v>65</v>
      </c>
      <c r="B7" s="26" t="s">
        <v>71</v>
      </c>
      <c r="C7" s="26" t="s">
        <v>72</v>
      </c>
      <c r="D7" s="26" t="s">
        <v>63</v>
      </c>
      <c r="E7" s="26" t="s">
        <v>64</v>
      </c>
    </row>
    <row r="8" spans="1:10" x14ac:dyDescent="0.25">
      <c r="A8" s="42" t="s">
        <v>44</v>
      </c>
      <c r="B8" s="74">
        <f>SUMIFS('Respondent Burden'!$E$13:$E$21,'Respondent Burden'!$J$13:$J$21,'Summary of Burden By Respondent'!A8)</f>
        <v>8</v>
      </c>
      <c r="C8" s="74">
        <f>SUMIFS('Respondent Burden'!$E$27:$E$39,'Respondent Burden'!$J$27:$J$39,'Summary of Burden By Respondent'!A8)</f>
        <v>0.25</v>
      </c>
      <c r="D8" s="74">
        <f>SUM(B8:C8)</f>
        <v>8.25</v>
      </c>
      <c r="E8" s="76">
        <f>SUMIFS('Respondent Burden'!$F$13:$F$21,'Respondent Burden'!$J$13:$J$21,'Summary of Burden By Respondent'!A8)+SUMIFS('Respondent Burden'!$F$27:$F$39,'Respondent Burden'!$J$27:$J$39,'Summary of Burden By Respondent'!A8)</f>
        <v>365.5575</v>
      </c>
      <c r="F8" s="10"/>
    </row>
    <row r="9" spans="1:10" x14ac:dyDescent="0.25">
      <c r="A9" s="37" t="s">
        <v>45</v>
      </c>
      <c r="B9" s="32">
        <f>SUMIFS('Respondent Burden'!$E$13:$E$21,'Respondent Burden'!$J$13:$J$21,'Summary of Burden By Respondent'!A9)</f>
        <v>2250</v>
      </c>
      <c r="C9" s="32">
        <f>SUMIFS('Respondent Burden'!$E$27:$E$39,'Respondent Burden'!$J$27:$J$39,'Summary of Burden By Respondent'!A9)</f>
        <v>0</v>
      </c>
      <c r="D9" s="32">
        <f t="shared" ref="D9:D15" si="0">SUM(B9:C9)</f>
        <v>2250</v>
      </c>
      <c r="E9" s="33">
        <f>SUMIFS('Respondent Burden'!$F$13:$F$21,'Respondent Burden'!$J$13:$J$21,'Summary of Burden By Respondent'!A9)+SUMIFS('Respondent Burden'!$F$27:$F$39,'Respondent Burden'!$J$27:$J$39,'Summary of Burden By Respondent'!A9)</f>
        <v>99697.5</v>
      </c>
      <c r="F9" s="10"/>
    </row>
    <row r="10" spans="1:10" x14ac:dyDescent="0.25">
      <c r="A10" s="37" t="s">
        <v>46</v>
      </c>
      <c r="B10" s="32">
        <f>SUMIFS('Respondent Burden'!$E$13:$E$21,'Respondent Burden'!$J$13:$J$21,'Summary of Burden By Respondent'!A10)</f>
        <v>375</v>
      </c>
      <c r="C10" s="32">
        <f>SUMIFS('Respondent Burden'!$E$27:$E$39,'Respondent Burden'!$J$27:$J$39,'Summary of Burden By Respondent'!A10)</f>
        <v>97500</v>
      </c>
      <c r="D10" s="32">
        <f t="shared" si="0"/>
        <v>97875</v>
      </c>
      <c r="E10" s="33">
        <f>SUMIFS('Respondent Burden'!$F$13:$F$21,'Respondent Burden'!$J$13:$J$21,'Summary of Burden By Respondent'!A10)+SUMIFS('Respondent Burden'!$F$27:$F$39,'Respondent Burden'!$J$27:$J$39,'Summary of Burden By Respondent'!A10)</f>
        <v>4336841.25</v>
      </c>
      <c r="F10" s="10"/>
    </row>
    <row r="11" spans="1:10" x14ac:dyDescent="0.25">
      <c r="A11" s="37" t="s">
        <v>47</v>
      </c>
      <c r="B11" s="32">
        <f>SUMIFS('Respondent Burden'!$E$13:$E$21,'Respondent Burden'!$J$13:$J$21,'Summary of Burden By Respondent'!A11)</f>
        <v>320</v>
      </c>
      <c r="C11" s="32">
        <f>SUMIFS('Respondent Burden'!$E$27:$E$39,'Respondent Burden'!$J$27:$J$39,'Summary of Burden By Respondent'!A11)</f>
        <v>375</v>
      </c>
      <c r="D11" s="32">
        <f t="shared" si="0"/>
        <v>695</v>
      </c>
      <c r="E11" s="33">
        <f>SUMIFS('Respondent Burden'!$F$13:$F$21,'Respondent Burden'!$J$13:$J$21,'Summary of Burden By Respondent'!A11)+SUMIFS('Respondent Burden'!$F$27:$F$39,'Respondent Burden'!$J$27:$J$39,'Summary of Burden By Respondent'!A11)</f>
        <v>30795.45</v>
      </c>
      <c r="F11" s="10"/>
    </row>
    <row r="12" spans="1:10" x14ac:dyDescent="0.25">
      <c r="A12" s="37" t="s">
        <v>4</v>
      </c>
      <c r="B12" s="32">
        <f>SUMIFS('Respondent Burden'!$E$13:$E$21,'Respondent Burden'!$J$13:$J$21,'Summary of Burden By Respondent'!A12)</f>
        <v>207</v>
      </c>
      <c r="C12" s="32">
        <f>SUMIFS('Respondent Burden'!$E$27:$E$39,'Respondent Burden'!$J$27:$J$39,'Summary of Burden By Respondent'!A12)</f>
        <v>455</v>
      </c>
      <c r="D12" s="32">
        <f t="shared" si="0"/>
        <v>662</v>
      </c>
      <c r="E12" s="33">
        <f>SUMIFS('Respondent Burden'!$F$13:$F$21,'Respondent Burden'!$J$13:$J$21,'Summary of Burden By Respondent'!A12)+SUMIFS('Respondent Burden'!$F$27:$F$39,'Respondent Burden'!$J$27:$J$39,'Summary of Burden By Respondent'!A12)</f>
        <v>29333.22</v>
      </c>
      <c r="F12" s="10"/>
    </row>
    <row r="13" spans="1:10" x14ac:dyDescent="0.25">
      <c r="A13" s="37" t="s">
        <v>49</v>
      </c>
      <c r="B13" s="32">
        <f>SUMIFS('Respondent Burden'!$E$13:$E$21,'Respondent Burden'!$J$13:$J$21,'Summary of Burden By Respondent'!A13)</f>
        <v>0</v>
      </c>
      <c r="C13" s="32">
        <f>SUMIFS('Respondent Burden'!$E$27:$E$39,'Respondent Burden'!$J$27:$J$39,'Summary of Burden By Respondent'!A13)</f>
        <v>6023.5</v>
      </c>
      <c r="D13" s="32">
        <f t="shared" si="0"/>
        <v>6023.5</v>
      </c>
      <c r="E13" s="33">
        <f>SUMIFS('Respondent Burden'!$F$13:$F$21,'Respondent Burden'!$J$13:$J$21,'Summary of Burden By Respondent'!A13)+SUMIFS('Respondent Burden'!$F$27:$F$39,'Respondent Burden'!$J$27:$J$39,'Summary of Burden By Respondent'!A13)</f>
        <v>266901.28500000003</v>
      </c>
      <c r="F13" s="10"/>
    </row>
    <row r="14" spans="1:10" x14ac:dyDescent="0.25">
      <c r="A14" s="37" t="s">
        <v>50</v>
      </c>
      <c r="B14" s="32">
        <f>SUMIFS('Respondent Burden'!$E$13:$E$21,'Respondent Burden'!$J$13:$J$21,'Summary of Burden By Respondent'!A14)</f>
        <v>10</v>
      </c>
      <c r="C14" s="32">
        <f>SUMIFS('Respondent Burden'!$E$27:$E$39,'Respondent Burden'!$J$27:$J$39,'Summary of Burden By Respondent'!A14)</f>
        <v>48013.175000000003</v>
      </c>
      <c r="D14" s="32">
        <f t="shared" si="0"/>
        <v>48023.175000000003</v>
      </c>
      <c r="E14" s="33">
        <f>SUMIFS('Respondent Burden'!$F$13:$F$21,'Respondent Burden'!$J$13:$J$21,'Summary of Burden By Respondent'!A14)+SUMIFS('Respondent Burden'!$F$27:$F$39,'Respondent Burden'!$J$27:$J$39,'Summary of Burden By Respondent'!A14)</f>
        <v>2127906.8842500001</v>
      </c>
      <c r="F14" s="10"/>
    </row>
    <row r="15" spans="1:10" x14ac:dyDescent="0.25">
      <c r="A15" s="37" t="s">
        <v>48</v>
      </c>
      <c r="B15" s="32">
        <f>SUMIFS('Respondent Burden'!$E$13:$E$21,'Respondent Burden'!$J$13:$J$21,'Summary of Burden By Respondent'!A15)</f>
        <v>0</v>
      </c>
      <c r="C15" s="32">
        <f>SUMIFS('Respondent Burden'!$E$27:$E$39,'Respondent Burden'!$J$27:$J$39,'Summary of Burden By Respondent'!A15)</f>
        <v>165000</v>
      </c>
      <c r="D15" s="32">
        <f t="shared" si="0"/>
        <v>165000</v>
      </c>
      <c r="E15" s="33">
        <f>SUMIFS('Respondent Burden'!$F$13:$F$21,'Respondent Burden'!$J$13:$J$21,'Summary of Burden By Respondent'!A15)+SUMIFS('Respondent Burden'!$F$27:$F$39,'Respondent Burden'!$J$27:$J$39,'Summary of Burden By Respondent'!A15)</f>
        <v>7311150</v>
      </c>
      <c r="F15" s="10"/>
    </row>
    <row r="17" spans="1:8" x14ac:dyDescent="0.25">
      <c r="A17" s="78" t="s">
        <v>70</v>
      </c>
    </row>
    <row r="18" spans="1:8" ht="30" x14ac:dyDescent="0.25">
      <c r="A18" s="30" t="s">
        <v>65</v>
      </c>
      <c r="B18" s="26" t="s">
        <v>71</v>
      </c>
      <c r="C18" s="26" t="s">
        <v>72</v>
      </c>
      <c r="D18" s="26" t="s">
        <v>63</v>
      </c>
      <c r="E18" s="26" t="s">
        <v>64</v>
      </c>
    </row>
    <row r="19" spans="1:8" x14ac:dyDescent="0.25">
      <c r="A19" s="42" t="s">
        <v>44</v>
      </c>
      <c r="B19" s="74">
        <f>SUMIFS('Respondent Burden'!$H$13:$H$21,'Respondent Burden'!$J$13:$J$21,'Summary of Burden By Respondent'!A19)</f>
        <v>4</v>
      </c>
      <c r="C19" s="74">
        <f>SUMIFS('Respondent Burden'!$H$27:$H$39,'Respondent Burden'!$J$27:$J$39,'Summary of Burden By Respondent'!A19)</f>
        <v>0.125</v>
      </c>
      <c r="D19" s="74">
        <f>SUM(B19:C19)</f>
        <v>4.125</v>
      </c>
      <c r="E19" s="75">
        <f>SUMIFS('Respondent Burden'!$I$13:$I$21,'Respondent Burden'!$J$13:$J$21,'Summary of Burden By Respondent'!A19)+SUMIFS('Respondent Burden'!$I$27:$I$39,'Respondent Burden'!$J$27:$J$39,'Summary of Burden By Respondent'!A19)</f>
        <v>182.77875</v>
      </c>
      <c r="F19" s="10"/>
    </row>
    <row r="20" spans="1:8" x14ac:dyDescent="0.25">
      <c r="A20" s="37" t="s">
        <v>45</v>
      </c>
      <c r="B20" s="32">
        <f>SUMIFS('Respondent Burden'!$H$13:$H$21,'Respondent Burden'!$J$13:$J$21,'Summary of Burden By Respondent'!A20)</f>
        <v>1</v>
      </c>
      <c r="C20" s="32">
        <f>SUMIFS('Respondent Burden'!$H$27:$H$39,'Respondent Burden'!$J$27:$J$39,'Summary of Burden By Respondent'!A20)</f>
        <v>0</v>
      </c>
      <c r="D20" s="32">
        <f t="shared" ref="D20:D26" si="1">SUM(B20:C20)</f>
        <v>1</v>
      </c>
      <c r="E20" s="73">
        <f>SUMIFS('Respondent Burden'!$I$13:$I$21,'Respondent Burden'!$J$13:$J$21,'Summary of Burden By Respondent'!A20)+SUMIFS('Respondent Burden'!$I$27:$I$39,'Respondent Burden'!$J$27:$J$39,'Summary of Burden By Respondent'!A20)</f>
        <v>44.31</v>
      </c>
      <c r="F20" s="10"/>
    </row>
    <row r="21" spans="1:8" x14ac:dyDescent="0.25">
      <c r="A21" s="37" t="s">
        <v>46</v>
      </c>
      <c r="B21" s="32">
        <f>SUMIFS('Respondent Burden'!$H$13:$H$21,'Respondent Burden'!$J$13:$J$21,'Summary of Burden By Respondent'!A21)</f>
        <v>1</v>
      </c>
      <c r="C21" s="32">
        <f>SUMIFS('Respondent Burden'!$H$27:$H$39,'Respondent Burden'!$J$27:$J$39,'Summary of Burden By Respondent'!A21)</f>
        <v>13</v>
      </c>
      <c r="D21" s="32">
        <f t="shared" si="1"/>
        <v>14</v>
      </c>
      <c r="E21" s="73">
        <f>SUMIFS('Respondent Burden'!$I$13:$I$21,'Respondent Burden'!$J$13:$J$21,'Summary of Burden By Respondent'!A21)+SUMIFS('Respondent Burden'!$I$27:$I$39,'Respondent Burden'!$J$27:$J$39,'Summary of Burden By Respondent'!A21)</f>
        <v>620.33999999999992</v>
      </c>
      <c r="F21" s="10"/>
    </row>
    <row r="22" spans="1:8" x14ac:dyDescent="0.25">
      <c r="A22" s="37" t="s">
        <v>47</v>
      </c>
      <c r="B22" s="32">
        <f>SUMIFS('Respondent Burden'!$H$13:$H$21,'Respondent Burden'!$J$13:$J$21,'Summary of Burden By Respondent'!A22)</f>
        <v>10</v>
      </c>
      <c r="C22" s="32">
        <f>SUMIFS('Respondent Burden'!$H$27:$H$39,'Respondent Burden'!$J$27:$J$39,'Summary of Burden By Respondent'!A22)</f>
        <v>6.25</v>
      </c>
      <c r="D22" s="32">
        <f t="shared" si="1"/>
        <v>16.25</v>
      </c>
      <c r="E22" s="73">
        <f>SUMIFS('Respondent Burden'!$I$13:$I$21,'Respondent Burden'!$J$13:$J$21,'Summary of Burden By Respondent'!A22)+SUMIFS('Respondent Burden'!$I$27:$I$39,'Respondent Burden'!$J$27:$J$39,'Summary of Burden By Respondent'!A22)</f>
        <v>720.03750000000002</v>
      </c>
      <c r="F22" s="10"/>
    </row>
    <row r="23" spans="1:8" x14ac:dyDescent="0.25">
      <c r="A23" s="37" t="s">
        <v>4</v>
      </c>
      <c r="B23" s="32">
        <f>SUMIFS('Respondent Burden'!$H$13:$H$21,'Respondent Burden'!$J$13:$J$21,'Summary of Burden By Respondent'!A23)</f>
        <v>7</v>
      </c>
      <c r="C23" s="32">
        <f>SUMIFS('Respondent Burden'!$H$27:$H$39,'Respondent Burden'!$J$27:$J$39,'Summary of Burden By Respondent'!A23)</f>
        <v>5</v>
      </c>
      <c r="D23" s="32">
        <f t="shared" si="1"/>
        <v>12</v>
      </c>
      <c r="E23" s="73">
        <f>SUMIFS('Respondent Burden'!$I$13:$I$21,'Respondent Burden'!$J$13:$J$21,'Summary of Burden By Respondent'!A23)+SUMIFS('Respondent Burden'!$I$27:$I$39,'Respondent Burden'!$J$27:$J$39,'Summary of Burden By Respondent'!A23)</f>
        <v>531.72</v>
      </c>
      <c r="F23" s="10"/>
      <c r="H23" s="10"/>
    </row>
    <row r="24" spans="1:8" x14ac:dyDescent="0.25">
      <c r="A24" s="37" t="s">
        <v>49</v>
      </c>
      <c r="B24" s="32">
        <f>SUMIFS('Respondent Burden'!$H$13:$H$21,'Respondent Burden'!$J$13:$J$21,'Summary of Burden By Respondent'!A24)</f>
        <v>0</v>
      </c>
      <c r="C24" s="32">
        <f>SUMIFS('Respondent Burden'!$H$27:$H$39,'Respondent Burden'!$J$27:$J$39,'Summary of Burden By Respondent'!A24)</f>
        <v>5.8400000000000001E-2</v>
      </c>
      <c r="D24" s="32">
        <f>SUM(B24:C24)</f>
        <v>5.8400000000000001E-2</v>
      </c>
      <c r="E24" s="73">
        <f>SUMIFS('Respondent Burden'!$I$13:$I$21,'Respondent Burden'!$J$13:$J$21,'Summary of Burden By Respondent'!A24)+SUMIFS('Respondent Burden'!$I$27:$I$39,'Respondent Burden'!$J$27:$J$39,'Summary of Burden By Respondent'!A24)</f>
        <v>2.587704</v>
      </c>
      <c r="F24" s="10"/>
    </row>
    <row r="25" spans="1:8" x14ac:dyDescent="0.25">
      <c r="A25" s="37" t="s">
        <v>50</v>
      </c>
      <c r="B25" s="32">
        <f>SUMIFS('Respondent Burden'!$H$13:$H$21,'Respondent Burden'!$J$13:$J$21,'Summary of Burden By Respondent'!A25)</f>
        <v>1</v>
      </c>
      <c r="C25" s="32">
        <f>SUMIFS('Respondent Burden'!$H$27:$H$39,'Respondent Burden'!$J$27:$J$39,'Summary of Burden By Respondent'!A25)</f>
        <v>8.1000000000000014</v>
      </c>
      <c r="D25" s="32">
        <f t="shared" si="1"/>
        <v>9.1000000000000014</v>
      </c>
      <c r="E25" s="73">
        <f>SUMIFS('Respondent Burden'!$I$13:$I$21,'Respondent Burden'!$J$13:$J$21,'Summary of Burden By Respondent'!A25)+SUMIFS('Respondent Burden'!$I$27:$I$39,'Respondent Burden'!$J$27:$J$39,'Summary of Burden By Respondent'!A25)</f>
        <v>403.22100000000006</v>
      </c>
      <c r="F25" s="10"/>
    </row>
    <row r="26" spans="1:8" x14ac:dyDescent="0.25">
      <c r="A26" s="37" t="s">
        <v>48</v>
      </c>
      <c r="B26" s="32">
        <f>SUMIFS('Respondent Burden'!$H$13:$H$21,'Respondent Burden'!$J$13:$J$21,'Summary of Burden By Respondent'!A26)</f>
        <v>0</v>
      </c>
      <c r="C26" s="32">
        <f>SUMIFS('Respondent Burden'!$H$27:$H$39,'Respondent Burden'!$J$27:$J$39,'Summary of Burden By Respondent'!A26)</f>
        <v>0.82499999999999996</v>
      </c>
      <c r="D26" s="32">
        <f t="shared" si="1"/>
        <v>0.82499999999999996</v>
      </c>
      <c r="E26" s="73">
        <f>SUMIFS('Respondent Burden'!$I$13:$I$21,'Respondent Burden'!$J$13:$J$21,'Summary of Burden By Respondent'!A26)+SUMIFS('Respondent Burden'!$I$27:$I$39,'Respondent Burden'!$J$27:$J$39,'Summary of Burden By Respondent'!A26)</f>
        <v>36.555750000000003</v>
      </c>
      <c r="F26" s="10"/>
    </row>
  </sheetData>
  <mergeCells count="1"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90" zoomScaleNormal="90" workbookViewId="0">
      <selection activeCell="I32" sqref="I32"/>
    </sheetView>
  </sheetViews>
  <sheetFormatPr defaultRowHeight="15" x14ac:dyDescent="0.25"/>
  <cols>
    <col min="1" max="1" width="4.140625" style="3" bestFit="1" customWidth="1"/>
    <col min="2" max="2" width="56.85546875" customWidth="1"/>
    <col min="3" max="3" width="14.7109375" customWidth="1"/>
    <col min="4" max="4" width="16.140625" bestFit="1" customWidth="1"/>
    <col min="5" max="5" width="14.7109375" style="3" customWidth="1"/>
    <col min="6" max="6" width="16.140625" style="3" bestFit="1" customWidth="1"/>
    <col min="7" max="8" width="14.7109375" style="3" customWidth="1"/>
    <col min="9" max="9" width="40.42578125" customWidth="1"/>
  </cols>
  <sheetData>
    <row r="1" spans="1:9" ht="23.25" x14ac:dyDescent="0.35">
      <c r="A1" s="59" t="s">
        <v>81</v>
      </c>
      <c r="B1" s="3"/>
      <c r="C1" s="3"/>
      <c r="D1" s="3"/>
      <c r="I1" s="3"/>
    </row>
    <row r="2" spans="1:9" x14ac:dyDescent="0.25">
      <c r="A2" s="99" t="s">
        <v>82</v>
      </c>
      <c r="B2" s="99"/>
      <c r="C2" s="99"/>
      <c r="D2" s="99"/>
      <c r="E2" s="99"/>
      <c r="F2" s="99"/>
      <c r="G2" s="99"/>
      <c r="H2" s="99"/>
      <c r="I2" s="99"/>
    </row>
    <row r="3" spans="1:9" ht="15.75" x14ac:dyDescent="0.25">
      <c r="B3" s="21"/>
    </row>
    <row r="4" spans="1:9" x14ac:dyDescent="0.25">
      <c r="B4" s="109" t="s">
        <v>0</v>
      </c>
      <c r="C4" s="113" t="s">
        <v>77</v>
      </c>
      <c r="D4" s="113"/>
      <c r="E4" s="112" t="s">
        <v>78</v>
      </c>
      <c r="F4" s="112"/>
      <c r="G4" s="111" t="s">
        <v>76</v>
      </c>
      <c r="H4" s="111"/>
      <c r="I4" s="110" t="s">
        <v>83</v>
      </c>
    </row>
    <row r="5" spans="1:9" ht="30" x14ac:dyDescent="0.25">
      <c r="B5" s="109"/>
      <c r="C5" s="84" t="s">
        <v>56</v>
      </c>
      <c r="D5" s="84" t="s">
        <v>2</v>
      </c>
      <c r="E5" s="85" t="s">
        <v>56</v>
      </c>
      <c r="F5" s="85" t="s">
        <v>2</v>
      </c>
      <c r="G5" s="86" t="s">
        <v>1</v>
      </c>
      <c r="H5" s="86" t="s">
        <v>79</v>
      </c>
      <c r="I5" s="110"/>
    </row>
    <row r="6" spans="1:9" ht="45" x14ac:dyDescent="0.25">
      <c r="A6" s="108" t="s">
        <v>8</v>
      </c>
      <c r="B6" s="27" t="s">
        <v>9</v>
      </c>
      <c r="C6" s="32">
        <f>'Respondent Burden'!E13</f>
        <v>8</v>
      </c>
      <c r="D6" s="33">
        <f>'Respondent Burden'!F13</f>
        <v>354.48</v>
      </c>
      <c r="E6" s="32">
        <v>8</v>
      </c>
      <c r="F6" s="33">
        <v>320.56</v>
      </c>
      <c r="G6" s="32">
        <f t="shared" ref="G6:G27" si="0">C6-E6</f>
        <v>0</v>
      </c>
      <c r="H6" s="33">
        <f t="shared" ref="H6:H27" si="1">D6-F6</f>
        <v>33.920000000000016</v>
      </c>
      <c r="I6" s="37" t="s">
        <v>87</v>
      </c>
    </row>
    <row r="7" spans="1:9" ht="60" x14ac:dyDescent="0.25">
      <c r="A7" s="108"/>
      <c r="B7" s="27" t="s">
        <v>10</v>
      </c>
      <c r="C7" s="32">
        <f>'Respondent Burden'!E14</f>
        <v>2250</v>
      </c>
      <c r="D7" s="33">
        <f>'Respondent Burden'!F14</f>
        <v>99697.5</v>
      </c>
      <c r="E7" s="32">
        <v>2250</v>
      </c>
      <c r="F7" s="33">
        <v>90157.5</v>
      </c>
      <c r="G7" s="32">
        <f t="shared" si="0"/>
        <v>0</v>
      </c>
      <c r="H7" s="33">
        <f t="shared" si="1"/>
        <v>9540</v>
      </c>
      <c r="I7" s="37" t="s">
        <v>87</v>
      </c>
    </row>
    <row r="8" spans="1:9" ht="30" x14ac:dyDescent="0.25">
      <c r="A8" s="108"/>
      <c r="B8" s="27" t="s">
        <v>11</v>
      </c>
      <c r="C8" s="32">
        <f>'Respondent Burden'!E15</f>
        <v>375</v>
      </c>
      <c r="D8" s="33">
        <f>'Respondent Burden'!F15</f>
        <v>16616.25</v>
      </c>
      <c r="E8" s="32">
        <v>375</v>
      </c>
      <c r="F8" s="33">
        <v>15026.25</v>
      </c>
      <c r="G8" s="32">
        <f t="shared" si="0"/>
        <v>0</v>
      </c>
      <c r="H8" s="33">
        <f t="shared" si="1"/>
        <v>1590</v>
      </c>
      <c r="I8" s="37" t="s">
        <v>87</v>
      </c>
    </row>
    <row r="9" spans="1:9" ht="30" x14ac:dyDescent="0.25">
      <c r="A9" s="108"/>
      <c r="B9" s="27" t="s">
        <v>12</v>
      </c>
      <c r="C9" s="32">
        <f>'Respondent Burden'!E16</f>
        <v>20</v>
      </c>
      <c r="D9" s="33">
        <f>'Respondent Burden'!F16</f>
        <v>886.2</v>
      </c>
      <c r="E9" s="32">
        <v>20</v>
      </c>
      <c r="F9" s="33">
        <v>801.4</v>
      </c>
      <c r="G9" s="32">
        <f t="shared" si="0"/>
        <v>0</v>
      </c>
      <c r="H9" s="33">
        <f t="shared" si="1"/>
        <v>84.800000000000068</v>
      </c>
      <c r="I9" s="37" t="s">
        <v>87</v>
      </c>
    </row>
    <row r="10" spans="1:9" x14ac:dyDescent="0.25">
      <c r="A10" s="108"/>
      <c r="B10" s="27" t="s">
        <v>13</v>
      </c>
      <c r="C10" s="32">
        <f>'Respondent Burden'!E17</f>
        <v>300</v>
      </c>
      <c r="D10" s="33">
        <f>'Respondent Burden'!F17</f>
        <v>13293</v>
      </c>
      <c r="E10" s="32">
        <v>245</v>
      </c>
      <c r="F10" s="33">
        <v>9817.15</v>
      </c>
      <c r="G10" s="32">
        <f t="shared" si="0"/>
        <v>55</v>
      </c>
      <c r="H10" s="33">
        <f t="shared" si="1"/>
        <v>3475.8500000000004</v>
      </c>
      <c r="I10" s="37" t="s">
        <v>84</v>
      </c>
    </row>
    <row r="11" spans="1:9" x14ac:dyDescent="0.25">
      <c r="A11" s="108"/>
      <c r="B11" s="27" t="s">
        <v>14</v>
      </c>
      <c r="C11" s="32">
        <f>'Respondent Burden'!E18</f>
        <v>25</v>
      </c>
      <c r="D11" s="33">
        <f>'Respondent Burden'!F18</f>
        <v>1107.75</v>
      </c>
      <c r="E11" s="32">
        <v>25</v>
      </c>
      <c r="F11" s="33">
        <v>1001.75</v>
      </c>
      <c r="G11" s="32">
        <f t="shared" si="0"/>
        <v>0</v>
      </c>
      <c r="H11" s="33">
        <f t="shared" si="1"/>
        <v>106</v>
      </c>
      <c r="I11" s="37" t="s">
        <v>87</v>
      </c>
    </row>
    <row r="12" spans="1:9" ht="30" x14ac:dyDescent="0.25">
      <c r="A12" s="108"/>
      <c r="B12" s="27" t="s">
        <v>15</v>
      </c>
      <c r="C12" s="32">
        <f>'Respondent Burden'!E19</f>
        <v>182</v>
      </c>
      <c r="D12" s="33">
        <f>'Respondent Burden'!F19</f>
        <v>8064.42</v>
      </c>
      <c r="E12" s="32">
        <v>182</v>
      </c>
      <c r="F12" s="33">
        <v>7292.74</v>
      </c>
      <c r="G12" s="32">
        <f t="shared" si="0"/>
        <v>0</v>
      </c>
      <c r="H12" s="33">
        <f t="shared" si="1"/>
        <v>771.68000000000029</v>
      </c>
      <c r="I12" s="37" t="s">
        <v>87</v>
      </c>
    </row>
    <row r="13" spans="1:9" ht="31.5" customHeight="1" x14ac:dyDescent="0.25">
      <c r="A13" s="108"/>
      <c r="B13" s="27" t="s">
        <v>16</v>
      </c>
      <c r="C13" s="32">
        <f>'Respondent Burden'!E20</f>
        <v>7.5</v>
      </c>
      <c r="D13" s="33">
        <f>'Respondent Burden'!F20</f>
        <v>332.32500000000005</v>
      </c>
      <c r="E13" s="32">
        <v>10</v>
      </c>
      <c r="F13" s="33">
        <v>400.7</v>
      </c>
      <c r="G13" s="32">
        <f t="shared" si="0"/>
        <v>-2.5</v>
      </c>
      <c r="H13" s="33">
        <f t="shared" si="1"/>
        <v>-68.374999999999943</v>
      </c>
      <c r="I13" s="37" t="s">
        <v>89</v>
      </c>
    </row>
    <row r="14" spans="1:9" ht="36" customHeight="1" thickBot="1" x14ac:dyDescent="0.3">
      <c r="A14" s="108"/>
      <c r="B14" s="92" t="s">
        <v>17</v>
      </c>
      <c r="C14" s="93">
        <f>'Respondent Burden'!E21</f>
        <v>2.5</v>
      </c>
      <c r="D14" s="94">
        <f>'Respondent Burden'!F21</f>
        <v>110.77500000000001</v>
      </c>
      <c r="E14" s="93">
        <v>0.5</v>
      </c>
      <c r="F14" s="94">
        <v>20.04</v>
      </c>
      <c r="G14" s="93">
        <f t="shared" si="0"/>
        <v>2</v>
      </c>
      <c r="H14" s="94">
        <f t="shared" si="1"/>
        <v>90.735000000000014</v>
      </c>
      <c r="I14" s="37" t="s">
        <v>90</v>
      </c>
    </row>
    <row r="15" spans="1:9" ht="45" x14ac:dyDescent="0.25">
      <c r="A15" s="108" t="s">
        <v>19</v>
      </c>
      <c r="B15" s="77" t="s">
        <v>20</v>
      </c>
      <c r="C15" s="87">
        <f>'Respondent Burden'!E27</f>
        <v>0.25</v>
      </c>
      <c r="D15" s="75">
        <f>'Respondent Burden'!F27</f>
        <v>11.077500000000001</v>
      </c>
      <c r="E15" s="87">
        <v>0.25</v>
      </c>
      <c r="F15" s="75">
        <v>10.02</v>
      </c>
      <c r="G15" s="87">
        <f t="shared" si="0"/>
        <v>0</v>
      </c>
      <c r="H15" s="75">
        <f t="shared" si="1"/>
        <v>1.057500000000001</v>
      </c>
      <c r="I15" s="37" t="s">
        <v>87</v>
      </c>
    </row>
    <row r="16" spans="1:9" ht="30" x14ac:dyDescent="0.25">
      <c r="A16" s="108"/>
      <c r="B16" s="27" t="s">
        <v>21</v>
      </c>
      <c r="C16" s="83">
        <f>'Respondent Burden'!E28</f>
        <v>97500</v>
      </c>
      <c r="D16" s="73">
        <f>'Respondent Burden'!F28</f>
        <v>4320225</v>
      </c>
      <c r="E16" s="83">
        <v>97500</v>
      </c>
      <c r="F16" s="73">
        <v>3906825</v>
      </c>
      <c r="G16" s="83">
        <f t="shared" si="0"/>
        <v>0</v>
      </c>
      <c r="H16" s="73">
        <f t="shared" si="1"/>
        <v>413400</v>
      </c>
      <c r="I16" s="37" t="s">
        <v>87</v>
      </c>
    </row>
    <row r="17" spans="1:9" x14ac:dyDescent="0.25">
      <c r="A17" s="108"/>
      <c r="B17" s="27" t="s">
        <v>22</v>
      </c>
      <c r="C17" s="83">
        <f>'Respondent Burden'!E29</f>
        <v>375</v>
      </c>
      <c r="D17" s="73">
        <f>'Respondent Burden'!F29</f>
        <v>16616.25</v>
      </c>
      <c r="E17" s="83">
        <v>306.25</v>
      </c>
      <c r="F17" s="73">
        <v>12271.44</v>
      </c>
      <c r="G17" s="83">
        <f t="shared" si="0"/>
        <v>68.75</v>
      </c>
      <c r="H17" s="73">
        <f t="shared" si="1"/>
        <v>4344.8099999999995</v>
      </c>
      <c r="I17" s="37" t="s">
        <v>84</v>
      </c>
    </row>
    <row r="18" spans="1:9" ht="45" x14ac:dyDescent="0.25">
      <c r="A18" s="108"/>
      <c r="B18" s="27" t="s">
        <v>23</v>
      </c>
      <c r="C18" s="83">
        <f>'Respondent Burden'!E30</f>
        <v>165000</v>
      </c>
      <c r="D18" s="73">
        <f>'Respondent Burden'!F30</f>
        <v>7311150</v>
      </c>
      <c r="E18" s="83">
        <v>165000</v>
      </c>
      <c r="F18" s="73">
        <v>6611550</v>
      </c>
      <c r="G18" s="83">
        <f t="shared" si="0"/>
        <v>0</v>
      </c>
      <c r="H18" s="73">
        <f t="shared" si="1"/>
        <v>699600</v>
      </c>
      <c r="I18" s="37" t="s">
        <v>87</v>
      </c>
    </row>
    <row r="19" spans="1:9" x14ac:dyDescent="0.25">
      <c r="A19" s="108"/>
      <c r="B19" s="27" t="s">
        <v>24</v>
      </c>
      <c r="C19" s="83">
        <f>'Respondent Burden'!E31</f>
        <v>455</v>
      </c>
      <c r="D19" s="73">
        <f>'Respondent Burden'!F31</f>
        <v>20161.05</v>
      </c>
      <c r="E19" s="83">
        <v>455</v>
      </c>
      <c r="F19" s="73">
        <v>18231.849999999999</v>
      </c>
      <c r="G19" s="83">
        <f t="shared" si="0"/>
        <v>0</v>
      </c>
      <c r="H19" s="73">
        <f t="shared" si="1"/>
        <v>1929.2000000000007</v>
      </c>
      <c r="I19" s="37" t="s">
        <v>87</v>
      </c>
    </row>
    <row r="20" spans="1:9" x14ac:dyDescent="0.25">
      <c r="A20" s="108"/>
      <c r="B20" s="27" t="s">
        <v>42</v>
      </c>
      <c r="C20" s="83">
        <f>'Respondent Burden'!E32</f>
        <v>501</v>
      </c>
      <c r="D20" s="73">
        <f>'Respondent Burden'!F32</f>
        <v>22199.31</v>
      </c>
      <c r="E20" s="83">
        <v>0</v>
      </c>
      <c r="F20" s="73">
        <v>0</v>
      </c>
      <c r="G20" s="83">
        <f t="shared" si="0"/>
        <v>501</v>
      </c>
      <c r="H20" s="73">
        <f t="shared" si="1"/>
        <v>22199.31</v>
      </c>
      <c r="I20" s="37" t="s">
        <v>85</v>
      </c>
    </row>
    <row r="21" spans="1:9" x14ac:dyDescent="0.25">
      <c r="A21" s="108"/>
      <c r="B21" s="27" t="s">
        <v>41</v>
      </c>
      <c r="C21" s="83">
        <f>'Respondent Burden'!E33</f>
        <v>5010</v>
      </c>
      <c r="D21" s="73">
        <f>'Respondent Burden'!F33</f>
        <v>221993.1</v>
      </c>
      <c r="E21" s="83">
        <v>5010</v>
      </c>
      <c r="F21" s="73">
        <v>200750.7</v>
      </c>
      <c r="G21" s="83">
        <f t="shared" si="0"/>
        <v>0</v>
      </c>
      <c r="H21" s="73">
        <f t="shared" si="1"/>
        <v>21242.399999999994</v>
      </c>
      <c r="I21" s="37" t="s">
        <v>87</v>
      </c>
    </row>
    <row r="22" spans="1:9" ht="30" x14ac:dyDescent="0.25">
      <c r="A22" s="108"/>
      <c r="B22" s="27" t="s">
        <v>25</v>
      </c>
      <c r="C22" s="83">
        <f>'Respondent Burden'!E34</f>
        <v>512.5</v>
      </c>
      <c r="D22" s="73">
        <f>'Respondent Burden'!F34</f>
        <v>22708.875</v>
      </c>
      <c r="E22" s="83">
        <v>512.5</v>
      </c>
      <c r="F22" s="73">
        <v>20535.88</v>
      </c>
      <c r="G22" s="83">
        <f t="shared" si="0"/>
        <v>0</v>
      </c>
      <c r="H22" s="73">
        <f t="shared" si="1"/>
        <v>2172.994999999999</v>
      </c>
      <c r="I22" s="37" t="s">
        <v>87</v>
      </c>
    </row>
    <row r="23" spans="1:9" ht="30" x14ac:dyDescent="0.25">
      <c r="A23" s="108"/>
      <c r="B23" s="27" t="s">
        <v>26</v>
      </c>
      <c r="C23" s="83">
        <f>'Respondent Burden'!E35</f>
        <v>512.5</v>
      </c>
      <c r="D23" s="73">
        <f>'Respondent Burden'!F35</f>
        <v>22708.875</v>
      </c>
      <c r="E23" s="83">
        <v>512.5</v>
      </c>
      <c r="F23" s="73">
        <v>20535.88</v>
      </c>
      <c r="G23" s="83">
        <f t="shared" si="0"/>
        <v>0</v>
      </c>
      <c r="H23" s="73">
        <f t="shared" si="1"/>
        <v>2172.994999999999</v>
      </c>
      <c r="I23" s="37" t="s">
        <v>87</v>
      </c>
    </row>
    <row r="24" spans="1:9" ht="30" x14ac:dyDescent="0.25">
      <c r="A24" s="108"/>
      <c r="B24" s="27" t="s">
        <v>27</v>
      </c>
      <c r="C24" s="83">
        <f>'Respondent Burden'!E36</f>
        <v>0.05</v>
      </c>
      <c r="D24" s="73">
        <f>'Respondent Burden'!F36</f>
        <v>2.2155</v>
      </c>
      <c r="E24" s="83">
        <v>0.05</v>
      </c>
      <c r="F24" s="73">
        <v>2</v>
      </c>
      <c r="G24" s="83">
        <f t="shared" si="0"/>
        <v>0</v>
      </c>
      <c r="H24" s="73">
        <f t="shared" si="1"/>
        <v>0.21550000000000002</v>
      </c>
      <c r="I24" s="37" t="s">
        <v>87</v>
      </c>
    </row>
    <row r="25" spans="1:9" ht="45" x14ac:dyDescent="0.25">
      <c r="A25" s="108"/>
      <c r="B25" s="27" t="s">
        <v>28</v>
      </c>
      <c r="C25" s="83">
        <f>'Respondent Burden'!E37</f>
        <v>40000</v>
      </c>
      <c r="D25" s="73">
        <f>'Respondent Burden'!F37</f>
        <v>1772400</v>
      </c>
      <c r="E25" s="83">
        <v>40000</v>
      </c>
      <c r="F25" s="73">
        <v>1602800</v>
      </c>
      <c r="G25" s="83">
        <f t="shared" si="0"/>
        <v>0</v>
      </c>
      <c r="H25" s="73">
        <f t="shared" si="1"/>
        <v>169600</v>
      </c>
      <c r="I25" s="37" t="s">
        <v>87</v>
      </c>
    </row>
    <row r="26" spans="1:9" ht="45" x14ac:dyDescent="0.25">
      <c r="A26" s="108"/>
      <c r="B26" s="27" t="s">
        <v>29</v>
      </c>
      <c r="C26" s="83">
        <f>'Respondent Burden'!E38</f>
        <v>5000</v>
      </c>
      <c r="D26" s="73">
        <f>'Respondent Burden'!F38</f>
        <v>221550</v>
      </c>
      <c r="E26" s="83">
        <v>5000</v>
      </c>
      <c r="F26" s="73">
        <v>200350</v>
      </c>
      <c r="G26" s="83">
        <f t="shared" si="0"/>
        <v>0</v>
      </c>
      <c r="H26" s="73">
        <f t="shared" si="1"/>
        <v>21200</v>
      </c>
      <c r="I26" s="37" t="s">
        <v>87</v>
      </c>
    </row>
    <row r="27" spans="1:9" ht="44.25" thickBot="1" x14ac:dyDescent="0.3">
      <c r="A27" s="108"/>
      <c r="B27" s="43" t="s">
        <v>30</v>
      </c>
      <c r="C27" s="90">
        <f>'Respondent Burden'!E39</f>
        <v>2500.625</v>
      </c>
      <c r="D27" s="91">
        <f>'Respondent Burden'!F39</f>
        <v>110802.69375000001</v>
      </c>
      <c r="E27" s="90">
        <v>2500.625</v>
      </c>
      <c r="F27" s="91">
        <v>100200.04</v>
      </c>
      <c r="G27" s="90">
        <f t="shared" si="0"/>
        <v>0</v>
      </c>
      <c r="H27" s="91">
        <f t="shared" si="1"/>
        <v>10602.653750000012</v>
      </c>
      <c r="I27" s="37" t="s">
        <v>87</v>
      </c>
    </row>
    <row r="28" spans="1:9" ht="15.75" thickTop="1" x14ac:dyDescent="0.25">
      <c r="B28" s="38" t="s">
        <v>51</v>
      </c>
      <c r="C28" s="87">
        <f>SUM(C6:C27)</f>
        <v>320536.92499999999</v>
      </c>
      <c r="D28" s="95">
        <f t="shared" ref="D28" si="2">SUM(D6:D27)</f>
        <v>14202991.146750001</v>
      </c>
      <c r="E28" s="87">
        <f>SUM(E6:E27)</f>
        <v>319912.67499999999</v>
      </c>
      <c r="F28" s="75">
        <f>SUM(F6:F27)</f>
        <v>12818900.9</v>
      </c>
      <c r="G28" s="87">
        <f>SUM(G6:G27)</f>
        <v>624.25</v>
      </c>
      <c r="H28" s="75">
        <f>SUM(H6:H27)</f>
        <v>1384090.2467500002</v>
      </c>
      <c r="I28" s="37"/>
    </row>
    <row r="29" spans="1:9" x14ac:dyDescent="0.25">
      <c r="B29" s="88" t="s">
        <v>80</v>
      </c>
      <c r="C29" s="37"/>
      <c r="D29" s="37"/>
      <c r="E29" s="37"/>
      <c r="F29" s="37"/>
      <c r="G29" s="89">
        <f>G28/E28</f>
        <v>1.9513137452275063E-3</v>
      </c>
      <c r="H29" s="89">
        <f>H28/F28</f>
        <v>0.10797261462174187</v>
      </c>
      <c r="I29" s="37"/>
    </row>
  </sheetData>
  <mergeCells count="8">
    <mergeCell ref="A6:A14"/>
    <mergeCell ref="A15:A27"/>
    <mergeCell ref="B4:B5"/>
    <mergeCell ref="A2:I2"/>
    <mergeCell ref="I4:I5"/>
    <mergeCell ref="G4:H4"/>
    <mergeCell ref="E4:F4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Respondent Burden</vt:lpstr>
      <vt:lpstr>Agency Burden</vt:lpstr>
      <vt:lpstr>Summary of Burden By Respondent</vt:lpstr>
      <vt:lpstr>Change in Burden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Derina Man</dc:creator>
  <cp:lastModifiedBy>Suzuki, Judy</cp:lastModifiedBy>
  <cp:lastPrinted>2014-03-19T17:11:55Z</cp:lastPrinted>
  <dcterms:created xsi:type="dcterms:W3CDTF">2014-03-18T19:01:29Z</dcterms:created>
  <dcterms:modified xsi:type="dcterms:W3CDTF">2014-12-12T19:35:22Z</dcterms:modified>
</cp:coreProperties>
</file>