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 tabRatio="829"/>
  </bookViews>
  <sheets>
    <sheet name="NSWP-III Burden Table Pretest " sheetId="8" r:id="rId1"/>
  </sheets>
  <calcPr calcId="145621"/>
</workbook>
</file>

<file path=xl/calcChain.xml><?xml version="1.0" encoding="utf-8"?>
<calcChain xmlns="http://schemas.openxmlformats.org/spreadsheetml/2006/main">
  <c r="E23" i="8" l="1"/>
  <c r="F23" i="8" s="1"/>
  <c r="E47" i="8" l="1"/>
  <c r="F47" i="8"/>
  <c r="H47" i="8" s="1"/>
  <c r="F37" i="8"/>
  <c r="J37" i="8" s="1"/>
  <c r="E37" i="8"/>
  <c r="K47" i="8" l="1"/>
  <c r="M47" i="8" s="1"/>
  <c r="O47" i="8"/>
  <c r="J47" i="8"/>
  <c r="K37" i="8"/>
  <c r="O37" i="8" s="1"/>
  <c r="P37" i="8" s="1"/>
  <c r="H37" i="8"/>
  <c r="P47" i="8" l="1"/>
  <c r="M37" i="8"/>
  <c r="F45" i="8" l="1"/>
  <c r="K45" i="8" s="1"/>
  <c r="E40" i="8"/>
  <c r="F40" i="8" s="1"/>
  <c r="E39" i="8"/>
  <c r="F39" i="8" s="1"/>
  <c r="K38" i="8"/>
  <c r="M38" i="8" s="1"/>
  <c r="I38" i="8"/>
  <c r="J38" i="8" s="1"/>
  <c r="H38" i="8"/>
  <c r="F13" i="8"/>
  <c r="J40" i="8" l="1"/>
  <c r="K40" i="8"/>
  <c r="H40" i="8"/>
  <c r="O45" i="8"/>
  <c r="M45" i="8"/>
  <c r="J39" i="8"/>
  <c r="H39" i="8"/>
  <c r="K39" i="8"/>
  <c r="O38" i="8"/>
  <c r="P38" i="8" s="1"/>
  <c r="H45" i="8"/>
  <c r="J45" i="8"/>
  <c r="F48" i="8"/>
  <c r="F62" i="8" s="1"/>
  <c r="F35" i="8"/>
  <c r="H35" i="8" s="1"/>
  <c r="E50" i="8"/>
  <c r="F50" i="8" s="1"/>
  <c r="K56" i="8"/>
  <c r="M56" i="8" s="1"/>
  <c r="O56" i="8" s="1"/>
  <c r="H56" i="8"/>
  <c r="J56" i="8" s="1"/>
  <c r="I48" i="8"/>
  <c r="H55" i="8"/>
  <c r="I55" i="8"/>
  <c r="J55" i="8" s="1"/>
  <c r="K55" i="8"/>
  <c r="E57" i="8"/>
  <c r="F57" i="8" s="1"/>
  <c r="K13" i="8"/>
  <c r="H13" i="8"/>
  <c r="J13" i="8" s="1"/>
  <c r="F9" i="8"/>
  <c r="H9" i="8" s="1"/>
  <c r="J9" i="8" s="1"/>
  <c r="E30" i="8"/>
  <c r="F30" i="8" s="1"/>
  <c r="K17" i="8"/>
  <c r="M17" i="8" s="1"/>
  <c r="O17" i="8" s="1"/>
  <c r="E29" i="8"/>
  <c r="O24" i="8"/>
  <c r="E25" i="8"/>
  <c r="F25" i="8" s="1"/>
  <c r="O25" i="8"/>
  <c r="F14" i="8"/>
  <c r="K14" i="8" s="1"/>
  <c r="M14" i="8" s="1"/>
  <c r="O14" i="8" s="1"/>
  <c r="H4" i="8"/>
  <c r="I4" i="8"/>
  <c r="K4" i="8"/>
  <c r="M4" i="8" s="1"/>
  <c r="O4" i="8" s="1"/>
  <c r="H5" i="8"/>
  <c r="J5" i="8" s="1"/>
  <c r="K5" i="8"/>
  <c r="M5" i="8" s="1"/>
  <c r="O5" i="8" s="1"/>
  <c r="H6" i="8"/>
  <c r="J6" i="8" s="1"/>
  <c r="K6" i="8"/>
  <c r="M6" i="8" s="1"/>
  <c r="O6" i="8" s="1"/>
  <c r="H7" i="8"/>
  <c r="J7" i="8" s="1"/>
  <c r="K7" i="8"/>
  <c r="M7" i="8" s="1"/>
  <c r="O7" i="8" s="1"/>
  <c r="H8" i="8"/>
  <c r="I8" i="8"/>
  <c r="K8" i="8"/>
  <c r="M8" i="8" s="1"/>
  <c r="O8" i="8" s="1"/>
  <c r="H15" i="8"/>
  <c r="I15" i="8"/>
  <c r="K15" i="8"/>
  <c r="M15" i="8" s="1"/>
  <c r="O15" i="8" s="1"/>
  <c r="H16" i="8"/>
  <c r="J16" i="8" s="1"/>
  <c r="K16" i="8"/>
  <c r="M16" i="8" s="1"/>
  <c r="O16" i="8" s="1"/>
  <c r="O23" i="8"/>
  <c r="M55" i="8" l="1"/>
  <c r="P45" i="8"/>
  <c r="O40" i="8"/>
  <c r="P40" i="8" s="1"/>
  <c r="E41" i="8"/>
  <c r="M40" i="8"/>
  <c r="M39" i="8"/>
  <c r="O39" i="8"/>
  <c r="P39" i="8" s="1"/>
  <c r="E49" i="8"/>
  <c r="F49" i="8" s="1"/>
  <c r="K49" i="8" s="1"/>
  <c r="M49" i="8" s="1"/>
  <c r="J48" i="8"/>
  <c r="K48" i="8"/>
  <c r="O48" i="8" s="1"/>
  <c r="H48" i="8"/>
  <c r="H50" i="8"/>
  <c r="P56" i="8"/>
  <c r="O55" i="8"/>
  <c r="P55" i="8" s="1"/>
  <c r="H18" i="8"/>
  <c r="J18" i="8" s="1"/>
  <c r="K18" i="8"/>
  <c r="M18" i="8" s="1"/>
  <c r="O18" i="8" s="1"/>
  <c r="F29" i="8"/>
  <c r="J29" i="8" s="1"/>
  <c r="K57" i="8"/>
  <c r="E58" i="8" s="1"/>
  <c r="K50" i="8"/>
  <c r="J50" i="8"/>
  <c r="E19" i="8"/>
  <c r="F19" i="8" s="1"/>
  <c r="H19" i="8" s="1"/>
  <c r="J19" i="8" s="1"/>
  <c r="H17" i="8"/>
  <c r="J17" i="8" s="1"/>
  <c r="P17" i="8" s="1"/>
  <c r="H25" i="8"/>
  <c r="J25" i="8" s="1"/>
  <c r="P25" i="8" s="1"/>
  <c r="K25" i="8"/>
  <c r="H14" i="8"/>
  <c r="J14" i="8" s="1"/>
  <c r="P14" i="8" s="1"/>
  <c r="K9" i="8"/>
  <c r="M9" i="8" s="1"/>
  <c r="O9" i="8" s="1"/>
  <c r="P9" i="8" s="1"/>
  <c r="J4" i="8"/>
  <c r="P4" i="8" s="1"/>
  <c r="P7" i="8"/>
  <c r="P6" i="8"/>
  <c r="J8" i="8"/>
  <c r="P8" i="8" s="1"/>
  <c r="P16" i="8"/>
  <c r="P5" i="8"/>
  <c r="J15" i="8"/>
  <c r="P15" i="8" s="1"/>
  <c r="H49" i="8" l="1"/>
  <c r="O49" i="8"/>
  <c r="J49" i="8"/>
  <c r="F41" i="8"/>
  <c r="K41" i="8" s="1"/>
  <c r="P48" i="8"/>
  <c r="M48" i="8"/>
  <c r="F58" i="8"/>
  <c r="K58" i="8" s="1"/>
  <c r="P18" i="8"/>
  <c r="K29" i="8"/>
  <c r="K19" i="8"/>
  <c r="E20" i="8" s="1"/>
  <c r="F20" i="8" s="1"/>
  <c r="H20" i="8" s="1"/>
  <c r="J20" i="8" s="1"/>
  <c r="M57" i="8"/>
  <c r="O57" i="8"/>
  <c r="H29" i="8"/>
  <c r="M50" i="8"/>
  <c r="O50" i="8"/>
  <c r="P50" i="8" s="1"/>
  <c r="E51" i="8"/>
  <c r="F51" i="8" s="1"/>
  <c r="J57" i="8"/>
  <c r="H57" i="8"/>
  <c r="E10" i="8"/>
  <c r="M13" i="8"/>
  <c r="O13" i="8" s="1"/>
  <c r="P13" i="8" s="1"/>
  <c r="P49" i="8" l="1"/>
  <c r="J41" i="8"/>
  <c r="H41" i="8"/>
  <c r="O41" i="8"/>
  <c r="E42" i="8"/>
  <c r="M41" i="8"/>
  <c r="K23" i="8"/>
  <c r="E24" i="8" s="1"/>
  <c r="F24" i="8" s="1"/>
  <c r="M58" i="8"/>
  <c r="O58" i="8"/>
  <c r="H58" i="8"/>
  <c r="J58" i="8"/>
  <c r="O29" i="8"/>
  <c r="P29" i="8" s="1"/>
  <c r="M29" i="8"/>
  <c r="M19" i="8"/>
  <c r="O19" i="8" s="1"/>
  <c r="P19" i="8" s="1"/>
  <c r="P57" i="8"/>
  <c r="F10" i="8"/>
  <c r="H10" i="8" s="1"/>
  <c r="J10" i="8" s="1"/>
  <c r="H23" i="8"/>
  <c r="J23" i="8" s="1"/>
  <c r="P23" i="8" s="1"/>
  <c r="K20" i="8"/>
  <c r="E21" i="8" s="1"/>
  <c r="F21" i="8" s="1"/>
  <c r="P41" i="8" l="1"/>
  <c r="F42" i="8"/>
  <c r="K42" i="8" s="1"/>
  <c r="K24" i="8"/>
  <c r="P58" i="8"/>
  <c r="K10" i="8"/>
  <c r="M10" i="8" s="1"/>
  <c r="O10" i="8" s="1"/>
  <c r="P10" i="8" s="1"/>
  <c r="H51" i="8"/>
  <c r="J51" i="8"/>
  <c r="K51" i="8"/>
  <c r="M20" i="8"/>
  <c r="O20" i="8" s="1"/>
  <c r="P20" i="8" s="1"/>
  <c r="H21" i="8"/>
  <c r="J21" i="8" s="1"/>
  <c r="E43" i="8" l="1"/>
  <c r="O42" i="8"/>
  <c r="M42" i="8"/>
  <c r="J42" i="8"/>
  <c r="H42" i="8"/>
  <c r="H24" i="8"/>
  <c r="J24" i="8" s="1"/>
  <c r="P24" i="8" s="1"/>
  <c r="E11" i="8"/>
  <c r="F11" i="8" s="1"/>
  <c r="H11" i="8" s="1"/>
  <c r="J11" i="8" s="1"/>
  <c r="M51" i="8"/>
  <c r="O51" i="8"/>
  <c r="P51" i="8" s="1"/>
  <c r="E52" i="8"/>
  <c r="F52" i="8" s="1"/>
  <c r="E59" i="8"/>
  <c r="F59" i="8" s="1"/>
  <c r="K21" i="8"/>
  <c r="P42" i="8" l="1"/>
  <c r="F43" i="8"/>
  <c r="K43" i="8" s="1"/>
  <c r="K11" i="8"/>
  <c r="E12" i="8" s="1"/>
  <c r="F12" i="8" s="1"/>
  <c r="E22" i="8"/>
  <c r="F22" i="8" s="1"/>
  <c r="M21" i="8"/>
  <c r="O21" i="8" s="1"/>
  <c r="P21" i="8" s="1"/>
  <c r="O43" i="8" l="1"/>
  <c r="M43" i="8"/>
  <c r="E44" i="8"/>
  <c r="E46" i="8" s="1"/>
  <c r="J43" i="8"/>
  <c r="H43" i="8"/>
  <c r="H52" i="8"/>
  <c r="J52" i="8"/>
  <c r="K52" i="8"/>
  <c r="J59" i="8"/>
  <c r="H59" i="8"/>
  <c r="K59" i="8"/>
  <c r="M11" i="8"/>
  <c r="O11" i="8" s="1"/>
  <c r="P11" i="8" s="1"/>
  <c r="H12" i="8"/>
  <c r="J12" i="8" s="1"/>
  <c r="H22" i="8"/>
  <c r="J22" i="8" s="1"/>
  <c r="H30" i="8"/>
  <c r="K46" i="8" l="1"/>
  <c r="H46" i="8"/>
  <c r="J46" i="8"/>
  <c r="F44" i="8"/>
  <c r="P43" i="8"/>
  <c r="M52" i="8"/>
  <c r="O52" i="8"/>
  <c r="P52" i="8" s="1"/>
  <c r="E53" i="8"/>
  <c r="F53" i="8" s="1"/>
  <c r="M59" i="8"/>
  <c r="O59" i="8"/>
  <c r="P59" i="8" s="1"/>
  <c r="E60" i="8"/>
  <c r="F60" i="8" s="1"/>
  <c r="J35" i="8"/>
  <c r="K12" i="8"/>
  <c r="M12" i="8" s="1"/>
  <c r="O12" i="8" s="1"/>
  <c r="P12" i="8" s="1"/>
  <c r="K22" i="8"/>
  <c r="J30" i="8"/>
  <c r="K30" i="8"/>
  <c r="M30" i="8" s="1"/>
  <c r="K35" i="8"/>
  <c r="M46" i="8" l="1"/>
  <c r="O46" i="8"/>
  <c r="P46" i="8" s="1"/>
  <c r="J44" i="8"/>
  <c r="H44" i="8"/>
  <c r="K44" i="8"/>
  <c r="K53" i="8"/>
  <c r="M22" i="8"/>
  <c r="O22" i="8" s="1"/>
  <c r="P22" i="8" s="1"/>
  <c r="O30" i="8"/>
  <c r="P30" i="8" s="1"/>
  <c r="E31" i="8"/>
  <c r="M35" i="8"/>
  <c r="O35" i="8"/>
  <c r="P35" i="8" s="1"/>
  <c r="O44" i="8" l="1"/>
  <c r="P44" i="8" s="1"/>
  <c r="M44" i="8"/>
  <c r="F31" i="8"/>
  <c r="K31" i="8" s="1"/>
  <c r="O31" i="8" s="1"/>
  <c r="M53" i="8"/>
  <c r="O53" i="8"/>
  <c r="E54" i="8"/>
  <c r="F54" i="8" s="1"/>
  <c r="J60" i="8"/>
  <c r="H60" i="8"/>
  <c r="K60" i="8"/>
  <c r="H53" i="8"/>
  <c r="J53" i="8"/>
  <c r="H31" i="8" l="1"/>
  <c r="J31" i="8"/>
  <c r="P31" i="8" s="1"/>
  <c r="M31" i="8"/>
  <c r="E32" i="8"/>
  <c r="F32" i="8" s="1"/>
  <c r="M60" i="8"/>
  <c r="E61" i="8" s="1"/>
  <c r="F61" i="8" s="1"/>
  <c r="O60" i="8"/>
  <c r="P60" i="8" s="1"/>
  <c r="P53" i="8"/>
  <c r="K32" i="8" l="1"/>
  <c r="O32" i="8" s="1"/>
  <c r="H54" i="8"/>
  <c r="J54" i="8"/>
  <c r="K54" i="8"/>
  <c r="J32" i="8"/>
  <c r="H32" i="8"/>
  <c r="M32" i="8" l="1"/>
  <c r="E33" i="8"/>
  <c r="F33" i="8" s="1"/>
  <c r="M54" i="8"/>
  <c r="O54" i="8"/>
  <c r="P54" i="8" s="1"/>
  <c r="J61" i="8"/>
  <c r="H61" i="8"/>
  <c r="K61" i="8"/>
  <c r="P32" i="8"/>
  <c r="K33" i="8" l="1"/>
  <c r="M33" i="8" s="1"/>
  <c r="M61" i="8"/>
  <c r="O61" i="8"/>
  <c r="P61" i="8" s="1"/>
  <c r="J33" i="8"/>
  <c r="H33" i="8"/>
  <c r="O33" i="8" l="1"/>
  <c r="P33" i="8" s="1"/>
  <c r="E34" i="8"/>
  <c r="F34" i="8" l="1"/>
  <c r="H34" i="8" s="1"/>
  <c r="E36" i="8"/>
  <c r="K34" i="8"/>
  <c r="J34" i="8" l="1"/>
  <c r="K36" i="8"/>
  <c r="O34" i="8"/>
  <c r="P34" i="8" s="1"/>
  <c r="M34" i="8"/>
  <c r="O36" i="8" l="1"/>
  <c r="M36" i="8"/>
  <c r="J36" i="8"/>
  <c r="H36" i="8"/>
  <c r="I28" i="8"/>
  <c r="J28" i="8" s="1"/>
  <c r="K28" i="8"/>
  <c r="K62" i="8" s="1"/>
  <c r="H28" i="8"/>
  <c r="F26" i="8"/>
  <c r="F63" i="8" s="1"/>
  <c r="P36" i="8" l="1"/>
  <c r="J62" i="8"/>
  <c r="H62" i="8"/>
  <c r="G62" i="8" s="1"/>
  <c r="K26" i="8"/>
  <c r="M28" i="8"/>
  <c r="O28" i="8"/>
  <c r="K63" i="8" l="1"/>
  <c r="F65" i="8" s="1"/>
  <c r="M62" i="8"/>
  <c r="I62" i="8"/>
  <c r="P28" i="8"/>
  <c r="O62" i="8" l="1"/>
  <c r="N62" i="8" s="1"/>
  <c r="L62" i="8"/>
  <c r="P62" i="8"/>
  <c r="H26" i="8" l="1"/>
  <c r="J26" i="8"/>
  <c r="H63" i="8" l="1"/>
  <c r="G26" i="8"/>
  <c r="J63" i="8"/>
  <c r="I26" i="8"/>
  <c r="M26" i="8"/>
  <c r="P26" i="8"/>
  <c r="P63" i="8" s="1"/>
  <c r="O26" i="8"/>
  <c r="O63" i="8" s="1"/>
  <c r="G69" i="8" l="1"/>
  <c r="I63" i="8"/>
  <c r="M63" i="8"/>
  <c r="F68" i="8" s="1"/>
  <c r="L26" i="8"/>
  <c r="G63" i="8"/>
  <c r="G68" i="8"/>
  <c r="F67" i="8"/>
  <c r="N26" i="8"/>
  <c r="F69" i="8" l="1"/>
  <c r="H69" i="8"/>
  <c r="F66" i="8"/>
  <c r="H68" i="8"/>
  <c r="L63" i="8"/>
  <c r="N63" i="8"/>
</calcChain>
</file>

<file path=xl/comments1.xml><?xml version="1.0" encoding="utf-8"?>
<comments xmlns="http://schemas.openxmlformats.org/spreadsheetml/2006/main">
  <authors>
    <author>Amy Wieczorek, MPH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Amy Wieczorek, MPH:</t>
        </r>
        <r>
          <rPr>
            <sz val="9"/>
            <color indexed="81"/>
            <rFont val="Tahoma"/>
            <family val="2"/>
          </rPr>
          <t xml:space="preserve">
Each SA provides 1-2 LA contacts</t>
        </r>
      </text>
    </comment>
  </commentList>
</comments>
</file>

<file path=xl/sharedStrings.xml><?xml version="1.0" encoding="utf-8"?>
<sst xmlns="http://schemas.openxmlformats.org/spreadsheetml/2006/main" count="153" uniqueCount="138">
  <si>
    <t>Respondent Category</t>
  </si>
  <si>
    <t>Instrument</t>
  </si>
  <si>
    <t>Total Sample Size</t>
  </si>
  <si>
    <t>Respondents</t>
  </si>
  <si>
    <t>Non-Respondents</t>
  </si>
  <si>
    <t>Grand Total Burden Estimate (Hours)</t>
  </si>
  <si>
    <t xml:space="preserve">Estimated Number of Respondents </t>
  </si>
  <si>
    <t>Frequency of Response</t>
  </si>
  <si>
    <t xml:space="preserve">Total Annual Responses </t>
  </si>
  <si>
    <t xml:space="preserve">Average Time Per Response (Hours) </t>
  </si>
  <si>
    <t>Total Annual Burden Estimate (Hours)</t>
  </si>
  <si>
    <t xml:space="preserve">Estimated Number of Non-Respondents </t>
  </si>
  <si>
    <t>Frequency of Non-Response</t>
  </si>
  <si>
    <t>Total Annual Non-Responses</t>
  </si>
  <si>
    <t>Average Time Per Non- Response (Hours)</t>
  </si>
  <si>
    <t>State, Local, and Tribal Government</t>
  </si>
  <si>
    <t>Subtotal of State, Local, and Tribal Government</t>
  </si>
  <si>
    <t>Individuals or Households</t>
  </si>
  <si>
    <t>Grand Total</t>
  </si>
  <si>
    <t>Total # of respondents (including participants and non-respondents)</t>
  </si>
  <si>
    <t>Estimated total # of annual responses (including participants and non-respondents)</t>
  </si>
  <si>
    <t>Total annual burden estimates (including participants and non-respondents)</t>
  </si>
  <si>
    <t>Estimated frequency of responses per respondent (including participants and non-respondents)</t>
  </si>
  <si>
    <t>Estimated time per response (including participants and non-respondents)</t>
  </si>
  <si>
    <t>Respondent Type</t>
  </si>
  <si>
    <t>Appendix    ID</t>
  </si>
  <si>
    <t>State WIC Agency Directors</t>
  </si>
  <si>
    <t>3 min</t>
  </si>
  <si>
    <t>1.2 min</t>
  </si>
  <si>
    <t>door knock</t>
  </si>
  <si>
    <t>5 min</t>
  </si>
  <si>
    <t>Subtotal of Individuals or Households</t>
  </si>
  <si>
    <t>KEY:</t>
  </si>
  <si>
    <t>call</t>
  </si>
  <si>
    <t>Former WIC Program Participants</t>
  </si>
  <si>
    <t>State Agency Survey Invitation Email</t>
  </si>
  <si>
    <t>State Agency Survey Invitation Letter with Instrument</t>
  </si>
  <si>
    <t>State Agency Survey Thank You Letter</t>
  </si>
  <si>
    <t>Local WIC Agency Survey Invitation Email</t>
  </si>
  <si>
    <t>Local WIC Agency Survey Invitation Letter with Instrument</t>
  </si>
  <si>
    <t>Local WIC Agency Survey Thank You Letter</t>
  </si>
  <si>
    <t>Recently Denied WIC Program Applicants</t>
  </si>
  <si>
    <t>voicemail</t>
  </si>
  <si>
    <t>State Agency Survey Reminder Email, 1</t>
  </si>
  <si>
    <t>State Agency Survey Reminder Email, 2</t>
  </si>
  <si>
    <t>State Agency Survey Reminder Email, 3</t>
  </si>
  <si>
    <t>State Agency Survey Reminder Email, 4</t>
  </si>
  <si>
    <t>mail back</t>
  </si>
  <si>
    <t>Local WIC Agency Survey Reminder Email, 1</t>
  </si>
  <si>
    <t>Local WIC Agency Survey Reminder Email, 2</t>
  </si>
  <si>
    <t>Local WIC Agency Survey Reminder Email, 3</t>
  </si>
  <si>
    <t>Local WIC Agency Survey Reminder Email, 4</t>
  </si>
  <si>
    <t>email, read</t>
  </si>
  <si>
    <t>email, don’t read</t>
  </si>
  <si>
    <t>mail, read</t>
  </si>
  <si>
    <t>mail, don't read</t>
  </si>
  <si>
    <t>email back</t>
  </si>
  <si>
    <t>1.8 min</t>
  </si>
  <si>
    <t>Local WIC Agency Directors</t>
  </si>
  <si>
    <t>consent form</t>
  </si>
  <si>
    <t>6 min</t>
  </si>
  <si>
    <t>Text Message Reminder for Scheduled Denied Applicant Survey</t>
  </si>
  <si>
    <t>Text Message Reminder for Scheduled Certification Survey</t>
  </si>
  <si>
    <t xml:space="preserve">Current WIC Program Participants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</si>
  <si>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Local WIC Agency Survey Reminder Phone Script, Call 1</t>
  </si>
  <si>
    <t>Local WIC Agency Survey Reminder Phone Script, Call 2</t>
  </si>
  <si>
    <t>Certification Survey Invitation Phone Script, Call 1</t>
  </si>
  <si>
    <t>Certification Survey Invitation Phone Script, Call 2</t>
  </si>
  <si>
    <t>Certification Survey Invitation Phone Script, Call 3</t>
  </si>
  <si>
    <t xml:space="preserve">Certification Survey Invitation Phone Script, Call 4 </t>
  </si>
  <si>
    <t>Certification Survey Invitation Phone Script, Call 5</t>
  </si>
  <si>
    <t>Program Experiences Survey Invitation Phone Script, Call 1</t>
  </si>
  <si>
    <t>Program Experiences Survey Invitation Phone Script, Call 2</t>
  </si>
  <si>
    <t>Program Experiences Survey Invitation Phone Script, Call 3</t>
  </si>
  <si>
    <t>Program Experiences Survey Invitation Phone Script, Call 4</t>
  </si>
  <si>
    <t>Program Experiences Survey Invitation Phone Script, Call 5</t>
  </si>
  <si>
    <t>Denied Applicant Survey Invitation Phone Script, Call 1</t>
  </si>
  <si>
    <t>Denied Applicant Survey Invitation Phone Script, Call 2</t>
  </si>
  <si>
    <t>Denied Applicant Survey Invitation Phone Script, Call 3</t>
  </si>
  <si>
    <t>Denied Applicant Survey Invitation Phone Script, Call 4</t>
  </si>
  <si>
    <t>Denied Applicant Survey Invitation Phone Script, Call 5</t>
  </si>
  <si>
    <t>Former WIC Participant Survey Invitation Phone Script, Call 1</t>
  </si>
  <si>
    <t>Former WIC Participant Survey Invitation Phone Script, Call 2</t>
  </si>
  <si>
    <t>Former WIC Participant Survey Invitation Phone Script, Call 3</t>
  </si>
  <si>
    <t>Former WIC Participant Survey Invitation Phone Script, Call 4</t>
  </si>
  <si>
    <t>Former WIC Participant Survey Invitation Phone Script, Call 5</t>
  </si>
  <si>
    <t>Debriefing Interview</t>
  </si>
  <si>
    <t>20 min</t>
  </si>
  <si>
    <t>Denied Applicant Survey-In Person</t>
  </si>
  <si>
    <t>Former WIC Participant Interview Guide-Telephone</t>
  </si>
  <si>
    <t>Program Experiences Survey-Telephone</t>
  </si>
  <si>
    <t>Certification Survey-In Person</t>
  </si>
  <si>
    <t>Letter to State Agencies from Regional Offices</t>
  </si>
  <si>
    <t>State Agency Survey Reminder Phone Script</t>
  </si>
  <si>
    <t>Scheduled Certification Survey Reminder Phone Script</t>
  </si>
  <si>
    <t>Scheduled Denied Applicant Survey Reminder Phone Script</t>
  </si>
  <si>
    <t>State Agency Survey-Paper</t>
  </si>
  <si>
    <t>Local WIC Agency Survey-Paper</t>
  </si>
  <si>
    <t>A1</t>
  </si>
  <si>
    <t>B2</t>
  </si>
  <si>
    <t>A2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</si>
  <si>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</si>
  <si>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</si>
  <si>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</si>
  <si>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</si>
  <si>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</si>
  <si>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</si>
  <si>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</si>
  <si>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</si>
  <si>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</si>
  <si>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</si>
  <si>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</si>
  <si>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A3</t>
  </si>
  <si>
    <t>A4</t>
  </si>
  <si>
    <t>A5</t>
  </si>
  <si>
    <t>A6</t>
  </si>
  <si>
    <t>B14</t>
  </si>
  <si>
    <t>B15</t>
  </si>
  <si>
    <t>B16</t>
  </si>
  <si>
    <t>B17</t>
  </si>
  <si>
    <t>B18</t>
  </si>
  <si>
    <t>C1</t>
  </si>
  <si>
    <t>Informed Consent Form-Certification Survey</t>
  </si>
  <si>
    <t>Informed Consent Form-Denied Applicant Survey</t>
  </si>
  <si>
    <t>C2</t>
  </si>
  <si>
    <t>C3</t>
  </si>
  <si>
    <t>C4</t>
  </si>
  <si>
    <t>D1</t>
  </si>
  <si>
    <t>D2</t>
  </si>
  <si>
    <t>D3</t>
  </si>
  <si>
    <t>D4</t>
  </si>
  <si>
    <t>D5</t>
  </si>
  <si>
    <t>D6</t>
  </si>
  <si>
    <t>should match P63</t>
  </si>
  <si>
    <t>SA/LA debriefing interview</t>
  </si>
  <si>
    <t>CS/DAS/PES/FPS</t>
  </si>
  <si>
    <t>10 min</t>
  </si>
  <si>
    <t>Note:  Appendix B1 is a letter to FNS Regional Offices, therefore, it is not included as burden in the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</si>
</sst>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.5"/>
      <color theme="1"/>
      <name val="Arial Narrow"/>
      <family val="2"/>
    </font>
    <font>
      <b/>
      <sz val="9.5"/>
      <color rgb="FF000000"/>
      <name val="Arial Narrow"/>
      <family val="2"/>
    </font>
    <font>
      <sz val="9.5"/>
      <color rgb="FF000000"/>
      <name val="Arial Narrow"/>
      <family val="2"/>
    </font>
    <font>
      <sz val="9.5"/>
      <color theme="1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sz val="9.5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2" applyNumberFormat="0" applyFont="0" applyAlignment="0" applyProtection="0"/>
  </cellStyleXfs>
  <cellXfs count="8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2" fontId="8" fillId="0" borderId="1" xfId="0" applyNumberFormat="1" applyFont="1" applyBorder="1" applyAlignment="1">
      <alignment horizontal="center" vertical="center"/>
    </xf>
    <xf numFmtId="0" fontId="0" fillId="3" borderId="2" xfId="1" applyFont="1"/>
    <xf numFmtId="2" fontId="8" fillId="0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0" fontId="0" fillId="3" borderId="0" xfId="1" applyFont="1" applyBorder="1"/>
    <xf numFmtId="0" fontId="8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2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8" fillId="0" borderId="1" xfId="0" applyFont="1" applyBorder="1" applyAlignment="1">
      <alignment horizontal="center"/>
    </xf>
    <xf numFmtId="1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" fontId="7" fillId="0" borderId="0" xfId="0" applyNumberFormat="1" applyFont="1"/>
    <xf numFmtId="1" fontId="9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/>
    <xf numFmtId="1" fontId="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" fontId="5" fillId="2" borderId="1" xfId="1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/>
    </xf>
    <xf numFmtId="0" fontId="11" fillId="3" borderId="2" xfId="1" applyFont="1"/>
    <xf numFmtId="0" fontId="13" fillId="3" borderId="2" xfId="1" applyFont="1" applyAlignment="1">
      <alignment horizontal="right"/>
    </xf>
    <xf numFmtId="0" fontId="13" fillId="3" borderId="2" xfId="1" applyFont="1"/>
    <xf numFmtId="0" fontId="12" fillId="0" borderId="0" xfId="0" applyFont="1"/>
    <xf numFmtId="0" fontId="12" fillId="3" borderId="2" xfId="1" applyFont="1"/>
    <xf numFmtId="0" fontId="8" fillId="0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abSelected="1" zoomScaleNormal="100" workbookViewId="0">
      <pane ySplit="2" topLeftCell="A39" activePane="bottomLeft" state="frozen"/>
      <selection pane="bottomLeft" activeCell="A64" sqref="A64"/>
    </sheetView>
  </sheetViews>
  <sheetFormatPr defaultRowHeight="15" x14ac:dyDescent="0.25"/>
  <cols>
    <col min="1" max="1" width="13.85546875" customWidth="1"/>
    <col min="2" max="2" width="16.140625" customWidth="1"/>
    <col min="3" max="3" width="49.28515625" customWidth="1"/>
    <col min="4" max="4" width="8.28515625" customWidth="1"/>
    <col min="6" max="6" width="10.85546875" customWidth="1"/>
    <col min="11" max="11" width="9.85546875" customWidth="1"/>
  </cols>
  <sheetData>
    <row r="1" spans="1:16" ht="15.75" thickBot="1" x14ac:dyDescent="0.3">
      <c r="A1" s="77" t="s">
        <v>0</v>
      </c>
      <c r="B1" s="75" t="s">
        <v>24</v>
      </c>
      <c r="C1" s="78" t="s">
        <v>1</v>
      </c>
      <c r="D1" s="77" t="s">
        <v>25</v>
      </c>
      <c r="E1" s="75" t="s">
        <v>2</v>
      </c>
      <c r="F1" s="79" t="s">
        <v>3</v>
      </c>
      <c r="G1" s="79"/>
      <c r="H1" s="79"/>
      <c r="I1" s="79"/>
      <c r="J1" s="79"/>
      <c r="K1" s="74" t="s">
        <v>4</v>
      </c>
      <c r="L1" s="74"/>
      <c r="M1" s="74"/>
      <c r="N1" s="74"/>
      <c r="O1" s="74"/>
      <c r="P1" s="75" t="s">
        <v>5</v>
      </c>
    </row>
    <row r="2" spans="1:16" ht="64.5" thickBot="1" x14ac:dyDescent="0.3">
      <c r="A2" s="77"/>
      <c r="B2" s="75"/>
      <c r="C2" s="78"/>
      <c r="D2" s="77"/>
      <c r="E2" s="75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10</v>
      </c>
      <c r="P2" s="75"/>
    </row>
    <row r="3" spans="1:16" ht="15.75" thickBot="1" x14ac:dyDescent="0.3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5.75" customHeight="1" thickBot="1" x14ac:dyDescent="0.3">
      <c r="A4" s="72" t="s">
        <v>15</v>
      </c>
      <c r="B4" s="72" t="s">
        <v>26</v>
      </c>
      <c r="C4" s="50" t="s">
        <v>96</v>
      </c>
      <c r="D4" s="52" t="s">
        <v>98</v>
      </c>
      <c r="E4" s="17">
        <v>9</v>
      </c>
      <c r="F4" s="15">
        <v>9</v>
      </c>
      <c r="G4" s="15">
        <v>1</v>
      </c>
      <c r="H4" s="15">
        <f t="shared" ref="H4:H7" si="0">F4*G4</f>
        <v>9</v>
      </c>
      <c r="I4" s="14">
        <f>(66/60) +0.05</f>
        <v>1.1500000000000001</v>
      </c>
      <c r="J4" s="14">
        <f t="shared" ref="J4:J25" si="1">I4*H4*G4</f>
        <v>10.350000000000001</v>
      </c>
      <c r="K4" s="17">
        <f>E4-F4</f>
        <v>0</v>
      </c>
      <c r="L4" s="15">
        <v>0</v>
      </c>
      <c r="M4" s="17">
        <f>K4*L4</f>
        <v>0</v>
      </c>
      <c r="N4" s="14">
        <v>0</v>
      </c>
      <c r="O4" s="14">
        <f>N4*M4*L4</f>
        <v>0</v>
      </c>
      <c r="P4" s="14">
        <f t="shared" ref="P4:P25" si="2">O4+J4</f>
        <v>10.350000000000001</v>
      </c>
    </row>
    <row r="5" spans="1:16" ht="15.75" thickBot="1" x14ac:dyDescent="0.3">
      <c r="A5" s="73"/>
      <c r="B5" s="73"/>
      <c r="C5" s="50" t="s">
        <v>86</v>
      </c>
      <c r="D5" s="45" t="s">
        <v>127</v>
      </c>
      <c r="E5" s="17">
        <v>9</v>
      </c>
      <c r="F5" s="15">
        <v>9</v>
      </c>
      <c r="G5" s="15">
        <v>1</v>
      </c>
      <c r="H5" s="15">
        <f t="shared" si="0"/>
        <v>9</v>
      </c>
      <c r="I5" s="14">
        <v>0.33</v>
      </c>
      <c r="J5" s="14">
        <f t="shared" si="1"/>
        <v>2.97</v>
      </c>
      <c r="K5" s="17">
        <f>E5-F5</f>
        <v>0</v>
      </c>
      <c r="L5" s="15">
        <v>0</v>
      </c>
      <c r="M5" s="17">
        <f>K5*L5</f>
        <v>0</v>
      </c>
      <c r="N5" s="14">
        <v>0</v>
      </c>
      <c r="O5" s="14">
        <f>N5*M5*L5</f>
        <v>0</v>
      </c>
      <c r="P5" s="14">
        <f t="shared" si="2"/>
        <v>2.97</v>
      </c>
    </row>
    <row r="6" spans="1:16" ht="15.75" thickBot="1" x14ac:dyDescent="0.3">
      <c r="A6" s="73"/>
      <c r="B6" s="73"/>
      <c r="C6" s="12" t="s">
        <v>92</v>
      </c>
      <c r="D6" s="46" t="s">
        <v>99</v>
      </c>
      <c r="E6" s="53">
        <v>9</v>
      </c>
      <c r="F6" s="44">
        <v>9</v>
      </c>
      <c r="G6" s="44">
        <v>1</v>
      </c>
      <c r="H6" s="44">
        <f t="shared" si="0"/>
        <v>9</v>
      </c>
      <c r="I6" s="8">
        <v>0.02</v>
      </c>
      <c r="J6" s="8">
        <f t="shared" si="1"/>
        <v>0.18</v>
      </c>
      <c r="K6" s="53">
        <f>E6-F6</f>
        <v>0</v>
      </c>
      <c r="L6" s="44">
        <v>0</v>
      </c>
      <c r="M6" s="53">
        <f>K6*L6</f>
        <v>0</v>
      </c>
      <c r="N6" s="8">
        <v>0</v>
      </c>
      <c r="O6" s="8">
        <f t="shared" ref="O6:O25" si="3">N6*M6*L6</f>
        <v>0</v>
      </c>
      <c r="P6" s="6">
        <f t="shared" si="2"/>
        <v>0.18</v>
      </c>
    </row>
    <row r="7" spans="1:16" ht="15.75" thickBot="1" x14ac:dyDescent="0.3">
      <c r="A7" s="73"/>
      <c r="B7" s="73"/>
      <c r="C7" s="12" t="s">
        <v>35</v>
      </c>
      <c r="D7" s="46" t="s">
        <v>101</v>
      </c>
      <c r="E7" s="53">
        <v>9</v>
      </c>
      <c r="F7" s="23">
        <v>9</v>
      </c>
      <c r="G7" s="44">
        <v>1</v>
      </c>
      <c r="H7" s="23">
        <f t="shared" si="0"/>
        <v>9</v>
      </c>
      <c r="I7" s="8">
        <v>0.05</v>
      </c>
      <c r="J7" s="8">
        <f t="shared" si="1"/>
        <v>0.45</v>
      </c>
      <c r="K7" s="54">
        <f t="shared" ref="K7:K12" si="4">E7-F7</f>
        <v>0</v>
      </c>
      <c r="L7" s="44">
        <v>1</v>
      </c>
      <c r="M7" s="54">
        <f t="shared" ref="M7:M14" si="5">K7*L7</f>
        <v>0</v>
      </c>
      <c r="N7" s="44">
        <v>0.02</v>
      </c>
      <c r="O7" s="8">
        <f t="shared" si="3"/>
        <v>0</v>
      </c>
      <c r="P7" s="6">
        <f t="shared" si="2"/>
        <v>0.45</v>
      </c>
    </row>
    <row r="8" spans="1:16" ht="15.75" thickBot="1" x14ac:dyDescent="0.3">
      <c r="A8" s="73"/>
      <c r="B8" s="73"/>
      <c r="C8" s="12" t="s">
        <v>36</v>
      </c>
      <c r="D8" s="46" t="s">
        <v>102</v>
      </c>
      <c r="E8" s="53">
        <v>9</v>
      </c>
      <c r="F8" s="23">
        <v>9</v>
      </c>
      <c r="G8" s="44">
        <v>1</v>
      </c>
      <c r="H8" s="23">
        <f t="shared" ref="H8:H14" si="6">F8*G8</f>
        <v>9</v>
      </c>
      <c r="I8" s="44">
        <f>0.02+0.05</f>
        <v>7.0000000000000007E-2</v>
      </c>
      <c r="J8" s="8">
        <f t="shared" si="1"/>
        <v>0.63000000000000012</v>
      </c>
      <c r="K8" s="54">
        <f t="shared" si="4"/>
        <v>0</v>
      </c>
      <c r="L8" s="44">
        <v>1</v>
      </c>
      <c r="M8" s="54">
        <f t="shared" si="5"/>
        <v>0</v>
      </c>
      <c r="N8" s="44">
        <v>0.02</v>
      </c>
      <c r="O8" s="8">
        <f t="shared" si="3"/>
        <v>0</v>
      </c>
      <c r="P8" s="6">
        <f t="shared" si="2"/>
        <v>0.63000000000000012</v>
      </c>
    </row>
    <row r="9" spans="1:16" ht="15.75" thickBot="1" x14ac:dyDescent="0.3">
      <c r="A9" s="73"/>
      <c r="B9" s="73"/>
      <c r="C9" s="12" t="s">
        <v>43</v>
      </c>
      <c r="D9" s="72" t="s">
        <v>103</v>
      </c>
      <c r="E9" s="54">
        <v>9</v>
      </c>
      <c r="F9" s="23">
        <f>E9*0.5</f>
        <v>4.5</v>
      </c>
      <c r="G9" s="44">
        <v>1</v>
      </c>
      <c r="H9" s="23">
        <f>F9*G9</f>
        <v>4.5</v>
      </c>
      <c r="I9" s="8">
        <v>0.05</v>
      </c>
      <c r="J9" s="8">
        <f t="shared" si="1"/>
        <v>0.22500000000000001</v>
      </c>
      <c r="K9" s="54">
        <f t="shared" si="4"/>
        <v>4.5</v>
      </c>
      <c r="L9" s="44">
        <v>1</v>
      </c>
      <c r="M9" s="54">
        <f t="shared" si="5"/>
        <v>4.5</v>
      </c>
      <c r="N9" s="44">
        <v>0.02</v>
      </c>
      <c r="O9" s="8">
        <f t="shared" si="3"/>
        <v>0.09</v>
      </c>
      <c r="P9" s="6">
        <f t="shared" ref="P9" si="7">O9+J9</f>
        <v>0.315</v>
      </c>
    </row>
    <row r="10" spans="1:16" ht="15.75" thickBot="1" x14ac:dyDescent="0.3">
      <c r="A10" s="73"/>
      <c r="B10" s="73"/>
      <c r="C10" s="12" t="s">
        <v>44</v>
      </c>
      <c r="D10" s="73"/>
      <c r="E10" s="54">
        <f>K9</f>
        <v>4.5</v>
      </c>
      <c r="F10" s="23">
        <f t="shared" ref="F10:F12" si="8">E10*0.45</f>
        <v>2.0249999999999999</v>
      </c>
      <c r="G10" s="44">
        <v>1</v>
      </c>
      <c r="H10" s="23">
        <f t="shared" si="6"/>
        <v>2.0249999999999999</v>
      </c>
      <c r="I10" s="8">
        <v>0.05</v>
      </c>
      <c r="J10" s="8">
        <f t="shared" si="1"/>
        <v>0.10125000000000001</v>
      </c>
      <c r="K10" s="54">
        <f t="shared" si="4"/>
        <v>2.4750000000000001</v>
      </c>
      <c r="L10" s="44">
        <v>1</v>
      </c>
      <c r="M10" s="54">
        <f t="shared" si="5"/>
        <v>2.4750000000000001</v>
      </c>
      <c r="N10" s="44">
        <v>0.02</v>
      </c>
      <c r="O10" s="8">
        <f t="shared" si="3"/>
        <v>4.9500000000000002E-2</v>
      </c>
      <c r="P10" s="6">
        <f t="shared" si="2"/>
        <v>0.15075</v>
      </c>
    </row>
    <row r="11" spans="1:16" ht="15.75" thickBot="1" x14ac:dyDescent="0.3">
      <c r="A11" s="73"/>
      <c r="B11" s="73"/>
      <c r="C11" s="12" t="s">
        <v>45</v>
      </c>
      <c r="D11" s="73"/>
      <c r="E11" s="54">
        <f>K10</f>
        <v>2.4750000000000001</v>
      </c>
      <c r="F11" s="23">
        <f t="shared" si="8"/>
        <v>1.11375</v>
      </c>
      <c r="G11" s="44">
        <v>1</v>
      </c>
      <c r="H11" s="23">
        <f t="shared" si="6"/>
        <v>1.11375</v>
      </c>
      <c r="I11" s="8">
        <v>0.05</v>
      </c>
      <c r="J11" s="8">
        <f t="shared" si="1"/>
        <v>5.5687500000000001E-2</v>
      </c>
      <c r="K11" s="54">
        <f t="shared" si="4"/>
        <v>1.3612500000000001</v>
      </c>
      <c r="L11" s="44">
        <v>1</v>
      </c>
      <c r="M11" s="54">
        <f t="shared" si="5"/>
        <v>1.3612500000000001</v>
      </c>
      <c r="N11" s="44">
        <v>0.02</v>
      </c>
      <c r="O11" s="8">
        <f t="shared" si="3"/>
        <v>2.7225000000000003E-2</v>
      </c>
      <c r="P11" s="6">
        <f t="shared" si="2"/>
        <v>8.29125E-2</v>
      </c>
    </row>
    <row r="12" spans="1:16" ht="15.75" thickBot="1" x14ac:dyDescent="0.3">
      <c r="A12" s="73"/>
      <c r="B12" s="73"/>
      <c r="C12" s="12" t="s">
        <v>46</v>
      </c>
      <c r="D12" s="80"/>
      <c r="E12" s="54">
        <f t="shared" ref="E12" si="9">K11</f>
        <v>1.3612500000000001</v>
      </c>
      <c r="F12" s="23">
        <f t="shared" si="8"/>
        <v>0.61256250000000001</v>
      </c>
      <c r="G12" s="44">
        <v>1</v>
      </c>
      <c r="H12" s="23">
        <f t="shared" si="6"/>
        <v>0.61256250000000001</v>
      </c>
      <c r="I12" s="8">
        <v>0.05</v>
      </c>
      <c r="J12" s="8">
        <f t="shared" si="1"/>
        <v>3.0628125000000003E-2</v>
      </c>
      <c r="K12" s="54">
        <f t="shared" si="4"/>
        <v>0.74868750000000006</v>
      </c>
      <c r="L12" s="44">
        <v>1</v>
      </c>
      <c r="M12" s="54">
        <f t="shared" si="5"/>
        <v>0.74868750000000006</v>
      </c>
      <c r="N12" s="44">
        <v>0.02</v>
      </c>
      <c r="O12" s="8">
        <f t="shared" si="3"/>
        <v>1.4973750000000001E-2</v>
      </c>
      <c r="P12" s="6">
        <f t="shared" si="2"/>
        <v>4.5601875E-2</v>
      </c>
    </row>
    <row r="13" spans="1:16" ht="15.75" thickBot="1" x14ac:dyDescent="0.3">
      <c r="A13" s="73"/>
      <c r="B13" s="73"/>
      <c r="C13" s="12" t="s">
        <v>93</v>
      </c>
      <c r="D13" s="55" t="s">
        <v>104</v>
      </c>
      <c r="E13" s="54">
        <v>9</v>
      </c>
      <c r="F13" s="23">
        <f>E13</f>
        <v>9</v>
      </c>
      <c r="G13" s="44">
        <v>1</v>
      </c>
      <c r="H13" s="23">
        <f>F13*G13</f>
        <v>9</v>
      </c>
      <c r="I13" s="8">
        <v>0.08</v>
      </c>
      <c r="J13" s="8">
        <f t="shared" ref="J13" si="10">I13*H13*G13</f>
        <v>0.72</v>
      </c>
      <c r="K13" s="54">
        <f>4</f>
        <v>4</v>
      </c>
      <c r="L13" s="44">
        <v>1</v>
      </c>
      <c r="M13" s="54">
        <f t="shared" ref="M13" si="11">K13*L13</f>
        <v>4</v>
      </c>
      <c r="N13" s="44">
        <v>0.02</v>
      </c>
      <c r="O13" s="8">
        <f t="shared" ref="O13" si="12">N13*M13*L13</f>
        <v>0.08</v>
      </c>
      <c r="P13" s="6">
        <f t="shared" si="2"/>
        <v>0.79999999999999993</v>
      </c>
    </row>
    <row r="14" spans="1:16" ht="15.75" thickBot="1" x14ac:dyDescent="0.3">
      <c r="A14" s="73"/>
      <c r="B14" s="80"/>
      <c r="C14" s="24" t="s">
        <v>37</v>
      </c>
      <c r="D14" s="47" t="s">
        <v>125</v>
      </c>
      <c r="E14" s="53">
        <v>9</v>
      </c>
      <c r="F14" s="44">
        <f>E14</f>
        <v>9</v>
      </c>
      <c r="G14" s="44">
        <v>1</v>
      </c>
      <c r="H14" s="23">
        <f t="shared" si="6"/>
        <v>9</v>
      </c>
      <c r="I14" s="8">
        <v>0.02</v>
      </c>
      <c r="J14" s="8">
        <f t="shared" si="1"/>
        <v>0.18</v>
      </c>
      <c r="K14" s="53">
        <f t="shared" ref="K14:K19" si="13">E14-F14</f>
        <v>0</v>
      </c>
      <c r="L14" s="44">
        <v>0</v>
      </c>
      <c r="M14" s="54">
        <f t="shared" si="5"/>
        <v>0</v>
      </c>
      <c r="N14" s="8">
        <v>0</v>
      </c>
      <c r="O14" s="8">
        <f t="shared" si="3"/>
        <v>0</v>
      </c>
      <c r="P14" s="6">
        <f t="shared" si="2"/>
        <v>0.18</v>
      </c>
    </row>
    <row r="15" spans="1:16" ht="15.75" customHeight="1" thickBot="1" x14ac:dyDescent="0.3">
      <c r="A15" s="73"/>
      <c r="B15" s="72" t="s">
        <v>58</v>
      </c>
      <c r="C15" s="38" t="s">
        <v>97</v>
      </c>
      <c r="D15" s="15" t="s">
        <v>100</v>
      </c>
      <c r="E15" s="16">
        <v>18</v>
      </c>
      <c r="F15" s="35">
        <v>9</v>
      </c>
      <c r="G15" s="15">
        <v>1</v>
      </c>
      <c r="H15" s="15">
        <f t="shared" ref="H15:H23" si="14">F15*G15</f>
        <v>9</v>
      </c>
      <c r="I15" s="14">
        <f>(40/60) +0.05</f>
        <v>0.71666666666666667</v>
      </c>
      <c r="J15" s="14">
        <f t="shared" si="1"/>
        <v>6.45</v>
      </c>
      <c r="K15" s="56">
        <f t="shared" si="13"/>
        <v>9</v>
      </c>
      <c r="L15" s="15">
        <v>0</v>
      </c>
      <c r="M15" s="17">
        <f t="shared" ref="M15:M22" si="15">K15*L15</f>
        <v>0</v>
      </c>
      <c r="N15" s="14">
        <v>0</v>
      </c>
      <c r="O15" s="14">
        <f t="shared" si="3"/>
        <v>0</v>
      </c>
      <c r="P15" s="14">
        <f t="shared" si="2"/>
        <v>6.45</v>
      </c>
    </row>
    <row r="16" spans="1:16" ht="15.75" thickBot="1" x14ac:dyDescent="0.3">
      <c r="A16" s="73"/>
      <c r="B16" s="73"/>
      <c r="C16" s="50" t="s">
        <v>86</v>
      </c>
      <c r="D16" s="45" t="s">
        <v>128</v>
      </c>
      <c r="E16" s="17">
        <v>9</v>
      </c>
      <c r="F16" s="15">
        <v>9</v>
      </c>
      <c r="G16" s="15">
        <v>1</v>
      </c>
      <c r="H16" s="15">
        <f>F16*G16</f>
        <v>9</v>
      </c>
      <c r="I16" s="14">
        <v>0.33</v>
      </c>
      <c r="J16" s="14">
        <f t="shared" ref="J16" si="16">I16*H16*G16</f>
        <v>2.97</v>
      </c>
      <c r="K16" s="17">
        <f t="shared" si="13"/>
        <v>0</v>
      </c>
      <c r="L16" s="15">
        <v>0</v>
      </c>
      <c r="M16" s="17">
        <f>K16*L16</f>
        <v>0</v>
      </c>
      <c r="N16" s="14">
        <v>0</v>
      </c>
      <c r="O16" s="14">
        <f>N16*M16*L16</f>
        <v>0</v>
      </c>
      <c r="P16" s="14">
        <f t="shared" ref="P16" si="17">O16+J16</f>
        <v>2.97</v>
      </c>
    </row>
    <row r="17" spans="1:18" ht="15.75" thickBot="1" x14ac:dyDescent="0.3">
      <c r="A17" s="73"/>
      <c r="B17" s="73"/>
      <c r="C17" s="12" t="s">
        <v>38</v>
      </c>
      <c r="D17" s="46" t="s">
        <v>105</v>
      </c>
      <c r="E17" s="23">
        <v>18</v>
      </c>
      <c r="F17" s="23">
        <v>9</v>
      </c>
      <c r="G17" s="44">
        <v>1</v>
      </c>
      <c r="H17" s="23">
        <f t="shared" si="14"/>
        <v>9</v>
      </c>
      <c r="I17" s="8">
        <v>0.05</v>
      </c>
      <c r="J17" s="8">
        <f t="shared" si="1"/>
        <v>0.45</v>
      </c>
      <c r="K17" s="23">
        <f t="shared" si="13"/>
        <v>9</v>
      </c>
      <c r="L17" s="44">
        <v>1</v>
      </c>
      <c r="M17" s="54">
        <f t="shared" si="15"/>
        <v>9</v>
      </c>
      <c r="N17" s="44">
        <v>0.02</v>
      </c>
      <c r="O17" s="8">
        <f t="shared" si="3"/>
        <v>0.18</v>
      </c>
      <c r="P17" s="6">
        <f t="shared" si="2"/>
        <v>0.63</v>
      </c>
    </row>
    <row r="18" spans="1:18" ht="15.75" thickBot="1" x14ac:dyDescent="0.3">
      <c r="A18" s="73"/>
      <c r="B18" s="73"/>
      <c r="C18" s="12" t="s">
        <v>39</v>
      </c>
      <c r="D18" s="46" t="s">
        <v>106</v>
      </c>
      <c r="E18" s="53">
        <v>18</v>
      </c>
      <c r="F18" s="23">
        <v>9</v>
      </c>
      <c r="G18" s="44">
        <v>1</v>
      </c>
      <c r="H18" s="23">
        <f t="shared" si="14"/>
        <v>9</v>
      </c>
      <c r="I18" s="8">
        <v>7.0000000000000007E-2</v>
      </c>
      <c r="J18" s="8">
        <f t="shared" si="1"/>
        <v>0.63000000000000012</v>
      </c>
      <c r="K18" s="54">
        <f t="shared" si="13"/>
        <v>9</v>
      </c>
      <c r="L18" s="44">
        <v>1</v>
      </c>
      <c r="M18" s="54">
        <f t="shared" si="15"/>
        <v>9</v>
      </c>
      <c r="N18" s="44">
        <v>0.02</v>
      </c>
      <c r="O18" s="8">
        <f t="shared" si="3"/>
        <v>0.18</v>
      </c>
      <c r="P18" s="6">
        <f t="shared" si="2"/>
        <v>0.81</v>
      </c>
    </row>
    <row r="19" spans="1:18" ht="15.75" thickBot="1" x14ac:dyDescent="0.3">
      <c r="A19" s="73"/>
      <c r="B19" s="73"/>
      <c r="C19" s="12" t="s">
        <v>48</v>
      </c>
      <c r="D19" s="72" t="s">
        <v>107</v>
      </c>
      <c r="E19" s="54">
        <f>F18</f>
        <v>9</v>
      </c>
      <c r="F19" s="23">
        <f>E19*0.38</f>
        <v>3.42</v>
      </c>
      <c r="G19" s="44">
        <v>1</v>
      </c>
      <c r="H19" s="23">
        <f t="shared" si="14"/>
        <v>3.42</v>
      </c>
      <c r="I19" s="8">
        <v>0.05</v>
      </c>
      <c r="J19" s="8">
        <f t="shared" si="1"/>
        <v>0.17100000000000001</v>
      </c>
      <c r="K19" s="54">
        <f t="shared" si="13"/>
        <v>5.58</v>
      </c>
      <c r="L19" s="44">
        <v>1</v>
      </c>
      <c r="M19" s="54">
        <f t="shared" si="15"/>
        <v>5.58</v>
      </c>
      <c r="N19" s="44">
        <v>0.02</v>
      </c>
      <c r="O19" s="8">
        <f t="shared" si="3"/>
        <v>0.1116</v>
      </c>
      <c r="P19" s="6">
        <f t="shared" si="2"/>
        <v>0.28260000000000002</v>
      </c>
    </row>
    <row r="20" spans="1:18" ht="15.75" thickBot="1" x14ac:dyDescent="0.3">
      <c r="A20" s="73"/>
      <c r="B20" s="73"/>
      <c r="C20" s="12" t="s">
        <v>49</v>
      </c>
      <c r="D20" s="73"/>
      <c r="E20" s="54">
        <f t="shared" ref="E20:E22" si="18">K19</f>
        <v>5.58</v>
      </c>
      <c r="F20" s="23">
        <f t="shared" ref="F20:F22" si="19">E20*0.38</f>
        <v>2.1204000000000001</v>
      </c>
      <c r="G20" s="44">
        <v>1</v>
      </c>
      <c r="H20" s="23">
        <f t="shared" si="14"/>
        <v>2.1204000000000001</v>
      </c>
      <c r="I20" s="8">
        <v>0.05</v>
      </c>
      <c r="J20" s="8">
        <f t="shared" si="1"/>
        <v>0.10602</v>
      </c>
      <c r="K20" s="54">
        <f t="shared" ref="K20" si="20">E20-F20</f>
        <v>3.4596</v>
      </c>
      <c r="L20" s="44">
        <v>1</v>
      </c>
      <c r="M20" s="54">
        <f t="shared" si="15"/>
        <v>3.4596</v>
      </c>
      <c r="N20" s="44">
        <v>0.02</v>
      </c>
      <c r="O20" s="8">
        <f t="shared" si="3"/>
        <v>6.9192000000000004E-2</v>
      </c>
      <c r="P20" s="6">
        <f t="shared" si="2"/>
        <v>0.17521200000000001</v>
      </c>
    </row>
    <row r="21" spans="1:18" ht="15.75" thickBot="1" x14ac:dyDescent="0.3">
      <c r="A21" s="73"/>
      <c r="B21" s="73"/>
      <c r="C21" s="24" t="s">
        <v>50</v>
      </c>
      <c r="D21" s="73"/>
      <c r="E21" s="54">
        <f t="shared" si="18"/>
        <v>3.4596</v>
      </c>
      <c r="F21" s="23">
        <f>E21*0.25</f>
        <v>0.8649</v>
      </c>
      <c r="G21" s="44">
        <v>1</v>
      </c>
      <c r="H21" s="23">
        <f t="shared" si="14"/>
        <v>0.8649</v>
      </c>
      <c r="I21" s="8">
        <v>0.05</v>
      </c>
      <c r="J21" s="8">
        <f t="shared" si="1"/>
        <v>4.3245000000000006E-2</v>
      </c>
      <c r="K21" s="54">
        <f>E21-F21</f>
        <v>2.5947</v>
      </c>
      <c r="L21" s="44">
        <v>1</v>
      </c>
      <c r="M21" s="54">
        <f t="shared" si="15"/>
        <v>2.5947</v>
      </c>
      <c r="N21" s="44">
        <v>0.02</v>
      </c>
      <c r="O21" s="8">
        <f t="shared" si="3"/>
        <v>5.1894000000000003E-2</v>
      </c>
      <c r="P21" s="6">
        <f t="shared" si="2"/>
        <v>9.5139000000000001E-2</v>
      </c>
    </row>
    <row r="22" spans="1:18" ht="15.75" thickBot="1" x14ac:dyDescent="0.3">
      <c r="A22" s="73"/>
      <c r="B22" s="73"/>
      <c r="C22" s="24" t="s">
        <v>51</v>
      </c>
      <c r="D22" s="80"/>
      <c r="E22" s="54">
        <f t="shared" si="18"/>
        <v>2.5947</v>
      </c>
      <c r="F22" s="23">
        <f t="shared" si="19"/>
        <v>0.98598600000000003</v>
      </c>
      <c r="G22" s="44">
        <v>1</v>
      </c>
      <c r="H22" s="23">
        <f t="shared" si="14"/>
        <v>0.98598600000000003</v>
      </c>
      <c r="I22" s="8">
        <v>0.05</v>
      </c>
      <c r="J22" s="8">
        <f t="shared" si="1"/>
        <v>4.9299300000000004E-2</v>
      </c>
      <c r="K22" s="54">
        <f t="shared" ref="K22" si="21">E22-F22</f>
        <v>1.608714</v>
      </c>
      <c r="L22" s="44">
        <v>1</v>
      </c>
      <c r="M22" s="54">
        <f t="shared" si="15"/>
        <v>1.608714</v>
      </c>
      <c r="N22" s="44">
        <v>0.02</v>
      </c>
      <c r="O22" s="8">
        <f t="shared" si="3"/>
        <v>3.217428E-2</v>
      </c>
      <c r="P22" s="6">
        <f t="shared" si="2"/>
        <v>8.1473580000000004E-2</v>
      </c>
    </row>
    <row r="23" spans="1:18" ht="15.75" thickBot="1" x14ac:dyDescent="0.3">
      <c r="A23" s="73"/>
      <c r="B23" s="73"/>
      <c r="C23" s="24" t="s">
        <v>64</v>
      </c>
      <c r="D23" s="73" t="s">
        <v>108</v>
      </c>
      <c r="E23" s="54">
        <f>E15</f>
        <v>18</v>
      </c>
      <c r="F23" s="23">
        <f>E23*0.3</f>
        <v>5.3999999999999995</v>
      </c>
      <c r="G23" s="44">
        <v>1</v>
      </c>
      <c r="H23" s="23">
        <f t="shared" si="14"/>
        <v>5.3999999999999995</v>
      </c>
      <c r="I23" s="8">
        <v>0.08</v>
      </c>
      <c r="J23" s="8">
        <f t="shared" si="1"/>
        <v>0.43199999999999994</v>
      </c>
      <c r="K23" s="54">
        <f t="shared" ref="K23:K25" si="22">E23-F23</f>
        <v>12.600000000000001</v>
      </c>
      <c r="L23" s="44">
        <v>1</v>
      </c>
      <c r="M23" s="54">
        <v>0</v>
      </c>
      <c r="N23" s="44">
        <v>0.02</v>
      </c>
      <c r="O23" s="8">
        <f t="shared" si="3"/>
        <v>0</v>
      </c>
      <c r="P23" s="6">
        <f t="shared" si="2"/>
        <v>0.43199999999999994</v>
      </c>
    </row>
    <row r="24" spans="1:18" ht="15.75" thickBot="1" x14ac:dyDescent="0.3">
      <c r="A24" s="73"/>
      <c r="B24" s="73"/>
      <c r="C24" s="12" t="s">
        <v>65</v>
      </c>
      <c r="D24" s="80"/>
      <c r="E24" s="54">
        <f t="shared" ref="E24" si="23">K23</f>
        <v>12.600000000000001</v>
      </c>
      <c r="F24" s="23">
        <f>E24*0.3</f>
        <v>3.7800000000000002</v>
      </c>
      <c r="G24" s="44">
        <v>1</v>
      </c>
      <c r="H24" s="23">
        <f t="shared" ref="H24" si="24">F24*G24</f>
        <v>3.7800000000000002</v>
      </c>
      <c r="I24" s="8">
        <v>0.08</v>
      </c>
      <c r="J24" s="8">
        <f t="shared" ref="J24" si="25">I24*H24*G24</f>
        <v>0.3024</v>
      </c>
      <c r="K24" s="54">
        <f t="shared" ref="K24" si="26">E24-F24</f>
        <v>8.82</v>
      </c>
      <c r="L24" s="44">
        <v>1</v>
      </c>
      <c r="M24" s="54">
        <v>0</v>
      </c>
      <c r="N24" s="44">
        <v>0.02</v>
      </c>
      <c r="O24" s="8">
        <f t="shared" ref="O24" si="27">N24*M24*L24</f>
        <v>0</v>
      </c>
      <c r="P24" s="6">
        <f t="shared" ref="P24" si="28">O24+J24</f>
        <v>0.3024</v>
      </c>
    </row>
    <row r="25" spans="1:18" ht="15.75" thickBot="1" x14ac:dyDescent="0.3">
      <c r="A25" s="80"/>
      <c r="B25" s="80"/>
      <c r="C25" s="12" t="s">
        <v>40</v>
      </c>
      <c r="D25" s="47" t="s">
        <v>126</v>
      </c>
      <c r="E25" s="23">
        <f>F15</f>
        <v>9</v>
      </c>
      <c r="F25" s="23">
        <f>E25</f>
        <v>9</v>
      </c>
      <c r="G25" s="44">
        <v>1</v>
      </c>
      <c r="H25" s="44">
        <f>F25*G25</f>
        <v>9</v>
      </c>
      <c r="I25" s="8">
        <v>0.02</v>
      </c>
      <c r="J25" s="8">
        <f t="shared" si="1"/>
        <v>0.18</v>
      </c>
      <c r="K25" s="54">
        <f t="shared" si="22"/>
        <v>0</v>
      </c>
      <c r="L25" s="44">
        <v>0</v>
      </c>
      <c r="M25" s="53">
        <v>0</v>
      </c>
      <c r="N25" s="8">
        <v>0</v>
      </c>
      <c r="O25" s="8">
        <f t="shared" si="3"/>
        <v>0</v>
      </c>
      <c r="P25" s="6">
        <f t="shared" si="2"/>
        <v>0.18</v>
      </c>
    </row>
    <row r="26" spans="1:18" ht="15.75" thickBot="1" x14ac:dyDescent="0.3">
      <c r="A26" s="67" t="s">
        <v>16</v>
      </c>
      <c r="B26" s="67"/>
      <c r="C26" s="67"/>
      <c r="D26" s="67"/>
      <c r="E26" s="67"/>
      <c r="F26" s="57">
        <f>F4+F15</f>
        <v>18</v>
      </c>
      <c r="G26" s="58">
        <f>H26/F26</f>
        <v>7.3790332500000018</v>
      </c>
      <c r="H26" s="59">
        <f>SUM(H4:H25)</f>
        <v>132.82259850000003</v>
      </c>
      <c r="I26" s="60">
        <f>J26/H26</f>
        <v>0.20837214628804293</v>
      </c>
      <c r="J26" s="60">
        <f>SUM(J4:J25)</f>
        <v>27.676529924999997</v>
      </c>
      <c r="K26" s="61">
        <f>K15+K4</f>
        <v>9</v>
      </c>
      <c r="L26" s="58">
        <f>M26/K26</f>
        <v>4.9253279444444447</v>
      </c>
      <c r="M26" s="58">
        <f>SUM(M4:M25)</f>
        <v>44.327951500000005</v>
      </c>
      <c r="N26" s="60">
        <f>O26/M26</f>
        <v>1.9999999999999997E-2</v>
      </c>
      <c r="O26" s="60">
        <f>SUM(O4:O25)</f>
        <v>0.88655903000000003</v>
      </c>
      <c r="P26" s="62">
        <f>SUM(P4:P25)</f>
        <v>28.563088954999994</v>
      </c>
      <c r="R26" s="22"/>
    </row>
    <row r="27" spans="1:18" ht="15.75" thickBot="1" x14ac:dyDescent="0.3">
      <c r="A27" s="81" t="s">
        <v>17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1:18" ht="15.75" customHeight="1" thickBot="1" x14ac:dyDescent="0.3">
      <c r="A28" s="72" t="s">
        <v>17</v>
      </c>
      <c r="B28" s="83" t="s">
        <v>63</v>
      </c>
      <c r="C28" s="38" t="s">
        <v>91</v>
      </c>
      <c r="D28" s="15" t="s">
        <v>112</v>
      </c>
      <c r="E28" s="16">
        <v>100</v>
      </c>
      <c r="F28" s="35">
        <v>9</v>
      </c>
      <c r="G28" s="15">
        <v>1</v>
      </c>
      <c r="H28" s="15">
        <f>F28*G28</f>
        <v>9</v>
      </c>
      <c r="I28" s="14">
        <f>(30/60)</f>
        <v>0.5</v>
      </c>
      <c r="J28" s="14">
        <f t="shared" ref="J28:J61" si="29">I28*G28*F28</f>
        <v>4.5</v>
      </c>
      <c r="K28" s="15">
        <f t="shared" ref="K28:K29" si="30">E28-F28</f>
        <v>91</v>
      </c>
      <c r="L28" s="15">
        <v>0</v>
      </c>
      <c r="M28" s="15">
        <f t="shared" ref="M28:M61" si="31">L28*K28</f>
        <v>0</v>
      </c>
      <c r="N28" s="14">
        <v>0</v>
      </c>
      <c r="O28" s="14">
        <f t="shared" ref="O28:O61" si="32">N28*L28*K28</f>
        <v>0</v>
      </c>
      <c r="P28" s="14">
        <f t="shared" ref="P28:P61" si="33">O28+J28</f>
        <v>4.5</v>
      </c>
    </row>
    <row r="29" spans="1:18" ht="15.75" thickBot="1" x14ac:dyDescent="0.3">
      <c r="A29" s="73"/>
      <c r="B29" s="83"/>
      <c r="C29" s="38" t="s">
        <v>86</v>
      </c>
      <c r="D29" s="45" t="s">
        <v>129</v>
      </c>
      <c r="E29" s="16">
        <f>F28</f>
        <v>9</v>
      </c>
      <c r="F29" s="35">
        <f>E29</f>
        <v>9</v>
      </c>
      <c r="G29" s="15">
        <v>1</v>
      </c>
      <c r="H29" s="15">
        <f>F29*G29</f>
        <v>9</v>
      </c>
      <c r="I29" s="14">
        <v>0.16700000000000001</v>
      </c>
      <c r="J29" s="14">
        <f t="shared" si="29"/>
        <v>1.5030000000000001</v>
      </c>
      <c r="K29" s="15">
        <f t="shared" si="30"/>
        <v>0</v>
      </c>
      <c r="L29" s="15">
        <v>0</v>
      </c>
      <c r="M29" s="15">
        <f t="shared" si="31"/>
        <v>0</v>
      </c>
      <c r="N29" s="14">
        <v>0</v>
      </c>
      <c r="O29" s="14">
        <f t="shared" si="32"/>
        <v>0</v>
      </c>
      <c r="P29" s="14">
        <f t="shared" si="33"/>
        <v>1.5030000000000001</v>
      </c>
    </row>
    <row r="30" spans="1:18" ht="15.75" thickBot="1" x14ac:dyDescent="0.3">
      <c r="A30" s="73"/>
      <c r="B30" s="83"/>
      <c r="C30" s="24" t="s">
        <v>66</v>
      </c>
      <c r="D30" s="82" t="s">
        <v>109</v>
      </c>
      <c r="E30" s="25">
        <f>E28</f>
        <v>100</v>
      </c>
      <c r="F30" s="23">
        <f>E30*0.02</f>
        <v>2</v>
      </c>
      <c r="G30" s="44">
        <v>1</v>
      </c>
      <c r="H30" s="23">
        <f t="shared" ref="H30:H35" si="34">F30*G30</f>
        <v>2</v>
      </c>
      <c r="I30" s="8">
        <v>0.08</v>
      </c>
      <c r="J30" s="8">
        <f t="shared" si="29"/>
        <v>0.16</v>
      </c>
      <c r="K30" s="23">
        <f>E30-F30</f>
        <v>98</v>
      </c>
      <c r="L30" s="44">
        <v>1</v>
      </c>
      <c r="M30" s="23">
        <f t="shared" si="31"/>
        <v>98</v>
      </c>
      <c r="N30" s="44">
        <v>0.02</v>
      </c>
      <c r="O30" s="8">
        <f t="shared" si="32"/>
        <v>1.96</v>
      </c>
      <c r="P30" s="8">
        <f t="shared" si="33"/>
        <v>2.12</v>
      </c>
    </row>
    <row r="31" spans="1:18" ht="15.75" thickBot="1" x14ac:dyDescent="0.3">
      <c r="A31" s="73"/>
      <c r="B31" s="83"/>
      <c r="C31" s="24" t="s">
        <v>67</v>
      </c>
      <c r="D31" s="82"/>
      <c r="E31" s="25">
        <f>K30</f>
        <v>98</v>
      </c>
      <c r="F31" s="23">
        <f t="shared" ref="F31:F33" si="35">E31*0.02</f>
        <v>1.96</v>
      </c>
      <c r="G31" s="44">
        <v>1</v>
      </c>
      <c r="H31" s="23">
        <f t="shared" si="34"/>
        <v>1.96</v>
      </c>
      <c r="I31" s="8">
        <v>0.08</v>
      </c>
      <c r="J31" s="8">
        <f t="shared" si="29"/>
        <v>0.15679999999999999</v>
      </c>
      <c r="K31" s="23">
        <f>ROUNDUP(E31,0)-F31</f>
        <v>96.04</v>
      </c>
      <c r="L31" s="44">
        <v>1</v>
      </c>
      <c r="M31" s="23">
        <f t="shared" si="31"/>
        <v>96.04</v>
      </c>
      <c r="N31" s="44">
        <v>0.02</v>
      </c>
      <c r="O31" s="8">
        <f t="shared" si="32"/>
        <v>1.9208000000000001</v>
      </c>
      <c r="P31" s="8">
        <f t="shared" si="33"/>
        <v>2.0775999999999999</v>
      </c>
    </row>
    <row r="32" spans="1:18" ht="15.75" thickBot="1" x14ac:dyDescent="0.3">
      <c r="A32" s="73"/>
      <c r="B32" s="83"/>
      <c r="C32" s="24" t="s">
        <v>68</v>
      </c>
      <c r="D32" s="82"/>
      <c r="E32" s="25">
        <f t="shared" ref="E32:E34" si="36">K31</f>
        <v>96.04</v>
      </c>
      <c r="F32" s="23">
        <f t="shared" si="35"/>
        <v>1.9208000000000001</v>
      </c>
      <c r="G32" s="44">
        <v>1</v>
      </c>
      <c r="H32" s="23">
        <f t="shared" si="34"/>
        <v>1.9208000000000001</v>
      </c>
      <c r="I32" s="8">
        <v>0.08</v>
      </c>
      <c r="J32" s="8">
        <f t="shared" si="29"/>
        <v>0.153664</v>
      </c>
      <c r="K32" s="23">
        <f>ROUNDUP(E32, 0)-ROUNDUP(F32, 0)</f>
        <v>95</v>
      </c>
      <c r="L32" s="44">
        <v>1</v>
      </c>
      <c r="M32" s="23">
        <f t="shared" si="31"/>
        <v>95</v>
      </c>
      <c r="N32" s="44">
        <v>0.02</v>
      </c>
      <c r="O32" s="8">
        <f t="shared" si="32"/>
        <v>1.9000000000000001</v>
      </c>
      <c r="P32" s="8">
        <f t="shared" si="33"/>
        <v>2.0536639999999999</v>
      </c>
    </row>
    <row r="33" spans="1:16" ht="15.75" thickBot="1" x14ac:dyDescent="0.3">
      <c r="A33" s="73"/>
      <c r="B33" s="83"/>
      <c r="C33" s="24" t="s">
        <v>69</v>
      </c>
      <c r="D33" s="82"/>
      <c r="E33" s="25">
        <f t="shared" si="36"/>
        <v>95</v>
      </c>
      <c r="F33" s="23">
        <f t="shared" si="35"/>
        <v>1.9000000000000001</v>
      </c>
      <c r="G33" s="44">
        <v>1</v>
      </c>
      <c r="H33" s="23">
        <f t="shared" si="34"/>
        <v>1.9000000000000001</v>
      </c>
      <c r="I33" s="8">
        <v>0.08</v>
      </c>
      <c r="J33" s="8">
        <f t="shared" si="29"/>
        <v>0.15200000000000002</v>
      </c>
      <c r="K33" s="23">
        <f t="shared" ref="K33:K34" si="37">E33-F33</f>
        <v>93.1</v>
      </c>
      <c r="L33" s="44">
        <v>1</v>
      </c>
      <c r="M33" s="23">
        <f t="shared" si="31"/>
        <v>93.1</v>
      </c>
      <c r="N33" s="44">
        <v>0.02</v>
      </c>
      <c r="O33" s="8">
        <f t="shared" si="32"/>
        <v>1.8619999999999999</v>
      </c>
      <c r="P33" s="8">
        <f t="shared" si="33"/>
        <v>2.0139999999999998</v>
      </c>
    </row>
    <row r="34" spans="1:16" ht="15.75" thickBot="1" x14ac:dyDescent="0.3">
      <c r="A34" s="73"/>
      <c r="B34" s="83"/>
      <c r="C34" s="24" t="s">
        <v>70</v>
      </c>
      <c r="D34" s="82"/>
      <c r="E34" s="25">
        <f t="shared" si="36"/>
        <v>93.1</v>
      </c>
      <c r="F34" s="23">
        <f>E34*0.01</f>
        <v>0.93099999999999994</v>
      </c>
      <c r="G34" s="44">
        <v>1</v>
      </c>
      <c r="H34" s="23">
        <f t="shared" si="34"/>
        <v>0.93099999999999994</v>
      </c>
      <c r="I34" s="8">
        <v>0.08</v>
      </c>
      <c r="J34" s="8">
        <f t="shared" si="29"/>
        <v>7.4479999999999991E-2</v>
      </c>
      <c r="K34" s="23">
        <f t="shared" si="37"/>
        <v>92.168999999999997</v>
      </c>
      <c r="L34" s="44">
        <v>1</v>
      </c>
      <c r="M34" s="23">
        <f t="shared" si="31"/>
        <v>92.168999999999997</v>
      </c>
      <c r="N34" s="44">
        <v>0.02</v>
      </c>
      <c r="O34" s="8">
        <f t="shared" si="32"/>
        <v>1.84338</v>
      </c>
      <c r="P34" s="8">
        <f t="shared" si="33"/>
        <v>1.9178600000000001</v>
      </c>
    </row>
    <row r="35" spans="1:16" ht="15.75" thickBot="1" x14ac:dyDescent="0.3">
      <c r="A35" s="73"/>
      <c r="B35" s="83"/>
      <c r="C35" s="28" t="s">
        <v>62</v>
      </c>
      <c r="D35" s="48" t="s">
        <v>110</v>
      </c>
      <c r="E35" s="9">
        <v>9</v>
      </c>
      <c r="F35" s="23">
        <f>E35*0.85</f>
        <v>7.6499999999999995</v>
      </c>
      <c r="G35" s="44">
        <v>1</v>
      </c>
      <c r="H35" s="23">
        <f t="shared" si="34"/>
        <v>7.6499999999999995</v>
      </c>
      <c r="I35" s="8">
        <v>0.02</v>
      </c>
      <c r="J35" s="8">
        <f t="shared" ref="J35:J37" si="38">I35*G35*F35</f>
        <v>0.153</v>
      </c>
      <c r="K35" s="23">
        <f t="shared" ref="K35" si="39">E35-F35</f>
        <v>1.3500000000000005</v>
      </c>
      <c r="L35" s="44">
        <v>1</v>
      </c>
      <c r="M35" s="23">
        <f t="shared" si="31"/>
        <v>1.3500000000000005</v>
      </c>
      <c r="N35" s="8">
        <v>0</v>
      </c>
      <c r="O35" s="8">
        <f t="shared" si="32"/>
        <v>0</v>
      </c>
      <c r="P35" s="6">
        <f t="shared" si="33"/>
        <v>0.153</v>
      </c>
    </row>
    <row r="36" spans="1:16" ht="15.75" thickBot="1" x14ac:dyDescent="0.3">
      <c r="A36" s="73"/>
      <c r="B36" s="83"/>
      <c r="C36" s="24" t="s">
        <v>94</v>
      </c>
      <c r="D36" s="48" t="s">
        <v>111</v>
      </c>
      <c r="E36" s="9">
        <f>E34</f>
        <v>93.1</v>
      </c>
      <c r="F36" s="23">
        <v>9</v>
      </c>
      <c r="G36" s="44">
        <v>1</v>
      </c>
      <c r="H36" s="23">
        <f t="shared" ref="H36:H37" si="40">F36*G36</f>
        <v>9</v>
      </c>
      <c r="I36" s="8">
        <v>0.08</v>
      </c>
      <c r="J36" s="8">
        <f t="shared" si="38"/>
        <v>0.72</v>
      </c>
      <c r="K36" s="23">
        <f t="shared" ref="K36:K37" si="41">E36-F36</f>
        <v>84.1</v>
      </c>
      <c r="L36" s="44">
        <v>1</v>
      </c>
      <c r="M36" s="44">
        <f t="shared" si="31"/>
        <v>84.1</v>
      </c>
      <c r="N36" s="44">
        <v>0.02</v>
      </c>
      <c r="O36" s="8">
        <f t="shared" si="32"/>
        <v>1.6819999999999999</v>
      </c>
      <c r="P36" s="6">
        <f t="shared" si="33"/>
        <v>2.4020000000000001</v>
      </c>
    </row>
    <row r="37" spans="1:16" ht="15.75" thickBot="1" x14ac:dyDescent="0.3">
      <c r="A37" s="73"/>
      <c r="B37" s="83"/>
      <c r="C37" s="24" t="s">
        <v>122</v>
      </c>
      <c r="D37" s="48" t="s">
        <v>121</v>
      </c>
      <c r="E37" s="9">
        <f>F28</f>
        <v>9</v>
      </c>
      <c r="F37" s="63">
        <f>9</f>
        <v>9</v>
      </c>
      <c r="G37" s="44">
        <v>1</v>
      </c>
      <c r="H37" s="44">
        <f t="shared" si="40"/>
        <v>9</v>
      </c>
      <c r="I37" s="44">
        <v>0.02</v>
      </c>
      <c r="J37" s="64">
        <f t="shared" si="38"/>
        <v>0.18</v>
      </c>
      <c r="K37" s="65">
        <f t="shared" si="41"/>
        <v>0</v>
      </c>
      <c r="L37" s="23">
        <v>0</v>
      </c>
      <c r="M37" s="23">
        <f t="shared" si="31"/>
        <v>0</v>
      </c>
      <c r="N37" s="44">
        <v>0.02</v>
      </c>
      <c r="O37" s="64">
        <f t="shared" si="32"/>
        <v>0</v>
      </c>
      <c r="P37" s="6">
        <f t="shared" si="33"/>
        <v>0.18</v>
      </c>
    </row>
    <row r="38" spans="1:16" ht="15.75" customHeight="1" thickBot="1" x14ac:dyDescent="0.3">
      <c r="A38" s="73"/>
      <c r="B38" s="72" t="s">
        <v>41</v>
      </c>
      <c r="C38" s="38" t="s">
        <v>88</v>
      </c>
      <c r="D38" s="15" t="s">
        <v>113</v>
      </c>
      <c r="E38" s="36">
        <v>100</v>
      </c>
      <c r="F38" s="15">
        <v>9</v>
      </c>
      <c r="G38" s="15">
        <v>1</v>
      </c>
      <c r="H38" s="15">
        <f t="shared" ref="H38" si="42">F38*G38</f>
        <v>9</v>
      </c>
      <c r="I38" s="14">
        <f>(35/60)</f>
        <v>0.58333333333333337</v>
      </c>
      <c r="J38" s="14">
        <f t="shared" ref="J38:J45" si="43">I38*G38*F38</f>
        <v>5.25</v>
      </c>
      <c r="K38" s="15">
        <f t="shared" ref="K38:K45" si="44">E38-F38</f>
        <v>91</v>
      </c>
      <c r="L38" s="15">
        <v>0</v>
      </c>
      <c r="M38" s="15">
        <f t="shared" ref="M38:M45" si="45">L38*K38</f>
        <v>0</v>
      </c>
      <c r="N38" s="14">
        <v>0</v>
      </c>
      <c r="O38" s="14">
        <f t="shared" ref="O38:O45" si="46">N38*L38*K38</f>
        <v>0</v>
      </c>
      <c r="P38" s="14">
        <f t="shared" ref="P38:P45" si="47">O38+J38</f>
        <v>5.25</v>
      </c>
    </row>
    <row r="39" spans="1:16" ht="15.75" thickBot="1" x14ac:dyDescent="0.3">
      <c r="A39" s="73"/>
      <c r="B39" s="73"/>
      <c r="C39" s="38" t="s">
        <v>86</v>
      </c>
      <c r="D39" s="45" t="s">
        <v>130</v>
      </c>
      <c r="E39" s="16">
        <f>F38</f>
        <v>9</v>
      </c>
      <c r="F39" s="35">
        <f>E39</f>
        <v>9</v>
      </c>
      <c r="G39" s="15">
        <v>1</v>
      </c>
      <c r="H39" s="15">
        <f>F39*G39</f>
        <v>9</v>
      </c>
      <c r="I39" s="14">
        <v>0.16700000000000001</v>
      </c>
      <c r="J39" s="14">
        <f t="shared" si="43"/>
        <v>1.5030000000000001</v>
      </c>
      <c r="K39" s="15">
        <f t="shared" si="44"/>
        <v>0</v>
      </c>
      <c r="L39" s="15">
        <v>0</v>
      </c>
      <c r="M39" s="15">
        <f t="shared" si="45"/>
        <v>0</v>
      </c>
      <c r="N39" s="14">
        <v>0</v>
      </c>
      <c r="O39" s="14">
        <f t="shared" si="46"/>
        <v>0</v>
      </c>
      <c r="P39" s="14">
        <f t="shared" si="47"/>
        <v>1.5030000000000001</v>
      </c>
    </row>
    <row r="40" spans="1:16" ht="15.75" thickBot="1" x14ac:dyDescent="0.3">
      <c r="A40" s="73"/>
      <c r="B40" s="73"/>
      <c r="C40" s="26" t="s">
        <v>76</v>
      </c>
      <c r="D40" s="69" t="s">
        <v>116</v>
      </c>
      <c r="E40" s="37">
        <f>E38</f>
        <v>100</v>
      </c>
      <c r="F40" s="23">
        <f>E40*0.02</f>
        <v>2</v>
      </c>
      <c r="G40" s="44">
        <v>1</v>
      </c>
      <c r="H40" s="23">
        <f t="shared" ref="H40:H45" si="48">F40*G40</f>
        <v>2</v>
      </c>
      <c r="I40" s="8">
        <v>0.08</v>
      </c>
      <c r="J40" s="8">
        <f t="shared" si="43"/>
        <v>0.16</v>
      </c>
      <c r="K40" s="27">
        <f t="shared" si="44"/>
        <v>98</v>
      </c>
      <c r="L40" s="44">
        <v>1</v>
      </c>
      <c r="M40" s="23">
        <f t="shared" si="45"/>
        <v>98</v>
      </c>
      <c r="N40" s="21">
        <v>0.02</v>
      </c>
      <c r="O40" s="8">
        <f t="shared" si="46"/>
        <v>1.96</v>
      </c>
      <c r="P40" s="6">
        <f t="shared" si="47"/>
        <v>2.12</v>
      </c>
    </row>
    <row r="41" spans="1:16" ht="15.75" thickBot="1" x14ac:dyDescent="0.3">
      <c r="A41" s="73"/>
      <c r="B41" s="73"/>
      <c r="C41" s="26" t="s">
        <v>77</v>
      </c>
      <c r="D41" s="70"/>
      <c r="E41" s="37">
        <f>K40</f>
        <v>98</v>
      </c>
      <c r="F41" s="23">
        <f t="shared" ref="F41:F43" si="49">E41*0.02</f>
        <v>1.96</v>
      </c>
      <c r="G41" s="44">
        <v>1</v>
      </c>
      <c r="H41" s="23">
        <f t="shared" si="48"/>
        <v>1.96</v>
      </c>
      <c r="I41" s="8">
        <v>0.08</v>
      </c>
      <c r="J41" s="8">
        <f t="shared" si="43"/>
        <v>0.15679999999999999</v>
      </c>
      <c r="K41" s="27">
        <f t="shared" si="44"/>
        <v>96.04</v>
      </c>
      <c r="L41" s="44">
        <v>1</v>
      </c>
      <c r="M41" s="23">
        <f t="shared" si="45"/>
        <v>96.04</v>
      </c>
      <c r="N41" s="21">
        <v>0.02</v>
      </c>
      <c r="O41" s="8">
        <f t="shared" si="46"/>
        <v>1.9208000000000001</v>
      </c>
      <c r="P41" s="6">
        <f t="shared" si="47"/>
        <v>2.0775999999999999</v>
      </c>
    </row>
    <row r="42" spans="1:16" ht="15.75" thickBot="1" x14ac:dyDescent="0.3">
      <c r="A42" s="73"/>
      <c r="B42" s="73"/>
      <c r="C42" s="26" t="s">
        <v>78</v>
      </c>
      <c r="D42" s="70"/>
      <c r="E42" s="37">
        <f t="shared" ref="E42:E44" si="50">K41</f>
        <v>96.04</v>
      </c>
      <c r="F42" s="23">
        <f t="shared" si="49"/>
        <v>1.9208000000000001</v>
      </c>
      <c r="G42" s="44">
        <v>1</v>
      </c>
      <c r="H42" s="23">
        <f t="shared" si="48"/>
        <v>1.9208000000000001</v>
      </c>
      <c r="I42" s="8">
        <v>0.08</v>
      </c>
      <c r="J42" s="8">
        <f t="shared" si="43"/>
        <v>0.153664</v>
      </c>
      <c r="K42" s="27">
        <f t="shared" si="44"/>
        <v>94.119200000000006</v>
      </c>
      <c r="L42" s="44">
        <v>1</v>
      </c>
      <c r="M42" s="23">
        <f t="shared" si="45"/>
        <v>94.119200000000006</v>
      </c>
      <c r="N42" s="21">
        <v>0.02</v>
      </c>
      <c r="O42" s="8">
        <f t="shared" si="46"/>
        <v>1.8823840000000001</v>
      </c>
      <c r="P42" s="6">
        <f t="shared" si="47"/>
        <v>2.0360480000000001</v>
      </c>
    </row>
    <row r="43" spans="1:16" ht="15.75" thickBot="1" x14ac:dyDescent="0.3">
      <c r="A43" s="73"/>
      <c r="B43" s="73"/>
      <c r="C43" s="26" t="s">
        <v>79</v>
      </c>
      <c r="D43" s="70"/>
      <c r="E43" s="37">
        <f t="shared" si="50"/>
        <v>94.119200000000006</v>
      </c>
      <c r="F43" s="23">
        <f t="shared" si="49"/>
        <v>1.8823840000000001</v>
      </c>
      <c r="G43" s="44">
        <v>1</v>
      </c>
      <c r="H43" s="23">
        <f t="shared" si="48"/>
        <v>1.8823840000000001</v>
      </c>
      <c r="I43" s="8">
        <v>0.08</v>
      </c>
      <c r="J43" s="8">
        <f t="shared" si="43"/>
        <v>0.15059072000000001</v>
      </c>
      <c r="K43" s="27">
        <f t="shared" si="44"/>
        <v>92.236816000000005</v>
      </c>
      <c r="L43" s="44">
        <v>1</v>
      </c>
      <c r="M43" s="23">
        <f t="shared" si="45"/>
        <v>92.236816000000005</v>
      </c>
      <c r="N43" s="21">
        <v>0.02</v>
      </c>
      <c r="O43" s="8">
        <f t="shared" si="46"/>
        <v>1.8447363200000002</v>
      </c>
      <c r="P43" s="6">
        <f t="shared" si="47"/>
        <v>1.9953270400000003</v>
      </c>
    </row>
    <row r="44" spans="1:16" ht="15.75" thickBot="1" x14ac:dyDescent="0.3">
      <c r="A44" s="73"/>
      <c r="B44" s="73"/>
      <c r="C44" s="26" t="s">
        <v>80</v>
      </c>
      <c r="D44" s="71"/>
      <c r="E44" s="37">
        <f t="shared" si="50"/>
        <v>92.236816000000005</v>
      </c>
      <c r="F44" s="23">
        <f>E44*0.01</f>
        <v>0.9223681600000001</v>
      </c>
      <c r="G44" s="44">
        <v>1</v>
      </c>
      <c r="H44" s="23">
        <f t="shared" si="48"/>
        <v>0.9223681600000001</v>
      </c>
      <c r="I44" s="8">
        <v>0.08</v>
      </c>
      <c r="J44" s="8">
        <f t="shared" si="43"/>
        <v>7.3789452800000016E-2</v>
      </c>
      <c r="K44" s="27">
        <f t="shared" si="44"/>
        <v>91.31444784</v>
      </c>
      <c r="L44" s="44">
        <v>1</v>
      </c>
      <c r="M44" s="23">
        <f t="shared" si="45"/>
        <v>91.31444784</v>
      </c>
      <c r="N44" s="21">
        <v>0.02</v>
      </c>
      <c r="O44" s="8">
        <f t="shared" si="46"/>
        <v>1.8262889568</v>
      </c>
      <c r="P44" s="6">
        <f t="shared" si="47"/>
        <v>1.9000784096000001</v>
      </c>
    </row>
    <row r="45" spans="1:16" ht="15.75" thickBot="1" x14ac:dyDescent="0.3">
      <c r="A45" s="73"/>
      <c r="B45" s="73"/>
      <c r="C45" s="28" t="s">
        <v>61</v>
      </c>
      <c r="D45" s="48" t="s">
        <v>117</v>
      </c>
      <c r="E45" s="37">
        <v>9</v>
      </c>
      <c r="F45" s="23">
        <f>E45*0.85</f>
        <v>7.6499999999999995</v>
      </c>
      <c r="G45" s="44">
        <v>1</v>
      </c>
      <c r="H45" s="23">
        <f t="shared" si="48"/>
        <v>7.6499999999999995</v>
      </c>
      <c r="I45" s="8">
        <v>0.02</v>
      </c>
      <c r="J45" s="8">
        <f t="shared" si="43"/>
        <v>0.153</v>
      </c>
      <c r="K45" s="27">
        <f t="shared" si="44"/>
        <v>1.3500000000000005</v>
      </c>
      <c r="L45" s="44">
        <v>1</v>
      </c>
      <c r="M45" s="23">
        <f t="shared" si="45"/>
        <v>1.3500000000000005</v>
      </c>
      <c r="N45" s="8">
        <v>0</v>
      </c>
      <c r="O45" s="8">
        <f t="shared" si="46"/>
        <v>0</v>
      </c>
      <c r="P45" s="6">
        <f t="shared" si="47"/>
        <v>0.153</v>
      </c>
    </row>
    <row r="46" spans="1:16" ht="15.75" thickBot="1" x14ac:dyDescent="0.3">
      <c r="A46" s="73"/>
      <c r="B46" s="73"/>
      <c r="C46" s="26" t="s">
        <v>95</v>
      </c>
      <c r="D46" s="49" t="s">
        <v>118</v>
      </c>
      <c r="E46" s="37">
        <f>E44</f>
        <v>92.236816000000005</v>
      </c>
      <c r="F46" s="23">
        <v>9</v>
      </c>
      <c r="G46" s="44">
        <v>1</v>
      </c>
      <c r="H46" s="23">
        <f t="shared" ref="H46:H47" si="51">F46*G46</f>
        <v>9</v>
      </c>
      <c r="I46" s="8">
        <v>0.08</v>
      </c>
      <c r="J46" s="8">
        <f t="shared" ref="J46:J47" si="52">I46*G46*F46</f>
        <v>0.72</v>
      </c>
      <c r="K46" s="27">
        <f t="shared" ref="K46:K47" si="53">E46-F46</f>
        <v>83.236816000000005</v>
      </c>
      <c r="L46" s="44">
        <v>1</v>
      </c>
      <c r="M46" s="23">
        <f t="shared" ref="M46:M47" si="54">L46*K46</f>
        <v>83.236816000000005</v>
      </c>
      <c r="N46" s="21">
        <v>0.02</v>
      </c>
      <c r="O46" s="8">
        <f t="shared" ref="O46:O47" si="55">N46*L46*K46</f>
        <v>1.66473632</v>
      </c>
      <c r="P46" s="6">
        <f t="shared" ref="P46:P47" si="56">O46+J46</f>
        <v>2.38473632</v>
      </c>
    </row>
    <row r="47" spans="1:16" ht="15.75" thickBot="1" x14ac:dyDescent="0.3">
      <c r="A47" s="73"/>
      <c r="B47" s="73"/>
      <c r="C47" s="24" t="s">
        <v>123</v>
      </c>
      <c r="D47" s="48" t="s">
        <v>124</v>
      </c>
      <c r="E47" s="66">
        <f>F38</f>
        <v>9</v>
      </c>
      <c r="F47" s="44">
        <f>9</f>
        <v>9</v>
      </c>
      <c r="G47" s="44">
        <v>1</v>
      </c>
      <c r="H47" s="44">
        <f t="shared" si="51"/>
        <v>9</v>
      </c>
      <c r="I47" s="44">
        <v>0.02</v>
      </c>
      <c r="J47" s="64">
        <f t="shared" si="52"/>
        <v>0.18</v>
      </c>
      <c r="K47" s="65">
        <f t="shared" si="53"/>
        <v>0</v>
      </c>
      <c r="L47" s="23">
        <v>0</v>
      </c>
      <c r="M47" s="23">
        <f t="shared" si="54"/>
        <v>0</v>
      </c>
      <c r="N47" s="44">
        <v>0.02</v>
      </c>
      <c r="O47" s="64">
        <f t="shared" si="55"/>
        <v>0</v>
      </c>
      <c r="P47" s="6">
        <f t="shared" si="56"/>
        <v>0.18</v>
      </c>
    </row>
    <row r="48" spans="1:16" ht="15.75" customHeight="1" thickBot="1" x14ac:dyDescent="0.3">
      <c r="A48" s="73"/>
      <c r="B48" s="72" t="s">
        <v>63</v>
      </c>
      <c r="C48" s="38" t="s">
        <v>90</v>
      </c>
      <c r="D48" s="15" t="s">
        <v>114</v>
      </c>
      <c r="E48" s="16">
        <v>100</v>
      </c>
      <c r="F48" s="15">
        <f>9</f>
        <v>9</v>
      </c>
      <c r="G48" s="15">
        <v>1</v>
      </c>
      <c r="H48" s="35">
        <f t="shared" ref="H48:H61" si="57">F48*G48</f>
        <v>9</v>
      </c>
      <c r="I48" s="14">
        <f>(30/60)</f>
        <v>0.5</v>
      </c>
      <c r="J48" s="14">
        <f t="shared" si="29"/>
        <v>4.5</v>
      </c>
      <c r="K48" s="15">
        <f t="shared" ref="K48:K51" si="58">E48-F48</f>
        <v>91</v>
      </c>
      <c r="L48" s="15">
        <v>0</v>
      </c>
      <c r="M48" s="15">
        <f t="shared" si="31"/>
        <v>0</v>
      </c>
      <c r="N48" s="14">
        <v>0</v>
      </c>
      <c r="O48" s="14">
        <f t="shared" si="32"/>
        <v>0</v>
      </c>
      <c r="P48" s="14">
        <f t="shared" si="33"/>
        <v>4.5</v>
      </c>
    </row>
    <row r="49" spans="1:18" ht="15.75" thickBot="1" x14ac:dyDescent="0.3">
      <c r="A49" s="73"/>
      <c r="B49" s="73"/>
      <c r="C49" s="38" t="s">
        <v>86</v>
      </c>
      <c r="D49" s="45" t="s">
        <v>131</v>
      </c>
      <c r="E49" s="16">
        <f>F48</f>
        <v>9</v>
      </c>
      <c r="F49" s="35">
        <f>E49</f>
        <v>9</v>
      </c>
      <c r="G49" s="15">
        <v>1</v>
      </c>
      <c r="H49" s="15">
        <f>F49*G49</f>
        <v>9</v>
      </c>
      <c r="I49" s="14">
        <v>0.16700000000000001</v>
      </c>
      <c r="J49" s="14">
        <f t="shared" ref="J49" si="59">I49*G49*F49</f>
        <v>1.5030000000000001</v>
      </c>
      <c r="K49" s="15">
        <f t="shared" si="58"/>
        <v>0</v>
      </c>
      <c r="L49" s="15">
        <v>0</v>
      </c>
      <c r="M49" s="15">
        <f t="shared" ref="M49" si="60">L49*K49</f>
        <v>0</v>
      </c>
      <c r="N49" s="14">
        <v>0</v>
      </c>
      <c r="O49" s="14">
        <f t="shared" ref="O49" si="61">N49*L49*K49</f>
        <v>0</v>
      </c>
      <c r="P49" s="14">
        <f t="shared" ref="P49" si="62">O49+J49</f>
        <v>1.5030000000000001</v>
      </c>
    </row>
    <row r="50" spans="1:18" ht="15.75" thickBot="1" x14ac:dyDescent="0.3">
      <c r="A50" s="73"/>
      <c r="B50" s="73"/>
      <c r="C50" s="11" t="s">
        <v>71</v>
      </c>
      <c r="D50" s="69" t="s">
        <v>119</v>
      </c>
      <c r="E50" s="9">
        <f>E48</f>
        <v>100</v>
      </c>
      <c r="F50" s="23">
        <f>E50*0.02</f>
        <v>2</v>
      </c>
      <c r="G50" s="44">
        <v>1</v>
      </c>
      <c r="H50" s="23">
        <f t="shared" si="57"/>
        <v>2</v>
      </c>
      <c r="I50" s="8">
        <v>0.08</v>
      </c>
      <c r="J50" s="8">
        <f t="shared" si="29"/>
        <v>0.16</v>
      </c>
      <c r="K50" s="23">
        <f t="shared" si="58"/>
        <v>98</v>
      </c>
      <c r="L50" s="44">
        <v>1</v>
      </c>
      <c r="M50" s="23">
        <f t="shared" si="31"/>
        <v>98</v>
      </c>
      <c r="N50" s="44">
        <v>0.02</v>
      </c>
      <c r="O50" s="8">
        <f t="shared" si="32"/>
        <v>1.96</v>
      </c>
      <c r="P50" s="6">
        <f t="shared" si="33"/>
        <v>2.12</v>
      </c>
    </row>
    <row r="51" spans="1:18" ht="15.75" thickBot="1" x14ac:dyDescent="0.3">
      <c r="A51" s="73"/>
      <c r="B51" s="73"/>
      <c r="C51" s="11" t="s">
        <v>72</v>
      </c>
      <c r="D51" s="70"/>
      <c r="E51" s="9">
        <f>K50</f>
        <v>98</v>
      </c>
      <c r="F51" s="23">
        <f t="shared" ref="F51:F53" si="63">E51*0.02</f>
        <v>1.96</v>
      </c>
      <c r="G51" s="44">
        <v>1</v>
      </c>
      <c r="H51" s="23">
        <f t="shared" si="57"/>
        <v>1.96</v>
      </c>
      <c r="I51" s="8">
        <v>0.08</v>
      </c>
      <c r="J51" s="8">
        <f t="shared" si="29"/>
        <v>0.15679999999999999</v>
      </c>
      <c r="K51" s="23">
        <f t="shared" si="58"/>
        <v>96.04</v>
      </c>
      <c r="L51" s="44">
        <v>1</v>
      </c>
      <c r="M51" s="23">
        <f t="shared" si="31"/>
        <v>96.04</v>
      </c>
      <c r="N51" s="44">
        <v>0.02</v>
      </c>
      <c r="O51" s="8">
        <f t="shared" si="32"/>
        <v>1.9208000000000001</v>
      </c>
      <c r="P51" s="6">
        <f t="shared" si="33"/>
        <v>2.0775999999999999</v>
      </c>
    </row>
    <row r="52" spans="1:18" ht="15.75" thickBot="1" x14ac:dyDescent="0.3">
      <c r="A52" s="73"/>
      <c r="B52" s="73"/>
      <c r="C52" s="11" t="s">
        <v>73</v>
      </c>
      <c r="D52" s="70"/>
      <c r="E52" s="9">
        <f t="shared" ref="E52:E54" si="64">K51</f>
        <v>96.04</v>
      </c>
      <c r="F52" s="23">
        <f t="shared" si="63"/>
        <v>1.9208000000000001</v>
      </c>
      <c r="G52" s="44">
        <v>1</v>
      </c>
      <c r="H52" s="23">
        <f t="shared" si="57"/>
        <v>1.9208000000000001</v>
      </c>
      <c r="I52" s="8">
        <v>0.08</v>
      </c>
      <c r="J52" s="8">
        <f t="shared" si="29"/>
        <v>0.153664</v>
      </c>
      <c r="K52" s="23">
        <f t="shared" ref="K52:K54" si="65">E52-F52</f>
        <v>94.119200000000006</v>
      </c>
      <c r="L52" s="44">
        <v>1</v>
      </c>
      <c r="M52" s="23">
        <f t="shared" si="31"/>
        <v>94.119200000000006</v>
      </c>
      <c r="N52" s="44">
        <v>0.02</v>
      </c>
      <c r="O52" s="8">
        <f>N52*L52*K52</f>
        <v>1.8823840000000001</v>
      </c>
      <c r="P52" s="6">
        <f t="shared" si="33"/>
        <v>2.0360480000000001</v>
      </c>
    </row>
    <row r="53" spans="1:18" ht="15.75" thickBot="1" x14ac:dyDescent="0.3">
      <c r="A53" s="73"/>
      <c r="B53" s="73"/>
      <c r="C53" s="11" t="s">
        <v>74</v>
      </c>
      <c r="D53" s="70"/>
      <c r="E53" s="9">
        <f t="shared" si="64"/>
        <v>94.119200000000006</v>
      </c>
      <c r="F53" s="23">
        <f t="shared" si="63"/>
        <v>1.8823840000000001</v>
      </c>
      <c r="G53" s="44">
        <v>1</v>
      </c>
      <c r="H53" s="23">
        <f t="shared" si="57"/>
        <v>1.8823840000000001</v>
      </c>
      <c r="I53" s="8">
        <v>0.08</v>
      </c>
      <c r="J53" s="8">
        <f t="shared" si="29"/>
        <v>0.15059072000000001</v>
      </c>
      <c r="K53" s="23">
        <f t="shared" si="65"/>
        <v>92.236816000000005</v>
      </c>
      <c r="L53" s="44">
        <v>1</v>
      </c>
      <c r="M53" s="23">
        <f t="shared" si="31"/>
        <v>92.236816000000005</v>
      </c>
      <c r="N53" s="44">
        <v>0.02</v>
      </c>
      <c r="O53" s="8">
        <f>N53*L53*K53</f>
        <v>1.8447363200000002</v>
      </c>
      <c r="P53" s="6">
        <f t="shared" si="33"/>
        <v>1.9953270400000003</v>
      </c>
    </row>
    <row r="54" spans="1:18" ht="15.75" thickBot="1" x14ac:dyDescent="0.3">
      <c r="A54" s="73"/>
      <c r="B54" s="73"/>
      <c r="C54" s="11" t="s">
        <v>75</v>
      </c>
      <c r="D54" s="70"/>
      <c r="E54" s="9">
        <f t="shared" si="64"/>
        <v>92.236816000000005</v>
      </c>
      <c r="F54" s="23">
        <f t="shared" ref="F54" si="66">E54*0.01</f>
        <v>0.9223681600000001</v>
      </c>
      <c r="G54" s="44">
        <v>1</v>
      </c>
      <c r="H54" s="23">
        <f t="shared" si="57"/>
        <v>0.9223681600000001</v>
      </c>
      <c r="I54" s="8">
        <v>0.08</v>
      </c>
      <c r="J54" s="8">
        <f t="shared" si="29"/>
        <v>7.3789452800000016E-2</v>
      </c>
      <c r="K54" s="23">
        <f t="shared" si="65"/>
        <v>91.31444784</v>
      </c>
      <c r="L54" s="44">
        <v>1</v>
      </c>
      <c r="M54" s="23">
        <f t="shared" si="31"/>
        <v>91.31444784</v>
      </c>
      <c r="N54" s="44">
        <v>0.02</v>
      </c>
      <c r="O54" s="8">
        <f t="shared" si="32"/>
        <v>1.8262889568</v>
      </c>
      <c r="P54" s="6">
        <f t="shared" si="33"/>
        <v>1.9000784096000001</v>
      </c>
    </row>
    <row r="55" spans="1:18" ht="15.75" customHeight="1" thickBot="1" x14ac:dyDescent="0.3">
      <c r="A55" s="73"/>
      <c r="B55" s="72" t="s">
        <v>34</v>
      </c>
      <c r="C55" s="38" t="s">
        <v>89</v>
      </c>
      <c r="D55" s="15" t="s">
        <v>115</v>
      </c>
      <c r="E55" s="16">
        <v>100</v>
      </c>
      <c r="F55" s="15">
        <v>9</v>
      </c>
      <c r="G55" s="15">
        <v>1</v>
      </c>
      <c r="H55" s="15">
        <f t="shared" si="57"/>
        <v>9</v>
      </c>
      <c r="I55" s="14">
        <f>(40/60)</f>
        <v>0.66666666666666663</v>
      </c>
      <c r="J55" s="14">
        <f t="shared" si="29"/>
        <v>6</v>
      </c>
      <c r="K55" s="35">
        <f t="shared" ref="K55:K57" si="67">E55-F55</f>
        <v>91</v>
      </c>
      <c r="L55" s="15">
        <v>0</v>
      </c>
      <c r="M55" s="35">
        <f t="shared" si="31"/>
        <v>0</v>
      </c>
      <c r="N55" s="14">
        <v>0</v>
      </c>
      <c r="O55" s="14">
        <f t="shared" si="32"/>
        <v>0</v>
      </c>
      <c r="P55" s="14">
        <f t="shared" si="33"/>
        <v>6</v>
      </c>
    </row>
    <row r="56" spans="1:18" ht="15.75" thickBot="1" x14ac:dyDescent="0.3">
      <c r="A56" s="73"/>
      <c r="B56" s="73"/>
      <c r="C56" s="50" t="s">
        <v>86</v>
      </c>
      <c r="D56" s="45" t="s">
        <v>132</v>
      </c>
      <c r="E56" s="17">
        <v>9</v>
      </c>
      <c r="F56" s="15">
        <v>9</v>
      </c>
      <c r="G56" s="15">
        <v>1</v>
      </c>
      <c r="H56" s="15">
        <f>F56*G56</f>
        <v>9</v>
      </c>
      <c r="I56" s="14">
        <v>0.16700000000000001</v>
      </c>
      <c r="J56" s="14">
        <f t="shared" ref="J56" si="68">I56*H56*G56</f>
        <v>1.5030000000000001</v>
      </c>
      <c r="K56" s="17">
        <f>E56-F56</f>
        <v>0</v>
      </c>
      <c r="L56" s="15">
        <v>0</v>
      </c>
      <c r="M56" s="17">
        <f>K56*L56</f>
        <v>0</v>
      </c>
      <c r="N56" s="14">
        <v>0</v>
      </c>
      <c r="O56" s="14">
        <f>N56*M56*L56</f>
        <v>0</v>
      </c>
      <c r="P56" s="14">
        <f t="shared" si="33"/>
        <v>1.5030000000000001</v>
      </c>
    </row>
    <row r="57" spans="1:18" ht="15.75" thickBot="1" x14ac:dyDescent="0.3">
      <c r="A57" s="73"/>
      <c r="B57" s="73"/>
      <c r="C57" s="51" t="s">
        <v>81</v>
      </c>
      <c r="D57" s="69" t="s">
        <v>120</v>
      </c>
      <c r="E57" s="9">
        <f>E55</f>
        <v>100</v>
      </c>
      <c r="F57" s="23">
        <f>E57*0.02</f>
        <v>2</v>
      </c>
      <c r="G57" s="44">
        <v>1</v>
      </c>
      <c r="H57" s="23">
        <f t="shared" si="57"/>
        <v>2</v>
      </c>
      <c r="I57" s="8">
        <v>0.08</v>
      </c>
      <c r="J57" s="8">
        <f t="shared" si="29"/>
        <v>0.16</v>
      </c>
      <c r="K57" s="23">
        <f t="shared" si="67"/>
        <v>98</v>
      </c>
      <c r="L57" s="44">
        <v>1</v>
      </c>
      <c r="M57" s="23">
        <f t="shared" si="31"/>
        <v>98</v>
      </c>
      <c r="N57" s="8">
        <v>0.02</v>
      </c>
      <c r="O57" s="8">
        <f t="shared" si="32"/>
        <v>1.96</v>
      </c>
      <c r="P57" s="6">
        <f t="shared" si="33"/>
        <v>2.12</v>
      </c>
    </row>
    <row r="58" spans="1:18" ht="15.75" thickBot="1" x14ac:dyDescent="0.3">
      <c r="A58" s="73"/>
      <c r="B58" s="73"/>
      <c r="C58" s="51" t="s">
        <v>82</v>
      </c>
      <c r="D58" s="70"/>
      <c r="E58" s="9">
        <f>K57</f>
        <v>98</v>
      </c>
      <c r="F58" s="23">
        <f>E58*0.02</f>
        <v>1.96</v>
      </c>
      <c r="G58" s="44">
        <v>1</v>
      </c>
      <c r="H58" s="23">
        <f t="shared" si="57"/>
        <v>1.96</v>
      </c>
      <c r="I58" s="8">
        <v>0.08</v>
      </c>
      <c r="J58" s="8">
        <f t="shared" si="29"/>
        <v>0.15679999999999999</v>
      </c>
      <c r="K58" s="23">
        <f t="shared" ref="K58:K61" si="69">E58-F58</f>
        <v>96.04</v>
      </c>
      <c r="L58" s="44">
        <v>1</v>
      </c>
      <c r="M58" s="23">
        <f t="shared" si="31"/>
        <v>96.04</v>
      </c>
      <c r="N58" s="8">
        <v>0.02</v>
      </c>
      <c r="O58" s="8">
        <f t="shared" si="32"/>
        <v>1.9208000000000001</v>
      </c>
      <c r="P58" s="6">
        <f t="shared" si="33"/>
        <v>2.0775999999999999</v>
      </c>
    </row>
    <row r="59" spans="1:18" ht="15.75" thickBot="1" x14ac:dyDescent="0.3">
      <c r="A59" s="73"/>
      <c r="B59" s="73"/>
      <c r="C59" s="51" t="s">
        <v>83</v>
      </c>
      <c r="D59" s="70"/>
      <c r="E59" s="9">
        <f>K58</f>
        <v>96.04</v>
      </c>
      <c r="F59" s="23">
        <f>E59*0.02</f>
        <v>1.9208000000000001</v>
      </c>
      <c r="G59" s="44">
        <v>1</v>
      </c>
      <c r="H59" s="23">
        <f t="shared" si="57"/>
        <v>1.9208000000000001</v>
      </c>
      <c r="I59" s="8">
        <v>0.08</v>
      </c>
      <c r="J59" s="8">
        <f t="shared" si="29"/>
        <v>0.153664</v>
      </c>
      <c r="K59" s="23">
        <f t="shared" si="69"/>
        <v>94.119200000000006</v>
      </c>
      <c r="L59" s="44">
        <v>1</v>
      </c>
      <c r="M59" s="23">
        <f t="shared" si="31"/>
        <v>94.119200000000006</v>
      </c>
      <c r="N59" s="8">
        <v>0.02</v>
      </c>
      <c r="O59" s="8">
        <f t="shared" si="32"/>
        <v>1.8823840000000001</v>
      </c>
      <c r="P59" s="6">
        <f t="shared" si="33"/>
        <v>2.0360480000000001</v>
      </c>
    </row>
    <row r="60" spans="1:18" ht="15.75" thickBot="1" x14ac:dyDescent="0.3">
      <c r="A60" s="73"/>
      <c r="B60" s="73"/>
      <c r="C60" s="51" t="s">
        <v>84</v>
      </c>
      <c r="D60" s="70"/>
      <c r="E60" s="9">
        <f>K59</f>
        <v>94.119200000000006</v>
      </c>
      <c r="F60" s="23">
        <f>E60*0.02</f>
        <v>1.8823840000000001</v>
      </c>
      <c r="G60" s="44">
        <v>1</v>
      </c>
      <c r="H60" s="23">
        <f t="shared" si="57"/>
        <v>1.8823840000000001</v>
      </c>
      <c r="I60" s="8">
        <v>0.08</v>
      </c>
      <c r="J60" s="8">
        <f t="shared" si="29"/>
        <v>0.15059072000000001</v>
      </c>
      <c r="K60" s="23">
        <f t="shared" si="69"/>
        <v>92.236816000000005</v>
      </c>
      <c r="L60" s="44">
        <v>1</v>
      </c>
      <c r="M60" s="23">
        <f t="shared" si="31"/>
        <v>92.236816000000005</v>
      </c>
      <c r="N60" s="8">
        <v>0.02</v>
      </c>
      <c r="O60" s="8">
        <f t="shared" si="32"/>
        <v>1.8447363200000002</v>
      </c>
      <c r="P60" s="6">
        <f t="shared" si="33"/>
        <v>1.9953270400000003</v>
      </c>
    </row>
    <row r="61" spans="1:18" ht="15.75" thickBot="1" x14ac:dyDescent="0.3">
      <c r="A61" s="73"/>
      <c r="B61" s="73"/>
      <c r="C61" s="51" t="s">
        <v>85</v>
      </c>
      <c r="D61" s="71"/>
      <c r="E61" s="9">
        <f>M60</f>
        <v>92.236816000000005</v>
      </c>
      <c r="F61" s="23">
        <f>E61*0.01</f>
        <v>0.9223681600000001</v>
      </c>
      <c r="G61" s="44">
        <v>1</v>
      </c>
      <c r="H61" s="23">
        <f t="shared" si="57"/>
        <v>0.9223681600000001</v>
      </c>
      <c r="I61" s="8">
        <v>0.08</v>
      </c>
      <c r="J61" s="8">
        <f t="shared" si="29"/>
        <v>7.3789452800000016E-2</v>
      </c>
      <c r="K61" s="23">
        <f t="shared" si="69"/>
        <v>91.31444784</v>
      </c>
      <c r="L61" s="44">
        <v>1</v>
      </c>
      <c r="M61" s="23">
        <f t="shared" si="31"/>
        <v>91.31444784</v>
      </c>
      <c r="N61" s="8">
        <v>0.02</v>
      </c>
      <c r="O61" s="8">
        <f t="shared" si="32"/>
        <v>1.8262889568</v>
      </c>
      <c r="P61" s="6">
        <f t="shared" si="33"/>
        <v>1.9000784096000001</v>
      </c>
    </row>
    <row r="62" spans="1:18" ht="15.75" thickBot="1" x14ac:dyDescent="0.3">
      <c r="A62" s="67" t="s">
        <v>31</v>
      </c>
      <c r="B62" s="67"/>
      <c r="C62" s="67"/>
      <c r="D62" s="67"/>
      <c r="E62" s="67"/>
      <c r="F62" s="57">
        <f>F28+F48+F38+F55</f>
        <v>36</v>
      </c>
      <c r="G62" s="58">
        <f>H62/F62</f>
        <v>4.3907904577777783</v>
      </c>
      <c r="H62" s="57">
        <f>SUM(H28:H61)</f>
        <v>158.06845648000001</v>
      </c>
      <c r="I62" s="60">
        <f>J62/H62</f>
        <v>0.19706320420950818</v>
      </c>
      <c r="J62" s="60">
        <f>SUM(J28:J61)</f>
        <v>31.1494765184</v>
      </c>
      <c r="K62" s="57">
        <f>K55+K38+K48+K28</f>
        <v>364</v>
      </c>
      <c r="L62" s="58">
        <f>M62/K62</f>
        <v>5.6579044162637375</v>
      </c>
      <c r="M62" s="57">
        <f>SUM(M28:M61)</f>
        <v>2059.4772075200003</v>
      </c>
      <c r="N62" s="60">
        <f>O62/M62</f>
        <v>1.9973779753520538E-2</v>
      </c>
      <c r="O62" s="60">
        <f>SUM(O28:O61)</f>
        <v>41.135544150400001</v>
      </c>
      <c r="P62" s="62">
        <f>SUM(P28:P61)</f>
        <v>72.285020668800001</v>
      </c>
      <c r="R62" s="22"/>
    </row>
    <row r="63" spans="1:18" ht="15.75" thickBot="1" x14ac:dyDescent="0.3">
      <c r="A63" s="68" t="s">
        <v>18</v>
      </c>
      <c r="B63" s="68"/>
      <c r="C63" s="68"/>
      <c r="D63" s="68"/>
      <c r="E63" s="68"/>
      <c r="F63" s="13">
        <f>F26+F62</f>
        <v>54</v>
      </c>
      <c r="G63" s="34">
        <f>H63/F63</f>
        <v>5.3868713885185189</v>
      </c>
      <c r="H63" s="13">
        <f>H62+H26</f>
        <v>290.89105498000004</v>
      </c>
      <c r="I63" s="2">
        <f>J63/H63</f>
        <v>0.20222693491707583</v>
      </c>
      <c r="J63" s="2">
        <f>J26+J62</f>
        <v>58.826006443399997</v>
      </c>
      <c r="K63" s="30">
        <f>K26+K62</f>
        <v>373</v>
      </c>
      <c r="L63" s="34">
        <f>M63/K63</f>
        <v>5.6402283083646116</v>
      </c>
      <c r="M63" s="30">
        <f>M26+M62</f>
        <v>2103.8051590200002</v>
      </c>
      <c r="N63" s="3">
        <f>O63/M63</f>
        <v>1.9974332223795306E-2</v>
      </c>
      <c r="O63" s="3">
        <f>O26+O62</f>
        <v>42.022103180400002</v>
      </c>
      <c r="P63" s="3">
        <f>P26+P62</f>
        <v>100.8481096238</v>
      </c>
    </row>
    <row r="64" spans="1:18" x14ac:dyDescent="0.25">
      <c r="A64" s="4" t="s">
        <v>137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idden="1" x14ac:dyDescent="0.25">
      <c r="A65" s="4"/>
      <c r="B65" s="4" t="s">
        <v>19</v>
      </c>
      <c r="C65" s="4"/>
      <c r="D65" s="4"/>
      <c r="E65" s="4"/>
      <c r="F65" s="29">
        <f>F63+K63</f>
        <v>427</v>
      </c>
      <c r="G65" s="4"/>
      <c r="H65" s="4"/>
      <c r="I65" s="4"/>
      <c r="J65" s="4"/>
      <c r="K65" s="4"/>
      <c r="L65" s="4"/>
      <c r="M65" s="4"/>
      <c r="N65" s="4"/>
      <c r="O65" s="4"/>
      <c r="P65" s="5"/>
    </row>
    <row r="66" spans="1:16" hidden="1" x14ac:dyDescent="0.25">
      <c r="A66" s="4"/>
      <c r="B66" s="4" t="s">
        <v>20</v>
      </c>
      <c r="C66" s="4"/>
      <c r="D66" s="4"/>
      <c r="E66" s="4"/>
      <c r="F66" s="29">
        <f>H63+M63</f>
        <v>2394.6962140000005</v>
      </c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idden="1" x14ac:dyDescent="0.25">
      <c r="A67" s="4"/>
      <c r="B67" s="4" t="s">
        <v>21</v>
      </c>
      <c r="C67" s="4"/>
      <c r="D67" s="4"/>
      <c r="E67" s="4"/>
      <c r="F67" s="5">
        <f>J63+O63</f>
        <v>100.8481096238</v>
      </c>
      <c r="G67" s="4" t="s">
        <v>133</v>
      </c>
      <c r="H67" s="4"/>
      <c r="I67" s="4"/>
      <c r="J67" s="31"/>
      <c r="K67" s="31"/>
      <c r="L67" s="32"/>
      <c r="M67" s="31"/>
      <c r="N67" s="4"/>
      <c r="O67" s="4"/>
      <c r="P67" s="4"/>
    </row>
    <row r="68" spans="1:16" hidden="1" x14ac:dyDescent="0.25">
      <c r="A68" s="4"/>
      <c r="B68" s="4" t="s">
        <v>22</v>
      </c>
      <c r="C68" s="4"/>
      <c r="D68" s="4"/>
      <c r="E68" s="4"/>
      <c r="F68" s="5">
        <f>(H63+M63)/(F63+K63)</f>
        <v>5.6081878548009376</v>
      </c>
      <c r="G68" s="5">
        <f>H63/F63</f>
        <v>5.3868713885185189</v>
      </c>
      <c r="H68" s="5">
        <f>M63/K63</f>
        <v>5.6402283083646116</v>
      </c>
      <c r="I68" s="5"/>
      <c r="J68" s="31"/>
      <c r="K68" s="31"/>
      <c r="L68" s="32"/>
      <c r="M68" s="31"/>
      <c r="N68" s="29"/>
      <c r="O68" s="4"/>
      <c r="P68" s="4"/>
    </row>
    <row r="69" spans="1:16" hidden="1" x14ac:dyDescent="0.25">
      <c r="A69" s="4"/>
      <c r="B69" s="4" t="s">
        <v>23</v>
      </c>
      <c r="C69" s="4"/>
      <c r="D69" s="4"/>
      <c r="E69" s="4"/>
      <c r="F69" s="5">
        <f>(J63+O63)/(H63+M63)</f>
        <v>4.2113111898793847E-2</v>
      </c>
      <c r="G69" s="5">
        <f>J63/H63</f>
        <v>0.20222693491707583</v>
      </c>
      <c r="H69" s="5">
        <f>O63/M63</f>
        <v>1.9974332223795306E-2</v>
      </c>
      <c r="I69" s="4"/>
      <c r="J69" s="31"/>
      <c r="K69" s="31"/>
      <c r="L69" s="32"/>
      <c r="M69" s="31"/>
      <c r="N69" s="29"/>
      <c r="O69" s="4"/>
      <c r="P69" s="4"/>
    </row>
    <row r="70" spans="1:16" hidden="1" x14ac:dyDescent="0.25">
      <c r="A70" s="4"/>
      <c r="B70" s="4"/>
      <c r="C70" s="4"/>
      <c r="D70" s="4"/>
      <c r="E70" s="4"/>
      <c r="F70" s="4"/>
      <c r="G70" s="4"/>
      <c r="H70" s="4"/>
      <c r="I70" s="4"/>
      <c r="J70" s="31"/>
      <c r="K70" s="31"/>
      <c r="L70" s="32"/>
      <c r="M70" s="31"/>
      <c r="N70" s="29"/>
      <c r="O70" s="4"/>
      <c r="P70" s="4"/>
    </row>
    <row r="71" spans="1:16" hidden="1" x14ac:dyDescent="0.25">
      <c r="A71" s="7" t="s">
        <v>32</v>
      </c>
      <c r="B71" s="7" t="s">
        <v>52</v>
      </c>
      <c r="C71" s="7" t="s">
        <v>27</v>
      </c>
      <c r="D71" s="7">
        <v>0.05</v>
      </c>
      <c r="J71" s="33"/>
      <c r="K71" s="33"/>
      <c r="L71" s="32"/>
      <c r="M71" s="33"/>
      <c r="N71" s="22"/>
    </row>
    <row r="72" spans="1:16" hidden="1" x14ac:dyDescent="0.25">
      <c r="A72" s="7"/>
      <c r="B72" s="7" t="s">
        <v>53</v>
      </c>
      <c r="C72" s="7" t="s">
        <v>28</v>
      </c>
      <c r="D72" s="7">
        <v>0.02</v>
      </c>
      <c r="J72" s="33"/>
      <c r="K72" s="33"/>
      <c r="L72" s="32"/>
      <c r="M72" s="33"/>
      <c r="N72" s="22"/>
    </row>
    <row r="73" spans="1:16" hidden="1" x14ac:dyDescent="0.25">
      <c r="A73" s="7"/>
      <c r="B73" s="7" t="s">
        <v>33</v>
      </c>
      <c r="C73" s="7" t="s">
        <v>30</v>
      </c>
      <c r="D73" s="7">
        <v>0.08</v>
      </c>
      <c r="J73" s="33"/>
      <c r="K73" s="33"/>
      <c r="L73" s="32"/>
      <c r="M73" s="33"/>
      <c r="N73" s="22"/>
    </row>
    <row r="74" spans="1:16" hidden="1" x14ac:dyDescent="0.25">
      <c r="A74" s="7"/>
      <c r="B74" s="7" t="s">
        <v>29</v>
      </c>
      <c r="C74" s="7" t="s">
        <v>28</v>
      </c>
      <c r="D74" s="7">
        <v>0.02</v>
      </c>
      <c r="J74" s="33"/>
      <c r="K74" s="33"/>
      <c r="L74" s="33"/>
      <c r="M74" s="33"/>
      <c r="N74" s="22"/>
    </row>
    <row r="75" spans="1:16" hidden="1" x14ac:dyDescent="0.25">
      <c r="A75" s="7"/>
      <c r="B75" s="7" t="s">
        <v>54</v>
      </c>
      <c r="C75" s="7" t="s">
        <v>28</v>
      </c>
      <c r="D75" s="7">
        <v>0.02</v>
      </c>
      <c r="J75" s="33"/>
      <c r="K75" s="33"/>
      <c r="L75" s="33"/>
      <c r="M75" s="33"/>
      <c r="N75" s="22"/>
    </row>
    <row r="76" spans="1:16" hidden="1" x14ac:dyDescent="0.25">
      <c r="A76" s="7"/>
      <c r="B76" s="7" t="s">
        <v>55</v>
      </c>
      <c r="C76" s="7" t="s">
        <v>28</v>
      </c>
      <c r="D76" s="7">
        <v>0.02</v>
      </c>
      <c r="J76" s="33"/>
      <c r="K76" s="33"/>
      <c r="L76" s="33"/>
      <c r="M76" s="33"/>
    </row>
    <row r="77" spans="1:16" hidden="1" x14ac:dyDescent="0.25">
      <c r="A77" s="7"/>
      <c r="B77" s="10" t="s">
        <v>42</v>
      </c>
      <c r="C77" s="7" t="s">
        <v>28</v>
      </c>
      <c r="D77" s="7">
        <v>0.02</v>
      </c>
      <c r="J77" s="33"/>
      <c r="K77" s="33"/>
      <c r="L77" s="33"/>
      <c r="M77" s="33"/>
    </row>
    <row r="78" spans="1:16" hidden="1" x14ac:dyDescent="0.25">
      <c r="A78" s="7"/>
      <c r="B78" s="10" t="s">
        <v>56</v>
      </c>
      <c r="C78" s="7" t="s">
        <v>57</v>
      </c>
      <c r="D78" s="7">
        <v>0.03</v>
      </c>
    </row>
    <row r="79" spans="1:16" hidden="1" x14ac:dyDescent="0.25">
      <c r="A79" s="7"/>
      <c r="B79" s="10" t="s">
        <v>47</v>
      </c>
      <c r="C79" s="7" t="s">
        <v>27</v>
      </c>
      <c r="D79" s="7">
        <v>0.05</v>
      </c>
    </row>
    <row r="80" spans="1:16" hidden="1" x14ac:dyDescent="0.25">
      <c r="A80" s="7"/>
      <c r="B80" s="10" t="s">
        <v>59</v>
      </c>
      <c r="C80" s="7" t="s">
        <v>60</v>
      </c>
      <c r="D80" s="7">
        <v>0.1</v>
      </c>
    </row>
    <row r="81" spans="1:16" hidden="1" x14ac:dyDescent="0.25">
      <c r="A81" s="39"/>
      <c r="B81" s="40" t="s">
        <v>134</v>
      </c>
      <c r="C81" s="41" t="s">
        <v>87</v>
      </c>
      <c r="D81" s="43">
        <v>0.33</v>
      </c>
      <c r="E81" s="42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hidden="1" x14ac:dyDescent="0.25">
      <c r="A82" s="42" t="s">
        <v>135</v>
      </c>
      <c r="B82" s="40" t="s">
        <v>134</v>
      </c>
      <c r="C82" s="41" t="s">
        <v>136</v>
      </c>
      <c r="D82" s="43">
        <v>0.17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hidden="1" x14ac:dyDescent="0.25">
      <c r="A83" s="18"/>
      <c r="B83" s="19"/>
      <c r="C83" s="20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x14ac:dyDescent="0.25">
      <c r="A84" s="18"/>
      <c r="B84" s="19"/>
      <c r="C84" s="20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x14ac:dyDescent="0.25">
      <c r="A85" s="18"/>
      <c r="B85" s="19"/>
      <c r="C85" s="20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x14ac:dyDescent="0.25">
      <c r="A86" s="18"/>
      <c r="B86" s="19"/>
      <c r="C86" s="20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x14ac:dyDescent="0.25">
      <c r="A87" s="18"/>
      <c r="B87" s="19"/>
      <c r="C87" s="20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 x14ac:dyDescent="0.25">
      <c r="A88" s="18"/>
      <c r="B88" s="19"/>
      <c r="C88" s="20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</sheetData>
  <mergeCells count="28">
    <mergeCell ref="A4:A25"/>
    <mergeCell ref="A28:A61"/>
    <mergeCell ref="D19:D22"/>
    <mergeCell ref="B15:B25"/>
    <mergeCell ref="D9:D12"/>
    <mergeCell ref="B4:B14"/>
    <mergeCell ref="A26:E26"/>
    <mergeCell ref="A27:P27"/>
    <mergeCell ref="D30:D34"/>
    <mergeCell ref="B28:B37"/>
    <mergeCell ref="B38:B47"/>
    <mergeCell ref="D40:D44"/>
    <mergeCell ref="D23:D24"/>
    <mergeCell ref="K1:O1"/>
    <mergeCell ref="P1:P2"/>
    <mergeCell ref="A3:P3"/>
    <mergeCell ref="A1:A2"/>
    <mergeCell ref="B1:B2"/>
    <mergeCell ref="C1:C2"/>
    <mergeCell ref="D1:D2"/>
    <mergeCell ref="E1:E2"/>
    <mergeCell ref="F1:J1"/>
    <mergeCell ref="A62:E62"/>
    <mergeCell ref="A63:E63"/>
    <mergeCell ref="D50:D54"/>
    <mergeCell ref="D57:D61"/>
    <mergeCell ref="B48:B54"/>
    <mergeCell ref="B55:B61"/>
  </mergeCells>
  <pageMargins left="0.7" right="0.7" top="0.75" bottom="0.75" header="0.3" footer="0.3"/>
  <pageSetup scale="61" fitToHeight="3" orientation="landscape" r:id="rId1"/>
  <headerFooter>
    <oddHeader>&amp;A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Props1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9dbcbb5a-2d39-43bd-b6c7-d27f844c7fb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NSWP-III Burden Table Pretest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Lynnette Thomas</cp:lastModifiedBy>
  <cp:lastPrinted>2016-07-18T19:08:53Z</cp:lastPrinted>
  <dcterms:created xsi:type="dcterms:W3CDTF">2013-01-08T21:49:18Z</dcterms:created>
  <dcterms:modified xsi:type="dcterms:W3CDTF">2016-07-18T21:15:04Z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