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Project\50034_EDECH\DC1\Task 4 OMB Package\OMB comments on the ICR\revised materials\"/>
    </mc:Choice>
  </mc:AlternateContent>
  <bookViews>
    <workbookView xWindow="0" yWindow="0" windowWidth="15330" windowHeight="3975"/>
  </bookViews>
  <sheets>
    <sheet name="Sheet1" sheetId="1" r:id="rId1"/>
    <sheet name="Sheet2" sheetId="2" r:id="rId2"/>
    <sheet name="Sheet3" sheetId="3" r:id="rId3"/>
  </sheets>
  <definedNames>
    <definedName name="_xlnm.Print_Area" localSheetId="0">Sheet1!$A$1:$R$64</definedName>
  </definedNames>
  <calcPr calcId="152511"/>
</workbook>
</file>

<file path=xl/calcChain.xml><?xml version="1.0" encoding="utf-8"?>
<calcChain xmlns="http://schemas.openxmlformats.org/spreadsheetml/2006/main">
  <c r="F16" i="1" l="1"/>
  <c r="F23" i="1"/>
  <c r="K36" i="1"/>
  <c r="F36" i="1"/>
  <c r="K30" i="1"/>
  <c r="F30" i="1"/>
  <c r="K10" i="1"/>
  <c r="F10" i="1"/>
  <c r="K23" i="1" l="1"/>
  <c r="F24" i="1"/>
  <c r="K24" i="1"/>
  <c r="F17" i="1"/>
  <c r="K17" i="1"/>
  <c r="K16" i="1"/>
  <c r="K11" i="1"/>
  <c r="F11" i="1"/>
  <c r="K34" i="1"/>
  <c r="F34" i="1"/>
  <c r="K28" i="1"/>
  <c r="F28" i="1"/>
  <c r="K12" i="1" l="1"/>
  <c r="F13" i="1" s="1"/>
  <c r="F12" i="1"/>
  <c r="K38" i="1"/>
  <c r="K39" i="1" s="1"/>
  <c r="K37" i="1"/>
  <c r="F38" i="1" s="1"/>
  <c r="F37" i="1"/>
  <c r="K31" i="1"/>
  <c r="K32" i="1" s="1"/>
  <c r="F33" i="1" s="1"/>
  <c r="F31" i="1"/>
  <c r="K25" i="1"/>
  <c r="K26" i="1" s="1"/>
  <c r="F25" i="1"/>
  <c r="K18" i="1"/>
  <c r="F19" i="1" s="1"/>
  <c r="F18" i="1"/>
  <c r="K13" i="1" l="1"/>
  <c r="F27" i="1"/>
  <c r="K27" i="1"/>
  <c r="F26" i="1"/>
  <c r="K19" i="1"/>
  <c r="K20" i="1" s="1"/>
  <c r="F39" i="1"/>
  <c r="F32" i="1"/>
  <c r="K33" i="1"/>
  <c r="K44" i="1"/>
  <c r="F44" i="1"/>
  <c r="E44" i="1"/>
  <c r="M22" i="1"/>
  <c r="O22" i="1" s="1"/>
  <c r="H22" i="1"/>
  <c r="J22" i="1" s="1"/>
  <c r="P22" i="1" s="1"/>
  <c r="R22" i="1" s="1"/>
  <c r="H14" i="1"/>
  <c r="M15" i="1"/>
  <c r="O15" i="1" s="1"/>
  <c r="H15" i="1"/>
  <c r="J15" i="1" s="1"/>
  <c r="M9" i="1"/>
  <c r="O9" i="1" s="1"/>
  <c r="J9" i="1"/>
  <c r="P9" i="1" s="1"/>
  <c r="R9" i="1" s="1"/>
  <c r="H9" i="1"/>
  <c r="F20" i="1" l="1"/>
  <c r="P15" i="1"/>
  <c r="R15" i="1" s="1"/>
  <c r="M20" i="1" l="1"/>
  <c r="O20" i="1" s="1"/>
  <c r="H20" i="1"/>
  <c r="J20" i="1" s="1"/>
  <c r="M19" i="1"/>
  <c r="O19" i="1" s="1"/>
  <c r="H19" i="1"/>
  <c r="J19" i="1" s="1"/>
  <c r="M18" i="1"/>
  <c r="O18" i="1" s="1"/>
  <c r="H18" i="1"/>
  <c r="J18" i="1" s="1"/>
  <c r="M17" i="1"/>
  <c r="O17" i="1" s="1"/>
  <c r="H17" i="1"/>
  <c r="J17" i="1" s="1"/>
  <c r="M16" i="1"/>
  <c r="O16" i="1" s="1"/>
  <c r="H16" i="1"/>
  <c r="J16" i="1" s="1"/>
  <c r="P16" i="1" s="1"/>
  <c r="R16" i="1" s="1"/>
  <c r="M14" i="1"/>
  <c r="O14" i="1" s="1"/>
  <c r="M24" i="1"/>
  <c r="O24" i="1" s="1"/>
  <c r="H24" i="1"/>
  <c r="J24" i="1" s="1"/>
  <c r="H27" i="1"/>
  <c r="J27" i="1" s="1"/>
  <c r="H25" i="1"/>
  <c r="J25" i="1" s="1"/>
  <c r="M23" i="1"/>
  <c r="O23" i="1" s="1"/>
  <c r="H23" i="1"/>
  <c r="J23" i="1" s="1"/>
  <c r="M21" i="1"/>
  <c r="O21" i="1" s="1"/>
  <c r="H21" i="1"/>
  <c r="M39" i="1"/>
  <c r="O39" i="1" s="1"/>
  <c r="H39" i="1"/>
  <c r="J39" i="1" s="1"/>
  <c r="M38" i="1"/>
  <c r="O38" i="1" s="1"/>
  <c r="H38" i="1"/>
  <c r="J38" i="1" s="1"/>
  <c r="M37" i="1"/>
  <c r="O37" i="1" s="1"/>
  <c r="H37" i="1"/>
  <c r="J37" i="1" s="1"/>
  <c r="M36" i="1"/>
  <c r="O36" i="1" s="1"/>
  <c r="H36" i="1"/>
  <c r="J36" i="1" s="1"/>
  <c r="P36" i="1" s="1"/>
  <c r="R36" i="1" s="1"/>
  <c r="M35" i="1"/>
  <c r="O35" i="1" s="1"/>
  <c r="H35" i="1"/>
  <c r="M34" i="1"/>
  <c r="O34" i="1" s="1"/>
  <c r="H34" i="1"/>
  <c r="J34" i="1" s="1"/>
  <c r="M28" i="1"/>
  <c r="O28" i="1" s="1"/>
  <c r="H28" i="1"/>
  <c r="J28" i="1" s="1"/>
  <c r="H29" i="1"/>
  <c r="H33" i="1"/>
  <c r="J33" i="1" s="1"/>
  <c r="H31" i="1"/>
  <c r="J31" i="1" s="1"/>
  <c r="M30" i="1"/>
  <c r="O30" i="1" s="1"/>
  <c r="H30" i="1"/>
  <c r="J30" i="1" s="1"/>
  <c r="M29" i="1"/>
  <c r="O29" i="1" s="1"/>
  <c r="H7" i="1"/>
  <c r="J7" i="1" s="1"/>
  <c r="M7" i="1"/>
  <c r="O7" i="1" s="1"/>
  <c r="H40" i="1"/>
  <c r="J40" i="1" s="1"/>
  <c r="M40" i="1"/>
  <c r="O40" i="1" s="1"/>
  <c r="H41" i="1"/>
  <c r="J41" i="1" s="1"/>
  <c r="M41" i="1"/>
  <c r="O41" i="1" s="1"/>
  <c r="H42" i="1"/>
  <c r="J42" i="1" s="1"/>
  <c r="K42" i="1"/>
  <c r="M42" i="1" s="1"/>
  <c r="O42" i="1" s="1"/>
  <c r="H43" i="1"/>
  <c r="J43" i="1" s="1"/>
  <c r="M43" i="1"/>
  <c r="O43" i="1" s="1"/>
  <c r="M10" i="1"/>
  <c r="H10" i="1"/>
  <c r="P18" i="1" l="1"/>
  <c r="R18" i="1" s="1"/>
  <c r="P17" i="1"/>
  <c r="R17" i="1" s="1"/>
  <c r="P20" i="1"/>
  <c r="R20" i="1" s="1"/>
  <c r="P19" i="1"/>
  <c r="R19" i="1" s="1"/>
  <c r="P30" i="1"/>
  <c r="R30" i="1" s="1"/>
  <c r="P28" i="1"/>
  <c r="R28" i="1" s="1"/>
  <c r="P38" i="1"/>
  <c r="R38" i="1" s="1"/>
  <c r="O10" i="1"/>
  <c r="J10" i="1"/>
  <c r="P37" i="1"/>
  <c r="R37" i="1" s="1"/>
  <c r="P39" i="1"/>
  <c r="R39" i="1" s="1"/>
  <c r="P23" i="1"/>
  <c r="R23" i="1" s="1"/>
  <c r="P24" i="1"/>
  <c r="R24" i="1" s="1"/>
  <c r="P43" i="1"/>
  <c r="R43" i="1" s="1"/>
  <c r="P41" i="1"/>
  <c r="R41" i="1" s="1"/>
  <c r="P7" i="1"/>
  <c r="R7" i="1" s="1"/>
  <c r="P42" i="1"/>
  <c r="R42" i="1" s="1"/>
  <c r="P40" i="1"/>
  <c r="R40" i="1" s="1"/>
  <c r="P34" i="1"/>
  <c r="R34" i="1" s="1"/>
  <c r="J14" i="1"/>
  <c r="P14" i="1" s="1"/>
  <c r="R14" i="1" s="1"/>
  <c r="J35" i="1"/>
  <c r="P35" i="1" s="1"/>
  <c r="R35" i="1" s="1"/>
  <c r="J21" i="1"/>
  <c r="P21" i="1" s="1"/>
  <c r="R21" i="1" s="1"/>
  <c r="M25" i="1"/>
  <c r="O25" i="1" s="1"/>
  <c r="P25" i="1" s="1"/>
  <c r="R25" i="1" s="1"/>
  <c r="M31" i="1"/>
  <c r="O31" i="1" s="1"/>
  <c r="P31" i="1" s="1"/>
  <c r="R31" i="1" s="1"/>
  <c r="J29" i="1"/>
  <c r="P29" i="1" s="1"/>
  <c r="R29" i="1" s="1"/>
  <c r="M33" i="1"/>
  <c r="O33" i="1" s="1"/>
  <c r="P33" i="1" s="1"/>
  <c r="R33" i="1" s="1"/>
  <c r="M32" i="1"/>
  <c r="O32" i="1" s="1"/>
  <c r="H32" i="1"/>
  <c r="J32" i="1" s="1"/>
  <c r="P32" i="1" l="1"/>
  <c r="R32" i="1" s="1"/>
  <c r="P10" i="1"/>
  <c r="M26" i="1"/>
  <c r="O26" i="1" s="1"/>
  <c r="M27" i="1"/>
  <c r="O27" i="1" s="1"/>
  <c r="P27" i="1" s="1"/>
  <c r="R27" i="1" s="1"/>
  <c r="H26" i="1"/>
  <c r="J26" i="1" s="1"/>
  <c r="P26" i="1" l="1"/>
  <c r="R26" i="1" s="1"/>
  <c r="R10" i="1"/>
  <c r="F62" i="1"/>
  <c r="F52" i="1"/>
  <c r="F63" i="1" l="1"/>
  <c r="H13" i="1" l="1"/>
  <c r="J13" i="1" s="1"/>
  <c r="H12" i="1" l="1"/>
  <c r="J12" i="1" s="1"/>
  <c r="M12" i="1"/>
  <c r="O12" i="1" s="1"/>
  <c r="M11" i="1"/>
  <c r="H11" i="1"/>
  <c r="O11" i="1" l="1"/>
  <c r="J11" i="1"/>
  <c r="J44" i="1" s="1"/>
  <c r="H44" i="1"/>
  <c r="P12" i="1"/>
  <c r="R12" i="1" s="1"/>
  <c r="M13" i="1"/>
  <c r="O13" i="1" s="1"/>
  <c r="P13" i="1" s="1"/>
  <c r="R13" i="1" s="1"/>
  <c r="M44" i="1" l="1"/>
  <c r="O44" i="1"/>
  <c r="P11" i="1"/>
  <c r="P44" i="1" s="1"/>
  <c r="H57" i="1"/>
  <c r="R11" i="1" l="1"/>
  <c r="R44" i="1" s="1"/>
  <c r="M60" i="1"/>
  <c r="O60" i="1" s="1"/>
  <c r="H60" i="1"/>
  <c r="J60" i="1" s="1"/>
  <c r="M50" i="1"/>
  <c r="O50" i="1" s="1"/>
  <c r="H50" i="1"/>
  <c r="J50" i="1" s="1"/>
  <c r="P60" i="1" l="1"/>
  <c r="R60" i="1" s="1"/>
  <c r="P50" i="1"/>
  <c r="R50" i="1" s="1"/>
  <c r="K62" i="1"/>
  <c r="E48" i="1"/>
  <c r="E47" i="1"/>
  <c r="E46" i="1"/>
  <c r="E45" i="1"/>
  <c r="M58" i="1"/>
  <c r="O58" i="1" s="1"/>
  <c r="M57" i="1"/>
  <c r="O57" i="1" s="1"/>
  <c r="J57" i="1"/>
  <c r="P57" i="1" s="1"/>
  <c r="R57" i="1" s="1"/>
  <c r="H58" i="1"/>
  <c r="J58" i="1" s="1"/>
  <c r="H56" i="1"/>
  <c r="J56" i="1" s="1"/>
  <c r="H55" i="1"/>
  <c r="J55" i="1" s="1"/>
  <c r="E54" i="1"/>
  <c r="E53" i="1"/>
  <c r="E58" i="1"/>
  <c r="E57" i="1"/>
  <c r="E56" i="1"/>
  <c r="E55" i="1"/>
  <c r="P58" i="1" l="1"/>
  <c r="R58" i="1" s="1"/>
  <c r="E62" i="1"/>
  <c r="M54" i="1"/>
  <c r="O54" i="1" s="1"/>
  <c r="H54" i="1"/>
  <c r="J54" i="1" l="1"/>
  <c r="P54" i="1" s="1"/>
  <c r="R54" i="1" s="1"/>
  <c r="K52" i="1" l="1"/>
  <c r="E52" i="1"/>
  <c r="E63" i="1" l="1"/>
  <c r="H53" i="1" l="1"/>
  <c r="J53" i="1" s="1"/>
  <c r="M59" i="1" l="1"/>
  <c r="O59" i="1" s="1"/>
  <c r="H59" i="1"/>
  <c r="J59" i="1" s="1"/>
  <c r="M56" i="1"/>
  <c r="O56" i="1" s="1"/>
  <c r="P56" i="1" s="1"/>
  <c r="M51" i="1"/>
  <c r="O51" i="1" s="1"/>
  <c r="H51" i="1"/>
  <c r="J51" i="1" s="1"/>
  <c r="R56" i="1" l="1"/>
  <c r="P51" i="1"/>
  <c r="R51" i="1" s="1"/>
  <c r="P59" i="1"/>
  <c r="R59" i="1" s="1"/>
  <c r="M48" i="1" l="1"/>
  <c r="O48" i="1" s="1"/>
  <c r="H48" i="1"/>
  <c r="J48" i="1" s="1"/>
  <c r="M46" i="1"/>
  <c r="H46" i="1"/>
  <c r="J46" i="1" s="1"/>
  <c r="P48" i="1" l="1"/>
  <c r="R48" i="1" s="1"/>
  <c r="O46" i="1"/>
  <c r="P46" i="1" s="1"/>
  <c r="R46" i="1" s="1"/>
  <c r="M8" i="1"/>
  <c r="O8" i="1" s="1"/>
  <c r="H8" i="1"/>
  <c r="J8" i="1" s="1"/>
  <c r="P8" i="1" s="1"/>
  <c r="R8" i="1" s="1"/>
  <c r="M45" i="1" l="1"/>
  <c r="M47" i="1"/>
  <c r="M49" i="1"/>
  <c r="O49" i="1" s="1"/>
  <c r="M53" i="1"/>
  <c r="M55" i="1"/>
  <c r="O55" i="1" s="1"/>
  <c r="M61" i="1"/>
  <c r="O61" i="1" s="1"/>
  <c r="K63" i="1"/>
  <c r="H68" i="1" s="1"/>
  <c r="H61" i="1"/>
  <c r="H62" i="1" s="1"/>
  <c r="H45" i="1"/>
  <c r="H47" i="1"/>
  <c r="J47" i="1" s="1"/>
  <c r="H49" i="1"/>
  <c r="J49" i="1" s="1"/>
  <c r="O53" i="1" l="1"/>
  <c r="M62" i="1"/>
  <c r="M52" i="1"/>
  <c r="H52" i="1"/>
  <c r="J61" i="1"/>
  <c r="J62" i="1" s="1"/>
  <c r="P49" i="1"/>
  <c r="R49" i="1" s="1"/>
  <c r="P55" i="1"/>
  <c r="R55" i="1" s="1"/>
  <c r="J45" i="1"/>
  <c r="J52" i="1" s="1"/>
  <c r="O47" i="1"/>
  <c r="P47" i="1" s="1"/>
  <c r="R47" i="1" s="1"/>
  <c r="O45" i="1"/>
  <c r="P53" i="1" l="1"/>
  <c r="R53" i="1" s="1"/>
  <c r="O62" i="1"/>
  <c r="P61" i="1"/>
  <c r="R61" i="1" s="1"/>
  <c r="P45" i="1"/>
  <c r="O52" i="1"/>
  <c r="H63" i="1"/>
  <c r="M63" i="1"/>
  <c r="H69" i="1" l="1"/>
  <c r="R62" i="1"/>
  <c r="P62" i="1"/>
  <c r="P52" i="1"/>
  <c r="R45" i="1"/>
  <c r="R52" i="1" s="1"/>
  <c r="J63" i="1"/>
  <c r="G63" i="1"/>
  <c r="O63" i="1"/>
  <c r="N63" i="1" s="1"/>
  <c r="L63" i="1"/>
  <c r="P63" i="1" l="1"/>
  <c r="I63" i="1"/>
  <c r="H70" i="1"/>
  <c r="R63" i="1"/>
</calcChain>
</file>

<file path=xl/sharedStrings.xml><?xml version="1.0" encoding="utf-8"?>
<sst xmlns="http://schemas.openxmlformats.org/spreadsheetml/2006/main" count="175" uniqueCount="87">
  <si>
    <t>Affected public</t>
  </si>
  <si>
    <t>Data collection activity</t>
  </si>
  <si>
    <t>Estimated number of respondents</t>
  </si>
  <si>
    <t>Frequency of response</t>
  </si>
  <si>
    <t>Total annual responses</t>
  </si>
  <si>
    <t>Average burden hours per response</t>
  </si>
  <si>
    <t>Total annual burden estimate (hours)</t>
  </si>
  <si>
    <t>Parent/guardian</t>
  </si>
  <si>
    <t>Subtotal individuals/households</t>
  </si>
  <si>
    <t>Private sector</t>
  </si>
  <si>
    <t>Private sector for-profit business director/manager</t>
  </si>
  <si>
    <t>Private sector not-for-profit agency director/manager</t>
  </si>
  <si>
    <t>Subtotal private sector</t>
  </si>
  <si>
    <t>Grand total</t>
  </si>
  <si>
    <t>RESPONDENTS</t>
  </si>
  <si>
    <t>NON-RESPONDENTS</t>
  </si>
  <si>
    <t>-</t>
  </si>
  <si>
    <t>total # of respondents (including participants and non)</t>
  </si>
  <si>
    <t>total # of annual reponses (including participants and non)</t>
  </si>
  <si>
    <t>total annual burden estimates (including participants and non)</t>
  </si>
  <si>
    <t>State, local, or Tribal agency director/manager</t>
  </si>
  <si>
    <t>State, local, or Tribal agency direct service staff</t>
  </si>
  <si>
    <t>Sample size</t>
  </si>
  <si>
    <t>Estimated number of non-respondents</t>
  </si>
  <si>
    <t>State, local, and Tribal government</t>
  </si>
  <si>
    <t>Subtotal State, local, and Tribal government</t>
  </si>
  <si>
    <t>Attachment number</t>
  </si>
  <si>
    <r>
      <t>Hourly wage rate</t>
    </r>
    <r>
      <rPr>
        <vertAlign val="superscript"/>
        <sz val="9"/>
        <rFont val="Times New Roman"/>
        <family val="1"/>
      </rPr>
      <t>a</t>
    </r>
  </si>
  <si>
    <t>Total annualized cost of respondent burden</t>
  </si>
  <si>
    <t>Grand total annual burden estimate (hours)</t>
  </si>
  <si>
    <t>In-person focus group consent form, Focus group discussion guide</t>
  </si>
  <si>
    <t>B.2a-b</t>
  </si>
  <si>
    <t>Staff interview (two rounds)</t>
  </si>
  <si>
    <t>Staff interview (three rounds)</t>
  </si>
  <si>
    <t>Administrative data - training and data provision</t>
  </si>
  <si>
    <t>B.1</t>
  </si>
  <si>
    <t>C.1-4</t>
  </si>
  <si>
    <t>C.5-7</t>
  </si>
  <si>
    <t>In-depth interview consent form, Interview topic guide</t>
  </si>
  <si>
    <t>Private sector not-for-profit agency staff</t>
  </si>
  <si>
    <t>In-depth interview recruitment script, Confirmation letter, Reminder script</t>
  </si>
  <si>
    <t>Participant focus group telephone screener, Frequently asked questions, Confirmation letter, Reminder script</t>
  </si>
  <si>
    <t>Cost data - start-up training and worksheets</t>
  </si>
  <si>
    <t>B.2c-d</t>
  </si>
  <si>
    <t>Cost data - implementation training and worksheets</t>
  </si>
  <si>
    <t>NA</t>
  </si>
  <si>
    <t>Household survey pretest</t>
  </si>
  <si>
    <t>Individuals/ households</t>
  </si>
  <si>
    <t>C11</t>
  </si>
  <si>
    <t>C12</t>
  </si>
  <si>
    <t>Reminder letter (two rounds)</t>
  </si>
  <si>
    <t>Refusal letter (two rounds)</t>
  </si>
  <si>
    <t>Reminder letter (three rounds)</t>
  </si>
  <si>
    <t>Refusal letter (three rounds)</t>
  </si>
  <si>
    <t>Field locating letter (one round of follow up)</t>
  </si>
  <si>
    <t>C13</t>
  </si>
  <si>
    <t>D.2, B.4</t>
  </si>
  <si>
    <t>D.1, B.3</t>
  </si>
  <si>
    <t>Household survey (three rounds)</t>
  </si>
  <si>
    <t>B.5-7</t>
  </si>
  <si>
    <t>Parent/guardian (Chickasaw Nation)</t>
  </si>
  <si>
    <t>Parent/guardian (Navajo Nation)</t>
  </si>
  <si>
    <t>Household survey (two rounds)</t>
  </si>
  <si>
    <t>D.3, C.8</t>
  </si>
  <si>
    <t>Parent/guardian (Virginia)</t>
  </si>
  <si>
    <t>D.4, C.8</t>
  </si>
  <si>
    <t>Parent/guardian (Nevada)</t>
  </si>
  <si>
    <t>Household survey (follow-up)</t>
  </si>
  <si>
    <t>B.5-6</t>
  </si>
  <si>
    <t>B.5</t>
  </si>
  <si>
    <t>B.6</t>
  </si>
  <si>
    <t>Parent/guardian (Kentucky)</t>
  </si>
  <si>
    <t>Grantee letter (study introduction and consent form), Study brochure</t>
  </si>
  <si>
    <t>Respondents type (and grantee)</t>
  </si>
  <si>
    <t xml:space="preserve">C.8 </t>
  </si>
  <si>
    <t>C.9-10</t>
  </si>
  <si>
    <t>Advance letter (three rounds)</t>
  </si>
  <si>
    <t>Study brochure (one round)</t>
  </si>
  <si>
    <t>Field locating letter (two rounds)</t>
  </si>
  <si>
    <t>C.8</t>
  </si>
  <si>
    <t>Advance letter (two rounds)</t>
  </si>
  <si>
    <t>Field locating letter (one round)</t>
  </si>
  <si>
    <r>
      <t>NA</t>
    </r>
    <r>
      <rPr>
        <vertAlign val="superscript"/>
        <sz val="9"/>
        <color theme="1"/>
        <rFont val="Times New Roman"/>
        <family val="1"/>
      </rPr>
      <t>c</t>
    </r>
  </si>
  <si>
    <r>
      <t>Household survey (baseline)</t>
    </r>
    <r>
      <rPr>
        <vertAlign val="superscript"/>
        <sz val="9"/>
        <color theme="1"/>
        <rFont val="Times New Roman"/>
        <family val="1"/>
      </rPr>
      <t>b</t>
    </r>
  </si>
  <si>
    <t>Response Rate</t>
  </si>
  <si>
    <t>NA = Not applicable.
a  Sources: Department of Labor Wage and Hour Division (http://www.dol.gov/whd/minimumwage.htm). Bureau of Labor Statistics, Occupational Employment Statistics Survey, May 2014.  (http://www.bls.gov/news.release/pdf/ocwage.pdf) 
Parent/guardian: Federal minimum wage. State, local, or Tribal agency director/manager: Average hourly earnings of workers in management occupations; State, local, or Tribal agency direct service staff: Average hourly earnings of workers in community and social services occupations; Private sector for-profit business director/manager: Average hourly earnings of workers in management occupations; Private sector not-for-profit agency director/manager: Average hourly earnings of social and community services managers; Private sector not-for-profit staff: Average hourly earnings of community and social service specialists.
b The burden estimates assume rates of 85 percent eligibility, 80 percent consent, and 60 percent response. All non-consenting households (20 percent of the attempted sample) and two-thirds of the ineligible households (10 percent of the attempted sample) are reported in the non-respondents panel. One-third of ineligible households (5 percent of the attempted sample) are included in the respondents panel. This is because they could be eligible at the time of the baseline interview but exit SNAP pre-implementation and therefore become ineligible post-interview.
c There are no attachments associated with the administrative data collection because the format will vary based on each demonstration project.</t>
  </si>
  <si>
    <t>Attachment H.2. Alternate participant burden estimates assuming lower household survey response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</si>
</sst>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sz val="9"/>
      <color theme="1"/>
      <name val="Times New Roman"/>
      <family val="1"/>
    </font>
    <font>
      <b/>
      <sz val="9"/>
      <color theme="1"/>
      <name val="Times New Roman"/>
      <family val="1"/>
    </font>
    <font>
      <sz val="9"/>
      <color rgb="FFFF0000"/>
      <name val="Times New Roman"/>
      <family val="1"/>
    </font>
    <font>
      <sz val="11"/>
      <color theme="1"/>
      <name val="Calibri"/>
      <family val="2"/>
      <scheme val="minor"/>
    </font>
    <font>
      <b/>
      <sz val="9"/>
      <name val="Times New Roman"/>
      <family val="1"/>
    </font>
    <font>
      <sz val="9"/>
      <name val="Times New Roman"/>
      <family val="1"/>
    </font>
    <font>
      <vertAlign val="superscript"/>
      <sz val="9"/>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179">
    <xf numFmtId="0" fontId="0" fillId="0" borderId="0" xfId="0"/>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xf numFmtId="0" fontId="2" fillId="0" borderId="0" xfId="0" applyFont="1"/>
    <xf numFmtId="0" fontId="3" fillId="0" borderId="0" xfId="0" applyFont="1" applyAlignment="1">
      <alignment vertical="top"/>
    </xf>
    <xf numFmtId="0" fontId="1" fillId="0" borderId="8" xfId="0" applyFont="1" applyBorder="1" applyAlignment="1">
      <alignment horizontal="center" wrapText="1"/>
    </xf>
    <xf numFmtId="0" fontId="1" fillId="0" borderId="8" xfId="0" applyFont="1" applyBorder="1"/>
    <xf numFmtId="0" fontId="1" fillId="0" borderId="9" xfId="0" applyFont="1" applyBorder="1" applyAlignment="1">
      <alignment horizontal="left"/>
    </xf>
    <xf numFmtId="0" fontId="1" fillId="0" borderId="0" xfId="0" applyFont="1" applyAlignment="1">
      <alignment horizontal="left"/>
    </xf>
    <xf numFmtId="3" fontId="1" fillId="0" borderId="0" xfId="0" applyNumberFormat="1" applyFont="1"/>
    <xf numFmtId="4" fontId="1" fillId="0" borderId="0" xfId="0" applyNumberFormat="1" applyFont="1"/>
    <xf numFmtId="0" fontId="1" fillId="0" borderId="2" xfId="0" applyFont="1" applyBorder="1"/>
    <xf numFmtId="0" fontId="6" fillId="0" borderId="0" xfId="0" applyFont="1"/>
    <xf numFmtId="0" fontId="6" fillId="0" borderId="1" xfId="0" applyFont="1" applyFill="1" applyBorder="1" applyAlignment="1">
      <alignment horizontal="center" wrapText="1"/>
    </xf>
    <xf numFmtId="164" fontId="1" fillId="0" borderId="0" xfId="0" applyNumberFormat="1" applyFont="1"/>
    <xf numFmtId="0" fontId="6" fillId="0" borderId="0" xfId="0" applyFont="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6" fillId="0" borderId="0" xfId="0" applyFont="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vertical="center" wrapText="1"/>
    </xf>
    <xf numFmtId="0" fontId="1" fillId="0" borderId="6" xfId="0" applyFont="1" applyBorder="1" applyAlignment="1">
      <alignment vertical="center"/>
    </xf>
    <xf numFmtId="0" fontId="6" fillId="0" borderId="0" xfId="0" applyFont="1" applyFill="1"/>
    <xf numFmtId="0" fontId="6" fillId="0" borderId="0" xfId="0" applyFont="1" applyFill="1" applyAlignment="1">
      <alignment vertical="top"/>
    </xf>
    <xf numFmtId="0" fontId="2" fillId="2" borderId="9" xfId="0" applyFont="1" applyFill="1" applyBorder="1" applyAlignment="1">
      <alignment horizontal="left" vertical="top"/>
    </xf>
    <xf numFmtId="0" fontId="2" fillId="2" borderId="2" xfId="0" applyFont="1" applyFill="1" applyBorder="1" applyAlignment="1">
      <alignment horizontal="left" vertical="top"/>
    </xf>
    <xf numFmtId="0" fontId="1" fillId="0" borderId="1" xfId="0" applyFont="1" applyBorder="1" applyAlignment="1">
      <alignment horizontal="left" wrapText="1"/>
    </xf>
    <xf numFmtId="0" fontId="2" fillId="3" borderId="9" xfId="0" applyFont="1" applyFill="1" applyBorder="1" applyAlignment="1">
      <alignment horizontal="left" vertical="top"/>
    </xf>
    <xf numFmtId="0" fontId="2" fillId="2" borderId="2" xfId="0" applyFont="1" applyFill="1" applyBorder="1" applyAlignment="1">
      <alignment horizontal="center" vertical="top"/>
    </xf>
    <xf numFmtId="0" fontId="2" fillId="4" borderId="9" xfId="0" applyFont="1" applyFill="1" applyBorder="1" applyAlignment="1">
      <alignment horizontal="left" vertical="top"/>
    </xf>
    <xf numFmtId="0" fontId="2" fillId="4" borderId="8" xfId="0" applyFont="1" applyFill="1" applyBorder="1" applyAlignment="1">
      <alignment horizontal="center" vertical="center"/>
    </xf>
    <xf numFmtId="0" fontId="2" fillId="4" borderId="8" xfId="0" applyFont="1" applyFill="1" applyBorder="1" applyAlignment="1">
      <alignment vertical="top"/>
    </xf>
    <xf numFmtId="0" fontId="2" fillId="4" borderId="2" xfId="0" applyFont="1" applyFill="1" applyBorder="1" applyAlignment="1">
      <alignment horizontal="center" vertical="top"/>
    </xf>
    <xf numFmtId="0" fontId="1" fillId="0" borderId="4" xfId="0" applyFont="1" applyBorder="1" applyAlignment="1">
      <alignment horizontal="left" vertical="top" wrapText="1"/>
    </xf>
    <xf numFmtId="0" fontId="1" fillId="0" borderId="6" xfId="0" applyFont="1" applyFill="1" applyBorder="1" applyAlignment="1">
      <alignment horizontal="left" vertical="center"/>
    </xf>
    <xf numFmtId="0" fontId="1" fillId="0" borderId="6" xfId="0" applyFont="1" applyBorder="1" applyAlignment="1">
      <alignment horizontal="left" vertical="center" wrapText="1"/>
    </xf>
    <xf numFmtId="0" fontId="1" fillId="0" borderId="7"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2" xfId="0" applyFont="1" applyFill="1" applyBorder="1" applyAlignment="1">
      <alignment horizontal="left" vertical="top"/>
    </xf>
    <xf numFmtId="0" fontId="1"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2" fillId="2" borderId="8" xfId="0" applyFont="1" applyFill="1" applyBorder="1" applyAlignment="1">
      <alignment horizontal="left" vertical="center"/>
    </xf>
    <xf numFmtId="3" fontId="6" fillId="0" borderId="6" xfId="0" applyNumberFormat="1" applyFont="1" applyBorder="1" applyAlignment="1">
      <alignment horizontal="right" vertical="center"/>
    </xf>
    <xf numFmtId="3" fontId="1" fillId="0" borderId="6" xfId="0" applyNumberFormat="1" applyFont="1" applyBorder="1" applyAlignment="1">
      <alignment horizontal="right" vertical="center" wrapText="1"/>
    </xf>
    <xf numFmtId="0" fontId="1" fillId="0" borderId="6" xfId="0" applyFont="1" applyBorder="1" applyAlignment="1">
      <alignment horizontal="right" vertical="center" wrapText="1"/>
    </xf>
    <xf numFmtId="39" fontId="6" fillId="0" borderId="6" xfId="1" applyNumberFormat="1" applyFont="1" applyBorder="1" applyAlignment="1">
      <alignment horizontal="right" vertical="center"/>
    </xf>
    <xf numFmtId="3" fontId="6" fillId="0" borderId="6" xfId="0" applyNumberFormat="1" applyFont="1" applyFill="1" applyBorder="1" applyAlignment="1">
      <alignment horizontal="right" vertical="center" wrapText="1"/>
    </xf>
    <xf numFmtId="0" fontId="6" fillId="0" borderId="6" xfId="0" applyFont="1" applyFill="1" applyBorder="1" applyAlignment="1">
      <alignment horizontal="right" vertical="center" wrapText="1"/>
    </xf>
    <xf numFmtId="3" fontId="6" fillId="0" borderId="6" xfId="1" applyNumberFormat="1" applyFont="1" applyBorder="1" applyAlignment="1">
      <alignment horizontal="right" vertical="center"/>
    </xf>
    <xf numFmtId="0" fontId="6" fillId="0" borderId="6" xfId="0" applyNumberFormat="1" applyFont="1" applyBorder="1" applyAlignment="1">
      <alignment horizontal="right" vertical="center"/>
    </xf>
    <xf numFmtId="2" fontId="6" fillId="0" borderId="6" xfId="0" applyNumberFormat="1" applyFont="1" applyBorder="1" applyAlignment="1">
      <alignment horizontal="right" vertical="center"/>
    </xf>
    <xf numFmtId="44" fontId="6" fillId="0" borderId="6" xfId="2" applyNumberFormat="1" applyFont="1" applyBorder="1" applyAlignment="1">
      <alignment horizontal="right" vertical="center"/>
    </xf>
    <xf numFmtId="44" fontId="6" fillId="0" borderId="6" xfId="2" applyFont="1" applyBorder="1" applyAlignment="1">
      <alignment horizontal="right" vertical="center"/>
    </xf>
    <xf numFmtId="39" fontId="6" fillId="0" borderId="6" xfId="1" applyNumberFormat="1" applyFont="1" applyFill="1" applyBorder="1" applyAlignment="1">
      <alignment horizontal="right" vertical="center"/>
    </xf>
    <xf numFmtId="2" fontId="6" fillId="0" borderId="6" xfId="0" applyNumberFormat="1" applyFont="1" applyFill="1" applyBorder="1" applyAlignment="1">
      <alignment horizontal="right" vertical="center"/>
    </xf>
    <xf numFmtId="3" fontId="6" fillId="0" borderId="7" xfId="1" applyNumberFormat="1" applyFont="1" applyBorder="1" applyAlignment="1">
      <alignment horizontal="right" vertical="center"/>
    </xf>
    <xf numFmtId="3" fontId="6" fillId="0" borderId="7" xfId="0" applyNumberFormat="1" applyFont="1" applyBorder="1" applyAlignment="1">
      <alignment horizontal="right" vertical="center"/>
    </xf>
    <xf numFmtId="0" fontId="6" fillId="0" borderId="7" xfId="0" applyNumberFormat="1" applyFont="1" applyBorder="1" applyAlignment="1">
      <alignment horizontal="right" vertical="center"/>
    </xf>
    <xf numFmtId="2" fontId="6" fillId="0" borderId="7" xfId="0" applyNumberFormat="1" applyFont="1" applyBorder="1" applyAlignment="1">
      <alignment horizontal="right" vertical="center"/>
    </xf>
    <xf numFmtId="39" fontId="6" fillId="0" borderId="7" xfId="1" applyNumberFormat="1" applyFont="1" applyFill="1" applyBorder="1" applyAlignment="1">
      <alignment horizontal="right" vertical="center"/>
    </xf>
    <xf numFmtId="2" fontId="6" fillId="0" borderId="7" xfId="0" applyNumberFormat="1" applyFont="1" applyFill="1" applyBorder="1" applyAlignment="1">
      <alignment horizontal="right" vertical="center"/>
    </xf>
    <xf numFmtId="164" fontId="2" fillId="3" borderId="2" xfId="1" applyNumberFormat="1" applyFont="1" applyFill="1" applyBorder="1" applyAlignment="1">
      <alignment horizontal="right" vertical="center"/>
    </xf>
    <xf numFmtId="0" fontId="2" fillId="3" borderId="2" xfId="0"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8" xfId="0" applyFont="1" applyFill="1" applyBorder="1" applyAlignment="1">
      <alignment horizontal="right" vertical="center"/>
    </xf>
    <xf numFmtId="44" fontId="2" fillId="3" borderId="1" xfId="2" applyFont="1" applyFill="1" applyBorder="1" applyAlignment="1">
      <alignment horizontal="right" vertical="center"/>
    </xf>
    <xf numFmtId="0" fontId="6" fillId="0" borderId="4" xfId="0" applyFont="1" applyBorder="1" applyAlignment="1">
      <alignment horizontal="right" vertical="center"/>
    </xf>
    <xf numFmtId="0" fontId="6" fillId="0" borderId="4" xfId="0" applyNumberFormat="1" applyFont="1" applyBorder="1" applyAlignment="1">
      <alignment horizontal="right" vertical="center"/>
    </xf>
    <xf numFmtId="3" fontId="6" fillId="0" borderId="4" xfId="0" applyNumberFormat="1" applyFont="1" applyBorder="1" applyAlignment="1">
      <alignment horizontal="right" vertical="center"/>
    </xf>
    <xf numFmtId="2" fontId="6" fillId="0" borderId="4" xfId="0" applyNumberFormat="1" applyFont="1" applyBorder="1" applyAlignment="1">
      <alignment horizontal="right" vertical="center"/>
    </xf>
    <xf numFmtId="39" fontId="6" fillId="0" borderId="5" xfId="1" applyNumberFormat="1" applyFont="1" applyBorder="1" applyAlignment="1">
      <alignment horizontal="right" vertical="center"/>
    </xf>
    <xf numFmtId="3" fontId="6" fillId="0" borderId="1" xfId="1" applyNumberFormat="1" applyFont="1" applyBorder="1" applyAlignment="1">
      <alignment horizontal="right" vertical="center"/>
    </xf>
    <xf numFmtId="0" fontId="6" fillId="0" borderId="1" xfId="0" applyNumberFormat="1" applyFont="1" applyBorder="1" applyAlignment="1">
      <alignment horizontal="right" vertical="center"/>
    </xf>
    <xf numFmtId="2" fontId="6" fillId="0" borderId="1" xfId="0" applyNumberFormat="1" applyFont="1" applyBorder="1" applyAlignment="1">
      <alignment horizontal="right" vertical="center"/>
    </xf>
    <xf numFmtId="44" fontId="6" fillId="0" borderId="1" xfId="2" applyFont="1" applyBorder="1" applyAlignment="1">
      <alignment horizontal="right" vertical="center"/>
    </xf>
    <xf numFmtId="0" fontId="6" fillId="0" borderId="6" xfId="0" applyFont="1" applyBorder="1" applyAlignment="1">
      <alignment horizontal="right" vertical="center"/>
    </xf>
    <xf numFmtId="164" fontId="2" fillId="3" borderId="4" xfId="1" applyNumberFormat="1" applyFont="1" applyFill="1" applyBorder="1" applyAlignment="1">
      <alignment horizontal="right" vertical="center"/>
    </xf>
    <xf numFmtId="0" fontId="2" fillId="3" borderId="4" xfId="0"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1" fontId="2" fillId="3" borderId="3" xfId="1" applyNumberFormat="1" applyFont="1" applyFill="1" applyBorder="1" applyAlignment="1">
      <alignment horizontal="right" vertical="center"/>
    </xf>
    <xf numFmtId="0" fontId="2" fillId="3" borderId="5" xfId="0" applyFont="1" applyFill="1" applyBorder="1" applyAlignment="1">
      <alignment horizontal="right" vertical="center"/>
    </xf>
    <xf numFmtId="44" fontId="2" fillId="3" borderId="3" xfId="2" applyFont="1" applyFill="1" applyBorder="1" applyAlignment="1">
      <alignment horizontal="right" vertical="center"/>
    </xf>
    <xf numFmtId="164" fontId="2" fillId="4" borderId="4" xfId="0" applyNumberFormat="1" applyFont="1" applyFill="1" applyBorder="1" applyAlignment="1">
      <alignment horizontal="right" vertical="center"/>
    </xf>
    <xf numFmtId="3" fontId="2" fillId="4" borderId="4" xfId="0" applyNumberFormat="1" applyFont="1" applyFill="1" applyBorder="1" applyAlignment="1">
      <alignment horizontal="right" vertical="center"/>
    </xf>
    <xf numFmtId="2" fontId="2" fillId="4" borderId="4" xfId="0" applyNumberFormat="1" applyFont="1" applyFill="1" applyBorder="1" applyAlignment="1">
      <alignment horizontal="right" vertical="center"/>
    </xf>
    <xf numFmtId="4" fontId="2" fillId="4" borderId="5" xfId="0" applyNumberFormat="1" applyFont="1" applyFill="1" applyBorder="1" applyAlignment="1">
      <alignment horizontal="right" vertical="center"/>
    </xf>
    <xf numFmtId="164" fontId="5" fillId="4" borderId="1" xfId="1" applyNumberFormat="1" applyFont="1" applyFill="1" applyBorder="1" applyAlignment="1">
      <alignment horizontal="right" vertical="center"/>
    </xf>
    <xf numFmtId="43" fontId="5" fillId="4" borderId="1" xfId="0" applyNumberFormat="1" applyFont="1" applyFill="1" applyBorder="1" applyAlignment="1">
      <alignment horizontal="right" vertical="center"/>
    </xf>
    <xf numFmtId="4" fontId="5" fillId="4" borderId="1" xfId="0" applyNumberFormat="1" applyFont="1" applyFill="1" applyBorder="1" applyAlignment="1">
      <alignment horizontal="right" vertical="center"/>
    </xf>
    <xf numFmtId="44" fontId="5" fillId="4" borderId="1" xfId="2" applyFont="1" applyFill="1" applyBorder="1" applyAlignment="1">
      <alignment horizontal="right" vertical="center"/>
    </xf>
    <xf numFmtId="3" fontId="6" fillId="0" borderId="1" xfId="0" applyNumberFormat="1" applyFont="1" applyBorder="1" applyAlignment="1">
      <alignment horizontal="right" vertical="center"/>
    </xf>
    <xf numFmtId="39" fontId="6" fillId="0" borderId="1" xfId="1"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0" fontId="6" fillId="0" borderId="1" xfId="0" applyFont="1" applyBorder="1" applyAlignment="1">
      <alignment horizontal="right" vertical="center"/>
    </xf>
    <xf numFmtId="39" fontId="6" fillId="0" borderId="1" xfId="1" applyNumberFormat="1" applyFont="1" applyBorder="1" applyAlignment="1">
      <alignment horizontal="right" vertical="center"/>
    </xf>
    <xf numFmtId="0" fontId="1" fillId="0" borderId="0" xfId="0" applyFont="1" applyBorder="1"/>
    <xf numFmtId="0" fontId="1" fillId="0" borderId="1" xfId="0" applyFont="1" applyBorder="1" applyAlignment="1">
      <alignment horizontal="left" vertical="center" wrapText="1"/>
    </xf>
    <xf numFmtId="44" fontId="6" fillId="0" borderId="6" xfId="0" applyNumberFormat="1" applyFont="1" applyFill="1" applyBorder="1" applyAlignment="1">
      <alignment vertical="center" wrapText="1"/>
    </xf>
    <xf numFmtId="44" fontId="6" fillId="0" borderId="6" xfId="2" applyNumberFormat="1" applyFont="1" applyBorder="1" applyAlignment="1">
      <alignment vertical="center"/>
    </xf>
    <xf numFmtId="44" fontId="6" fillId="0" borderId="1" xfId="2" applyNumberFormat="1" applyFont="1" applyBorder="1" applyAlignment="1">
      <alignment vertical="center"/>
    </xf>
    <xf numFmtId="44" fontId="6" fillId="0" borderId="7" xfId="0" applyNumberFormat="1" applyFont="1" applyFill="1" applyBorder="1" applyAlignment="1">
      <alignment vertical="center" wrapText="1"/>
    </xf>
    <xf numFmtId="4" fontId="2" fillId="3" borderId="1" xfId="0" applyNumberFormat="1" applyFont="1" applyFill="1" applyBorder="1" applyAlignment="1">
      <alignment vertical="center"/>
    </xf>
    <xf numFmtId="44" fontId="6" fillId="0" borderId="1" xfId="0" applyNumberFormat="1" applyFont="1" applyBorder="1" applyAlignment="1">
      <alignment vertical="center"/>
    </xf>
    <xf numFmtId="44" fontId="6" fillId="0" borderId="6" xfId="0" applyNumberFormat="1" applyFont="1" applyBorder="1" applyAlignment="1">
      <alignment vertical="center"/>
    </xf>
    <xf numFmtId="44" fontId="2" fillId="3" borderId="3" xfId="0" applyNumberFormat="1" applyFont="1" applyFill="1" applyBorder="1" applyAlignment="1">
      <alignment vertical="center"/>
    </xf>
    <xf numFmtId="4" fontId="2" fillId="3" borderId="3" xfId="0" applyNumberFormat="1" applyFont="1" applyFill="1" applyBorder="1" applyAlignment="1">
      <alignment vertical="center"/>
    </xf>
    <xf numFmtId="4" fontId="5" fillId="4" borderId="1" xfId="0" applyNumberFormat="1" applyFont="1" applyFill="1" applyBorder="1" applyAlignment="1">
      <alignment vertical="center"/>
    </xf>
    <xf numFmtId="43" fontId="6" fillId="0" borderId="6" xfId="1" applyFont="1" applyBorder="1" applyAlignment="1">
      <alignment horizontal="right" vertical="center"/>
    </xf>
    <xf numFmtId="43" fontId="6" fillId="0" borderId="1" xfId="1" applyFont="1" applyBorder="1" applyAlignment="1">
      <alignment horizontal="right" vertical="center"/>
    </xf>
    <xf numFmtId="43" fontId="2" fillId="3" borderId="1" xfId="1" applyFont="1" applyFill="1" applyBorder="1" applyAlignment="1">
      <alignment horizontal="right" vertical="center"/>
    </xf>
    <xf numFmtId="43" fontId="2" fillId="3" borderId="3" xfId="1" applyFont="1" applyFill="1" applyBorder="1" applyAlignment="1">
      <alignment horizontal="right" vertical="center"/>
    </xf>
    <xf numFmtId="43" fontId="5" fillId="4" borderId="1" xfId="1" applyFont="1" applyFill="1" applyBorder="1" applyAlignment="1">
      <alignment horizontal="right" vertical="center"/>
    </xf>
    <xf numFmtId="0" fontId="2" fillId="3" borderId="4" xfId="1" applyNumberFormat="1" applyFont="1" applyFill="1" applyBorder="1" applyAlignment="1">
      <alignment horizontal="right" vertical="center"/>
    </xf>
    <xf numFmtId="0" fontId="1" fillId="0" borderId="7" xfId="0" applyFont="1" applyBorder="1" applyAlignment="1">
      <alignment horizontal="left" vertical="top" wrapText="1"/>
    </xf>
    <xf numFmtId="0" fontId="6" fillId="0" borderId="7" xfId="0" applyFont="1" applyBorder="1" applyAlignment="1">
      <alignment horizontal="right" vertical="center"/>
    </xf>
    <xf numFmtId="39" fontId="6" fillId="0" borderId="7" xfId="1" applyNumberFormat="1" applyFont="1" applyBorder="1" applyAlignment="1">
      <alignment horizontal="right" vertical="center"/>
    </xf>
    <xf numFmtId="0" fontId="1" fillId="0" borderId="7" xfId="0" applyFont="1" applyFill="1" applyBorder="1" applyAlignment="1">
      <alignment vertical="center"/>
    </xf>
    <xf numFmtId="0" fontId="1" fillId="0" borderId="4" xfId="0" applyFont="1" applyFill="1" applyBorder="1" applyAlignment="1">
      <alignment horizontal="left" vertical="top" wrapText="1"/>
    </xf>
    <xf numFmtId="0" fontId="6" fillId="0" borderId="4" xfId="0" applyFont="1" applyFill="1" applyBorder="1" applyAlignment="1">
      <alignment horizontal="right" vertical="center"/>
    </xf>
    <xf numFmtId="0" fontId="6" fillId="0" borderId="4" xfId="0" applyNumberFormat="1" applyFont="1" applyFill="1" applyBorder="1" applyAlignment="1">
      <alignment horizontal="right" vertical="center"/>
    </xf>
    <xf numFmtId="3" fontId="6" fillId="0" borderId="4" xfId="0"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39" fontId="6" fillId="0" borderId="5" xfId="1" applyNumberFormat="1" applyFont="1" applyFill="1" applyBorder="1" applyAlignment="1">
      <alignment horizontal="right" vertical="center"/>
    </xf>
    <xf numFmtId="3" fontId="6" fillId="0" borderId="1" xfId="1"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43" fontId="6" fillId="0" borderId="1" xfId="1" applyFont="1" applyFill="1" applyBorder="1" applyAlignment="1">
      <alignment horizontal="right" vertical="center"/>
    </xf>
    <xf numFmtId="44" fontId="6" fillId="0" borderId="1" xfId="2" applyNumberFormat="1" applyFont="1" applyFill="1" applyBorder="1" applyAlignment="1">
      <alignment vertical="center"/>
    </xf>
    <xf numFmtId="44" fontId="6" fillId="0" borderId="1" xfId="2" applyFont="1" applyFill="1" applyBorder="1" applyAlignment="1">
      <alignment horizontal="right" vertical="center"/>
    </xf>
    <xf numFmtId="0" fontId="1" fillId="0" borderId="0" xfId="0" applyFont="1" applyFill="1"/>
    <xf numFmtId="0" fontId="6" fillId="0" borderId="1" xfId="0" applyFont="1" applyFill="1" applyBorder="1" applyAlignment="1">
      <alignment horizontal="right" vertical="center"/>
    </xf>
    <xf numFmtId="3" fontId="6" fillId="0" borderId="6" xfId="1" applyNumberFormat="1" applyFont="1" applyFill="1" applyBorder="1" applyAlignment="1">
      <alignment horizontal="right" vertical="center"/>
    </xf>
    <xf numFmtId="0" fontId="6" fillId="0" borderId="6" xfId="0" applyNumberFormat="1" applyFont="1" applyFill="1" applyBorder="1" applyAlignment="1">
      <alignment horizontal="right" vertical="center"/>
    </xf>
    <xf numFmtId="44" fontId="6" fillId="0" borderId="6" xfId="2" applyNumberFormat="1" applyFont="1" applyFill="1" applyBorder="1" applyAlignment="1">
      <alignment vertical="center"/>
    </xf>
    <xf numFmtId="0" fontId="1" fillId="0" borderId="1" xfId="0" applyFont="1" applyFill="1" applyBorder="1" applyAlignment="1">
      <alignment horizontal="left" vertical="top" wrapText="1"/>
    </xf>
    <xf numFmtId="0" fontId="1" fillId="0" borderId="6" xfId="0" applyFont="1" applyBorder="1" applyAlignment="1">
      <alignment horizontal="left" vertical="center"/>
    </xf>
    <xf numFmtId="3" fontId="6" fillId="0" borderId="6" xfId="1" applyNumberFormat="1" applyFont="1" applyBorder="1" applyAlignment="1">
      <alignment horizontal="right" vertical="center"/>
    </xf>
    <xf numFmtId="0" fontId="1" fillId="0" borderId="10" xfId="0" applyFont="1" applyBorder="1" applyAlignment="1">
      <alignment horizontal="left"/>
    </xf>
    <xf numFmtId="0" fontId="1" fillId="0" borderId="0" xfId="0" applyFont="1" applyFill="1" applyAlignment="1">
      <alignment wrapText="1"/>
    </xf>
    <xf numFmtId="0" fontId="1" fillId="0" borderId="10" xfId="0" applyFont="1" applyFill="1" applyBorder="1" applyAlignment="1">
      <alignment horizontal="left" vertical="center" wrapText="1"/>
    </xf>
    <xf numFmtId="0" fontId="1" fillId="0" borderId="1" xfId="0" applyFont="1" applyFill="1" applyBorder="1" applyAlignment="1">
      <alignment horizontal="left" vertical="center"/>
    </xf>
    <xf numFmtId="43" fontId="6" fillId="0" borderId="6" xfId="1" applyFont="1" applyBorder="1" applyAlignment="1">
      <alignment horizontal="right" vertical="center"/>
    </xf>
    <xf numFmtId="0" fontId="1" fillId="0" borderId="6" xfId="0" applyFont="1" applyFill="1" applyBorder="1" applyAlignment="1">
      <alignment horizontal="left" vertical="center" wrapText="1"/>
    </xf>
    <xf numFmtId="2" fontId="1" fillId="0" borderId="6" xfId="0" applyNumberFormat="1" applyFont="1" applyBorder="1" applyAlignment="1">
      <alignment horizontal="right" vertical="center" wrapText="1"/>
    </xf>
    <xf numFmtId="3" fontId="6" fillId="0" borderId="6" xfId="0" applyNumberFormat="1" applyFont="1" applyFill="1" applyBorder="1" applyAlignment="1">
      <alignment horizontal="right" vertical="center"/>
    </xf>
    <xf numFmtId="0" fontId="6" fillId="0" borderId="2" xfId="0" applyFont="1" applyBorder="1" applyAlignment="1">
      <alignment horizontal="center" wrapText="1"/>
    </xf>
    <xf numFmtId="0" fontId="5" fillId="0" borderId="0" xfId="0" applyFont="1" applyAlignment="1">
      <alignment horizontal="left"/>
    </xf>
    <xf numFmtId="3" fontId="6" fillId="0" borderId="6" xfId="1" applyNumberFormat="1" applyFont="1" applyFill="1" applyBorder="1" applyAlignment="1">
      <alignment horizontal="right" vertical="center"/>
    </xf>
    <xf numFmtId="3" fontId="6" fillId="0" borderId="0" xfId="0" applyNumberFormat="1" applyFont="1" applyFill="1"/>
    <xf numFmtId="0" fontId="1" fillId="0" borderId="12" xfId="0" applyFont="1" applyFill="1" applyBorder="1" applyAlignment="1">
      <alignment horizont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1" fillId="0" borderId="7" xfId="0" applyFont="1" applyBorder="1" applyAlignment="1">
      <alignment horizontal="left" vertical="center" wrapText="1"/>
    </xf>
    <xf numFmtId="0" fontId="1" fillId="0" borderId="11" xfId="0" applyFont="1" applyBorder="1" applyAlignment="1">
      <alignment horizontal="left" wrapText="1"/>
    </xf>
    <xf numFmtId="0" fontId="2" fillId="2" borderId="9" xfId="0" applyFont="1" applyFill="1" applyBorder="1" applyAlignment="1">
      <alignment horizontal="left" vertical="top"/>
    </xf>
    <xf numFmtId="0" fontId="2" fillId="2" borderId="8" xfId="0" applyFont="1" applyFill="1" applyBorder="1" applyAlignment="1">
      <alignment horizontal="left" vertical="top"/>
    </xf>
    <xf numFmtId="0" fontId="1" fillId="0" borderId="6" xfId="0" applyFont="1" applyBorder="1" applyAlignment="1">
      <alignment horizontal="left" vertical="center"/>
    </xf>
    <xf numFmtId="0" fontId="1" fillId="0" borderId="7" xfId="0" applyFont="1" applyBorder="1" applyAlignment="1">
      <alignment horizontal="left" vertical="center"/>
    </xf>
    <xf numFmtId="3" fontId="6" fillId="0" borderId="6" xfId="1" applyNumberFormat="1" applyFont="1" applyBorder="1" applyAlignment="1">
      <alignment horizontal="right" vertical="center"/>
    </xf>
    <xf numFmtId="3" fontId="6" fillId="0" borderId="7" xfId="1" applyNumberFormat="1" applyFont="1" applyBorder="1" applyAlignment="1">
      <alignment horizontal="righ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3" fontId="1" fillId="0" borderId="6" xfId="0" applyNumberFormat="1" applyFont="1" applyFill="1" applyBorder="1" applyAlignment="1">
      <alignment horizontal="right" vertical="center" wrapText="1"/>
    </xf>
    <xf numFmtId="3" fontId="1" fillId="0" borderId="7" xfId="0" applyNumberFormat="1" applyFont="1" applyFill="1" applyBorder="1" applyAlignment="1">
      <alignment horizontal="righ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left" vertical="center" wrapText="1"/>
    </xf>
    <xf numFmtId="3" fontId="6" fillId="0" borderId="6" xfId="1" applyNumberFormat="1" applyFont="1" applyFill="1" applyBorder="1" applyAlignment="1">
      <alignment horizontal="right" vertical="center"/>
    </xf>
    <xf numFmtId="3" fontId="6" fillId="0" borderId="7" xfId="1" applyNumberFormat="1" applyFont="1" applyFill="1" applyBorder="1" applyAlignment="1">
      <alignment horizontal="right" vertical="center"/>
    </xf>
    <xf numFmtId="3" fontId="6" fillId="0" borderId="3" xfId="1" applyNumberFormat="1" applyFont="1" applyFill="1" applyBorder="1" applyAlignment="1">
      <alignment horizontal="right" vertic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tabSelected="1" zoomScale="90" zoomScaleNormal="90" workbookViewId="0">
      <pane ySplit="5" topLeftCell="A6" activePane="bottomLeft" state="frozen"/>
      <selection pane="bottomLeft" activeCell="A4" sqref="A4"/>
    </sheetView>
  </sheetViews>
  <sheetFormatPr defaultRowHeight="12" x14ac:dyDescent="0.2"/>
  <cols>
    <col min="1" max="1" width="12.85546875" style="9" customWidth="1"/>
    <col min="2" max="2" width="10.28515625" style="20" customWidth="1"/>
    <col min="3" max="3" width="34.140625" style="3" customWidth="1"/>
    <col min="4" max="4" width="19.42578125" style="17" customWidth="1"/>
    <col min="5" max="5" width="10.7109375" style="3" customWidth="1"/>
    <col min="6" max="6" width="11.28515625" style="3" customWidth="1"/>
    <col min="7" max="9" width="10.7109375" style="3" customWidth="1"/>
    <col min="10" max="10" width="11.5703125" style="3" customWidth="1"/>
    <col min="11" max="15" width="10.7109375" style="5" customWidth="1"/>
    <col min="16" max="16" width="12.7109375" style="5" customWidth="1"/>
    <col min="17" max="17" width="10.7109375" style="5" customWidth="1"/>
    <col min="18" max="18" width="16.42578125" style="5" customWidth="1"/>
    <col min="19" max="19" width="65.28515625" style="3" bestFit="1" customWidth="1"/>
    <col min="20" max="16384" width="9.140625" style="3"/>
  </cols>
  <sheetData>
    <row r="1" spans="1:20" s="13" customFormat="1" x14ac:dyDescent="0.2">
      <c r="A1" s="153" t="s">
        <v>86</v>
      </c>
      <c r="B1" s="19"/>
      <c r="D1" s="16"/>
      <c r="E1" s="25"/>
      <c r="F1" s="25"/>
      <c r="G1" s="25"/>
      <c r="H1" s="25"/>
      <c r="I1" s="25"/>
      <c r="J1" s="25"/>
      <c r="K1" s="26"/>
      <c r="L1" s="26"/>
      <c r="M1" s="26"/>
      <c r="N1" s="26"/>
      <c r="O1" s="26"/>
      <c r="P1" s="26"/>
      <c r="Q1" s="26"/>
      <c r="R1" s="26"/>
    </row>
    <row r="2" spans="1:20" s="13" customFormat="1" hidden="1" x14ac:dyDescent="0.2">
      <c r="A2" s="153"/>
      <c r="B2" s="19"/>
      <c r="D2" s="16"/>
      <c r="E2" s="25"/>
      <c r="F2" s="25"/>
      <c r="G2" s="25"/>
      <c r="H2" s="25"/>
      <c r="I2" s="25"/>
      <c r="J2" s="25"/>
      <c r="K2" s="26"/>
      <c r="L2" s="26"/>
      <c r="M2" s="26"/>
      <c r="N2" s="26"/>
      <c r="O2" s="26"/>
      <c r="P2" s="26"/>
      <c r="Q2" s="26"/>
      <c r="R2" s="26"/>
    </row>
    <row r="3" spans="1:20" s="13" customFormat="1" hidden="1" x14ac:dyDescent="0.2">
      <c r="A3" s="153" t="s">
        <v>84</v>
      </c>
      <c r="B3" s="19">
        <v>0.6</v>
      </c>
      <c r="D3" s="16"/>
      <c r="E3" s="25"/>
      <c r="F3" s="25"/>
      <c r="G3" s="155"/>
      <c r="H3" s="25"/>
      <c r="I3" s="155"/>
      <c r="J3" s="155"/>
      <c r="K3" s="26"/>
      <c r="L3" s="26"/>
      <c r="M3" s="26"/>
      <c r="N3" s="26"/>
      <c r="O3" s="26"/>
      <c r="P3" s="26"/>
      <c r="Q3" s="26"/>
      <c r="R3" s="26"/>
    </row>
    <row r="4" spans="1:20" ht="12.75" thickBot="1" x14ac:dyDescent="0.25"/>
    <row r="5" spans="1:20" ht="15.75" customHeight="1" thickBot="1" x14ac:dyDescent="0.25">
      <c r="A5" s="8"/>
      <c r="B5" s="21"/>
      <c r="C5" s="7"/>
      <c r="D5" s="18"/>
      <c r="E5" s="12"/>
      <c r="F5" s="157" t="s">
        <v>14</v>
      </c>
      <c r="G5" s="158"/>
      <c r="H5" s="158"/>
      <c r="I5" s="158"/>
      <c r="J5" s="159"/>
      <c r="K5" s="157" t="s">
        <v>15</v>
      </c>
      <c r="L5" s="158"/>
      <c r="M5" s="158"/>
      <c r="N5" s="158"/>
      <c r="O5" s="159"/>
      <c r="P5" s="158"/>
      <c r="Q5" s="158"/>
      <c r="R5" s="159"/>
    </row>
    <row r="6" spans="1:20" ht="48.75" thickBot="1" x14ac:dyDescent="0.25">
      <c r="A6" s="29" t="s">
        <v>0</v>
      </c>
      <c r="B6" s="2" t="s">
        <v>26</v>
      </c>
      <c r="C6" s="1" t="s">
        <v>1</v>
      </c>
      <c r="D6" s="2" t="s">
        <v>73</v>
      </c>
      <c r="E6" s="152" t="s">
        <v>22</v>
      </c>
      <c r="F6" s="2" t="s">
        <v>2</v>
      </c>
      <c r="G6" s="2" t="s">
        <v>3</v>
      </c>
      <c r="H6" s="2" t="s">
        <v>4</v>
      </c>
      <c r="I6" s="2" t="s">
        <v>5</v>
      </c>
      <c r="J6" s="6" t="s">
        <v>6</v>
      </c>
      <c r="K6" s="14" t="s">
        <v>23</v>
      </c>
      <c r="L6" s="14" t="s">
        <v>3</v>
      </c>
      <c r="M6" s="14" t="s">
        <v>4</v>
      </c>
      <c r="N6" s="14" t="s">
        <v>5</v>
      </c>
      <c r="O6" s="14" t="s">
        <v>6</v>
      </c>
      <c r="P6" s="14" t="s">
        <v>29</v>
      </c>
      <c r="Q6" s="14" t="s">
        <v>27</v>
      </c>
      <c r="R6" s="14" t="s">
        <v>28</v>
      </c>
    </row>
    <row r="7" spans="1:20" ht="12.75" customHeight="1" thickBot="1" x14ac:dyDescent="0.25">
      <c r="A7" s="172" t="s">
        <v>47</v>
      </c>
      <c r="B7" s="146" t="s">
        <v>45</v>
      </c>
      <c r="C7" s="144" t="s">
        <v>46</v>
      </c>
      <c r="D7" s="142" t="s">
        <v>7</v>
      </c>
      <c r="E7" s="49">
        <v>8</v>
      </c>
      <c r="F7" s="50">
        <v>8</v>
      </c>
      <c r="G7" s="51">
        <v>1</v>
      </c>
      <c r="H7" s="49">
        <f t="shared" ref="H7:H43" si="0">SUM(F7*G7)</f>
        <v>8</v>
      </c>
      <c r="I7" s="150">
        <v>1</v>
      </c>
      <c r="J7" s="52">
        <f t="shared" ref="J7:J40" si="1">SUM(H7*I7)</f>
        <v>8</v>
      </c>
      <c r="K7" s="53">
        <v>0</v>
      </c>
      <c r="L7" s="54">
        <v>1</v>
      </c>
      <c r="M7" s="143">
        <f t="shared" ref="M7:M43" si="2">SUM(K7*L7)</f>
        <v>0</v>
      </c>
      <c r="N7" s="56">
        <v>0.05</v>
      </c>
      <c r="O7" s="57">
        <f t="shared" ref="O7:O42" si="3">SUM(M7*N7)</f>
        <v>0</v>
      </c>
      <c r="P7" s="115">
        <f>J7+O7</f>
        <v>8</v>
      </c>
      <c r="Q7" s="105">
        <v>7.25</v>
      </c>
      <c r="R7" s="58">
        <f>P7*Q7</f>
        <v>58</v>
      </c>
      <c r="T7" s="10"/>
    </row>
    <row r="8" spans="1:20" ht="15" customHeight="1" thickBot="1" x14ac:dyDescent="0.25">
      <c r="A8" s="173"/>
      <c r="B8" s="149" t="s">
        <v>75</v>
      </c>
      <c r="C8" s="149" t="s">
        <v>76</v>
      </c>
      <c r="D8" s="168" t="s">
        <v>60</v>
      </c>
      <c r="E8" s="170">
        <v>4750</v>
      </c>
      <c r="F8" s="151">
        <v>4750</v>
      </c>
      <c r="G8" s="139">
        <v>3</v>
      </c>
      <c r="H8" s="151">
        <f t="shared" ref="H8:H14" si="4">SUM(F8*G8)</f>
        <v>14250</v>
      </c>
      <c r="I8" s="61">
        <v>0.05</v>
      </c>
      <c r="J8" s="60">
        <f t="shared" ref="J8:J13" si="5">SUM(H8*I8)</f>
        <v>712.5</v>
      </c>
      <c r="K8" s="154">
        <v>0</v>
      </c>
      <c r="L8" s="139">
        <v>3</v>
      </c>
      <c r="M8" s="138">
        <f t="shared" ref="M8:M13" si="6">SUM(K8*L8)</f>
        <v>0</v>
      </c>
      <c r="N8" s="139">
        <v>0.05</v>
      </c>
      <c r="O8" s="61">
        <f t="shared" ref="O8:O13" si="7">SUM(M8*N8)</f>
        <v>0</v>
      </c>
      <c r="P8" s="148">
        <f t="shared" ref="P8:P43" si="8">J8+O8</f>
        <v>712.5</v>
      </c>
      <c r="Q8" s="105">
        <v>7.25</v>
      </c>
      <c r="R8" s="58">
        <f t="shared" ref="R8:R43" si="9">P8*Q8</f>
        <v>5165.625</v>
      </c>
      <c r="S8" s="136"/>
      <c r="T8" s="10"/>
    </row>
    <row r="9" spans="1:20" ht="15" customHeight="1" thickBot="1" x14ac:dyDescent="0.25">
      <c r="A9" s="173"/>
      <c r="B9" s="149" t="s">
        <v>74</v>
      </c>
      <c r="C9" s="149" t="s">
        <v>77</v>
      </c>
      <c r="D9" s="169"/>
      <c r="E9" s="171"/>
      <c r="F9" s="151">
        <v>4750</v>
      </c>
      <c r="G9" s="139">
        <v>1</v>
      </c>
      <c r="H9" s="151">
        <f t="shared" si="4"/>
        <v>4750</v>
      </c>
      <c r="I9" s="61">
        <v>0.17</v>
      </c>
      <c r="J9" s="60">
        <f t="shared" si="5"/>
        <v>807.50000000000011</v>
      </c>
      <c r="K9" s="154">
        <v>0</v>
      </c>
      <c r="L9" s="139">
        <v>1</v>
      </c>
      <c r="M9" s="138">
        <f t="shared" si="6"/>
        <v>0</v>
      </c>
      <c r="N9" s="139">
        <v>0.05</v>
      </c>
      <c r="O9" s="61">
        <f t="shared" si="7"/>
        <v>0</v>
      </c>
      <c r="P9" s="148">
        <f t="shared" si="8"/>
        <v>807.50000000000011</v>
      </c>
      <c r="Q9" s="105">
        <v>7.25</v>
      </c>
      <c r="R9" s="58">
        <f t="shared" si="9"/>
        <v>5854.3750000000009</v>
      </c>
      <c r="S9" s="136"/>
      <c r="T9" s="10"/>
    </row>
    <row r="10" spans="1:20" ht="15.75" customHeight="1" thickBot="1" x14ac:dyDescent="0.25">
      <c r="A10" s="173"/>
      <c r="B10" s="149" t="s">
        <v>59</v>
      </c>
      <c r="C10" s="149" t="s">
        <v>58</v>
      </c>
      <c r="D10" s="169"/>
      <c r="E10" s="171"/>
      <c r="F10" s="151">
        <f>B3*F9</f>
        <v>2850</v>
      </c>
      <c r="G10" s="139">
        <v>3</v>
      </c>
      <c r="H10" s="151">
        <f t="shared" si="4"/>
        <v>8550</v>
      </c>
      <c r="I10" s="61">
        <v>0.53</v>
      </c>
      <c r="J10" s="60">
        <f t="shared" si="5"/>
        <v>4531.5</v>
      </c>
      <c r="K10" s="154">
        <f>(1-B3)*F9</f>
        <v>1900</v>
      </c>
      <c r="L10" s="139">
        <v>3</v>
      </c>
      <c r="M10" s="138">
        <f t="shared" si="6"/>
        <v>5700</v>
      </c>
      <c r="N10" s="139">
        <v>0.05</v>
      </c>
      <c r="O10" s="61">
        <f t="shared" si="7"/>
        <v>285</v>
      </c>
      <c r="P10" s="148">
        <f t="shared" si="8"/>
        <v>4816.5</v>
      </c>
      <c r="Q10" s="105">
        <v>7.25</v>
      </c>
      <c r="R10" s="58">
        <f t="shared" si="9"/>
        <v>34919.625</v>
      </c>
      <c r="S10" s="136"/>
      <c r="T10" s="10"/>
    </row>
    <row r="11" spans="1:20" ht="15.75" customHeight="1" thickBot="1" x14ac:dyDescent="0.25">
      <c r="A11" s="173"/>
      <c r="B11" s="37" t="s">
        <v>48</v>
      </c>
      <c r="C11" s="37" t="s">
        <v>52</v>
      </c>
      <c r="D11" s="169"/>
      <c r="E11" s="171"/>
      <c r="F11" s="151">
        <f>0.5*F10</f>
        <v>1425</v>
      </c>
      <c r="G11" s="139">
        <v>3</v>
      </c>
      <c r="H11" s="151">
        <f t="shared" si="4"/>
        <v>4275</v>
      </c>
      <c r="I11" s="61">
        <v>0.05</v>
      </c>
      <c r="J11" s="60">
        <f t="shared" si="5"/>
        <v>213.75</v>
      </c>
      <c r="K11" s="154">
        <f>0.5*F10</f>
        <v>1425</v>
      </c>
      <c r="L11" s="139">
        <v>3</v>
      </c>
      <c r="M11" s="138">
        <f t="shared" si="6"/>
        <v>4275</v>
      </c>
      <c r="N11" s="139">
        <v>0.05</v>
      </c>
      <c r="O11" s="61">
        <f t="shared" si="7"/>
        <v>213.75</v>
      </c>
      <c r="P11" s="148">
        <f t="shared" si="8"/>
        <v>427.5</v>
      </c>
      <c r="Q11" s="105">
        <v>7.25</v>
      </c>
      <c r="R11" s="58">
        <f t="shared" si="9"/>
        <v>3099.375</v>
      </c>
      <c r="S11" s="136"/>
      <c r="T11" s="10"/>
    </row>
    <row r="12" spans="1:20" ht="15.75" customHeight="1" thickBot="1" x14ac:dyDescent="0.25">
      <c r="A12" s="173"/>
      <c r="B12" s="37" t="s">
        <v>49</v>
      </c>
      <c r="C12" s="37" t="s">
        <v>53</v>
      </c>
      <c r="D12" s="169"/>
      <c r="E12" s="171"/>
      <c r="F12" s="151">
        <f>0.44*K11</f>
        <v>627</v>
      </c>
      <c r="G12" s="139">
        <v>3</v>
      </c>
      <c r="H12" s="151">
        <f t="shared" si="4"/>
        <v>1881</v>
      </c>
      <c r="I12" s="61">
        <v>0.05</v>
      </c>
      <c r="J12" s="60">
        <f t="shared" si="5"/>
        <v>94.050000000000011</v>
      </c>
      <c r="K12" s="154">
        <f>0.56*K11</f>
        <v>798.00000000000011</v>
      </c>
      <c r="L12" s="139">
        <v>3</v>
      </c>
      <c r="M12" s="138">
        <f t="shared" si="6"/>
        <v>2394.0000000000005</v>
      </c>
      <c r="N12" s="139">
        <v>0.05</v>
      </c>
      <c r="O12" s="61">
        <f t="shared" si="7"/>
        <v>119.70000000000003</v>
      </c>
      <c r="P12" s="148">
        <f t="shared" si="8"/>
        <v>213.75000000000006</v>
      </c>
      <c r="Q12" s="105">
        <v>7.25</v>
      </c>
      <c r="R12" s="58">
        <f t="shared" si="9"/>
        <v>1549.6875000000005</v>
      </c>
      <c r="S12" s="136"/>
      <c r="T12" s="10"/>
    </row>
    <row r="13" spans="1:20" ht="15.75" customHeight="1" thickBot="1" x14ac:dyDescent="0.25">
      <c r="A13" s="173"/>
      <c r="B13" s="37" t="s">
        <v>55</v>
      </c>
      <c r="C13" s="37" t="s">
        <v>78</v>
      </c>
      <c r="D13" s="169"/>
      <c r="E13" s="171"/>
      <c r="F13" s="151">
        <f>0.6*K12</f>
        <v>478.80000000000007</v>
      </c>
      <c r="G13" s="139">
        <v>2</v>
      </c>
      <c r="H13" s="151">
        <f t="shared" si="4"/>
        <v>957.60000000000014</v>
      </c>
      <c r="I13" s="61">
        <v>0.05</v>
      </c>
      <c r="J13" s="60">
        <f t="shared" si="5"/>
        <v>47.88000000000001</v>
      </c>
      <c r="K13" s="154">
        <f>0.4*K12</f>
        <v>319.20000000000005</v>
      </c>
      <c r="L13" s="139">
        <v>2</v>
      </c>
      <c r="M13" s="138">
        <f t="shared" si="6"/>
        <v>638.40000000000009</v>
      </c>
      <c r="N13" s="139">
        <v>0.05</v>
      </c>
      <c r="O13" s="61">
        <f t="shared" si="7"/>
        <v>31.920000000000005</v>
      </c>
      <c r="P13" s="148">
        <f t="shared" si="8"/>
        <v>79.800000000000011</v>
      </c>
      <c r="Q13" s="105">
        <v>7.25</v>
      </c>
      <c r="R13" s="58">
        <f t="shared" si="9"/>
        <v>578.55000000000007</v>
      </c>
      <c r="S13" s="136"/>
      <c r="T13" s="10"/>
    </row>
    <row r="14" spans="1:20" ht="15" customHeight="1" thickBot="1" x14ac:dyDescent="0.25">
      <c r="A14" s="173"/>
      <c r="B14" s="149" t="s">
        <v>75</v>
      </c>
      <c r="C14" s="149" t="s">
        <v>80</v>
      </c>
      <c r="D14" s="168" t="s">
        <v>71</v>
      </c>
      <c r="E14" s="170">
        <v>4504</v>
      </c>
      <c r="F14" s="151">
        <v>4504</v>
      </c>
      <c r="G14" s="139">
        <v>2</v>
      </c>
      <c r="H14" s="151">
        <f t="shared" si="4"/>
        <v>9008</v>
      </c>
      <c r="I14" s="61">
        <v>0.05</v>
      </c>
      <c r="J14" s="60">
        <f t="shared" si="1"/>
        <v>450.40000000000003</v>
      </c>
      <c r="K14" s="154">
        <v>0</v>
      </c>
      <c r="L14" s="139">
        <v>2</v>
      </c>
      <c r="M14" s="138">
        <f t="shared" si="2"/>
        <v>0</v>
      </c>
      <c r="N14" s="139">
        <v>0.05</v>
      </c>
      <c r="O14" s="61">
        <f t="shared" si="3"/>
        <v>0</v>
      </c>
      <c r="P14" s="148">
        <f t="shared" si="8"/>
        <v>450.40000000000003</v>
      </c>
      <c r="Q14" s="105">
        <v>7.25</v>
      </c>
      <c r="R14" s="58">
        <f t="shared" si="9"/>
        <v>3265.4</v>
      </c>
      <c r="S14" s="136"/>
      <c r="T14" s="10"/>
    </row>
    <row r="15" spans="1:20" ht="15" customHeight="1" thickBot="1" x14ac:dyDescent="0.25">
      <c r="A15" s="173"/>
      <c r="B15" s="149" t="s">
        <v>79</v>
      </c>
      <c r="C15" s="149" t="s">
        <v>77</v>
      </c>
      <c r="D15" s="169"/>
      <c r="E15" s="171"/>
      <c r="F15" s="151">
        <v>4504</v>
      </c>
      <c r="G15" s="139">
        <v>1</v>
      </c>
      <c r="H15" s="151">
        <f t="shared" ref="H15:H19" si="10">SUM(F15*G15)</f>
        <v>4504</v>
      </c>
      <c r="I15" s="61">
        <v>0.17</v>
      </c>
      <c r="J15" s="60">
        <f t="shared" si="1"/>
        <v>765.68000000000006</v>
      </c>
      <c r="K15" s="154">
        <v>0</v>
      </c>
      <c r="L15" s="139">
        <v>1</v>
      </c>
      <c r="M15" s="138">
        <f t="shared" si="2"/>
        <v>0</v>
      </c>
      <c r="N15" s="139">
        <v>0.05</v>
      </c>
      <c r="O15" s="61">
        <f t="shared" si="3"/>
        <v>0</v>
      </c>
      <c r="P15" s="148">
        <f t="shared" si="8"/>
        <v>765.68000000000006</v>
      </c>
      <c r="Q15" s="105">
        <v>7.25</v>
      </c>
      <c r="R15" s="58">
        <f t="shared" si="9"/>
        <v>5551.18</v>
      </c>
      <c r="S15" s="136"/>
      <c r="T15" s="10"/>
    </row>
    <row r="16" spans="1:20" ht="15.75" customHeight="1" thickBot="1" x14ac:dyDescent="0.25">
      <c r="A16" s="173"/>
      <c r="B16" s="149" t="s">
        <v>69</v>
      </c>
      <c r="C16" s="149" t="s">
        <v>83</v>
      </c>
      <c r="D16" s="169"/>
      <c r="E16" s="171"/>
      <c r="F16" s="151">
        <f>F15*0.8*0.85*B3*1.05</f>
        <v>1929.5136000000002</v>
      </c>
      <c r="G16" s="139">
        <v>1</v>
      </c>
      <c r="H16" s="151">
        <f t="shared" si="10"/>
        <v>1929.5136000000002</v>
      </c>
      <c r="I16" s="61">
        <v>0.5</v>
      </c>
      <c r="J16" s="60">
        <f t="shared" si="1"/>
        <v>964.75680000000011</v>
      </c>
      <c r="K16" s="154">
        <f>F15-F16</f>
        <v>2574.4863999999998</v>
      </c>
      <c r="L16" s="139">
        <v>1</v>
      </c>
      <c r="M16" s="138">
        <f t="shared" si="2"/>
        <v>2574.4863999999998</v>
      </c>
      <c r="N16" s="139">
        <v>0.05</v>
      </c>
      <c r="O16" s="61">
        <f t="shared" si="3"/>
        <v>128.72432000000001</v>
      </c>
      <c r="P16" s="148">
        <f t="shared" si="8"/>
        <v>1093.4811200000001</v>
      </c>
      <c r="Q16" s="105">
        <v>7.25</v>
      </c>
      <c r="R16" s="58">
        <f t="shared" si="9"/>
        <v>7927.7381200000009</v>
      </c>
      <c r="S16" s="136"/>
      <c r="T16" s="10"/>
    </row>
    <row r="17" spans="1:20" ht="15.75" customHeight="1" thickBot="1" x14ac:dyDescent="0.25">
      <c r="A17" s="173"/>
      <c r="B17" s="149" t="s">
        <v>70</v>
      </c>
      <c r="C17" s="149" t="s">
        <v>67</v>
      </c>
      <c r="D17" s="169"/>
      <c r="E17" s="171"/>
      <c r="F17" s="151">
        <f>(F16/1.05)*B3</f>
        <v>1102.5791999999999</v>
      </c>
      <c r="G17" s="139">
        <v>1</v>
      </c>
      <c r="H17" s="151">
        <f t="shared" si="10"/>
        <v>1102.5791999999999</v>
      </c>
      <c r="I17" s="61">
        <v>0.5</v>
      </c>
      <c r="J17" s="60">
        <f t="shared" si="1"/>
        <v>551.28959999999995</v>
      </c>
      <c r="K17" s="154">
        <f>(F16/1.05)*(1-B3)</f>
        <v>735.05280000000005</v>
      </c>
      <c r="L17" s="139">
        <v>1</v>
      </c>
      <c r="M17" s="138">
        <f t="shared" si="2"/>
        <v>735.05280000000005</v>
      </c>
      <c r="N17" s="139">
        <v>0.05</v>
      </c>
      <c r="O17" s="61">
        <f t="shared" si="3"/>
        <v>36.752640000000007</v>
      </c>
      <c r="P17" s="148">
        <f t="shared" si="8"/>
        <v>588.04223999999999</v>
      </c>
      <c r="Q17" s="105">
        <v>7.25</v>
      </c>
      <c r="R17" s="58">
        <f t="shared" si="9"/>
        <v>4263.3062399999999</v>
      </c>
      <c r="S17" s="136"/>
      <c r="T17" s="10"/>
    </row>
    <row r="18" spans="1:20" ht="15.75" customHeight="1" thickBot="1" x14ac:dyDescent="0.25">
      <c r="A18" s="173"/>
      <c r="B18" s="37" t="s">
        <v>48</v>
      </c>
      <c r="C18" s="37" t="s">
        <v>50</v>
      </c>
      <c r="D18" s="169"/>
      <c r="E18" s="171"/>
      <c r="F18" s="151">
        <f>0.5*K16</f>
        <v>1287.2431999999999</v>
      </c>
      <c r="G18" s="139">
        <v>2</v>
      </c>
      <c r="H18" s="151">
        <f t="shared" si="10"/>
        <v>2574.4863999999998</v>
      </c>
      <c r="I18" s="61">
        <v>0.05</v>
      </c>
      <c r="J18" s="60">
        <f t="shared" si="1"/>
        <v>128.72432000000001</v>
      </c>
      <c r="K18" s="154">
        <f>0.5*K16</f>
        <v>1287.2431999999999</v>
      </c>
      <c r="L18" s="139">
        <v>2</v>
      </c>
      <c r="M18" s="138">
        <f t="shared" si="2"/>
        <v>2574.4863999999998</v>
      </c>
      <c r="N18" s="139">
        <v>0.05</v>
      </c>
      <c r="O18" s="61">
        <f t="shared" si="3"/>
        <v>128.72432000000001</v>
      </c>
      <c r="P18" s="148">
        <f t="shared" si="8"/>
        <v>257.44864000000001</v>
      </c>
      <c r="Q18" s="105">
        <v>7.25</v>
      </c>
      <c r="R18" s="58">
        <f t="shared" si="9"/>
        <v>1866.5026400000002</v>
      </c>
      <c r="S18" s="136"/>
      <c r="T18" s="10"/>
    </row>
    <row r="19" spans="1:20" ht="15.75" customHeight="1" thickBot="1" x14ac:dyDescent="0.25">
      <c r="A19" s="173"/>
      <c r="B19" s="37" t="s">
        <v>49</v>
      </c>
      <c r="C19" s="37" t="s">
        <v>51</v>
      </c>
      <c r="D19" s="169"/>
      <c r="E19" s="171"/>
      <c r="F19" s="151">
        <f>0.44*K18</f>
        <v>566.38700799999992</v>
      </c>
      <c r="G19" s="139">
        <v>2</v>
      </c>
      <c r="H19" s="151">
        <f t="shared" si="10"/>
        <v>1132.7740159999998</v>
      </c>
      <c r="I19" s="61">
        <v>0.05</v>
      </c>
      <c r="J19" s="60">
        <f t="shared" si="1"/>
        <v>56.638700799999995</v>
      </c>
      <c r="K19" s="154">
        <f>0.56*K18</f>
        <v>720.85619199999996</v>
      </c>
      <c r="L19" s="139">
        <v>2</v>
      </c>
      <c r="M19" s="138">
        <f t="shared" si="2"/>
        <v>1441.7123839999999</v>
      </c>
      <c r="N19" s="139">
        <v>0.05</v>
      </c>
      <c r="O19" s="61">
        <f t="shared" si="3"/>
        <v>72.085619199999996</v>
      </c>
      <c r="P19" s="148">
        <f t="shared" si="8"/>
        <v>128.72431999999998</v>
      </c>
      <c r="Q19" s="105">
        <v>7.25</v>
      </c>
      <c r="R19" s="58">
        <f t="shared" si="9"/>
        <v>933.25131999999985</v>
      </c>
      <c r="S19" s="136"/>
      <c r="T19" s="10"/>
    </row>
    <row r="20" spans="1:20" ht="15.75" customHeight="1" thickBot="1" x14ac:dyDescent="0.25">
      <c r="A20" s="173"/>
      <c r="B20" s="37" t="s">
        <v>55</v>
      </c>
      <c r="C20" s="37" t="s">
        <v>81</v>
      </c>
      <c r="D20" s="169"/>
      <c r="E20" s="171"/>
      <c r="F20" s="151">
        <f>0.6*K19</f>
        <v>432.51371519999998</v>
      </c>
      <c r="G20" s="139">
        <v>1</v>
      </c>
      <c r="H20" s="151">
        <f>SUM(F20*G20)</f>
        <v>432.51371519999998</v>
      </c>
      <c r="I20" s="61">
        <v>0.05</v>
      </c>
      <c r="J20" s="60">
        <f t="shared" si="1"/>
        <v>21.62568576</v>
      </c>
      <c r="K20" s="154">
        <f>0.4*K19</f>
        <v>288.34247679999999</v>
      </c>
      <c r="L20" s="139">
        <v>1</v>
      </c>
      <c r="M20" s="138">
        <f t="shared" si="2"/>
        <v>288.34247679999999</v>
      </c>
      <c r="N20" s="139">
        <v>0.05</v>
      </c>
      <c r="O20" s="61">
        <f t="shared" si="3"/>
        <v>14.41712384</v>
      </c>
      <c r="P20" s="148">
        <f t="shared" si="8"/>
        <v>36.042809599999998</v>
      </c>
      <c r="Q20" s="105">
        <v>7.25</v>
      </c>
      <c r="R20" s="58">
        <f t="shared" si="9"/>
        <v>261.3103696</v>
      </c>
      <c r="S20" s="136"/>
      <c r="T20" s="10"/>
    </row>
    <row r="21" spans="1:20" ht="15.75" customHeight="1" thickBot="1" x14ac:dyDescent="0.25">
      <c r="A21" s="173"/>
      <c r="B21" s="149" t="s">
        <v>75</v>
      </c>
      <c r="C21" s="149" t="s">
        <v>80</v>
      </c>
      <c r="D21" s="168" t="s">
        <v>66</v>
      </c>
      <c r="E21" s="170">
        <v>6746</v>
      </c>
      <c r="F21" s="151">
        <v>6746</v>
      </c>
      <c r="G21" s="139">
        <v>2</v>
      </c>
      <c r="H21" s="151">
        <f t="shared" ref="H21:H26" si="11">SUM(F21*G21)</f>
        <v>13492</v>
      </c>
      <c r="I21" s="61">
        <v>0.05</v>
      </c>
      <c r="J21" s="60">
        <f t="shared" ref="J21:J27" si="12">SUM(H21*I21)</f>
        <v>674.6</v>
      </c>
      <c r="K21" s="154">
        <v>0</v>
      </c>
      <c r="L21" s="139">
        <v>2</v>
      </c>
      <c r="M21" s="138">
        <f t="shared" ref="M21:M27" si="13">SUM(K21*L21)</f>
        <v>0</v>
      </c>
      <c r="N21" s="139">
        <v>0.05</v>
      </c>
      <c r="O21" s="61">
        <f t="shared" ref="O21:O27" si="14">SUM(M21*N21)</f>
        <v>0</v>
      </c>
      <c r="P21" s="148">
        <f t="shared" si="8"/>
        <v>674.6</v>
      </c>
      <c r="Q21" s="105">
        <v>7.25</v>
      </c>
      <c r="R21" s="58">
        <f t="shared" si="9"/>
        <v>4890.8500000000004</v>
      </c>
      <c r="S21" s="136"/>
      <c r="T21" s="10"/>
    </row>
    <row r="22" spans="1:20" ht="15.75" customHeight="1" thickBot="1" x14ac:dyDescent="0.25">
      <c r="A22" s="173"/>
      <c r="B22" s="149" t="s">
        <v>79</v>
      </c>
      <c r="C22" s="149" t="s">
        <v>77</v>
      </c>
      <c r="D22" s="169"/>
      <c r="E22" s="171"/>
      <c r="F22" s="151">
        <v>6746</v>
      </c>
      <c r="G22" s="139">
        <v>1</v>
      </c>
      <c r="H22" s="151">
        <f t="shared" si="11"/>
        <v>6746</v>
      </c>
      <c r="I22" s="61">
        <v>0.17</v>
      </c>
      <c r="J22" s="60">
        <f t="shared" si="12"/>
        <v>1146.8200000000002</v>
      </c>
      <c r="K22" s="154">
        <v>0</v>
      </c>
      <c r="L22" s="139">
        <v>1</v>
      </c>
      <c r="M22" s="138">
        <f t="shared" si="13"/>
        <v>0</v>
      </c>
      <c r="N22" s="139">
        <v>0.05</v>
      </c>
      <c r="O22" s="61">
        <f t="shared" si="14"/>
        <v>0</v>
      </c>
      <c r="P22" s="148">
        <f>J22+O22</f>
        <v>1146.8200000000002</v>
      </c>
      <c r="Q22" s="105">
        <v>7.25</v>
      </c>
      <c r="R22" s="58">
        <f t="shared" si="9"/>
        <v>8314.4450000000015</v>
      </c>
      <c r="S22" s="136"/>
      <c r="T22" s="10"/>
    </row>
    <row r="23" spans="1:20" ht="15.75" customHeight="1" thickBot="1" x14ac:dyDescent="0.25">
      <c r="A23" s="173"/>
      <c r="B23" s="149" t="s">
        <v>69</v>
      </c>
      <c r="C23" s="149" t="s">
        <v>83</v>
      </c>
      <c r="D23" s="169"/>
      <c r="E23" s="171"/>
      <c r="F23" s="151">
        <f>F22*0.8*0.85*B3*1.05</f>
        <v>2889.9864000000002</v>
      </c>
      <c r="G23" s="139">
        <v>1</v>
      </c>
      <c r="H23" s="151">
        <f t="shared" si="11"/>
        <v>2889.9864000000002</v>
      </c>
      <c r="I23" s="61">
        <v>0.5</v>
      </c>
      <c r="J23" s="60">
        <f t="shared" si="12"/>
        <v>1444.9932000000001</v>
      </c>
      <c r="K23" s="154">
        <f>F22-F23</f>
        <v>3856.0135999999998</v>
      </c>
      <c r="L23" s="139">
        <v>1</v>
      </c>
      <c r="M23" s="138">
        <f t="shared" si="13"/>
        <v>3856.0135999999998</v>
      </c>
      <c r="N23" s="139">
        <v>0.05</v>
      </c>
      <c r="O23" s="61">
        <f t="shared" si="14"/>
        <v>192.80068</v>
      </c>
      <c r="P23" s="148">
        <f t="shared" si="8"/>
        <v>1637.7938800000002</v>
      </c>
      <c r="Q23" s="105">
        <v>7.25</v>
      </c>
      <c r="R23" s="58">
        <f t="shared" si="9"/>
        <v>11874.005630000001</v>
      </c>
      <c r="S23" s="136"/>
      <c r="T23" s="10"/>
    </row>
    <row r="24" spans="1:20" ht="15.75" customHeight="1" thickBot="1" x14ac:dyDescent="0.25">
      <c r="A24" s="173"/>
      <c r="B24" s="149" t="s">
        <v>70</v>
      </c>
      <c r="C24" s="149" t="s">
        <v>67</v>
      </c>
      <c r="D24" s="169"/>
      <c r="E24" s="171"/>
      <c r="F24" s="151">
        <f>(F23/1.05)*B3</f>
        <v>1651.4207999999999</v>
      </c>
      <c r="G24" s="139">
        <v>1</v>
      </c>
      <c r="H24" s="151">
        <f t="shared" ref="H24" si="15">SUM(F24*G24)</f>
        <v>1651.4207999999999</v>
      </c>
      <c r="I24" s="61">
        <v>0.5</v>
      </c>
      <c r="J24" s="60">
        <f t="shared" ref="J24" si="16">SUM(H24*I24)</f>
        <v>825.71039999999994</v>
      </c>
      <c r="K24" s="154">
        <f>(F23/1.05)*(1-B3)</f>
        <v>1100.9472000000001</v>
      </c>
      <c r="L24" s="139">
        <v>1</v>
      </c>
      <c r="M24" s="138">
        <f t="shared" ref="M24" si="17">SUM(K24*L24)</f>
        <v>1100.9472000000001</v>
      </c>
      <c r="N24" s="139">
        <v>0.05</v>
      </c>
      <c r="O24" s="61">
        <f t="shared" ref="O24" si="18">SUM(M24*N24)</f>
        <v>55.047360000000005</v>
      </c>
      <c r="P24" s="148">
        <f t="shared" si="8"/>
        <v>880.75775999999996</v>
      </c>
      <c r="Q24" s="105">
        <v>7.25</v>
      </c>
      <c r="R24" s="58">
        <f t="shared" si="9"/>
        <v>6385.4937599999994</v>
      </c>
      <c r="S24" s="136"/>
      <c r="T24" s="10"/>
    </row>
    <row r="25" spans="1:20" ht="15.75" customHeight="1" thickBot="1" x14ac:dyDescent="0.25">
      <c r="A25" s="173"/>
      <c r="B25" s="37" t="s">
        <v>48</v>
      </c>
      <c r="C25" s="37" t="s">
        <v>50</v>
      </c>
      <c r="D25" s="169"/>
      <c r="E25" s="171"/>
      <c r="F25" s="151">
        <f>0.5*K23</f>
        <v>1928.0067999999999</v>
      </c>
      <c r="G25" s="139">
        <v>2</v>
      </c>
      <c r="H25" s="151">
        <f t="shared" si="11"/>
        <v>3856.0135999999998</v>
      </c>
      <c r="I25" s="61">
        <v>0.05</v>
      </c>
      <c r="J25" s="60">
        <f t="shared" si="12"/>
        <v>192.80068</v>
      </c>
      <c r="K25" s="154">
        <f>0.5*K23</f>
        <v>1928.0067999999999</v>
      </c>
      <c r="L25" s="139">
        <v>2</v>
      </c>
      <c r="M25" s="138">
        <f t="shared" si="13"/>
        <v>3856.0135999999998</v>
      </c>
      <c r="N25" s="139">
        <v>0.05</v>
      </c>
      <c r="O25" s="61">
        <f t="shared" si="14"/>
        <v>192.80068</v>
      </c>
      <c r="P25" s="148">
        <f t="shared" si="8"/>
        <v>385.60136</v>
      </c>
      <c r="Q25" s="105">
        <v>7.25</v>
      </c>
      <c r="R25" s="58">
        <f t="shared" si="9"/>
        <v>2795.60986</v>
      </c>
      <c r="S25" s="136"/>
      <c r="T25" s="10"/>
    </row>
    <row r="26" spans="1:20" ht="15.75" customHeight="1" thickBot="1" x14ac:dyDescent="0.25">
      <c r="A26" s="173"/>
      <c r="B26" s="37" t="s">
        <v>49</v>
      </c>
      <c r="C26" s="37" t="s">
        <v>51</v>
      </c>
      <c r="D26" s="169"/>
      <c r="E26" s="171"/>
      <c r="F26" s="151">
        <f>0.44*K25</f>
        <v>848.322992</v>
      </c>
      <c r="G26" s="139">
        <v>2</v>
      </c>
      <c r="H26" s="151">
        <f t="shared" si="11"/>
        <v>1696.645984</v>
      </c>
      <c r="I26" s="61">
        <v>0.05</v>
      </c>
      <c r="J26" s="60">
        <f t="shared" si="12"/>
        <v>84.832299200000008</v>
      </c>
      <c r="K26" s="154">
        <f>0.56*K25</f>
        <v>1079.683808</v>
      </c>
      <c r="L26" s="139">
        <v>2</v>
      </c>
      <c r="M26" s="138">
        <f t="shared" si="13"/>
        <v>2159.367616</v>
      </c>
      <c r="N26" s="139">
        <v>0.05</v>
      </c>
      <c r="O26" s="61">
        <f t="shared" si="14"/>
        <v>107.96838080000001</v>
      </c>
      <c r="P26" s="148">
        <f t="shared" si="8"/>
        <v>192.80068</v>
      </c>
      <c r="Q26" s="105">
        <v>7.25</v>
      </c>
      <c r="R26" s="58">
        <f t="shared" si="9"/>
        <v>1397.80493</v>
      </c>
      <c r="S26" s="136"/>
      <c r="T26" s="10"/>
    </row>
    <row r="27" spans="1:20" ht="15.75" customHeight="1" thickBot="1" x14ac:dyDescent="0.25">
      <c r="A27" s="173"/>
      <c r="B27" s="37" t="s">
        <v>55</v>
      </c>
      <c r="C27" s="37" t="s">
        <v>81</v>
      </c>
      <c r="D27" s="169"/>
      <c r="E27" s="171"/>
      <c r="F27" s="151">
        <f>0.6*K26</f>
        <v>647.81028479999998</v>
      </c>
      <c r="G27" s="139">
        <v>1</v>
      </c>
      <c r="H27" s="151">
        <f>SUM(F27*G27)</f>
        <v>647.81028479999998</v>
      </c>
      <c r="I27" s="61">
        <v>0.05</v>
      </c>
      <c r="J27" s="60">
        <f t="shared" si="12"/>
        <v>32.390514240000002</v>
      </c>
      <c r="K27" s="154">
        <f>0.4*K26</f>
        <v>431.87352320000002</v>
      </c>
      <c r="L27" s="139">
        <v>1</v>
      </c>
      <c r="M27" s="138">
        <f t="shared" si="13"/>
        <v>431.87352320000002</v>
      </c>
      <c r="N27" s="139">
        <v>0.05</v>
      </c>
      <c r="O27" s="61">
        <f t="shared" si="14"/>
        <v>21.593676160000001</v>
      </c>
      <c r="P27" s="148">
        <f t="shared" si="8"/>
        <v>53.984190400000003</v>
      </c>
      <c r="Q27" s="105">
        <v>7.25</v>
      </c>
      <c r="R27" s="58">
        <f t="shared" si="9"/>
        <v>391.38538040000003</v>
      </c>
      <c r="S27" s="136"/>
      <c r="T27" s="10"/>
    </row>
    <row r="28" spans="1:20" ht="30.75" customHeight="1" thickBot="1" x14ac:dyDescent="0.25">
      <c r="A28" s="173"/>
      <c r="B28" s="149" t="s">
        <v>63</v>
      </c>
      <c r="C28" s="149" t="s">
        <v>72</v>
      </c>
      <c r="D28" s="168" t="s">
        <v>61</v>
      </c>
      <c r="E28" s="176">
        <v>7188</v>
      </c>
      <c r="F28" s="151">
        <f>0.8*E28</f>
        <v>5750.4000000000005</v>
      </c>
      <c r="G28" s="139">
        <v>1</v>
      </c>
      <c r="H28" s="151">
        <f>SUM(F28*G28)</f>
        <v>5750.4000000000005</v>
      </c>
      <c r="I28" s="61">
        <v>0.17</v>
      </c>
      <c r="J28" s="60">
        <f t="shared" ref="J28:J33" si="19">SUM(H28*I28)</f>
        <v>977.56800000000021</v>
      </c>
      <c r="K28" s="154">
        <f>0.2*E28</f>
        <v>1437.6000000000001</v>
      </c>
      <c r="L28" s="139">
        <v>1</v>
      </c>
      <c r="M28" s="138">
        <f t="shared" ref="M28:M33" si="20">SUM(K28*L28)</f>
        <v>1437.6000000000001</v>
      </c>
      <c r="N28" s="139">
        <v>0.05</v>
      </c>
      <c r="O28" s="61">
        <f t="shared" ref="O28:O33" si="21">SUM(M28*N28)</f>
        <v>71.88000000000001</v>
      </c>
      <c r="P28" s="148">
        <f t="shared" si="8"/>
        <v>1049.4480000000003</v>
      </c>
      <c r="Q28" s="105">
        <v>7.25</v>
      </c>
      <c r="R28" s="58">
        <f t="shared" si="9"/>
        <v>7608.4980000000023</v>
      </c>
      <c r="S28" s="136"/>
      <c r="T28" s="10"/>
    </row>
    <row r="29" spans="1:20" ht="15" customHeight="1" thickBot="1" x14ac:dyDescent="0.25">
      <c r="A29" s="173"/>
      <c r="B29" s="149" t="s">
        <v>75</v>
      </c>
      <c r="C29" s="149" t="s">
        <v>80</v>
      </c>
      <c r="D29" s="169"/>
      <c r="E29" s="177"/>
      <c r="F29" s="151">
        <v>5750</v>
      </c>
      <c r="G29" s="139">
        <v>2</v>
      </c>
      <c r="H29" s="151">
        <f>SUM(F29*G29)</f>
        <v>11500</v>
      </c>
      <c r="I29" s="61">
        <v>0.05</v>
      </c>
      <c r="J29" s="60">
        <f t="shared" si="19"/>
        <v>575</v>
      </c>
      <c r="K29" s="154">
        <v>0</v>
      </c>
      <c r="L29" s="139">
        <v>2</v>
      </c>
      <c r="M29" s="138">
        <f t="shared" si="20"/>
        <v>0</v>
      </c>
      <c r="N29" s="139">
        <v>0.05</v>
      </c>
      <c r="O29" s="61">
        <f t="shared" si="21"/>
        <v>0</v>
      </c>
      <c r="P29" s="148">
        <f t="shared" si="8"/>
        <v>575</v>
      </c>
      <c r="Q29" s="105">
        <v>7.25</v>
      </c>
      <c r="R29" s="58">
        <f t="shared" si="9"/>
        <v>4168.75</v>
      </c>
      <c r="S29" s="136"/>
      <c r="T29" s="10"/>
    </row>
    <row r="30" spans="1:20" ht="15.75" customHeight="1" thickBot="1" x14ac:dyDescent="0.25">
      <c r="A30" s="173"/>
      <c r="B30" s="149" t="s">
        <v>68</v>
      </c>
      <c r="C30" s="149" t="s">
        <v>62</v>
      </c>
      <c r="D30" s="169"/>
      <c r="E30" s="177"/>
      <c r="F30" s="151">
        <f>(B3)*F29</f>
        <v>3450</v>
      </c>
      <c r="G30" s="139">
        <v>2</v>
      </c>
      <c r="H30" s="151">
        <f t="shared" ref="H30:H32" si="22">SUM(F30*G30)</f>
        <v>6900</v>
      </c>
      <c r="I30" s="61">
        <v>0.5</v>
      </c>
      <c r="J30" s="60">
        <f t="shared" si="19"/>
        <v>3450</v>
      </c>
      <c r="K30" s="154">
        <f>(1-B3)*F29</f>
        <v>2300</v>
      </c>
      <c r="L30" s="139">
        <v>2</v>
      </c>
      <c r="M30" s="138">
        <f t="shared" si="20"/>
        <v>4600</v>
      </c>
      <c r="N30" s="139">
        <v>0.05</v>
      </c>
      <c r="O30" s="61">
        <f t="shared" si="21"/>
        <v>230</v>
      </c>
      <c r="P30" s="148">
        <f t="shared" si="8"/>
        <v>3680</v>
      </c>
      <c r="Q30" s="105">
        <v>7.25</v>
      </c>
      <c r="R30" s="58">
        <f t="shared" si="9"/>
        <v>26680</v>
      </c>
      <c r="S30" s="136"/>
      <c r="T30" s="10"/>
    </row>
    <row r="31" spans="1:20" ht="15.75" customHeight="1" thickBot="1" x14ac:dyDescent="0.25">
      <c r="A31" s="173"/>
      <c r="B31" s="37" t="s">
        <v>48</v>
      </c>
      <c r="C31" s="37" t="s">
        <v>50</v>
      </c>
      <c r="D31" s="169"/>
      <c r="E31" s="177"/>
      <c r="F31" s="151">
        <f>0.5*K30</f>
        <v>1150</v>
      </c>
      <c r="G31" s="139">
        <v>2</v>
      </c>
      <c r="H31" s="151">
        <f t="shared" si="22"/>
        <v>2300</v>
      </c>
      <c r="I31" s="61">
        <v>0.05</v>
      </c>
      <c r="J31" s="60">
        <f t="shared" si="19"/>
        <v>115</v>
      </c>
      <c r="K31" s="154">
        <f>0.5*K30</f>
        <v>1150</v>
      </c>
      <c r="L31" s="139">
        <v>2</v>
      </c>
      <c r="M31" s="138">
        <f t="shared" si="20"/>
        <v>2300</v>
      </c>
      <c r="N31" s="139">
        <v>0.05</v>
      </c>
      <c r="O31" s="61">
        <f t="shared" si="21"/>
        <v>115</v>
      </c>
      <c r="P31" s="148">
        <f t="shared" si="8"/>
        <v>230</v>
      </c>
      <c r="Q31" s="105">
        <v>7.25</v>
      </c>
      <c r="R31" s="58">
        <f t="shared" si="9"/>
        <v>1667.5</v>
      </c>
      <c r="S31" s="136"/>
      <c r="T31" s="10"/>
    </row>
    <row r="32" spans="1:20" ht="15.75" customHeight="1" thickBot="1" x14ac:dyDescent="0.25">
      <c r="A32" s="173"/>
      <c r="B32" s="37" t="s">
        <v>49</v>
      </c>
      <c r="C32" s="37" t="s">
        <v>51</v>
      </c>
      <c r="D32" s="169"/>
      <c r="E32" s="177"/>
      <c r="F32" s="151">
        <f>0.44*K31</f>
        <v>506</v>
      </c>
      <c r="G32" s="139">
        <v>2</v>
      </c>
      <c r="H32" s="151">
        <f t="shared" si="22"/>
        <v>1012</v>
      </c>
      <c r="I32" s="61">
        <v>0.05</v>
      </c>
      <c r="J32" s="60">
        <f t="shared" si="19"/>
        <v>50.6</v>
      </c>
      <c r="K32" s="154">
        <f>0.56*K31</f>
        <v>644.00000000000011</v>
      </c>
      <c r="L32" s="139">
        <v>2</v>
      </c>
      <c r="M32" s="138">
        <f t="shared" si="20"/>
        <v>1288.0000000000002</v>
      </c>
      <c r="N32" s="139">
        <v>0.05</v>
      </c>
      <c r="O32" s="61">
        <f t="shared" si="21"/>
        <v>64.40000000000002</v>
      </c>
      <c r="P32" s="148">
        <f t="shared" si="8"/>
        <v>115.00000000000003</v>
      </c>
      <c r="Q32" s="105">
        <v>7.25</v>
      </c>
      <c r="R32" s="58">
        <f t="shared" si="9"/>
        <v>833.75000000000023</v>
      </c>
      <c r="S32" s="136"/>
      <c r="T32" s="10"/>
    </row>
    <row r="33" spans="1:20" ht="15.75" customHeight="1" thickBot="1" x14ac:dyDescent="0.25">
      <c r="A33" s="173"/>
      <c r="B33" s="37" t="s">
        <v>55</v>
      </c>
      <c r="C33" s="37" t="s">
        <v>54</v>
      </c>
      <c r="D33" s="175"/>
      <c r="E33" s="178"/>
      <c r="F33" s="151">
        <f>0.6*K32</f>
        <v>386.40000000000003</v>
      </c>
      <c r="G33" s="139">
        <v>1</v>
      </c>
      <c r="H33" s="151">
        <f>SUM(F33*G33)</f>
        <v>386.40000000000003</v>
      </c>
      <c r="I33" s="61">
        <v>0.05</v>
      </c>
      <c r="J33" s="60">
        <f t="shared" si="19"/>
        <v>19.320000000000004</v>
      </c>
      <c r="K33" s="154">
        <f>0.4*K32</f>
        <v>257.60000000000008</v>
      </c>
      <c r="L33" s="139">
        <v>1</v>
      </c>
      <c r="M33" s="138">
        <f t="shared" si="20"/>
        <v>257.60000000000008</v>
      </c>
      <c r="N33" s="139">
        <v>0.05</v>
      </c>
      <c r="O33" s="61">
        <f t="shared" si="21"/>
        <v>12.880000000000004</v>
      </c>
      <c r="P33" s="148">
        <f t="shared" si="8"/>
        <v>32.20000000000001</v>
      </c>
      <c r="Q33" s="105">
        <v>7.25</v>
      </c>
      <c r="R33" s="58">
        <f t="shared" si="9"/>
        <v>233.45000000000007</v>
      </c>
      <c r="S33" s="136"/>
      <c r="T33" s="10"/>
    </row>
    <row r="34" spans="1:20" ht="30.75" customHeight="1" thickBot="1" x14ac:dyDescent="0.25">
      <c r="A34" s="173"/>
      <c r="B34" s="149" t="s">
        <v>65</v>
      </c>
      <c r="C34" s="149" t="s">
        <v>72</v>
      </c>
      <c r="D34" s="168" t="s">
        <v>64</v>
      </c>
      <c r="E34" s="176">
        <v>5000</v>
      </c>
      <c r="F34" s="151">
        <f>0.95*E34</f>
        <v>4750</v>
      </c>
      <c r="G34" s="139">
        <v>1</v>
      </c>
      <c r="H34" s="151">
        <f>SUM(F34*G34)</f>
        <v>4750</v>
      </c>
      <c r="I34" s="61">
        <v>0.17</v>
      </c>
      <c r="J34" s="60">
        <f t="shared" si="1"/>
        <v>807.50000000000011</v>
      </c>
      <c r="K34" s="154">
        <f>0.05*E34</f>
        <v>250</v>
      </c>
      <c r="L34" s="139">
        <v>1</v>
      </c>
      <c r="M34" s="138">
        <f t="shared" si="2"/>
        <v>250</v>
      </c>
      <c r="N34" s="139">
        <v>0.05</v>
      </c>
      <c r="O34" s="61">
        <f t="shared" si="3"/>
        <v>12.5</v>
      </c>
      <c r="P34" s="148">
        <f t="shared" si="8"/>
        <v>820.00000000000011</v>
      </c>
      <c r="Q34" s="105">
        <v>7.25</v>
      </c>
      <c r="R34" s="58">
        <f t="shared" si="9"/>
        <v>5945.0000000000009</v>
      </c>
      <c r="S34" s="136"/>
      <c r="T34" s="10"/>
    </row>
    <row r="35" spans="1:20" ht="15" customHeight="1" thickBot="1" x14ac:dyDescent="0.25">
      <c r="A35" s="173"/>
      <c r="B35" s="149" t="s">
        <v>75</v>
      </c>
      <c r="C35" s="149" t="s">
        <v>80</v>
      </c>
      <c r="D35" s="169"/>
      <c r="E35" s="177"/>
      <c r="F35" s="151">
        <v>4750</v>
      </c>
      <c r="G35" s="139">
        <v>2</v>
      </c>
      <c r="H35" s="151">
        <f>SUM(F35*G35)</f>
        <v>9500</v>
      </c>
      <c r="I35" s="61">
        <v>0.05</v>
      </c>
      <c r="J35" s="60">
        <f t="shared" si="1"/>
        <v>475</v>
      </c>
      <c r="K35" s="154">
        <v>0</v>
      </c>
      <c r="L35" s="139">
        <v>2</v>
      </c>
      <c r="M35" s="138">
        <f t="shared" si="2"/>
        <v>0</v>
      </c>
      <c r="N35" s="139">
        <v>0.05</v>
      </c>
      <c r="O35" s="61">
        <f t="shared" si="3"/>
        <v>0</v>
      </c>
      <c r="P35" s="148">
        <f t="shared" si="8"/>
        <v>475</v>
      </c>
      <c r="Q35" s="105">
        <v>7.25</v>
      </c>
      <c r="R35" s="58">
        <f t="shared" si="9"/>
        <v>3443.75</v>
      </c>
      <c r="S35" s="136"/>
      <c r="T35" s="10"/>
    </row>
    <row r="36" spans="1:20" ht="15.75" customHeight="1" thickBot="1" x14ac:dyDescent="0.25">
      <c r="A36" s="173"/>
      <c r="B36" s="149" t="s">
        <v>68</v>
      </c>
      <c r="C36" s="149" t="s">
        <v>62</v>
      </c>
      <c r="D36" s="169"/>
      <c r="E36" s="177"/>
      <c r="F36" s="151">
        <f>(B3)*F35</f>
        <v>2850</v>
      </c>
      <c r="G36" s="139">
        <v>2</v>
      </c>
      <c r="H36" s="151">
        <f t="shared" ref="H36:H38" si="23">SUM(F36*G36)</f>
        <v>5700</v>
      </c>
      <c r="I36" s="61">
        <v>0.5</v>
      </c>
      <c r="J36" s="60">
        <f t="shared" si="1"/>
        <v>2850</v>
      </c>
      <c r="K36" s="154">
        <f>(1-B3)*F35</f>
        <v>1900</v>
      </c>
      <c r="L36" s="139">
        <v>2</v>
      </c>
      <c r="M36" s="138">
        <f t="shared" si="2"/>
        <v>3800</v>
      </c>
      <c r="N36" s="139">
        <v>0.05</v>
      </c>
      <c r="O36" s="61">
        <f t="shared" si="3"/>
        <v>190</v>
      </c>
      <c r="P36" s="148">
        <f t="shared" si="8"/>
        <v>3040</v>
      </c>
      <c r="Q36" s="105">
        <v>7.25</v>
      </c>
      <c r="R36" s="58">
        <f t="shared" si="9"/>
        <v>22040</v>
      </c>
      <c r="S36" s="136"/>
      <c r="T36" s="10"/>
    </row>
    <row r="37" spans="1:20" ht="15.75" customHeight="1" thickBot="1" x14ac:dyDescent="0.25">
      <c r="A37" s="173"/>
      <c r="B37" s="37" t="s">
        <v>48</v>
      </c>
      <c r="C37" s="37" t="s">
        <v>50</v>
      </c>
      <c r="D37" s="169"/>
      <c r="E37" s="177"/>
      <c r="F37" s="151">
        <f>0.5*K36</f>
        <v>950</v>
      </c>
      <c r="G37" s="139">
        <v>2</v>
      </c>
      <c r="H37" s="151">
        <f t="shared" si="23"/>
        <v>1900</v>
      </c>
      <c r="I37" s="61">
        <v>0.05</v>
      </c>
      <c r="J37" s="60">
        <f t="shared" si="1"/>
        <v>95</v>
      </c>
      <c r="K37" s="154">
        <f>0.5*K36</f>
        <v>950</v>
      </c>
      <c r="L37" s="139">
        <v>2</v>
      </c>
      <c r="M37" s="138">
        <f t="shared" si="2"/>
        <v>1900</v>
      </c>
      <c r="N37" s="139">
        <v>0.05</v>
      </c>
      <c r="O37" s="61">
        <f t="shared" si="3"/>
        <v>95</v>
      </c>
      <c r="P37" s="148">
        <f t="shared" si="8"/>
        <v>190</v>
      </c>
      <c r="Q37" s="105">
        <v>7.25</v>
      </c>
      <c r="R37" s="58">
        <f t="shared" si="9"/>
        <v>1377.5</v>
      </c>
      <c r="S37" s="136"/>
      <c r="T37" s="10"/>
    </row>
    <row r="38" spans="1:20" ht="15.75" customHeight="1" thickBot="1" x14ac:dyDescent="0.25">
      <c r="A38" s="173"/>
      <c r="B38" s="37" t="s">
        <v>49</v>
      </c>
      <c r="C38" s="37" t="s">
        <v>51</v>
      </c>
      <c r="D38" s="169"/>
      <c r="E38" s="177"/>
      <c r="F38" s="151">
        <f>0.44*K37</f>
        <v>418</v>
      </c>
      <c r="G38" s="139">
        <v>2</v>
      </c>
      <c r="H38" s="151">
        <f t="shared" si="23"/>
        <v>836</v>
      </c>
      <c r="I38" s="61">
        <v>0.05</v>
      </c>
      <c r="J38" s="60">
        <f t="shared" si="1"/>
        <v>41.800000000000004</v>
      </c>
      <c r="K38" s="138">
        <f>0.56*K37</f>
        <v>532</v>
      </c>
      <c r="L38" s="139">
        <v>2</v>
      </c>
      <c r="M38" s="138">
        <f t="shared" si="2"/>
        <v>1064</v>
      </c>
      <c r="N38" s="139">
        <v>0.05</v>
      </c>
      <c r="O38" s="61">
        <f t="shared" si="3"/>
        <v>53.2</v>
      </c>
      <c r="P38" s="148">
        <f t="shared" si="8"/>
        <v>95</v>
      </c>
      <c r="Q38" s="105">
        <v>7.25</v>
      </c>
      <c r="R38" s="58">
        <f t="shared" si="9"/>
        <v>688.75</v>
      </c>
      <c r="S38" s="136"/>
      <c r="T38" s="10"/>
    </row>
    <row r="39" spans="1:20" ht="15.75" customHeight="1" thickBot="1" x14ac:dyDescent="0.25">
      <c r="A39" s="173"/>
      <c r="B39" s="37" t="s">
        <v>55</v>
      </c>
      <c r="C39" s="37" t="s">
        <v>54</v>
      </c>
      <c r="D39" s="175"/>
      <c r="E39" s="178"/>
      <c r="F39" s="151">
        <f>0.6*K38</f>
        <v>319.2</v>
      </c>
      <c r="G39" s="139">
        <v>1</v>
      </c>
      <c r="H39" s="151">
        <f>SUM(F39*G39)</f>
        <v>319.2</v>
      </c>
      <c r="I39" s="61">
        <v>0.05</v>
      </c>
      <c r="J39" s="60">
        <f t="shared" si="1"/>
        <v>15.96</v>
      </c>
      <c r="K39" s="138">
        <f>0.4*K38</f>
        <v>212.8</v>
      </c>
      <c r="L39" s="139">
        <v>1</v>
      </c>
      <c r="M39" s="138">
        <f t="shared" si="2"/>
        <v>212.8</v>
      </c>
      <c r="N39" s="139">
        <v>0.05</v>
      </c>
      <c r="O39" s="61">
        <f t="shared" si="3"/>
        <v>10.64</v>
      </c>
      <c r="P39" s="148">
        <f t="shared" si="8"/>
        <v>26.6</v>
      </c>
      <c r="Q39" s="105">
        <v>7.25</v>
      </c>
      <c r="R39" s="58">
        <f t="shared" si="9"/>
        <v>192.85000000000002</v>
      </c>
      <c r="S39" s="136"/>
      <c r="T39" s="10"/>
    </row>
    <row r="40" spans="1:20" s="103" customFormat="1" ht="36.75" thickBot="1" x14ac:dyDescent="0.25">
      <c r="A40" s="173"/>
      <c r="B40" s="42" t="s">
        <v>36</v>
      </c>
      <c r="C40" s="42" t="s">
        <v>41</v>
      </c>
      <c r="D40" s="164" t="s">
        <v>7</v>
      </c>
      <c r="E40" s="166">
        <v>532</v>
      </c>
      <c r="F40" s="49">
        <v>112</v>
      </c>
      <c r="G40" s="56">
        <v>1</v>
      </c>
      <c r="H40" s="49">
        <f t="shared" si="0"/>
        <v>112</v>
      </c>
      <c r="I40" s="57">
        <v>0.25</v>
      </c>
      <c r="J40" s="60">
        <f t="shared" si="1"/>
        <v>28</v>
      </c>
      <c r="K40" s="55">
        <v>420</v>
      </c>
      <c r="L40" s="56">
        <v>1</v>
      </c>
      <c r="M40" s="55">
        <f t="shared" si="2"/>
        <v>420</v>
      </c>
      <c r="N40" s="56">
        <v>0.08</v>
      </c>
      <c r="O40" s="61">
        <f t="shared" si="3"/>
        <v>33.6</v>
      </c>
      <c r="P40" s="148">
        <f t="shared" si="8"/>
        <v>61.6</v>
      </c>
      <c r="Q40" s="106">
        <v>7.25</v>
      </c>
      <c r="R40" s="58">
        <f t="shared" si="9"/>
        <v>446.6</v>
      </c>
      <c r="T40" s="10"/>
    </row>
    <row r="41" spans="1:20" s="103" customFormat="1" ht="24.75" thickBot="1" x14ac:dyDescent="0.25">
      <c r="A41" s="173"/>
      <c r="B41" s="47" t="s">
        <v>57</v>
      </c>
      <c r="C41" s="47" t="s">
        <v>30</v>
      </c>
      <c r="D41" s="165"/>
      <c r="E41" s="167"/>
      <c r="F41" s="49">
        <v>112</v>
      </c>
      <c r="G41" s="56">
        <v>1</v>
      </c>
      <c r="H41" s="49">
        <f t="shared" si="0"/>
        <v>112</v>
      </c>
      <c r="I41" s="57">
        <v>1.5</v>
      </c>
      <c r="J41" s="60">
        <f>H41*I41</f>
        <v>168</v>
      </c>
      <c r="K41" s="55">
        <v>0</v>
      </c>
      <c r="L41" s="56">
        <v>1</v>
      </c>
      <c r="M41" s="55">
        <f t="shared" si="2"/>
        <v>0</v>
      </c>
      <c r="N41" s="56">
        <v>0.08</v>
      </c>
      <c r="O41" s="61">
        <f t="shared" si="3"/>
        <v>0</v>
      </c>
      <c r="P41" s="148">
        <f t="shared" si="8"/>
        <v>168</v>
      </c>
      <c r="Q41" s="105">
        <v>7.25</v>
      </c>
      <c r="R41" s="58">
        <f t="shared" si="9"/>
        <v>1218</v>
      </c>
      <c r="T41" s="10"/>
    </row>
    <row r="42" spans="1:20" s="103" customFormat="1" ht="24.75" thickBot="1" x14ac:dyDescent="0.25">
      <c r="A42" s="173"/>
      <c r="B42" s="147" t="s">
        <v>37</v>
      </c>
      <c r="C42" s="104" t="s">
        <v>40</v>
      </c>
      <c r="D42" s="164" t="s">
        <v>7</v>
      </c>
      <c r="E42" s="166">
        <v>320</v>
      </c>
      <c r="F42" s="98">
        <v>80</v>
      </c>
      <c r="G42" s="79">
        <v>1</v>
      </c>
      <c r="H42" s="98">
        <f t="shared" si="0"/>
        <v>80</v>
      </c>
      <c r="I42" s="80">
        <v>0.25</v>
      </c>
      <c r="J42" s="99">
        <f>H42*I42</f>
        <v>20</v>
      </c>
      <c r="K42" s="78">
        <f>320-80</f>
        <v>240</v>
      </c>
      <c r="L42" s="79">
        <v>1</v>
      </c>
      <c r="M42" s="78">
        <f t="shared" si="2"/>
        <v>240</v>
      </c>
      <c r="N42" s="80">
        <v>0.08</v>
      </c>
      <c r="O42" s="100">
        <f t="shared" si="3"/>
        <v>19.2</v>
      </c>
      <c r="P42" s="148">
        <f t="shared" si="8"/>
        <v>39.200000000000003</v>
      </c>
      <c r="Q42" s="107">
        <v>7.25</v>
      </c>
      <c r="R42" s="58">
        <f t="shared" si="9"/>
        <v>284.20000000000005</v>
      </c>
      <c r="T42" s="10"/>
    </row>
    <row r="43" spans="1:20" ht="24.75" thickBot="1" x14ac:dyDescent="0.25">
      <c r="A43" s="174"/>
      <c r="B43" s="47" t="s">
        <v>56</v>
      </c>
      <c r="C43" s="39" t="s">
        <v>38</v>
      </c>
      <c r="D43" s="165"/>
      <c r="E43" s="167"/>
      <c r="F43" s="63">
        <v>80</v>
      </c>
      <c r="G43" s="64">
        <v>1</v>
      </c>
      <c r="H43" s="63">
        <f t="shared" si="0"/>
        <v>80</v>
      </c>
      <c r="I43" s="65">
        <v>1.5</v>
      </c>
      <c r="J43" s="66">
        <f>H43*I43</f>
        <v>120</v>
      </c>
      <c r="K43" s="62">
        <v>0</v>
      </c>
      <c r="L43" s="64">
        <v>1</v>
      </c>
      <c r="M43" s="62">
        <f t="shared" si="2"/>
        <v>0</v>
      </c>
      <c r="N43" s="65">
        <v>0.08</v>
      </c>
      <c r="O43" s="67">
        <f>(M43*N43)</f>
        <v>0</v>
      </c>
      <c r="P43" s="148">
        <f t="shared" si="8"/>
        <v>120</v>
      </c>
      <c r="Q43" s="108">
        <v>7.25</v>
      </c>
      <c r="R43" s="58">
        <f t="shared" si="9"/>
        <v>870</v>
      </c>
      <c r="T43" s="10"/>
    </row>
    <row r="44" spans="1:20" s="4" customFormat="1" ht="12.75" thickBot="1" x14ac:dyDescent="0.25">
      <c r="A44" s="30" t="s">
        <v>8</v>
      </c>
      <c r="B44" s="40"/>
      <c r="C44" s="40"/>
      <c r="D44" s="41"/>
      <c r="E44" s="68">
        <f>SUM(E7:E39)</f>
        <v>28196</v>
      </c>
      <c r="F44" s="68">
        <f>F7+F8+F14+F21+F28+F34</f>
        <v>26508.400000000001</v>
      </c>
      <c r="G44" s="69" t="s">
        <v>16</v>
      </c>
      <c r="H44" s="68">
        <f>SUM(H7:H43)</f>
        <v>137573.34399999998</v>
      </c>
      <c r="I44" s="69" t="s">
        <v>16</v>
      </c>
      <c r="J44" s="70">
        <f>SUM(J7:J43)</f>
        <v>23565.190199999997</v>
      </c>
      <c r="K44" s="68">
        <f>K7+K8+K14+K21+K28+K34</f>
        <v>1687.6000000000001</v>
      </c>
      <c r="L44" s="69" t="s">
        <v>16</v>
      </c>
      <c r="M44" s="68">
        <f>SUM(M7:M43)</f>
        <v>49795.695999999996</v>
      </c>
      <c r="N44" s="71" t="s">
        <v>16</v>
      </c>
      <c r="O44" s="70">
        <f>SUM(O7:O43)</f>
        <v>2509.5848000000001</v>
      </c>
      <c r="P44" s="117">
        <f>SUM(P7:P43)</f>
        <v>26074.775000000001</v>
      </c>
      <c r="Q44" s="109"/>
      <c r="R44" s="72">
        <f>SUM(R7:R43)</f>
        <v>189042.11875000005</v>
      </c>
      <c r="T44" s="10"/>
    </row>
    <row r="45" spans="1:20" ht="24.75" thickBot="1" x14ac:dyDescent="0.25">
      <c r="A45" s="160" t="s">
        <v>24</v>
      </c>
      <c r="B45" s="42" t="s">
        <v>35</v>
      </c>
      <c r="C45" s="43" t="s">
        <v>32</v>
      </c>
      <c r="D45" s="44" t="s">
        <v>20</v>
      </c>
      <c r="E45" s="73">
        <f>10*3</f>
        <v>30</v>
      </c>
      <c r="F45" s="73">
        <v>30</v>
      </c>
      <c r="G45" s="74">
        <v>2</v>
      </c>
      <c r="H45" s="75">
        <f t="shared" ref="H45:H47" si="24">SUM(F45*G45)</f>
        <v>60</v>
      </c>
      <c r="I45" s="76">
        <v>1</v>
      </c>
      <c r="J45" s="77">
        <f>SUM(H45*I45)</f>
        <v>60</v>
      </c>
      <c r="K45" s="78">
        <v>0</v>
      </c>
      <c r="L45" s="79">
        <v>2</v>
      </c>
      <c r="M45" s="78">
        <f t="shared" ref="M45:M58" si="25">SUM(K45*L45)</f>
        <v>0</v>
      </c>
      <c r="N45" s="79">
        <v>0.08</v>
      </c>
      <c r="O45" s="80">
        <f t="shared" ref="O45:O55" si="26">SUM(M45*N45)</f>
        <v>0</v>
      </c>
      <c r="P45" s="116">
        <f t="shared" ref="P45:P51" si="27">SUM(J45,O45)</f>
        <v>60</v>
      </c>
      <c r="Q45" s="110">
        <v>54.08</v>
      </c>
      <c r="R45" s="81">
        <f t="shared" ref="R45:R51" si="28">P45*Q45</f>
        <v>3244.7999999999997</v>
      </c>
      <c r="T45" s="10"/>
    </row>
    <row r="46" spans="1:20" ht="24.75" thickBot="1" x14ac:dyDescent="0.25">
      <c r="A46" s="160"/>
      <c r="B46" s="42" t="s">
        <v>35</v>
      </c>
      <c r="C46" s="43" t="s">
        <v>33</v>
      </c>
      <c r="D46" s="36" t="s">
        <v>20</v>
      </c>
      <c r="E46" s="73">
        <f>10*2</f>
        <v>20</v>
      </c>
      <c r="F46" s="73">
        <v>20</v>
      </c>
      <c r="G46" s="74">
        <v>3</v>
      </c>
      <c r="H46" s="75">
        <f t="shared" ref="H46" si="29">SUM(F46*G46)</f>
        <v>60</v>
      </c>
      <c r="I46" s="76">
        <v>1</v>
      </c>
      <c r="J46" s="77">
        <f>SUM(H46*I46)</f>
        <v>60</v>
      </c>
      <c r="K46" s="78">
        <v>0</v>
      </c>
      <c r="L46" s="79">
        <v>3</v>
      </c>
      <c r="M46" s="78">
        <f t="shared" ref="M46" si="30">SUM(K46*L46)</f>
        <v>0</v>
      </c>
      <c r="N46" s="79">
        <v>0.08</v>
      </c>
      <c r="O46" s="80">
        <f t="shared" ref="O46" si="31">SUM(M46*N46)</f>
        <v>0</v>
      </c>
      <c r="P46" s="116">
        <f t="shared" si="27"/>
        <v>60</v>
      </c>
      <c r="Q46" s="110">
        <v>54.08</v>
      </c>
      <c r="R46" s="81">
        <f t="shared" si="28"/>
        <v>3244.7999999999997</v>
      </c>
      <c r="T46" s="10"/>
    </row>
    <row r="47" spans="1:20" ht="24.75" thickBot="1" x14ac:dyDescent="0.25">
      <c r="A47" s="160"/>
      <c r="B47" s="42" t="s">
        <v>35</v>
      </c>
      <c r="C47" s="43" t="s">
        <v>32</v>
      </c>
      <c r="D47" s="36" t="s">
        <v>21</v>
      </c>
      <c r="E47" s="73">
        <f>20*3</f>
        <v>60</v>
      </c>
      <c r="F47" s="73">
        <v>60</v>
      </c>
      <c r="G47" s="74">
        <v>2</v>
      </c>
      <c r="H47" s="75">
        <f t="shared" si="24"/>
        <v>120</v>
      </c>
      <c r="I47" s="76">
        <v>1</v>
      </c>
      <c r="J47" s="77">
        <f t="shared" ref="J47" si="32">SUM(H47*I47)</f>
        <v>120</v>
      </c>
      <c r="K47" s="78">
        <v>0</v>
      </c>
      <c r="L47" s="79">
        <v>2</v>
      </c>
      <c r="M47" s="78">
        <f t="shared" si="25"/>
        <v>0</v>
      </c>
      <c r="N47" s="79">
        <v>0.08</v>
      </c>
      <c r="O47" s="80">
        <f t="shared" si="26"/>
        <v>0</v>
      </c>
      <c r="P47" s="116">
        <f t="shared" si="27"/>
        <v>120</v>
      </c>
      <c r="Q47" s="110">
        <v>21.79</v>
      </c>
      <c r="R47" s="81">
        <f t="shared" si="28"/>
        <v>2614.7999999999997</v>
      </c>
      <c r="T47" s="10"/>
    </row>
    <row r="48" spans="1:20" ht="24.75" thickBot="1" x14ac:dyDescent="0.25">
      <c r="A48" s="160"/>
      <c r="B48" s="42" t="s">
        <v>35</v>
      </c>
      <c r="C48" s="43" t="s">
        <v>33</v>
      </c>
      <c r="D48" s="36" t="s">
        <v>21</v>
      </c>
      <c r="E48" s="73">
        <f>20*2</f>
        <v>40</v>
      </c>
      <c r="F48" s="73">
        <v>40</v>
      </c>
      <c r="G48" s="74">
        <v>3</v>
      </c>
      <c r="H48" s="75">
        <f t="shared" ref="H48" si="33">SUM(F48*G48)</f>
        <v>120</v>
      </c>
      <c r="I48" s="76">
        <v>1</v>
      </c>
      <c r="J48" s="77">
        <f>SUM(H48*I48)</f>
        <v>120</v>
      </c>
      <c r="K48" s="78">
        <v>0</v>
      </c>
      <c r="L48" s="79">
        <v>3</v>
      </c>
      <c r="M48" s="78">
        <f t="shared" ref="M48" si="34">SUM(K48*L48)</f>
        <v>0</v>
      </c>
      <c r="N48" s="79">
        <v>0.08</v>
      </c>
      <c r="O48" s="80">
        <f t="shared" ref="O48" si="35">SUM(M48*N48)</f>
        <v>0</v>
      </c>
      <c r="P48" s="116">
        <f t="shared" si="27"/>
        <v>120</v>
      </c>
      <c r="Q48" s="110">
        <v>21.79</v>
      </c>
      <c r="R48" s="81">
        <f t="shared" si="28"/>
        <v>2614.7999999999997</v>
      </c>
      <c r="T48" s="10"/>
    </row>
    <row r="49" spans="1:20" ht="24.75" thickBot="1" x14ac:dyDescent="0.25">
      <c r="A49" s="160"/>
      <c r="B49" s="46" t="s">
        <v>82</v>
      </c>
      <c r="C49" s="39" t="s">
        <v>34</v>
      </c>
      <c r="D49" s="45" t="s">
        <v>20</v>
      </c>
      <c r="E49" s="82">
        <v>5</v>
      </c>
      <c r="F49" s="82">
        <v>5</v>
      </c>
      <c r="G49" s="56">
        <v>24</v>
      </c>
      <c r="H49" s="49">
        <f>SUM(F49*G49)</f>
        <v>120</v>
      </c>
      <c r="I49" s="61">
        <v>0.83</v>
      </c>
      <c r="J49" s="52">
        <f>SUM(H49*I49)</f>
        <v>99.6</v>
      </c>
      <c r="K49" s="55">
        <v>0</v>
      </c>
      <c r="L49" s="56">
        <v>1</v>
      </c>
      <c r="M49" s="55">
        <f>SUM(K49*L49)</f>
        <v>0</v>
      </c>
      <c r="N49" s="56">
        <v>0.08</v>
      </c>
      <c r="O49" s="57">
        <f>SUM(M49*N49)</f>
        <v>0</v>
      </c>
      <c r="P49" s="115">
        <f t="shared" si="27"/>
        <v>99.6</v>
      </c>
      <c r="Q49" s="111">
        <v>54.08</v>
      </c>
      <c r="R49" s="59">
        <f t="shared" si="28"/>
        <v>5386.3679999999995</v>
      </c>
      <c r="T49" s="10"/>
    </row>
    <row r="50" spans="1:20" ht="24.75" thickBot="1" x14ac:dyDescent="0.25">
      <c r="A50" s="160"/>
      <c r="B50" s="46" t="s">
        <v>31</v>
      </c>
      <c r="C50" s="37" t="s">
        <v>42</v>
      </c>
      <c r="D50" s="38" t="s">
        <v>20</v>
      </c>
      <c r="E50" s="101">
        <v>5</v>
      </c>
      <c r="F50" s="101">
        <v>5</v>
      </c>
      <c r="G50" s="79">
        <v>1</v>
      </c>
      <c r="H50" s="98">
        <f>SUM(F50*G50)</f>
        <v>5</v>
      </c>
      <c r="I50" s="100">
        <v>2.25</v>
      </c>
      <c r="J50" s="102">
        <f>SUM(H50*I50)</f>
        <v>11.25</v>
      </c>
      <c r="K50" s="78">
        <v>0</v>
      </c>
      <c r="L50" s="79">
        <v>1</v>
      </c>
      <c r="M50" s="78">
        <f>SUM(K50*L50)</f>
        <v>0</v>
      </c>
      <c r="N50" s="79">
        <v>0.08</v>
      </c>
      <c r="O50" s="80">
        <f>SUM(M50*N50)</f>
        <v>0</v>
      </c>
      <c r="P50" s="116">
        <f t="shared" ref="P50" si="36">SUM(J50,O50)</f>
        <v>11.25</v>
      </c>
      <c r="Q50" s="110">
        <v>54.08</v>
      </c>
      <c r="R50" s="81">
        <f t="shared" ref="R50" si="37">P50*Q50</f>
        <v>608.4</v>
      </c>
      <c r="T50" s="10"/>
    </row>
    <row r="51" spans="1:20" ht="24.75" thickBot="1" x14ac:dyDescent="0.25">
      <c r="A51" s="160"/>
      <c r="B51" s="46" t="s">
        <v>43</v>
      </c>
      <c r="C51" s="46" t="s">
        <v>44</v>
      </c>
      <c r="D51" s="38" t="s">
        <v>20</v>
      </c>
      <c r="E51" s="101">
        <v>5</v>
      </c>
      <c r="F51" s="101">
        <v>5</v>
      </c>
      <c r="G51" s="79">
        <v>7</v>
      </c>
      <c r="H51" s="98">
        <f>SUM(F51*G51)</f>
        <v>35</v>
      </c>
      <c r="I51" s="100">
        <v>2.25</v>
      </c>
      <c r="J51" s="102">
        <f>SUM(H51*I51)</f>
        <v>78.75</v>
      </c>
      <c r="K51" s="78">
        <v>0</v>
      </c>
      <c r="L51" s="79">
        <v>1</v>
      </c>
      <c r="M51" s="78">
        <f>SUM(K51*L51)</f>
        <v>0</v>
      </c>
      <c r="N51" s="79">
        <v>0.08</v>
      </c>
      <c r="O51" s="80">
        <f>SUM(M51*N51)</f>
        <v>0</v>
      </c>
      <c r="P51" s="116">
        <f t="shared" si="27"/>
        <v>78.75</v>
      </c>
      <c r="Q51" s="110">
        <v>54.08</v>
      </c>
      <c r="R51" s="81">
        <f t="shared" si="28"/>
        <v>4258.8</v>
      </c>
      <c r="T51" s="10"/>
    </row>
    <row r="52" spans="1:20" s="4" customFormat="1" ht="12.75" thickBot="1" x14ac:dyDescent="0.25">
      <c r="A52" s="27" t="s">
        <v>25</v>
      </c>
      <c r="B52" s="40"/>
      <c r="C52" s="48"/>
      <c r="D52" s="28"/>
      <c r="E52" s="83">
        <f>SUM(E45:E48)</f>
        <v>150</v>
      </c>
      <c r="F52" s="83">
        <f>SUM(F45:F48)</f>
        <v>150</v>
      </c>
      <c r="G52" s="84" t="s">
        <v>16</v>
      </c>
      <c r="H52" s="85">
        <f>SUM(H45:H51)</f>
        <v>520</v>
      </c>
      <c r="I52" s="84" t="s">
        <v>16</v>
      </c>
      <c r="J52" s="86">
        <f>SUM(J45:J51)</f>
        <v>549.6</v>
      </c>
      <c r="K52" s="120">
        <f>SUM(K45:K48)</f>
        <v>0</v>
      </c>
      <c r="L52" s="84" t="s">
        <v>16</v>
      </c>
      <c r="M52" s="87">
        <f>SUM(M45:M51)</f>
        <v>0</v>
      </c>
      <c r="N52" s="88" t="s">
        <v>16</v>
      </c>
      <c r="O52" s="86">
        <f>SUM(O45:O51)</f>
        <v>0</v>
      </c>
      <c r="P52" s="118">
        <f>SUM(P45:P51)</f>
        <v>549.6</v>
      </c>
      <c r="Q52" s="112"/>
      <c r="R52" s="89">
        <f>SUM(R45:R51)</f>
        <v>21972.768</v>
      </c>
      <c r="T52" s="10"/>
    </row>
    <row r="53" spans="1:20" ht="24.75" thickBot="1" x14ac:dyDescent="0.25">
      <c r="A53" s="24" t="s">
        <v>9</v>
      </c>
      <c r="B53" s="42" t="s">
        <v>35</v>
      </c>
      <c r="C53" s="43" t="s">
        <v>32</v>
      </c>
      <c r="D53" s="36" t="s">
        <v>10</v>
      </c>
      <c r="E53" s="73">
        <f>3*3</f>
        <v>9</v>
      </c>
      <c r="F53" s="73">
        <v>9</v>
      </c>
      <c r="G53" s="74">
        <v>2</v>
      </c>
      <c r="H53" s="75">
        <f t="shared" ref="H53:H61" si="38">SUM(F53*G53)</f>
        <v>18</v>
      </c>
      <c r="I53" s="129">
        <v>1</v>
      </c>
      <c r="J53" s="77">
        <f t="shared" ref="J53:J61" si="39">SUM(H53*I53)</f>
        <v>18</v>
      </c>
      <c r="K53" s="78">
        <v>0</v>
      </c>
      <c r="L53" s="79">
        <v>2</v>
      </c>
      <c r="M53" s="78">
        <f t="shared" si="25"/>
        <v>0</v>
      </c>
      <c r="N53" s="79">
        <v>0.08</v>
      </c>
      <c r="O53" s="80">
        <f t="shared" si="26"/>
        <v>0</v>
      </c>
      <c r="P53" s="116">
        <f t="shared" ref="P53:P61" si="40">SUM(J53, O53)</f>
        <v>18</v>
      </c>
      <c r="Q53" s="107">
        <v>54.08</v>
      </c>
      <c r="R53" s="81">
        <f t="shared" ref="R53:R61" si="41">P53*Q53</f>
        <v>973.43999999999994</v>
      </c>
      <c r="S53" s="156"/>
      <c r="T53" s="10"/>
    </row>
    <row r="54" spans="1:20" ht="24.75" thickBot="1" x14ac:dyDescent="0.25">
      <c r="A54" s="22"/>
      <c r="B54" s="42" t="s">
        <v>35</v>
      </c>
      <c r="C54" s="43" t="s">
        <v>33</v>
      </c>
      <c r="D54" s="36" t="s">
        <v>10</v>
      </c>
      <c r="E54" s="73">
        <f>3*2</f>
        <v>6</v>
      </c>
      <c r="F54" s="73">
        <v>6</v>
      </c>
      <c r="G54" s="74">
        <v>3</v>
      </c>
      <c r="H54" s="75">
        <f t="shared" si="38"/>
        <v>18</v>
      </c>
      <c r="I54" s="129">
        <v>1</v>
      </c>
      <c r="J54" s="77">
        <f t="shared" si="39"/>
        <v>18</v>
      </c>
      <c r="K54" s="78">
        <v>0</v>
      </c>
      <c r="L54" s="79">
        <v>3</v>
      </c>
      <c r="M54" s="78">
        <f t="shared" si="25"/>
        <v>0</v>
      </c>
      <c r="N54" s="79">
        <v>0.08</v>
      </c>
      <c r="O54" s="80">
        <f t="shared" si="26"/>
        <v>0</v>
      </c>
      <c r="P54" s="116">
        <f t="shared" si="40"/>
        <v>18</v>
      </c>
      <c r="Q54" s="107">
        <v>54.08</v>
      </c>
      <c r="R54" s="81">
        <f t="shared" si="41"/>
        <v>973.43999999999994</v>
      </c>
      <c r="S54" s="156"/>
      <c r="T54" s="10"/>
    </row>
    <row r="55" spans="1:20" s="136" customFormat="1" ht="36.75" customHeight="1" thickBot="1" x14ac:dyDescent="0.25">
      <c r="A55" s="124"/>
      <c r="B55" s="42" t="s">
        <v>35</v>
      </c>
      <c r="C55" s="43" t="s">
        <v>32</v>
      </c>
      <c r="D55" s="125" t="s">
        <v>11</v>
      </c>
      <c r="E55" s="126">
        <f>4*3</f>
        <v>12</v>
      </c>
      <c r="F55" s="126">
        <v>12</v>
      </c>
      <c r="G55" s="127">
        <v>2</v>
      </c>
      <c r="H55" s="128">
        <f>SUM(F55*G55)</f>
        <v>24</v>
      </c>
      <c r="I55" s="129">
        <v>1</v>
      </c>
      <c r="J55" s="130">
        <f>SUM(H55*I55)</f>
        <v>24</v>
      </c>
      <c r="K55" s="131">
        <v>0</v>
      </c>
      <c r="L55" s="132">
        <v>2</v>
      </c>
      <c r="M55" s="131">
        <f t="shared" si="25"/>
        <v>0</v>
      </c>
      <c r="N55" s="132">
        <v>0.08</v>
      </c>
      <c r="O55" s="100">
        <f t="shared" si="26"/>
        <v>0</v>
      </c>
      <c r="P55" s="133">
        <f t="shared" si="40"/>
        <v>24</v>
      </c>
      <c r="Q55" s="134">
        <v>32.56</v>
      </c>
      <c r="R55" s="135">
        <f t="shared" si="41"/>
        <v>781.44</v>
      </c>
      <c r="T55" s="10"/>
    </row>
    <row r="56" spans="1:20" s="136" customFormat="1" ht="36.75" thickBot="1" x14ac:dyDescent="0.25">
      <c r="A56" s="124"/>
      <c r="B56" s="42" t="s">
        <v>35</v>
      </c>
      <c r="C56" s="43" t="s">
        <v>33</v>
      </c>
      <c r="D56" s="125" t="s">
        <v>11</v>
      </c>
      <c r="E56" s="126">
        <f>4*2</f>
        <v>8</v>
      </c>
      <c r="F56" s="126">
        <v>8</v>
      </c>
      <c r="G56" s="127">
        <v>3</v>
      </c>
      <c r="H56" s="128">
        <f>SUM(F56*G56)</f>
        <v>24</v>
      </c>
      <c r="I56" s="129">
        <v>1</v>
      </c>
      <c r="J56" s="130">
        <f>SUM(H56*I56)</f>
        <v>24</v>
      </c>
      <c r="K56" s="131">
        <v>0</v>
      </c>
      <c r="L56" s="132">
        <v>3</v>
      </c>
      <c r="M56" s="131">
        <f t="shared" ref="M56" si="42">SUM(K56*L56)</f>
        <v>0</v>
      </c>
      <c r="N56" s="132">
        <v>0.08</v>
      </c>
      <c r="O56" s="100">
        <f t="shared" ref="O56:O58" si="43">SUM(M56*N56)</f>
        <v>0</v>
      </c>
      <c r="P56" s="133">
        <f>SUM(J56, O56)</f>
        <v>24</v>
      </c>
      <c r="Q56" s="134">
        <v>32.56</v>
      </c>
      <c r="R56" s="135">
        <f t="shared" si="41"/>
        <v>781.44</v>
      </c>
      <c r="T56" s="10"/>
    </row>
    <row r="57" spans="1:20" s="136" customFormat="1" ht="24.75" thickBot="1" x14ac:dyDescent="0.25">
      <c r="A57" s="124"/>
      <c r="B57" s="42" t="s">
        <v>35</v>
      </c>
      <c r="C57" s="43" t="s">
        <v>32</v>
      </c>
      <c r="D57" s="125" t="s">
        <v>39</v>
      </c>
      <c r="E57" s="137">
        <f>6*3</f>
        <v>18</v>
      </c>
      <c r="F57" s="137">
        <v>18</v>
      </c>
      <c r="G57" s="132">
        <v>2</v>
      </c>
      <c r="H57" s="128">
        <f>SUM(F57*G57)</f>
        <v>36</v>
      </c>
      <c r="I57" s="129">
        <v>1</v>
      </c>
      <c r="J57" s="130">
        <f>SUM(H57*I57)</f>
        <v>36</v>
      </c>
      <c r="K57" s="138">
        <v>0</v>
      </c>
      <c r="L57" s="139">
        <v>2</v>
      </c>
      <c r="M57" s="131">
        <f t="shared" si="25"/>
        <v>0</v>
      </c>
      <c r="N57" s="132">
        <v>0.08</v>
      </c>
      <c r="O57" s="100">
        <f t="shared" si="43"/>
        <v>0</v>
      </c>
      <c r="P57" s="133">
        <f>SUM(J57, O57)</f>
        <v>36</v>
      </c>
      <c r="Q57" s="140">
        <v>21.78</v>
      </c>
      <c r="R57" s="135">
        <f t="shared" si="41"/>
        <v>784.08</v>
      </c>
      <c r="T57" s="10"/>
    </row>
    <row r="58" spans="1:20" s="136" customFormat="1" ht="24.75" thickBot="1" x14ac:dyDescent="0.25">
      <c r="A58" s="124"/>
      <c r="B58" s="42" t="s">
        <v>35</v>
      </c>
      <c r="C58" s="43" t="s">
        <v>33</v>
      </c>
      <c r="D58" s="141" t="s">
        <v>39</v>
      </c>
      <c r="E58" s="137">
        <f>6*2</f>
        <v>12</v>
      </c>
      <c r="F58" s="137">
        <v>12</v>
      </c>
      <c r="G58" s="132">
        <v>3</v>
      </c>
      <c r="H58" s="128">
        <f>SUM(F58*G58)</f>
        <v>36</v>
      </c>
      <c r="I58" s="129">
        <v>1</v>
      </c>
      <c r="J58" s="130">
        <f>SUM(H58*I58)</f>
        <v>36</v>
      </c>
      <c r="K58" s="138">
        <v>0</v>
      </c>
      <c r="L58" s="139">
        <v>3</v>
      </c>
      <c r="M58" s="131">
        <f t="shared" si="25"/>
        <v>0</v>
      </c>
      <c r="N58" s="132">
        <v>0.08</v>
      </c>
      <c r="O58" s="100">
        <f t="shared" si="43"/>
        <v>0</v>
      </c>
      <c r="P58" s="133">
        <f>SUM(J58, O58)</f>
        <v>36</v>
      </c>
      <c r="Q58" s="140">
        <v>21.78</v>
      </c>
      <c r="R58" s="135">
        <f t="shared" si="41"/>
        <v>784.08</v>
      </c>
      <c r="T58" s="10"/>
    </row>
    <row r="59" spans="1:20" ht="24.75" thickBot="1" x14ac:dyDescent="0.25">
      <c r="A59" s="22"/>
      <c r="B59" s="47" t="s">
        <v>82</v>
      </c>
      <c r="C59" s="23" t="s">
        <v>34</v>
      </c>
      <c r="D59" s="121" t="s">
        <v>10</v>
      </c>
      <c r="E59" s="122">
        <v>5</v>
      </c>
      <c r="F59" s="122">
        <v>5</v>
      </c>
      <c r="G59" s="64">
        <v>24</v>
      </c>
      <c r="H59" s="63">
        <f t="shared" si="38"/>
        <v>120</v>
      </c>
      <c r="I59" s="67">
        <v>0.83</v>
      </c>
      <c r="J59" s="123">
        <f t="shared" si="39"/>
        <v>99.6</v>
      </c>
      <c r="K59" s="55">
        <v>0</v>
      </c>
      <c r="L59" s="56">
        <v>1</v>
      </c>
      <c r="M59" s="55">
        <f>SUM(K59*L59)</f>
        <v>0</v>
      </c>
      <c r="N59" s="56">
        <v>0.08</v>
      </c>
      <c r="O59" s="57">
        <f>SUM(M59*N59)</f>
        <v>0</v>
      </c>
      <c r="P59" s="115">
        <f t="shared" si="40"/>
        <v>99.6</v>
      </c>
      <c r="Q59" s="106">
        <v>54.08</v>
      </c>
      <c r="R59" s="59">
        <f t="shared" si="41"/>
        <v>5386.3679999999995</v>
      </c>
      <c r="T59" s="10"/>
    </row>
    <row r="60" spans="1:20" ht="36.75" thickBot="1" x14ac:dyDescent="0.25">
      <c r="A60" s="22"/>
      <c r="B60" s="46" t="s">
        <v>31</v>
      </c>
      <c r="C60" s="46" t="s">
        <v>42</v>
      </c>
      <c r="D60" s="46" t="s">
        <v>11</v>
      </c>
      <c r="E60" s="101">
        <v>5</v>
      </c>
      <c r="F60" s="101">
        <v>5</v>
      </c>
      <c r="G60" s="79">
        <v>1</v>
      </c>
      <c r="H60" s="98">
        <f t="shared" ref="H60" si="44">SUM(F60*G60)</f>
        <v>5</v>
      </c>
      <c r="I60" s="100">
        <v>2.25</v>
      </c>
      <c r="J60" s="102">
        <f t="shared" ref="J60" si="45">SUM(H60*I60)</f>
        <v>11.25</v>
      </c>
      <c r="K60" s="78">
        <v>0</v>
      </c>
      <c r="L60" s="79">
        <v>1</v>
      </c>
      <c r="M60" s="78">
        <f>SUM(K60*L60)</f>
        <v>0</v>
      </c>
      <c r="N60" s="79">
        <v>0.08</v>
      </c>
      <c r="O60" s="80">
        <f>SUM(M60*N60)</f>
        <v>0</v>
      </c>
      <c r="P60" s="116">
        <f t="shared" ref="P60" si="46">SUM(J60, O60)</f>
        <v>11.25</v>
      </c>
      <c r="Q60" s="107">
        <v>32.56</v>
      </c>
      <c r="R60" s="81">
        <f t="shared" ref="R60" si="47">P60*Q60</f>
        <v>366.3</v>
      </c>
      <c r="T60" s="10"/>
    </row>
    <row r="61" spans="1:20" ht="36.75" thickBot="1" x14ac:dyDescent="0.25">
      <c r="A61" s="22"/>
      <c r="B61" s="46" t="s">
        <v>43</v>
      </c>
      <c r="C61" s="46" t="s">
        <v>44</v>
      </c>
      <c r="D61" s="46" t="s">
        <v>11</v>
      </c>
      <c r="E61" s="101">
        <v>5</v>
      </c>
      <c r="F61" s="101">
        <v>5</v>
      </c>
      <c r="G61" s="79">
        <v>7</v>
      </c>
      <c r="H61" s="98">
        <f t="shared" si="38"/>
        <v>35</v>
      </c>
      <c r="I61" s="100">
        <v>2.25</v>
      </c>
      <c r="J61" s="102">
        <f t="shared" si="39"/>
        <v>78.75</v>
      </c>
      <c r="K61" s="78">
        <v>0</v>
      </c>
      <c r="L61" s="79">
        <v>1</v>
      </c>
      <c r="M61" s="78">
        <f>SUM(K61*L61)</f>
        <v>0</v>
      </c>
      <c r="N61" s="79">
        <v>0.08</v>
      </c>
      <c r="O61" s="80">
        <f>SUM(M61*N61)</f>
        <v>0</v>
      </c>
      <c r="P61" s="116">
        <f t="shared" si="40"/>
        <v>78.75</v>
      </c>
      <c r="Q61" s="107">
        <v>32.56</v>
      </c>
      <c r="R61" s="81">
        <f t="shared" si="41"/>
        <v>2564.1000000000004</v>
      </c>
      <c r="T61" s="10"/>
    </row>
    <row r="62" spans="1:20" s="4" customFormat="1" ht="15" customHeight="1" thickBot="1" x14ac:dyDescent="0.25">
      <c r="A62" s="162" t="s">
        <v>12</v>
      </c>
      <c r="B62" s="163"/>
      <c r="C62" s="163"/>
      <c r="D62" s="31"/>
      <c r="E62" s="83">
        <f>SUM(E53:E58)</f>
        <v>65</v>
      </c>
      <c r="F62" s="83">
        <f>SUM(F53:F58)</f>
        <v>65</v>
      </c>
      <c r="G62" s="84" t="s">
        <v>16</v>
      </c>
      <c r="H62" s="85">
        <f>SUM(H53:H61)</f>
        <v>316</v>
      </c>
      <c r="I62" s="84" t="s">
        <v>16</v>
      </c>
      <c r="J62" s="86">
        <f>SUM(J53:J61)</f>
        <v>345.6</v>
      </c>
      <c r="K62" s="83">
        <f>SUM(K53:K58)</f>
        <v>0</v>
      </c>
      <c r="L62" s="84" t="s">
        <v>16</v>
      </c>
      <c r="M62" s="87">
        <f>SUM(M53:M61)</f>
        <v>0</v>
      </c>
      <c r="N62" s="88" t="s">
        <v>16</v>
      </c>
      <c r="O62" s="86">
        <f>SUM(O53:O61)</f>
        <v>0</v>
      </c>
      <c r="P62" s="118">
        <f>SUM(P53:P61)</f>
        <v>345.6</v>
      </c>
      <c r="Q62" s="113"/>
      <c r="R62" s="89">
        <f>SUM(R53:R61)</f>
        <v>13394.688</v>
      </c>
      <c r="T62" s="10"/>
    </row>
    <row r="63" spans="1:20" s="4" customFormat="1" ht="15" customHeight="1" thickBot="1" x14ac:dyDescent="0.25">
      <c r="A63" s="32" t="s">
        <v>13</v>
      </c>
      <c r="B63" s="33"/>
      <c r="C63" s="34"/>
      <c r="D63" s="35"/>
      <c r="E63" s="90">
        <f>SUM(E44+E52+E62)</f>
        <v>28411</v>
      </c>
      <c r="F63" s="91">
        <f>SUM(F44+F52+F62)</f>
        <v>26723.4</v>
      </c>
      <c r="G63" s="92">
        <f>SUM(H63/F63)</f>
        <v>5.1793313725049943</v>
      </c>
      <c r="H63" s="91">
        <f>SUM(H44+H52+H62)</f>
        <v>138409.34399999998</v>
      </c>
      <c r="I63" s="92">
        <f>SUM(J63/H63)</f>
        <v>0.17672499191962066</v>
      </c>
      <c r="J63" s="93">
        <f>SUM(J44+J52+J62)</f>
        <v>24460.390199999994</v>
      </c>
      <c r="K63" s="94">
        <f>SUM(K44+K52+K62)</f>
        <v>1687.6000000000001</v>
      </c>
      <c r="L63" s="92">
        <f>SUM(M63/K63)</f>
        <v>29.506812040767951</v>
      </c>
      <c r="M63" s="94">
        <f>SUM(M44+M52+M62)</f>
        <v>49795.695999999996</v>
      </c>
      <c r="N63" s="95">
        <f>SUM(O63/M63)</f>
        <v>5.0397624726442228E-2</v>
      </c>
      <c r="O63" s="96">
        <f>SUM(O44+O52+O62)</f>
        <v>2509.5848000000001</v>
      </c>
      <c r="P63" s="119">
        <f>SUM(P44, P52, P62)</f>
        <v>26969.974999999999</v>
      </c>
      <c r="Q63" s="114"/>
      <c r="R63" s="97">
        <f>SUM(R44+R52+R62)</f>
        <v>224409.57475000006</v>
      </c>
    </row>
    <row r="64" spans="1:20" ht="82.5" customHeight="1" x14ac:dyDescent="0.2">
      <c r="A64" s="161" t="s">
        <v>85</v>
      </c>
      <c r="B64" s="161"/>
      <c r="C64" s="161"/>
      <c r="D64" s="161"/>
      <c r="E64" s="161"/>
      <c r="F64" s="161"/>
      <c r="G64" s="161"/>
      <c r="H64" s="161"/>
      <c r="I64" s="161"/>
      <c r="J64" s="161"/>
      <c r="K64" s="161"/>
      <c r="L64" s="161"/>
      <c r="M64" s="161"/>
      <c r="N64" s="161"/>
      <c r="O64" s="161"/>
      <c r="P64" s="161"/>
      <c r="Q64" s="161"/>
      <c r="R64" s="161"/>
      <c r="S64" s="136"/>
    </row>
    <row r="66" spans="4:19" x14ac:dyDescent="0.2">
      <c r="S66" s="145"/>
    </row>
    <row r="68" spans="4:19" x14ac:dyDescent="0.2">
      <c r="D68" s="17" t="s">
        <v>17</v>
      </c>
      <c r="H68" s="15">
        <f>SUM(F63+K63)</f>
        <v>28411</v>
      </c>
    </row>
    <row r="69" spans="4:19" x14ac:dyDescent="0.2">
      <c r="D69" s="17" t="s">
        <v>18</v>
      </c>
      <c r="H69" s="10">
        <f>SUM(H63+M63)</f>
        <v>188205.03999999998</v>
      </c>
    </row>
    <row r="70" spans="4:19" x14ac:dyDescent="0.2">
      <c r="D70" s="17" t="s">
        <v>19</v>
      </c>
      <c r="H70" s="11">
        <f>SUM(J63+O63)</f>
        <v>26969.974999999995</v>
      </c>
    </row>
  </sheetData>
  <mergeCells count="22">
    <mergeCell ref="D34:D39"/>
    <mergeCell ref="E34:E39"/>
    <mergeCell ref="D21:D27"/>
    <mergeCell ref="E21:E27"/>
    <mergeCell ref="D14:D20"/>
    <mergeCell ref="E14:E20"/>
    <mergeCell ref="S53:S54"/>
    <mergeCell ref="F5:J5"/>
    <mergeCell ref="K5:O5"/>
    <mergeCell ref="A45:A51"/>
    <mergeCell ref="A64:R64"/>
    <mergeCell ref="A62:C62"/>
    <mergeCell ref="D42:D43"/>
    <mergeCell ref="E42:E43"/>
    <mergeCell ref="D40:D41"/>
    <mergeCell ref="E40:E41"/>
    <mergeCell ref="P5:R5"/>
    <mergeCell ref="D8:D13"/>
    <mergeCell ref="E8:E13"/>
    <mergeCell ref="A7:A43"/>
    <mergeCell ref="D28:D33"/>
    <mergeCell ref="E28:E33"/>
  </mergeCells>
  <pageMargins left="0.45" right="0.45" top="0.75" bottom="0.75" header="0.3" footer="0.3"/>
  <pageSetup scale="40" orientation="landscape" r:id="rId1"/>
  <ignoredErrors>
    <ignoredError sqref="H48 M56 O5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SForrestal</cp:lastModifiedBy>
  <cp:lastPrinted>2015-08-10T17:02:31Z</cp:lastPrinted>
  <dcterms:created xsi:type="dcterms:W3CDTF">2014-11-27T00:00:56Z</dcterms:created>
  <dcterms:modified xsi:type="dcterms:W3CDTF">2015-08-10T23:05:30Z</dcterms:modified>
</cp:coreProperties>
</file>