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24" windowWidth="15480" windowHeight="5196"/>
  </bookViews>
  <sheets>
    <sheet name="Sheet1" sheetId="1" r:id="rId1"/>
    <sheet name="Sheet3" sheetId="3" r:id="rId2"/>
  </sheets>
  <externalReferences>
    <externalReference r:id="rId3"/>
    <externalReference r:id="rId4"/>
  </externalReferences>
  <definedNames>
    <definedName name="OLE_LINK1" localSheetId="0">Sheet1!$A$13</definedName>
    <definedName name="_xlnm.Print_Area" localSheetId="0">Sheet1!$A$1:$W$99</definedName>
  </definedNames>
  <calcPr calcId="145621"/>
</workbook>
</file>

<file path=xl/calcChain.xml><?xml version="1.0" encoding="utf-8"?>
<calcChain xmlns="http://schemas.openxmlformats.org/spreadsheetml/2006/main">
  <c r="W93" i="1" l="1"/>
  <c r="W90" i="1"/>
  <c r="W89" i="1"/>
  <c r="W88" i="1"/>
  <c r="W85" i="1"/>
  <c r="W84" i="1"/>
  <c r="W83" i="1"/>
  <c r="Q70" i="1"/>
  <c r="E23" i="1"/>
  <c r="W18" i="1"/>
  <c r="E18" i="1"/>
  <c r="X4" i="1"/>
  <c r="X5" i="1"/>
  <c r="X7" i="1"/>
  <c r="V95" i="1"/>
  <c r="W95" i="1" s="1"/>
  <c r="V94" i="1"/>
  <c r="W94" i="1" s="1"/>
  <c r="V93" i="1"/>
  <c r="V92" i="1"/>
  <c r="W92" i="1" s="1"/>
  <c r="V90" i="1"/>
  <c r="V89" i="1"/>
  <c r="V88" i="1"/>
  <c r="V87" i="1"/>
  <c r="W87" i="1" s="1"/>
  <c r="V85" i="1"/>
  <c r="V84" i="1"/>
  <c r="V83" i="1"/>
  <c r="V82" i="1"/>
  <c r="V78" i="1"/>
  <c r="V74" i="1"/>
  <c r="U74" i="1"/>
  <c r="V71" i="1"/>
  <c r="V70" i="1"/>
  <c r="V66" i="1"/>
  <c r="U66" i="1"/>
  <c r="V62" i="1"/>
  <c r="U62" i="1"/>
  <c r="W62" i="1" s="1"/>
  <c r="U60" i="1"/>
  <c r="V58" i="1"/>
  <c r="U58" i="1"/>
  <c r="V53" i="1"/>
  <c r="P95" i="1"/>
  <c r="Q95" i="1" s="1"/>
  <c r="P94" i="1"/>
  <c r="Q94" i="1" s="1"/>
  <c r="P93" i="1"/>
  <c r="Q93" i="1" s="1"/>
  <c r="P92" i="1"/>
  <c r="Q92" i="1" s="1"/>
  <c r="P90" i="1"/>
  <c r="Q90" i="1" s="1"/>
  <c r="P89" i="1"/>
  <c r="Q89" i="1" s="1"/>
  <c r="P88" i="1"/>
  <c r="Q88" i="1" s="1"/>
  <c r="P87" i="1"/>
  <c r="Q87" i="1" s="1"/>
  <c r="N82" i="1"/>
  <c r="Q82" i="1" s="1"/>
  <c r="P85" i="1"/>
  <c r="Q85" i="1" s="1"/>
  <c r="P84" i="1"/>
  <c r="Q84" i="1" s="1"/>
  <c r="P83" i="1"/>
  <c r="Q83" i="1" s="1"/>
  <c r="P82" i="1"/>
  <c r="N78" i="1"/>
  <c r="Q78" i="1" s="1"/>
  <c r="P78" i="1"/>
  <c r="N74" i="1"/>
  <c r="Q74" i="1" s="1"/>
  <c r="P74" i="1"/>
  <c r="O74" i="1"/>
  <c r="N71" i="1"/>
  <c r="Q71" i="1" s="1"/>
  <c r="P71" i="1"/>
  <c r="N70" i="1"/>
  <c r="P70" i="1"/>
  <c r="N66" i="1"/>
  <c r="Q66" i="1" s="1"/>
  <c r="P66" i="1"/>
  <c r="O66" i="1"/>
  <c r="P62" i="1"/>
  <c r="O62" i="1"/>
  <c r="Q62" i="1" s="1"/>
  <c r="N60" i="1"/>
  <c r="Q60" i="1" s="1"/>
  <c r="O60" i="1"/>
  <c r="N58" i="1"/>
  <c r="Q58" i="1" s="1"/>
  <c r="P58" i="1"/>
  <c r="O58" i="1"/>
  <c r="P5" i="1"/>
  <c r="H32" i="1" s="1"/>
  <c r="J95" i="1"/>
  <c r="K95" i="1" s="1"/>
  <c r="J94" i="1"/>
  <c r="K94" i="1" s="1"/>
  <c r="J93" i="1"/>
  <c r="K93" i="1" s="1"/>
  <c r="J92" i="1"/>
  <c r="K92" i="1" s="1"/>
  <c r="J90" i="1"/>
  <c r="K90" i="1" s="1"/>
  <c r="J89" i="1"/>
  <c r="K89" i="1" s="1"/>
  <c r="J88" i="1"/>
  <c r="K88" i="1" s="1"/>
  <c r="J87" i="1"/>
  <c r="K87" i="1" s="1"/>
  <c r="J85" i="1"/>
  <c r="K85" i="1" s="1"/>
  <c r="J84" i="1"/>
  <c r="K84" i="1" s="1"/>
  <c r="J83" i="1"/>
  <c r="K83" i="1" s="1"/>
  <c r="J82" i="1"/>
  <c r="J78" i="1"/>
  <c r="C72" i="1"/>
  <c r="J71" i="1"/>
  <c r="J70" i="1"/>
  <c r="J66" i="1"/>
  <c r="I66" i="1"/>
  <c r="J58" i="1"/>
  <c r="I58" i="1"/>
  <c r="C74" i="1"/>
  <c r="C66" i="1"/>
  <c r="C62" i="1"/>
  <c r="C60" i="1"/>
  <c r="C58" i="1"/>
  <c r="H78" i="1" l="1"/>
  <c r="K78" i="1" s="1"/>
  <c r="H58" i="1"/>
  <c r="K58" i="1" s="1"/>
  <c r="H66" i="1"/>
  <c r="K66" i="1" s="1"/>
  <c r="H82" i="1"/>
  <c r="K82" i="1" s="1"/>
  <c r="H70" i="1"/>
  <c r="K70" i="1" s="1"/>
  <c r="H71" i="1"/>
  <c r="K71" i="1" s="1"/>
  <c r="V49" i="1"/>
  <c r="U49" i="1"/>
  <c r="W49" i="1" s="1"/>
  <c r="P49" i="1"/>
  <c r="O49" i="1"/>
  <c r="Q49" i="1" s="1"/>
  <c r="C49" i="1"/>
  <c r="V46" i="1"/>
  <c r="U46" i="1"/>
  <c r="W46" i="1" s="1"/>
  <c r="P46" i="1"/>
  <c r="O46" i="1"/>
  <c r="J46" i="1"/>
  <c r="I46" i="1"/>
  <c r="K46" i="1" s="1"/>
  <c r="C46" i="1"/>
  <c r="P43" i="1"/>
  <c r="Q46" i="1" l="1"/>
  <c r="V40" i="1"/>
  <c r="U40" i="1"/>
  <c r="P40" i="1"/>
  <c r="O40" i="1"/>
  <c r="C40" i="1"/>
  <c r="V37" i="1"/>
  <c r="P37" i="1"/>
  <c r="J37" i="1"/>
  <c r="C37" i="1"/>
  <c r="U8" i="1"/>
  <c r="N32" i="1" l="1"/>
  <c r="N30" i="1"/>
  <c r="N29" i="1"/>
  <c r="H29" i="1"/>
  <c r="U19" i="1"/>
  <c r="O19" i="1"/>
  <c r="I19" i="1"/>
  <c r="C19" i="1"/>
  <c r="Q7" i="1"/>
  <c r="Q4" i="1"/>
  <c r="Q19" i="1" l="1"/>
  <c r="V30" i="1"/>
  <c r="U30" i="1"/>
  <c r="W30" i="1" s="1"/>
  <c r="V29" i="1"/>
  <c r="U29" i="1"/>
  <c r="W29" i="1" s="1"/>
  <c r="P30" i="1"/>
  <c r="O30" i="1"/>
  <c r="Q30" i="1" s="1"/>
  <c r="P29" i="1"/>
  <c r="O29" i="1"/>
  <c r="Q29" i="1" s="1"/>
  <c r="J29" i="1"/>
  <c r="I29" i="1"/>
  <c r="K29" i="1" s="1"/>
  <c r="C30" i="1"/>
  <c r="C29" i="1"/>
  <c r="V21" i="1"/>
  <c r="U21" i="1"/>
  <c r="W21" i="1" s="1"/>
  <c r="C21" i="1"/>
  <c r="V20" i="1"/>
  <c r="W20" i="1" s="1"/>
  <c r="P20" i="1"/>
  <c r="Q20" i="1" s="1"/>
  <c r="J20" i="1"/>
  <c r="K20" i="1" s="1"/>
  <c r="V19" i="1"/>
  <c r="W19" i="1" s="1"/>
  <c r="P19" i="1"/>
  <c r="J19" i="1"/>
  <c r="K19" i="1" s="1"/>
  <c r="P18" i="1"/>
  <c r="Q18" i="1" s="1"/>
  <c r="J18" i="1"/>
  <c r="K18" i="1" s="1"/>
  <c r="V16" i="1"/>
  <c r="W16" i="1" s="1"/>
  <c r="P16" i="1"/>
  <c r="Q16" i="1" s="1"/>
  <c r="J16" i="1"/>
  <c r="K16" i="1" s="1"/>
  <c r="D14" i="1"/>
  <c r="V72" i="1"/>
  <c r="V43" i="1"/>
  <c r="V32" i="1"/>
  <c r="V23" i="1"/>
  <c r="U72" i="1"/>
  <c r="W72" i="1" s="1"/>
  <c r="U43" i="1"/>
  <c r="U37" i="1"/>
  <c r="U32" i="1"/>
  <c r="U23" i="1"/>
  <c r="W23" i="1" s="1"/>
  <c r="O72" i="1"/>
  <c r="P72" i="1"/>
  <c r="O43" i="1"/>
  <c r="O37" i="1"/>
  <c r="O32" i="1"/>
  <c r="Q32" i="1" s="1"/>
  <c r="P32" i="1"/>
  <c r="O23" i="1"/>
  <c r="Q23" i="1" s="1"/>
  <c r="I72" i="1"/>
  <c r="J72" i="1"/>
  <c r="I37" i="1"/>
  <c r="I32" i="1"/>
  <c r="J32" i="1"/>
  <c r="I23" i="1"/>
  <c r="K23" i="1" s="1"/>
  <c r="M5" i="1"/>
  <c r="M6" i="1"/>
  <c r="M7" i="1"/>
  <c r="P7" i="1" s="1"/>
  <c r="K72" i="1" l="1"/>
  <c r="K32" i="1"/>
  <c r="Q72" i="1"/>
  <c r="T78" i="1"/>
  <c r="W78" i="1" s="1"/>
  <c r="T66" i="1"/>
  <c r="W66" i="1" s="1"/>
  <c r="T58" i="1"/>
  <c r="W58" i="1" s="1"/>
  <c r="T74" i="1"/>
  <c r="W74" i="1" s="1"/>
  <c r="T71" i="1"/>
  <c r="W71" i="1" s="1"/>
  <c r="T82" i="1"/>
  <c r="W82" i="1" s="1"/>
  <c r="T70" i="1"/>
  <c r="W70" i="1" s="1"/>
  <c r="T60" i="1"/>
  <c r="W60" i="1" s="1"/>
  <c r="D32" i="1"/>
  <c r="E32" i="1" s="1"/>
  <c r="D95" i="1"/>
  <c r="E95" i="1" s="1"/>
  <c r="D93" i="1"/>
  <c r="E93" i="1" s="1"/>
  <c r="D92" i="1"/>
  <c r="E92" i="1" s="1"/>
  <c r="D85" i="1"/>
  <c r="E85" i="1" s="1"/>
  <c r="D87" i="1"/>
  <c r="E87" i="1" s="1"/>
  <c r="D89" i="1"/>
  <c r="E89" i="1" s="1"/>
  <c r="D94" i="1"/>
  <c r="E94" i="1" s="1"/>
  <c r="W7" i="1"/>
  <c r="S7" i="1"/>
  <c r="T37" i="1" s="1"/>
  <c r="W37" i="1" s="1"/>
  <c r="W5" i="1"/>
  <c r="S5" i="1"/>
  <c r="H37" i="1" s="1"/>
  <c r="K37" i="1" s="1"/>
  <c r="K97" i="1" s="1"/>
  <c r="D83" i="1"/>
  <c r="E83" i="1" s="1"/>
  <c r="D70" i="1"/>
  <c r="E70" i="1" s="1"/>
  <c r="D62" i="1"/>
  <c r="E62" i="1" s="1"/>
  <c r="D60" i="1"/>
  <c r="D58" i="1"/>
  <c r="E58" i="1" s="1"/>
  <c r="D78" i="1"/>
  <c r="E78" i="1" s="1"/>
  <c r="D74" i="1"/>
  <c r="D71" i="1"/>
  <c r="D66" i="1"/>
  <c r="D53" i="1"/>
  <c r="D46" i="1"/>
  <c r="E46" i="1" s="1"/>
  <c r="D43" i="1"/>
  <c r="E43" i="1" s="1"/>
  <c r="D54" i="1"/>
  <c r="D49" i="1"/>
  <c r="E49" i="1" s="1"/>
  <c r="D40" i="1"/>
  <c r="D37" i="1"/>
  <c r="D30" i="1"/>
  <c r="E30" i="1" s="1"/>
  <c r="W6" i="1"/>
  <c r="N43" i="1" s="1"/>
  <c r="Q43" i="1" s="1"/>
  <c r="S6" i="1"/>
  <c r="N37" i="1" s="1"/>
  <c r="Q37" i="1" s="1"/>
  <c r="D29" i="1"/>
  <c r="E29" i="1" s="1"/>
  <c r="D19" i="1"/>
  <c r="E19" i="1" s="1"/>
  <c r="D21" i="1"/>
  <c r="E21" i="1" s="1"/>
  <c r="D16" i="1"/>
  <c r="E16" i="1" s="1"/>
  <c r="D20" i="1"/>
  <c r="E20" i="1" s="1"/>
  <c r="M4" i="1"/>
  <c r="P4" i="1" s="1"/>
  <c r="D82" i="1"/>
  <c r="D72" i="1"/>
  <c r="E72" i="1" s="1"/>
  <c r="D84" i="1"/>
  <c r="E84" i="1" s="1"/>
  <c r="D88" i="1"/>
  <c r="E88" i="1" s="1"/>
  <c r="D90" i="1"/>
  <c r="E90" i="1" s="1"/>
  <c r="Q97" i="1" l="1"/>
  <c r="T43" i="1"/>
  <c r="W43" i="1" s="1"/>
  <c r="T53" i="1"/>
  <c r="W53" i="1" s="1"/>
  <c r="M10" i="1"/>
  <c r="W4" i="1"/>
  <c r="S4" i="1"/>
  <c r="B37" i="1" s="1"/>
  <c r="E37" i="1" s="1"/>
  <c r="N40" i="1"/>
  <c r="Q40" i="1" s="1"/>
  <c r="T32" i="1"/>
  <c r="W32" i="1" s="1"/>
  <c r="W97" i="1" s="1"/>
  <c r="T40" i="1"/>
  <c r="W40" i="1" s="1"/>
  <c r="B53" i="1" l="1"/>
  <c r="E53" i="1" s="1"/>
  <c r="B54" i="1"/>
  <c r="E54" i="1" s="1"/>
  <c r="G5" i="1"/>
  <c r="G6" i="1"/>
  <c r="B40" i="1"/>
  <c r="E40" i="1" s="1"/>
  <c r="E97" i="1" s="1"/>
  <c r="G7" i="1"/>
  <c r="B82" i="1"/>
  <c r="E82" i="1" s="1"/>
  <c r="B71" i="1"/>
  <c r="E71" i="1" s="1"/>
  <c r="B66" i="1"/>
  <c r="E66" i="1" s="1"/>
  <c r="B74" i="1"/>
  <c r="E74" i="1" s="1"/>
  <c r="B60" i="1"/>
  <c r="E60" i="1" s="1"/>
  <c r="G4" i="1" l="1"/>
  <c r="G10" i="1" s="1"/>
  <c r="A99" i="1"/>
</calcChain>
</file>

<file path=xl/sharedStrings.xml><?xml version="1.0" encoding="utf-8"?>
<sst xmlns="http://schemas.openxmlformats.org/spreadsheetml/2006/main" count="284" uniqueCount="202">
  <si>
    <t>(d) The agency shall document, via employee signature or electronic verification, that employees understand the training they have received.</t>
  </si>
  <si>
    <t>(c) The agency shall maintain documentation that agency investigators have completed the required specialized training in conducting sexual abuse investigations.</t>
  </si>
  <si>
    <t>(c) The agency shall maintain documentation that medical and mental health practitioners have received the training referenced in this standard either from the agency or elsewhere.</t>
  </si>
  <si>
    <t>(e) The agency also shall obtain incident-based and aggregated data from every private facility with which it contracts for the confinement of its inmates.</t>
  </si>
  <si>
    <t>(e) The agency also shall obtain incident-based and aggregated data from any private agency with which it contracts for the confinement of its detainees.</t>
  </si>
  <si>
    <t>(e) The agency also shall obtain incident-based and aggregated data from every private facility with which it contracts for the confinement of its residents.</t>
  </si>
  <si>
    <t>(d) The agency may redact specific material from the reports when publication would present a clear and specific threat to the safety and security of a facility, but must indicate the nature of the material redacted.</t>
  </si>
  <si>
    <t>(d) The agency may redact specific material from the reports when publication would present a clear and specific threat to the safety and security of a lockup, but must indicate the nature of the material redacted.</t>
  </si>
  <si>
    <t>(c) Before making aggregated sexual abuse data publicly available, the agency shall remove all personal identifiers.</t>
  </si>
  <si>
    <t xml:space="preserve">Total Hours </t>
  </si>
  <si>
    <t>Prisons and Jails</t>
  </si>
  <si>
    <t>Lockups</t>
  </si>
  <si>
    <t>Community Corrections</t>
  </si>
  <si>
    <t>Juvenile Facilities</t>
  </si>
  <si>
    <t>Grand Total Hours</t>
  </si>
  <si>
    <t>GRAND TOTAL</t>
  </si>
  <si>
    <t>Comm. Corrections</t>
  </si>
  <si>
    <t>Hours</t>
  </si>
  <si>
    <t>Total</t>
  </si>
  <si>
    <t>SUMMARY OF PREA PRA BURDEN HOURS:</t>
  </si>
  <si>
    <t>Burden Hours</t>
  </si>
  <si>
    <t>Number of Respondents</t>
  </si>
  <si>
    <t>RESPONDENTS</t>
  </si>
  <si>
    <t>TOTAL</t>
  </si>
  <si>
    <t>No. per yr.</t>
  </si>
  <si>
    <t>Numb. of Entities or Persons</t>
  </si>
  <si>
    <t>Prevention Planning</t>
  </si>
  <si>
    <t xml:space="preserve"> Prevention Planning</t>
  </si>
  <si>
    <t>115.11 Zero Tolerance</t>
  </si>
  <si>
    <t>115.111 Zero Tolerance</t>
  </si>
  <si>
    <t>115.211 Zero Tolerance</t>
  </si>
  <si>
    <t>115.311 Zero Tolerance</t>
  </si>
  <si>
    <t xml:space="preserve"> Standards for Adult Prisons and Jails - Subpart A </t>
  </si>
  <si>
    <t xml:space="preserve"> Standards for Lockups - Subpart B</t>
  </si>
  <si>
    <t xml:space="preserve"> Standards for Community Corrections - Subpart C</t>
  </si>
  <si>
    <t xml:space="preserve"> Standards for Juvenile Facilities - Subpart D</t>
  </si>
  <si>
    <t>(a) An agency shall have a written policy mandating zero tolerance toward all forms of sexual abuse and sexual harassment and outlining the agency’s approach to preventing, detecting, and responding to such conduct.</t>
  </si>
  <si>
    <t>115.13 Supervision and Monitoring</t>
  </si>
  <si>
    <t>115.113 Supervision and Monitoring</t>
  </si>
  <si>
    <t>115.213 Supervision and Monitoring</t>
  </si>
  <si>
    <t>115.313 Supervision and Monitoring</t>
  </si>
  <si>
    <t xml:space="preserve">(a) The agency shall ensure that each facility it operates shall develop, document, and make its best efforts to comply on a regular basis with a staffing plan that provides for adequate levels of staffing, and, where applicable, video monitoring, to protect inmates against sexual abuse. . . . </t>
  </si>
  <si>
    <t xml:space="preserve">(b)  In circumstances where the staffing plan is not complied with, the facility shall document and justify all deviations from the plan. </t>
  </si>
  <si>
    <t>(c)  Whenever necessary, but no less frequently than once each year, for each facility the agency operates, in consultation with the PREA coordinator required by § 115.11, the agency shall assess, determine, and document, whether adjustments are needed to: (1) The staffing plan established pursuant to paragraph (a) of this standard;  (2) The facility’s deployment of video monitoring systems and other monitoring technologies; and (3) The resources the facility has available to commit to ensure adherence to the staffing plan.</t>
  </si>
  <si>
    <t xml:space="preserve">(d)  Each agency operating a facility shall implement a policy and practice of having intermediate level or higher-level supervisors conduct and document unannounced rounds to identify and deter staff sexual abuse and sexual harassment.  Such policy and practice shall be implemented for night shifts as well as day shifts.  Each agency shall have a policy to prohibit staff from alerting other staff members that these supervisory rounds are occurring, unless such announcement is related to the legitimate operational functions of the facility.  </t>
  </si>
  <si>
    <t>(b) In circumstances where the staffing plan is not complied with, the lockup shall document and justify all deviations from the plan.</t>
  </si>
  <si>
    <t>(c) Whenever necessary, but no less frequently than once each year, the lockup shall assess, determine, and document whether adjustments are needed to: (1) The staffing plan established pursuant to paragraph (a) of this standard; (2) Prevailing staffing patterns; (3) The lockup’s deployment of video monitoring systems and other monitoring technologies; and (4) The resources the lockup has available to commit to ensure adequate staffing levels.</t>
  </si>
  <si>
    <t xml:space="preserve">(a) For each lockup, the agency shall develop and document a staffing plan that provides for adequate levels of staffing, and, where applicable, video monitoring, to protect detainees against sexual abuse. </t>
  </si>
  <si>
    <t>(b) In circumstances where the staffing plan is not complied with, the facility shall document and justify all deviations from the plan.</t>
  </si>
  <si>
    <t>(c) Whenever necessary, but no less frequently than once each year, the facility shall assess, determine, and document whether adjustments are needed to:  (1) The staffing plan established pursuant to paragraph (a) of this standard; (2) Prevailing staffing patterns;  (3) The facility’s deployment of video monitoring systems and other monitoring technologies; and (4) The resources the facility has available to commit to ensure adequate staffing levels.</t>
  </si>
  <si>
    <t xml:space="preserve">(a) For each facility, the agency shall develop and document a staffing plan that provides for adequate levels of staffing, and, where applicable, video monitoring, to protect residents against sexual abuse. </t>
  </si>
  <si>
    <t>(c) Whenever necessary, but no less frequently than once each year, for each facility the agency operates, in consultation with the PREA coordinator required by § 115.311, the agency shall assess, determine, and document whether adjustments are needed to:  (1) The staffing plan established pursuant to paragraph (a) of this standard; (2) Prevailing staffing patterns;  (3) The facility’s deployment of video monitoring systems and other monitoring technologies; and (4) The resources the facility has available to commit to ensure adherence to the staffing plan.</t>
  </si>
  <si>
    <t xml:space="preserve">(d) Each secure facility shall implement a policy and practice of having intermediate-level or higher level supervisors conduct and document unannounced rounds to identify and deter staff sexual abuse and sexual harassment. Such policy and practice shall be implemented for night shifts as well as day shifts.  Each secure facility shall have a policy to prohibit staff from alerting other staff members that these supervisory rounds are occurring, unless such announcement is related to the legitimate operational functions of the facility.  </t>
  </si>
  <si>
    <t xml:space="preserve">(a) The agency shall ensure that each facility it operates shall develop, implement, and document a staffing plan that provides for adequate levels of staffing, and, where applicable, video monitoring, to protect residents against sexual abuse. . . . </t>
  </si>
  <si>
    <t xml:space="preserve">(a) The agency shall comply with the staffing plan except during limited and discrete exigent circumstances, and shall fully document deviations from the plan during such circumstances.  (b) Each secure juvenile facility shall maintain staff ratios of a minimum of 1:8 during resident waking hours, and 1:16 during resident sleeping hours, except during limited and discrete exigent circumstances, which shall be fully documented.  </t>
  </si>
  <si>
    <t>(c) The facility shall document all cross-gender strip searches, cross-gender visual body cavity searches, and cross-gender pat-down searches of female inmates.</t>
  </si>
  <si>
    <t>(b) The lockup shall document all cross-gender strip searches and cross-gender visual body cavity searches.</t>
  </si>
  <si>
    <t>(c) The facility shall document all cross-gender strip searches, cross-gender visual body cavity searches, and cross-gender pat-down searches of female residents.</t>
  </si>
  <si>
    <t>(c) The facility shall document and justify all cross-gender strip searches, cross-gender visual body cavity searches, and cross-gender pat-down searches.</t>
  </si>
  <si>
    <t>Responsive Planning</t>
  </si>
  <si>
    <t>115.21 Evidence protocol and forensic medical examinations.</t>
  </si>
  <si>
    <t>115.121 Evidence protocol and forensic medical examinations.</t>
  </si>
  <si>
    <t>115.221 Evidence protocol and forensic medical examinations.</t>
  </si>
  <si>
    <t>115.321 Evidence protocol and forensic medical examinations.</t>
  </si>
  <si>
    <t xml:space="preserve">(c) The agency shall document attempts to provide SAFEs or SANEs.  </t>
  </si>
  <si>
    <t xml:space="preserve">(d) Agencies shall document efforts to secure services from rape crisis centers.  </t>
  </si>
  <si>
    <t>(b) The agency shall have in place a policy to ensure that allegations of sexual abuse or sexual harassment are referred for investigation by an agency with the legal authority to conduct criminal investigations, unless the allegation does not involve potentially criminal behavior.  The agency shall publish such policy on its Web site or, if it does not have one, make the policy available through other means.  The agency shall document all such referrals.</t>
  </si>
  <si>
    <t>115.22 Policies to ensure referrals of allegations for investigations</t>
  </si>
  <si>
    <t>Estimated No. Sex Abuse</t>
  </si>
  <si>
    <t>Incidents per Yr per Facility</t>
  </si>
  <si>
    <t xml:space="preserve">115.31 Employee training </t>
  </si>
  <si>
    <t>Estimated No. Employees</t>
  </si>
  <si>
    <t>Per Facility</t>
  </si>
  <si>
    <t>(c) The agency shall maintain documentation confirming that volunteers and contractors understand the training they have received.</t>
  </si>
  <si>
    <t>(e) The agency shall maintain documentation of inmate participation in these education sessions.</t>
  </si>
  <si>
    <t>Estimated No. Inmates</t>
  </si>
  <si>
    <t>115.32 Volunteer and contractor training</t>
  </si>
  <si>
    <t xml:space="preserve">115.33 Inmate education </t>
  </si>
  <si>
    <t>115.34 Specialized training: Investigations</t>
  </si>
  <si>
    <t>115.35 Specialized training: Medical and mental health care</t>
  </si>
  <si>
    <t>Screening for Risk of Sexual Victimization and Abusiveness</t>
  </si>
  <si>
    <t>(b) Inmates placed in segregated housing for this purpose shall have access to programs, privileges, education, and work opportunities to the extent possible.  If the facility restricts access to programs, privileges, education, or work opportunities, the facility shall document: (1) the opportunities that have been limited; (2) the duration of the limitation; and (3) the reasons for such limitations.</t>
  </si>
  <si>
    <t xml:space="preserve"> (d) If an involuntary segregated housing assignment is made pursuant to paragraph (a) of this standard, the facility shall clearly document: (1) The basis for the facility’s concern for the inmate’s safety; and (2) The reason why no alternative means of separation can be arranged.</t>
  </si>
  <si>
    <t>(c) Staff shall accept reports made verbally, in writing, anonymously, and from third parties and shall promptly document any verbal reports.</t>
  </si>
  <si>
    <t>Reporting</t>
  </si>
  <si>
    <t>115.43 Protective custody.</t>
  </si>
  <si>
    <t>115.51 Inmate reporting.</t>
  </si>
  <si>
    <t xml:space="preserve">(e)(3) If the inmate declines to have the request processed on his or her behalf, the agency shall document the inmate’s decision. </t>
  </si>
  <si>
    <t>115.52 Exhaustion of Administrative Remedies</t>
  </si>
  <si>
    <t>115.53 Access to Confidential Inmate Support Services</t>
  </si>
  <si>
    <t>(c) The agency shall maintain or attempt to enter into memoranda of understanding or other agreements with community service providers that are able to provide inmates with confidential emotional support services related to sexual abuse.  The agency shall maintain copies of agreements or documentation showing attempts to enter into agreements.</t>
  </si>
  <si>
    <t>Official Response Following an Inmate Report</t>
  </si>
  <si>
    <t>115.63 Reporting to other confinement facilities.</t>
  </si>
  <si>
    <t>(c) The agency shall document that it has provided such notification.</t>
  </si>
  <si>
    <t>(f) Administrative investigations (1) shall include an effort to determine whether staff actions or failures to act contributed to the abuse; and (2) shall be documented in written reports that include a description of the physical and testimonial evidence, the reasoning behind credibility assessments, and investigative facts and findings.</t>
  </si>
  <si>
    <t>(g) Criminal investigations shall be documented in a written report that contains a thorough description of physical, testimonial, and documentary evidence and attaches copies of all documentary evidence where feasible.</t>
  </si>
  <si>
    <t>(i) The agency shall retain all written reports referenced in paragraphs (f) and (g) for as long as the alleged abuser is incarcerated or employed by the agency, plus five years.</t>
  </si>
  <si>
    <t xml:space="preserve">(e)  All such notifications or attempted notifications shall be documented.  </t>
  </si>
  <si>
    <t>115.73 Reporting to Inmates</t>
  </si>
  <si>
    <t>Data Collection and Review</t>
  </si>
  <si>
    <t xml:space="preserve">115.71 Criminal and administrative agency investigations </t>
  </si>
  <si>
    <t>Investigations</t>
  </si>
  <si>
    <t>115.86 Sexual Abuse Incident Reviews</t>
  </si>
  <si>
    <t>(d) The review team shall: (6) Prepare a report of its findings, including but not necessarily limited to determinations made pursuant to paragraph (d)(1)-(5), and any recommendations for improvement and submit such report to the facility head and PREA compliance manager.  (e) The facility shall implement the recommendations for improvement, or shall document its reasons for not doing so.</t>
  </si>
  <si>
    <t xml:space="preserve">115.87 Data collection </t>
  </si>
  <si>
    <t>(a) The agency shall collect accurate, uniform data for every allegation of sexual abuse at facilities under its direct control using a standardized instrument and set of definitions.</t>
  </si>
  <si>
    <t>(b) The agency shall aggregate the incident-based sexual abuse data at least annually.</t>
  </si>
  <si>
    <t>(d) The agency shall maintain, review, and collect data as needed from all available incident-based documents, including reports, investigation files, and sexual abuse incident reviews.</t>
  </si>
  <si>
    <r>
      <t>LESS</t>
    </r>
    <r>
      <rPr>
        <sz val="8"/>
        <rFont val="Calibri"/>
        <family val="2"/>
        <scheme val="minor"/>
      </rPr>
      <t xml:space="preserve"> SSV 83-I hours</t>
    </r>
  </si>
  <si>
    <r>
      <t xml:space="preserve">Calculated cells are in ITALICS   </t>
    </r>
    <r>
      <rPr>
        <b/>
        <sz val="8"/>
        <rFont val="Calibri"/>
        <family val="2"/>
        <scheme val="minor"/>
      </rPr>
      <t xml:space="preserve">                     PREA STANDARDS                                           </t>
    </r>
    <r>
      <rPr>
        <b/>
        <i/>
        <sz val="8"/>
        <rFont val="Calibri"/>
        <family val="2"/>
        <scheme val="minor"/>
      </rPr>
      <t>Calculated cells are in ITALICS</t>
    </r>
    <r>
      <rPr>
        <b/>
        <sz val="8"/>
        <rFont val="Calibri"/>
        <family val="2"/>
        <scheme val="minor"/>
      </rPr>
      <t xml:space="preserve">   </t>
    </r>
  </si>
  <si>
    <t>115.88 Data review for corrective action</t>
  </si>
  <si>
    <t>(a) The agency shall review data collected and aggregated pursuant to § 115.87 in order to assess and improve the effectiveness of its sexual abuse prevention, detection, and response policies, practices, and training, including:  (1) Identifying problem areas;  (2) Taking corrective action on an ongoing basis; and (3) Preparing an annual report of its findings and corrective actions for each facility, as well as the agency as a whole.</t>
  </si>
  <si>
    <t>(b) Such report shall include a comparison of the current year’s data and corrective actions with those from prior years and shall provide an assessment of the agency’s progress in addressing sexual abuse.</t>
  </si>
  <si>
    <t>(c) The agency’s report shall be approved by the agency head and made readily available to the public through its Web site or, if it does not have one, through other means.</t>
  </si>
  <si>
    <t xml:space="preserve">115.89 Data storage, publication, and destruction </t>
  </si>
  <si>
    <t>(a) The agency shall ensure that data collected pursuant to § 115.87 are securely retained.</t>
  </si>
  <si>
    <t>(b) The agency shall make all aggregated sexual abuse data, from facilities under its direct control and private facilities with which it contracts, readily available to the public at least annually through its Web site or, if it does not have one, through other means.</t>
  </si>
  <si>
    <t>(d) The agency shall maintain sexual abuse data collected pursuant to § 115.87 for at least 10 years after the date of its initial collection unless Federal, State, or local law requires otherwise.</t>
  </si>
  <si>
    <t>115.122 Policies to ensure referrals of allegations for investigations</t>
  </si>
  <si>
    <t>(b) If another law enforcement agency is responsible for conducting investigations of allegations of sexual abuse or sexual harassment in its lockups, the agency shall have in place a policy to ensure that such allegations are referred for investigation by an agency with the legal authority to conduct criminal investigations, unless the allegation does not involve potentially criminal behavior.  The agency shall publish such policy, including a description of responsibilities of both the agency and the investigating entity, on its Web site, or, if it does not have one, make available the policy through other means.  The agency shall document all such referrals.</t>
  </si>
  <si>
    <t>(c) The agency shall document, via employee signature or electronic verification, that employees understand the training they have received.</t>
  </si>
  <si>
    <t>115.134 Specialized training: Investigations</t>
  </si>
  <si>
    <t>115.234 Specialized training: Investigations</t>
  </si>
  <si>
    <t>115.334 Specialized training: Investigations</t>
  </si>
  <si>
    <t xml:space="preserve">115.131 Employee training </t>
  </si>
  <si>
    <t xml:space="preserve">115.231 Employee training </t>
  </si>
  <si>
    <t xml:space="preserve">115.331 Employee training </t>
  </si>
  <si>
    <t>(c) Staff shall accept reports made verbally, in writing, anonymously, and from third parties and promptly document any verbal reports.</t>
  </si>
  <si>
    <t>115.151 Inmate reporting.</t>
  </si>
  <si>
    <t>115.251 Inmate reporting.</t>
  </si>
  <si>
    <t>115.351 Inmate reporting.</t>
  </si>
  <si>
    <t xml:space="preserve">(c) The agency shall document that it has provided such notification. </t>
  </si>
  <si>
    <t>115.163 Reporting to other confinement facilities.</t>
  </si>
  <si>
    <t>115.263 Reporting to other confinement facilities.</t>
  </si>
  <si>
    <t>115.363 Reporting to other confinement facilities.</t>
  </si>
  <si>
    <t>115.186 Sexual Abuse Incident Reviews</t>
  </si>
  <si>
    <t>115.286 Sexual Abuse Incident Reviews</t>
  </si>
  <si>
    <t>115.386 Sexual Abuse Incident Reviews</t>
  </si>
  <si>
    <t>(d) The review team shall:  (6) Prepare a report of its findings, including but not necessarily limited to determinations made pursuant to paragraph (d)(1)-(5), and any recommendations for improvement and submit such report to the lockup head and agency PREA coordinator.  (e) The lockup shall implement the recommendations for improvement, or shall document its reasons for not doing so.</t>
  </si>
  <si>
    <t xml:space="preserve">115.187 Data collection </t>
  </si>
  <si>
    <t>(a) The agency shall collect accurate, uniform data for every allegation of sexual abuse at lockups under its direct control using a standardized instrument and set of definitions.</t>
  </si>
  <si>
    <t xml:space="preserve"> (d) The agency shall maintain, review, and collect data as needed from all available incident-based documents, including reports, investigation files, and sexual abuse incident reviews.</t>
  </si>
  <si>
    <t>115.188 Data review for corrective action</t>
  </si>
  <si>
    <t>115.288 Data review for corrective action</t>
  </si>
  <si>
    <t>115.388 Data review for corrective action</t>
  </si>
  <si>
    <t>(a) The agency shall review data collected and aggregated pursuant to § 115.187 in order to assess and improve the effectiveness of its sexual abuse prevention, detection, and response policies, practices, and training, including: (1) Identifying problem areas; (2) Taking corrective action on an ongoing basis; and (3) Preparing an annual report of its findings and corrective actions for each lockup, as well as the agency as a whole.</t>
  </si>
  <si>
    <t xml:space="preserve">115.189 Data storage, publication, and destruction </t>
  </si>
  <si>
    <t xml:space="preserve">115.289 Data storage, publication, and destruction </t>
  </si>
  <si>
    <t xml:space="preserve">115.389 Data storage, publication, and destruction </t>
  </si>
  <si>
    <t>(a) The agency shall ensure that data collected pursuant to § 115.187 are securely retained.</t>
  </si>
  <si>
    <t>(b) The agency shall make all aggregated sexual abuse data, from lockups under its direct control and any private agencies with which it contracts, readily available to the public at least annually through its Web site or, if it does not have one, through other means.</t>
  </si>
  <si>
    <t xml:space="preserve">(d) The agency shall maintain sexual abuse data collected pursuant to § 115.187 for at least 10 years after the date of its initial collection unless Federal, State, or local law requires otherwise. </t>
  </si>
  <si>
    <t>(b) The agency shall have in place a policy to ensure that allegations of sexual abuse or sexual harassment are referred for investigation by an agency with the legal authority to conduct criminal investigations, unless the allegation does not involve potentially criminal behavior.  The agency shall publish such policy on its Web site or, if it does not have one, make the policy available through other means. The agency shall document all such referrals.</t>
  </si>
  <si>
    <t xml:space="preserve">(c) The agency shall maintain documentation confirming that volunteers and contractors understand the training they have received. </t>
  </si>
  <si>
    <t>115.232 Volunteer and contractor training</t>
  </si>
  <si>
    <t>115.332 Volunteer and contractor training</t>
  </si>
  <si>
    <t>Training and Education</t>
  </si>
  <si>
    <t>(d) The agency shall maintain documentation of resident participation in these education sessions.</t>
  </si>
  <si>
    <t xml:space="preserve">115.233 Resident education </t>
  </si>
  <si>
    <t xml:space="preserve">115.333 Resident education </t>
  </si>
  <si>
    <t>115.235 Specialized training: Medical and mental health care</t>
  </si>
  <si>
    <t>115.335 Specialized training: Medical and mental health care</t>
  </si>
  <si>
    <t xml:space="preserve">(c) The agency shall maintain documentation that medical and mental health practitioners have received the training referenced in this standard either from the agency or elsewhere. </t>
  </si>
  <si>
    <t>(e) (3) If the resident declines to have the request processed on his or her behalf, the agency shall document the resident’s decision.</t>
  </si>
  <si>
    <t>115.252 Exhaustion of Administrative Remedies</t>
  </si>
  <si>
    <t>(c) The agency shall maintain or attempt to enter into memoranda of understanding or other agreements with community service providers that are able to provide residents with confidential emotional support services related to sexual abuse.  The agency shall maintain copies of agreements or documentation showing attempts to enter into agreements.</t>
  </si>
  <si>
    <t>115.253 Access to Confidential Inmate Support Services</t>
  </si>
  <si>
    <t>(f) Administrative investigations (1) shall include an effort to determine whether staff actions or failures to act contributed to the abuse; and  (2) shall be documented in written reports that include a description of the physical and testimonial evidence, the reasoning behind credibility assessments, and investigative facts and findings.</t>
  </si>
  <si>
    <t xml:space="preserve">(e) All such notifications or attempted notifications shall be documented.  </t>
  </si>
  <si>
    <t>115.273 Reporting to Inmates</t>
  </si>
  <si>
    <t>(d) The review team shall:  (6) Prepare a report of its findings, including but not necessarily limited to determinations made pursuant to paragraph (d)(1)-(5), and any recommendations for improvement and submit such report to the facility head and PREA compliance manager.   (e) The facility shall implement the recommendations for improvement, or shall document its reasons for not doing so.</t>
  </si>
  <si>
    <t xml:space="preserve"> (d) The agency shall maintain, review, and collect data as needed from all available incident-based documents including reports, investigation files, and sexual abuse incident reviews.</t>
  </si>
  <si>
    <t xml:space="preserve">115.287 Data collection </t>
  </si>
  <si>
    <t xml:space="preserve">115.387 Data collection </t>
  </si>
  <si>
    <t>(a) The agency shall review data collected and aggregated pursuant to § 115.287 in order to assess and improve the effectiveness of its sexual abuse prevention, detection, and response policies, practices, and training, including: (1) Identifying problem areas; (2) Taking corrective action on an ongoing basis; and (3) Preparing an annual report of its findings and corrective actions for each facility, as well as the agency as a whole.</t>
  </si>
  <si>
    <t xml:space="preserve">(b) Such report shall include a comparison of the current year’s data and corrective actions with those from prior years and shall provide an assessment of the agency’s progress in addressing sexual abuse.                                </t>
  </si>
  <si>
    <t>(a) The agency shall ensure that data collected pursuant to § 115.287 are securely retained.</t>
  </si>
  <si>
    <t>(d) The agency shall maintain sexual abuse data collected pursuant to § 115.287 for at least 10 years after the date of its initial collection unless Federal, State, or local law requires otherwise.</t>
  </si>
  <si>
    <t>115.222 Policies to ensure referrals of allegations for investigations</t>
  </si>
  <si>
    <t>115.322 Policies to ensure referrals of allegations for investigations</t>
  </si>
  <si>
    <t>(e) The agency shall maintain documentation of resident participation in these education sessions.</t>
  </si>
  <si>
    <t>(h) If a resident is isolated pursuant to paragraph (b) of this standard, the facility shall clearly document: (1) The basis for the facility’s concern for the resident’s safety; and (2) The reason why no alternative means of separation can be arranged.</t>
  </si>
  <si>
    <t>§ 115.342 Placement of residents in housing, bed, program, education, and work assignments.</t>
  </si>
  <si>
    <t>(e)(3) If the resident declines to have the request processed on his or her behalf, the agency shall document the resident’s decision.</t>
  </si>
  <si>
    <t>115.352 Exhaustion of Administrative Remedies</t>
  </si>
  <si>
    <t>115.353 Resident access to outside support services and legal representation.</t>
  </si>
  <si>
    <t xml:space="preserve">(c) The agency shall maintain or attempt to enter into memoranda of understanding or other agreements with community service providers that are able to provide residents with confidential emotional support services related to sexual abuse.  The agency shall maintain copies of agreements or documentation showing attempts to enter into agreements. </t>
  </si>
  <si>
    <t xml:space="preserve">115.171 Criminal and administrative agency investigations </t>
  </si>
  <si>
    <t xml:space="preserve">115.271 Criminal and administrative agency investigations </t>
  </si>
  <si>
    <t xml:space="preserve">115.371 Criminal and administrative agency investigations </t>
  </si>
  <si>
    <t>(g) Administrative investigations (1) shall include an effort to determine whether staff actions or failures to act contributed to the abuse; and (2) shall be documented in written reports that include a description of the physical and testimonial evidence, the reasoning behind credibility assessments, and investigative facts and findings.</t>
  </si>
  <si>
    <t>(h) Criminal investigations shall be documented in a written report that contains a thorough description of physical, testimonial, and documentary evidence and attaches copies of all documentary evidence where feasible.</t>
  </si>
  <si>
    <t>(j) The agency shall retain all written reports referenced in paragraphs (g) and (h) for as long as the alleged abuser is incarcerated or employed by the agency, plus five years, unless the abuser is a resident and retention of such records for such length of time is prohibited by law.</t>
  </si>
  <si>
    <t>115.373 Reporting to Inmates</t>
  </si>
  <si>
    <t>(a) The agency shall review data collected and aggregated pursuant to § 115.387 in order to assess and improve the effectiveness of its sexual abuse prevention, detection, and response policies, practices, and training, including: (1) Identifying problem areas; (2) Taking corrective action on an ongoing basis; and (3) Preparing an annual report of its findings and corrective actions for each facility, as well as the agency as a whole.</t>
  </si>
  <si>
    <t>(a) The agency shall ensure that data collected pursuant to § 115.387 are securely retained.</t>
  </si>
  <si>
    <t>(d) The agency shall maintain sexual abuse data collected pursuant to § 115.387 for at least 10 years after the date of its initial collection unless Federal, State, or local law requires otherwise.</t>
  </si>
  <si>
    <t>115.15 Limits to cross-gender viewing and searches</t>
  </si>
  <si>
    <t>115.115 Limits to cross-gender viewing and searches</t>
  </si>
  <si>
    <t>115.215 Limits to cross-gender viewing and searches</t>
  </si>
  <si>
    <t>115.315 Limits to cross-gender viewing and searches</t>
  </si>
  <si>
    <r>
      <rPr>
        <b/>
        <sz val="8"/>
        <rFont val="Calibri"/>
        <family val="2"/>
        <scheme val="minor"/>
      </rPr>
      <t>NEW</t>
    </r>
    <r>
      <rPr>
        <sz val="8"/>
        <rFont val="Calibri"/>
        <family val="2"/>
        <scheme val="minor"/>
      </rPr>
      <t xml:space="preserve"> BURDEN HOURS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</si>
</sst>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0"/>
      <name val="Arial"/>
    </font>
    <font>
      <sz val="8"/>
      <name val="Arial"/>
    </font>
    <font>
      <sz val="8"/>
      <name val="Calibri"/>
      <family val="2"/>
      <scheme val="minor"/>
    </font>
    <font>
      <i/>
      <sz val="8"/>
      <name val="Calibri"/>
      <family val="2"/>
      <scheme val="minor"/>
    </font>
    <font>
      <sz val="8"/>
      <color theme="0"/>
      <name val="Calibri"/>
      <family val="2"/>
      <scheme val="minor"/>
    </font>
    <font>
      <i/>
      <u/>
      <sz val="8"/>
      <name val="Calibri"/>
      <family val="2"/>
      <scheme val="minor"/>
    </font>
    <font>
      <b/>
      <i/>
      <sz val="8"/>
      <name val="Calibri"/>
      <family val="2"/>
      <scheme val="minor"/>
    </font>
    <font>
      <b/>
      <sz val="8"/>
      <name val="Calibri"/>
      <family val="2"/>
      <scheme val="minor"/>
    </font>
    <font>
      <b/>
      <sz val="10"/>
      <name val="Calibri"/>
      <family val="2"/>
      <scheme val="minor"/>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0">
    <xf numFmtId="0" fontId="0" fillId="0" borderId="0" xfId="0"/>
    <xf numFmtId="0" fontId="2" fillId="0" borderId="1" xfId="0" applyFont="1" applyBorder="1" applyAlignment="1" applyProtection="1">
      <alignment vertical="top"/>
      <protection locked="0"/>
    </xf>
    <xf numFmtId="0" fontId="2" fillId="0" borderId="1" xfId="0" applyFont="1" applyFill="1" applyBorder="1" applyAlignment="1" applyProtection="1">
      <alignment vertical="top"/>
      <protection locked="0"/>
    </xf>
    <xf numFmtId="0" fontId="2" fillId="3" borderId="1" xfId="0" applyFont="1" applyFill="1" applyBorder="1" applyAlignment="1" applyProtection="1">
      <alignment vertical="top"/>
      <protection locked="0"/>
    </xf>
    <xf numFmtId="3" fontId="3" fillId="3" borderId="1" xfId="0" applyNumberFormat="1" applyFont="1" applyFill="1" applyBorder="1" applyAlignment="1" applyProtection="1">
      <alignment vertical="top"/>
      <protection locked="0"/>
    </xf>
    <xf numFmtId="0" fontId="3" fillId="3" borderId="1" xfId="0" applyFont="1" applyFill="1" applyBorder="1" applyAlignment="1" applyProtection="1">
      <alignment vertical="top"/>
      <protection locked="0"/>
    </xf>
    <xf numFmtId="3" fontId="4" fillId="0" borderId="1" xfId="0" applyNumberFormat="1" applyFont="1" applyFill="1" applyBorder="1" applyAlignment="1" applyProtection="1">
      <alignment vertical="top"/>
      <protection locked="0"/>
    </xf>
    <xf numFmtId="10" fontId="4" fillId="6" borderId="1" xfId="0" applyNumberFormat="1" applyFont="1" applyFill="1" applyBorder="1" applyAlignment="1" applyProtection="1">
      <alignment horizontal="center"/>
      <protection locked="0"/>
    </xf>
    <xf numFmtId="10" fontId="4" fillId="6" borderId="1" xfId="0" applyNumberFormat="1" applyFont="1" applyFill="1" applyBorder="1" applyAlignment="1" applyProtection="1">
      <alignment vertical="top"/>
      <protection locked="0"/>
    </xf>
    <xf numFmtId="0" fontId="4" fillId="0" borderId="1" xfId="0" applyFont="1" applyBorder="1" applyAlignment="1" applyProtection="1">
      <alignment vertical="top"/>
      <protection locked="0"/>
    </xf>
    <xf numFmtId="0" fontId="4" fillId="0" borderId="1" xfId="0" applyFont="1" applyFill="1" applyBorder="1" applyAlignment="1" applyProtection="1">
      <alignment vertical="top"/>
      <protection locked="0"/>
    </xf>
    <xf numFmtId="0" fontId="4" fillId="6" borderId="1" xfId="0" applyFont="1" applyFill="1" applyBorder="1" applyAlignment="1" applyProtection="1">
      <alignment vertical="top"/>
      <protection locked="0"/>
    </xf>
    <xf numFmtId="3" fontId="5" fillId="3" borderId="1" xfId="0" applyNumberFormat="1" applyFont="1" applyFill="1" applyBorder="1" applyAlignment="1" applyProtection="1">
      <alignment vertical="top"/>
      <protection locked="0"/>
    </xf>
    <xf numFmtId="3" fontId="4" fillId="0" borderId="1" xfId="0" applyNumberFormat="1" applyFont="1" applyBorder="1" applyAlignment="1" applyProtection="1">
      <alignment vertical="top"/>
      <protection locked="0"/>
    </xf>
    <xf numFmtId="0" fontId="6" fillId="2" borderId="1" xfId="0" applyFont="1" applyFill="1" applyBorder="1" applyAlignment="1" applyProtection="1">
      <alignment vertical="top"/>
      <protection locked="0"/>
    </xf>
    <xf numFmtId="0" fontId="2" fillId="2" borderId="1" xfId="0" applyFont="1" applyFill="1" applyBorder="1" applyAlignment="1" applyProtection="1">
      <alignment vertical="top"/>
      <protection locked="0"/>
    </xf>
    <xf numFmtId="3" fontId="5" fillId="2" borderId="1" xfId="0" applyNumberFormat="1" applyFont="1" applyFill="1" applyBorder="1" applyAlignment="1" applyProtection="1">
      <alignment vertical="top"/>
      <protection locked="0"/>
    </xf>
    <xf numFmtId="3" fontId="3" fillId="0" borderId="1" xfId="0" applyNumberFormat="1" applyFont="1" applyBorder="1" applyAlignment="1" applyProtection="1">
      <alignment vertical="top"/>
      <protection locked="0"/>
    </xf>
    <xf numFmtId="0" fontId="2" fillId="4" borderId="1" xfId="0" applyFont="1" applyFill="1" applyBorder="1" applyAlignment="1" applyProtection="1">
      <alignment vertical="top"/>
      <protection locked="0"/>
    </xf>
    <xf numFmtId="3" fontId="3" fillId="4" borderId="1" xfId="0" applyNumberFormat="1" applyFont="1" applyFill="1" applyBorder="1" applyAlignment="1" applyProtection="1">
      <alignment vertical="top"/>
      <protection locked="0"/>
    </xf>
    <xf numFmtId="0" fontId="3" fillId="4" borderId="1" xfId="0" applyFont="1" applyFill="1" applyBorder="1" applyAlignment="1" applyProtection="1">
      <alignment vertical="top"/>
      <protection locked="0"/>
    </xf>
    <xf numFmtId="0" fontId="6"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0" borderId="1" xfId="0" applyFont="1" applyFill="1" applyBorder="1" applyAlignment="1" applyProtection="1">
      <alignment horizontal="center" vertical="top" wrapText="1"/>
      <protection locked="0"/>
    </xf>
    <xf numFmtId="0" fontId="7" fillId="2" borderId="1" xfId="0" applyFont="1" applyFill="1" applyBorder="1" applyAlignment="1" applyProtection="1">
      <alignment horizontal="center" vertical="top" wrapText="1"/>
      <protection locked="0"/>
    </xf>
    <xf numFmtId="0" fontId="7" fillId="5" borderId="1" xfId="0" applyFont="1" applyFill="1" applyBorder="1" applyAlignment="1" applyProtection="1">
      <alignment horizontal="center" vertical="top" wrapText="1"/>
      <protection locked="0"/>
    </xf>
    <xf numFmtId="0" fontId="7" fillId="0" borderId="1" xfId="0" applyFont="1" applyBorder="1" applyAlignment="1" applyProtection="1">
      <alignment vertical="top" wrapText="1"/>
      <protection locked="0"/>
    </xf>
    <xf numFmtId="0" fontId="7" fillId="2" borderId="1" xfId="0" applyFont="1" applyFill="1" applyBorder="1" applyAlignment="1" applyProtection="1">
      <alignment vertical="top" wrapText="1"/>
      <protection locked="0"/>
    </xf>
    <xf numFmtId="0" fontId="7" fillId="6" borderId="1" xfId="0" applyFont="1" applyFill="1" applyBorder="1" applyAlignment="1" applyProtection="1">
      <alignment vertical="top"/>
      <protection locked="0"/>
    </xf>
    <xf numFmtId="0" fontId="7" fillId="0" borderId="1" xfId="0" applyFont="1" applyFill="1" applyBorder="1" applyAlignment="1" applyProtection="1">
      <alignment vertical="top"/>
      <protection locked="0"/>
    </xf>
    <xf numFmtId="0" fontId="7" fillId="0" borderId="1" xfId="0" applyFont="1" applyBorder="1" applyAlignment="1" applyProtection="1">
      <alignment vertical="top"/>
      <protection locked="0"/>
    </xf>
    <xf numFmtId="0" fontId="7" fillId="2" borderId="1" xfId="0" applyFont="1" applyFill="1" applyBorder="1" applyAlignment="1" applyProtection="1">
      <alignment vertical="top"/>
      <protection locked="0"/>
    </xf>
    <xf numFmtId="0" fontId="2" fillId="6" borderId="1" xfId="0"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7" fillId="6" borderId="1" xfId="0" applyFont="1" applyFill="1" applyBorder="1" applyAlignment="1" applyProtection="1">
      <alignment vertical="top" wrapText="1"/>
      <protection locked="0"/>
    </xf>
    <xf numFmtId="0" fontId="6" fillId="0" borderId="1" xfId="0" applyFont="1" applyBorder="1" applyAlignment="1" applyProtection="1">
      <alignment vertical="top" wrapText="1"/>
      <protection locked="0"/>
    </xf>
    <xf numFmtId="0" fontId="7" fillId="0" borderId="1" xfId="0" applyFont="1" applyFill="1" applyBorder="1" applyAlignment="1" applyProtection="1">
      <alignment vertical="top" wrapText="1"/>
      <protection locked="0"/>
    </xf>
    <xf numFmtId="0" fontId="2" fillId="0" borderId="1" xfId="0" applyFont="1" applyBorder="1" applyAlignment="1" applyProtection="1">
      <alignment vertical="top" wrapText="1"/>
      <protection locked="0"/>
    </xf>
    <xf numFmtId="0" fontId="6"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center" vertical="top" wrapText="1"/>
      <protection locked="0"/>
    </xf>
    <xf numFmtId="0" fontId="2" fillId="5" borderId="1"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protection locked="0"/>
    </xf>
    <xf numFmtId="0" fontId="3" fillId="0" borderId="1" xfId="0" applyFont="1" applyBorder="1" applyAlignment="1" applyProtection="1">
      <alignment vertical="top"/>
      <protection locked="0"/>
    </xf>
    <xf numFmtId="0" fontId="3" fillId="0" borderId="1" xfId="0" applyFont="1" applyFill="1" applyBorder="1" applyAlignment="1" applyProtection="1">
      <alignment vertical="top"/>
      <protection locked="0"/>
    </xf>
    <xf numFmtId="164" fontId="7" fillId="6" borderId="1" xfId="0" applyNumberFormat="1" applyFont="1" applyFill="1" applyBorder="1" applyAlignment="1" applyProtection="1">
      <alignment vertical="top"/>
      <protection locked="0"/>
    </xf>
    <xf numFmtId="0" fontId="8" fillId="0" borderId="1" xfId="0" applyFont="1"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elaney\AppData\Local\Microsoft\Windows\Temporary%20Internet%20Files\Content.Outlook\52BDGW37\spreadsheets\Final%20RIA%20spreadsheets%20at%207%25\BJS%20Flow%20Adjusted%20Prevalence%20Figure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delaney\AppData\Local\Microsoft\Windows\Temporary%20Internet%20Files\Content.Outlook\52BDGW37\spreadsheets\Final%20RIA%20spreadsheets%20at%207%25\RIA%20Master%20Cost%20Calculations%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sons"/>
      <sheetName val="Jails"/>
      <sheetName val="Youth"/>
    </sheetNames>
    <sheetDataSet>
      <sheetData sheetId="0">
        <row r="7">
          <cell r="R7">
            <v>32631.622714305664</v>
          </cell>
        </row>
        <row r="41">
          <cell r="E41">
            <v>393068.01095847611</v>
          </cell>
        </row>
      </sheetData>
      <sheetData sheetId="1">
        <row r="3">
          <cell r="V3">
            <v>0.15</v>
          </cell>
        </row>
      </sheetData>
      <sheetData sheetId="2">
        <row r="1">
          <cell r="A1" t="str">
            <v>Adjusting for false positives and false negatives, juveniles</v>
          </cell>
        </row>
        <row r="60">
          <cell r="S60">
            <v>25731.902121755276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PRISONS"/>
      <sheetName val="JAILS"/>
      <sheetName val="LOCKUPS"/>
      <sheetName val="CCF"/>
      <sheetName val="JUVENILE"/>
      <sheetName val="PREA Coordinator"/>
      <sheetName val="Supervision &amp; Monitoring"/>
      <sheetName val="Youthful Inmates"/>
      <sheetName val="Cross Gender"/>
      <sheetName val="Extrpltd Stdrds (115.16)"/>
      <sheetName val="Extrpltd Stdrds (115.17)"/>
      <sheetName val="Extrpltd Stdrds (115.21)"/>
      <sheetName val="Extrpltd Stdrds (115.22)"/>
      <sheetName val="Training"/>
      <sheetName val="Extrpltd Stdrds (115.41 and 42)"/>
      <sheetName val="Extrpltd Stdrds (115.51)"/>
      <sheetName val="Extrpltd Stdrds (115.52)"/>
      <sheetName val="Extrpltd Stdrds (115.53)"/>
      <sheetName val="Extrpltd Stdrds (115.71)"/>
      <sheetName val="Extrpltd Stdrds (115.72)"/>
      <sheetName val="Medical"/>
      <sheetName val="Extrpltd Stdrds (115.86)"/>
      <sheetName val="Extrpltd Stdrds (115.87)"/>
      <sheetName val="Extrpltd Stdrds (115.88)"/>
      <sheetName val="Extrpltd Stdrds (115.89)"/>
      <sheetName val="Audits"/>
      <sheetName val="Prisons_(Rmng Stdrds Data)"/>
      <sheetName val="Jails_(Rmng Stdrds Data)"/>
      <sheetName val="Lockups_(Rmng Stdrds Data)"/>
      <sheetName val="CCF_(Rmng Stdrds Data)"/>
      <sheetName val="Juvenile_(Rmng Stdrds Data)"/>
      <sheetName val="Tables"/>
      <sheetName val="Prison Rationale"/>
      <sheetName val="Jails Rationale"/>
      <sheetName val="Lockups Rationale"/>
      <sheetName val="CCF Rationale"/>
      <sheetName val="Juvenile Rationa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v>717000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9"/>
  <sheetViews>
    <sheetView tabSelected="1" zoomScale="85" zoomScaleNormal="85" workbookViewId="0">
      <selection activeCell="G12" sqref="G12"/>
    </sheetView>
  </sheetViews>
  <sheetFormatPr defaultColWidth="9.109375" defaultRowHeight="10.199999999999999" x14ac:dyDescent="0.25"/>
  <cols>
    <col min="1" max="1" width="17.33203125" style="1" customWidth="1"/>
    <col min="2" max="2" width="6.6640625" style="1" customWidth="1"/>
    <col min="3" max="3" width="5.33203125" style="1" customWidth="1"/>
    <col min="4" max="4" width="6.88671875" style="1" customWidth="1"/>
    <col min="5" max="5" width="9.5546875" style="1" customWidth="1"/>
    <col min="6" max="6" width="1.109375" style="15" customWidth="1"/>
    <col min="7" max="7" width="15.6640625" style="1" customWidth="1"/>
    <col min="8" max="8" width="3.88671875" style="1" customWidth="1"/>
    <col min="9" max="9" width="6.33203125" style="1" customWidth="1"/>
    <col min="10" max="10" width="7.33203125" style="1" customWidth="1"/>
    <col min="11" max="11" width="8.5546875" style="1" customWidth="1"/>
    <col min="12" max="12" width="0.88671875" style="15" customWidth="1"/>
    <col min="13" max="13" width="15.109375" style="1" customWidth="1"/>
    <col min="14" max="14" width="4.44140625" style="1" customWidth="1"/>
    <col min="15" max="15" width="7.44140625" style="1" customWidth="1"/>
    <col min="16" max="16" width="6.6640625" style="1" customWidth="1"/>
    <col min="17" max="17" width="10.5546875" style="1" customWidth="1"/>
    <col min="18" max="18" width="1.5546875" style="15" customWidth="1"/>
    <col min="19" max="19" width="15" style="1" customWidth="1"/>
    <col min="20" max="20" width="3.6640625" style="1" customWidth="1"/>
    <col min="21" max="21" width="10.109375" style="1" customWidth="1"/>
    <col min="22" max="22" width="7" style="1" customWidth="1"/>
    <col min="23" max="23" width="11.109375" style="1" customWidth="1"/>
    <col min="24" max="24" width="9.33203125" style="1" bestFit="1" customWidth="1"/>
    <col min="25" max="16384" width="9.109375" style="1"/>
  </cols>
  <sheetData>
    <row r="1" spans="1:24" x14ac:dyDescent="0.25">
      <c r="A1" s="1" t="s">
        <v>19</v>
      </c>
      <c r="F1" s="2"/>
      <c r="L1" s="2"/>
      <c r="M1" s="2"/>
      <c r="R1" s="2"/>
    </row>
    <row r="2" spans="1:24" x14ac:dyDescent="0.25">
      <c r="F2" s="2"/>
      <c r="L2" s="2"/>
      <c r="M2" s="2"/>
      <c r="O2" s="1" t="s">
        <v>68</v>
      </c>
      <c r="R2" s="2"/>
      <c r="S2" s="1" t="s">
        <v>71</v>
      </c>
      <c r="V2" s="1" t="s">
        <v>75</v>
      </c>
    </row>
    <row r="3" spans="1:24" x14ac:dyDescent="0.25">
      <c r="F3" s="2"/>
      <c r="G3" s="1" t="s">
        <v>20</v>
      </c>
      <c r="K3" s="1" t="s">
        <v>21</v>
      </c>
      <c r="L3" s="2"/>
      <c r="M3" s="2"/>
      <c r="O3" s="2" t="s">
        <v>69</v>
      </c>
      <c r="P3" s="2"/>
      <c r="Q3" s="2"/>
      <c r="R3" s="2"/>
      <c r="S3" s="1" t="s">
        <v>72</v>
      </c>
      <c r="V3" s="1" t="s">
        <v>72</v>
      </c>
    </row>
    <row r="4" spans="1:24" x14ac:dyDescent="0.2">
      <c r="B4" s="3"/>
      <c r="C4" s="3" t="s">
        <v>10</v>
      </c>
      <c r="D4" s="3"/>
      <c r="E4" s="3"/>
      <c r="F4" s="3"/>
      <c r="G4" s="4">
        <f>E97</f>
        <v>764588.66473033838</v>
      </c>
      <c r="L4" s="2"/>
      <c r="M4" s="5">
        <f>D14</f>
        <v>4049</v>
      </c>
      <c r="O4" s="2"/>
      <c r="P4" s="2">
        <f>(Q4/M4)*(2/3)</f>
        <v>64.718533128916789</v>
      </c>
      <c r="Q4" s="6">
        <f>[1]Prisons!$E$41</f>
        <v>393068.01095847611</v>
      </c>
      <c r="R4" s="2"/>
      <c r="S4" s="1">
        <f>ROUND(($U$8*(U4+V4))/M4,0)</f>
        <v>129</v>
      </c>
      <c r="U4" s="7">
        <v>0.4</v>
      </c>
      <c r="V4" s="8">
        <v>0.33</v>
      </c>
      <c r="W4" s="1">
        <f>ROUND(X4/M4,0)</f>
        <v>3906</v>
      </c>
      <c r="X4" s="9">
        <f>1518104+735454+13560000</f>
        <v>15813558</v>
      </c>
    </row>
    <row r="5" spans="1:24" x14ac:dyDescent="0.25">
      <c r="B5" s="3"/>
      <c r="C5" s="3" t="s">
        <v>11</v>
      </c>
      <c r="D5" s="3"/>
      <c r="E5" s="3"/>
      <c r="F5" s="3"/>
      <c r="G5" s="4">
        <f>K97</f>
        <v>190333.52396666663</v>
      </c>
      <c r="L5" s="2"/>
      <c r="M5" s="5">
        <f>J14</f>
        <v>6083</v>
      </c>
      <c r="O5" s="2"/>
      <c r="P5" s="2">
        <f>0.2</f>
        <v>0.2</v>
      </c>
      <c r="Q5" s="10"/>
      <c r="R5" s="2"/>
      <c r="S5" s="1">
        <f t="shared" ref="S5:S7" si="0">ROUND(($U$8*(U5+V5))/M5,0)</f>
        <v>12</v>
      </c>
      <c r="U5" s="8">
        <v>0.1</v>
      </c>
      <c r="V5" s="11"/>
      <c r="W5" s="1">
        <f>ROUND(X5/M5,0)</f>
        <v>2229</v>
      </c>
      <c r="X5" s="9">
        <f>13560000</f>
        <v>13560000</v>
      </c>
    </row>
    <row r="6" spans="1:24" x14ac:dyDescent="0.25">
      <c r="B6" s="3"/>
      <c r="C6" s="3" t="s">
        <v>16</v>
      </c>
      <c r="D6" s="3"/>
      <c r="E6" s="3"/>
      <c r="F6" s="3"/>
      <c r="G6" s="4">
        <f>Q97</f>
        <v>18411.315077777781</v>
      </c>
      <c r="L6" s="2"/>
      <c r="M6" s="5">
        <f>P14</f>
        <v>529</v>
      </c>
      <c r="P6" s="1">
        <v>0.4</v>
      </c>
      <c r="Q6" s="9"/>
      <c r="R6" s="2"/>
      <c r="S6" s="1">
        <f t="shared" si="0"/>
        <v>27</v>
      </c>
      <c r="U6" s="8">
        <v>0.02</v>
      </c>
      <c r="V6" s="11"/>
      <c r="W6" s="1">
        <f>ROUND(X6/M6,0)</f>
        <v>145</v>
      </c>
      <c r="X6" s="9">
        <v>76620</v>
      </c>
    </row>
    <row r="7" spans="1:24" x14ac:dyDescent="0.25">
      <c r="B7" s="3"/>
      <c r="C7" s="3" t="s">
        <v>13</v>
      </c>
      <c r="D7" s="3"/>
      <c r="E7" s="3"/>
      <c r="F7" s="3"/>
      <c r="G7" s="12">
        <f>W97</f>
        <v>193048.725358114</v>
      </c>
      <c r="L7" s="2"/>
      <c r="M7" s="5">
        <f>V14</f>
        <v>2458</v>
      </c>
      <c r="P7" s="1">
        <f>(Q7/M7)*2/3</f>
        <v>6.9790892654611545</v>
      </c>
      <c r="Q7" s="13">
        <f>[1]Youth!$S$60</f>
        <v>25731.902121755276</v>
      </c>
      <c r="R7" s="2"/>
      <c r="S7" s="1">
        <f t="shared" si="0"/>
        <v>44</v>
      </c>
      <c r="U7" s="8">
        <v>0.15</v>
      </c>
      <c r="V7" s="11"/>
      <c r="W7" s="1">
        <f>ROUND(X7/M7,0)</f>
        <v>40</v>
      </c>
      <c r="X7" s="9">
        <f>98700</f>
        <v>98700</v>
      </c>
    </row>
    <row r="8" spans="1:24" x14ac:dyDescent="0.25">
      <c r="B8" s="3"/>
      <c r="C8" s="14" t="s">
        <v>108</v>
      </c>
      <c r="D8" s="15"/>
      <c r="E8" s="15"/>
      <c r="G8" s="16">
        <v>1522</v>
      </c>
      <c r="L8" s="2"/>
      <c r="M8" s="2"/>
      <c r="R8" s="2"/>
      <c r="U8" s="11">
        <f>'[2]Extrpltd Stdrds (115.17)'!$A$1</f>
        <v>717000</v>
      </c>
      <c r="V8" s="11"/>
    </row>
    <row r="9" spans="1:24" x14ac:dyDescent="0.25">
      <c r="F9" s="2"/>
      <c r="G9" s="17"/>
      <c r="L9" s="2"/>
      <c r="M9" s="2"/>
      <c r="R9" s="2"/>
    </row>
    <row r="10" spans="1:24" x14ac:dyDescent="0.25">
      <c r="C10" s="18" t="s">
        <v>15</v>
      </c>
      <c r="D10" s="18"/>
      <c r="E10" s="18"/>
      <c r="F10" s="18"/>
      <c r="G10" s="19">
        <f>((G4+G5+G6+G7-G8))</f>
        <v>1164860.2291328968</v>
      </c>
      <c r="I10" s="2"/>
      <c r="K10" s="18" t="s">
        <v>23</v>
      </c>
      <c r="L10" s="18"/>
      <c r="M10" s="20">
        <f>SUM(M4:M9)</f>
        <v>13119</v>
      </c>
      <c r="R10" s="2"/>
    </row>
    <row r="11" spans="1:24" x14ac:dyDescent="0.25">
      <c r="C11" s="18" t="s">
        <v>201</v>
      </c>
      <c r="D11" s="18"/>
      <c r="E11" s="18"/>
      <c r="F11" s="2"/>
      <c r="K11" s="18" t="s">
        <v>22</v>
      </c>
      <c r="L11" s="18"/>
      <c r="M11" s="18"/>
      <c r="R11" s="2"/>
    </row>
    <row r="12" spans="1:24" ht="51" x14ac:dyDescent="0.25">
      <c r="A12" s="21" t="s">
        <v>109</v>
      </c>
      <c r="B12" s="21"/>
      <c r="C12" s="21"/>
      <c r="D12" s="21"/>
      <c r="E12" s="21"/>
      <c r="F12" s="21"/>
      <c r="G12" s="49"/>
      <c r="H12" s="21"/>
      <c r="I12" s="21"/>
      <c r="J12" s="21"/>
      <c r="K12" s="21"/>
      <c r="L12" s="21"/>
      <c r="M12" s="21"/>
      <c r="N12" s="21"/>
      <c r="O12" s="21"/>
      <c r="P12" s="21"/>
      <c r="Q12" s="21"/>
      <c r="R12" s="21"/>
      <c r="S12" s="21"/>
    </row>
    <row r="13" spans="1:24" ht="40.799999999999997" x14ac:dyDescent="0.25">
      <c r="A13" s="22" t="s">
        <v>32</v>
      </c>
      <c r="B13" s="23" t="s">
        <v>24</v>
      </c>
      <c r="C13" s="22" t="s">
        <v>17</v>
      </c>
      <c r="D13" s="22" t="s">
        <v>25</v>
      </c>
      <c r="E13" s="21" t="s">
        <v>18</v>
      </c>
      <c r="F13" s="24"/>
      <c r="G13" s="22" t="s">
        <v>33</v>
      </c>
      <c r="H13" s="23" t="s">
        <v>24</v>
      </c>
      <c r="I13" s="22" t="s">
        <v>17</v>
      </c>
      <c r="J13" s="22" t="s">
        <v>25</v>
      </c>
      <c r="K13" s="21" t="s">
        <v>18</v>
      </c>
      <c r="L13" s="24"/>
      <c r="M13" s="22" t="s">
        <v>34</v>
      </c>
      <c r="N13" s="23" t="s">
        <v>24</v>
      </c>
      <c r="O13" s="22" t="s">
        <v>17</v>
      </c>
      <c r="P13" s="22" t="s">
        <v>25</v>
      </c>
      <c r="Q13" s="21" t="s">
        <v>18</v>
      </c>
      <c r="R13" s="24"/>
      <c r="S13" s="22" t="s">
        <v>35</v>
      </c>
      <c r="T13" s="23" t="s">
        <v>24</v>
      </c>
      <c r="U13" s="22" t="s">
        <v>17</v>
      </c>
      <c r="V13" s="22" t="s">
        <v>25</v>
      </c>
      <c r="W13" s="21" t="s">
        <v>18</v>
      </c>
    </row>
    <row r="14" spans="1:24" x14ac:dyDescent="0.25">
      <c r="A14" s="22" t="s">
        <v>26</v>
      </c>
      <c r="B14" s="22"/>
      <c r="C14" s="22"/>
      <c r="D14" s="25">
        <f>1190+2859</f>
        <v>4049</v>
      </c>
      <c r="E14" s="22"/>
      <c r="F14" s="24"/>
      <c r="G14" s="26" t="s">
        <v>26</v>
      </c>
      <c r="H14" s="22"/>
      <c r="I14" s="22"/>
      <c r="J14" s="25">
        <v>6083</v>
      </c>
      <c r="K14" s="22"/>
      <c r="L14" s="27"/>
      <c r="M14" s="26" t="s">
        <v>26</v>
      </c>
      <c r="N14" s="22"/>
      <c r="O14" s="22"/>
      <c r="P14" s="25">
        <v>529</v>
      </c>
      <c r="Q14" s="22"/>
      <c r="R14" s="27"/>
      <c r="S14" s="26" t="s">
        <v>27</v>
      </c>
      <c r="T14" s="22"/>
      <c r="U14" s="22"/>
      <c r="V14" s="25">
        <v>2458</v>
      </c>
      <c r="W14" s="22"/>
    </row>
    <row r="15" spans="1:24" x14ac:dyDescent="0.25">
      <c r="A15" s="28" t="s">
        <v>28</v>
      </c>
      <c r="B15" s="28"/>
      <c r="C15" s="28"/>
      <c r="D15" s="28"/>
      <c r="E15" s="29"/>
      <c r="F15" s="29"/>
      <c r="G15" s="29" t="s">
        <v>29</v>
      </c>
      <c r="H15" s="29"/>
      <c r="I15" s="29"/>
      <c r="J15" s="28"/>
      <c r="K15" s="29"/>
      <c r="L15" s="29"/>
      <c r="M15" s="29" t="s">
        <v>30</v>
      </c>
      <c r="N15" s="29"/>
      <c r="O15" s="30"/>
      <c r="P15" s="28"/>
      <c r="Q15" s="29"/>
      <c r="R15" s="31"/>
      <c r="S15" s="29" t="s">
        <v>31</v>
      </c>
      <c r="T15" s="30"/>
      <c r="U15" s="30"/>
      <c r="V15" s="28"/>
      <c r="W15" s="29"/>
    </row>
    <row r="16" spans="1:24" ht="150.75" customHeight="1" x14ac:dyDescent="0.25">
      <c r="A16" s="32" t="s">
        <v>36</v>
      </c>
      <c r="B16" s="28">
        <v>1</v>
      </c>
      <c r="C16" s="28">
        <v>3</v>
      </c>
      <c r="D16" s="28">
        <f>D$14</f>
        <v>4049</v>
      </c>
      <c r="E16" s="43">
        <f>B16*C16*D16</f>
        <v>12147</v>
      </c>
      <c r="F16" s="29"/>
      <c r="G16" s="34" t="s">
        <v>36</v>
      </c>
      <c r="H16" s="29">
        <v>1</v>
      </c>
      <c r="I16" s="29">
        <v>1.5</v>
      </c>
      <c r="J16" s="28">
        <f>J$14</f>
        <v>6083</v>
      </c>
      <c r="K16" s="43">
        <f>H16*I16*J16</f>
        <v>9124.5</v>
      </c>
      <c r="L16" s="29"/>
      <c r="M16" s="34" t="s">
        <v>36</v>
      </c>
      <c r="N16" s="29">
        <v>1</v>
      </c>
      <c r="O16" s="30">
        <v>1.5</v>
      </c>
      <c r="P16" s="28">
        <f>P$14</f>
        <v>529</v>
      </c>
      <c r="Q16" s="43">
        <f>N16*O16*P16</f>
        <v>793.5</v>
      </c>
      <c r="R16" s="31"/>
      <c r="S16" s="34" t="s">
        <v>36</v>
      </c>
      <c r="T16" s="30">
        <v>1</v>
      </c>
      <c r="U16" s="30">
        <v>3</v>
      </c>
      <c r="V16" s="28">
        <f>V$14</f>
        <v>2458</v>
      </c>
      <c r="W16" s="43">
        <f>T16*U16*V16</f>
        <v>7374</v>
      </c>
    </row>
    <row r="17" spans="1:23" s="30" customFormat="1" ht="39" customHeight="1" x14ac:dyDescent="0.25">
      <c r="A17" s="35" t="s">
        <v>37</v>
      </c>
      <c r="B17" s="28"/>
      <c r="C17" s="28"/>
      <c r="D17" s="28"/>
      <c r="E17" s="36"/>
      <c r="F17" s="29"/>
      <c r="G17" s="37" t="s">
        <v>38</v>
      </c>
      <c r="H17" s="29"/>
      <c r="I17" s="29"/>
      <c r="J17" s="28"/>
      <c r="K17" s="36"/>
      <c r="L17" s="29"/>
      <c r="M17" s="37" t="s">
        <v>39</v>
      </c>
      <c r="N17" s="29"/>
      <c r="P17" s="28"/>
      <c r="Q17" s="36"/>
      <c r="R17" s="31"/>
      <c r="S17" s="37" t="s">
        <v>40</v>
      </c>
      <c r="V17" s="28"/>
      <c r="W17" s="36"/>
    </row>
    <row r="18" spans="1:23" ht="180.75" customHeight="1" x14ac:dyDescent="0.25">
      <c r="A18" s="32" t="s">
        <v>41</v>
      </c>
      <c r="B18" s="28">
        <v>1</v>
      </c>
      <c r="C18" s="28">
        <v>40</v>
      </c>
      <c r="D18" s="28">
        <v>1129</v>
      </c>
      <c r="E18" s="43">
        <f>B18*C18*D18</f>
        <v>45160</v>
      </c>
      <c r="F18" s="29"/>
      <c r="G18" s="34" t="s">
        <v>47</v>
      </c>
      <c r="H18" s="29">
        <v>1</v>
      </c>
      <c r="I18" s="29">
        <v>20</v>
      </c>
      <c r="J18" s="28">
        <f>J$14</f>
        <v>6083</v>
      </c>
      <c r="K18" s="43">
        <f>H18*I18*J18</f>
        <v>121660</v>
      </c>
      <c r="L18" s="29"/>
      <c r="M18" s="34" t="s">
        <v>50</v>
      </c>
      <c r="N18" s="29">
        <v>1</v>
      </c>
      <c r="O18" s="30">
        <v>20</v>
      </c>
      <c r="P18" s="28">
        <f>$P$14</f>
        <v>529</v>
      </c>
      <c r="Q18" s="43">
        <f>N18*O18*P18</f>
        <v>10580</v>
      </c>
      <c r="R18" s="31"/>
      <c r="S18" s="34" t="s">
        <v>53</v>
      </c>
      <c r="T18" s="30">
        <v>1</v>
      </c>
      <c r="U18" s="30">
        <v>40</v>
      </c>
      <c r="V18" s="28">
        <v>1962</v>
      </c>
      <c r="W18" s="43">
        <f>T18*U18*V18</f>
        <v>78480</v>
      </c>
    </row>
    <row r="19" spans="1:23" ht="269.25" customHeight="1" x14ac:dyDescent="0.25">
      <c r="A19" s="32" t="s">
        <v>42</v>
      </c>
      <c r="B19" s="28">
        <v>26</v>
      </c>
      <c r="C19" s="48">
        <f>1/6</f>
        <v>0.16666666666666666</v>
      </c>
      <c r="D19" s="28">
        <f t="shared" ref="D19:D21" si="1">D$14</f>
        <v>4049</v>
      </c>
      <c r="E19" s="43">
        <f>B19*C19*D19</f>
        <v>17545.666666666664</v>
      </c>
      <c r="F19" s="29"/>
      <c r="G19" s="34" t="s">
        <v>45</v>
      </c>
      <c r="H19" s="28">
        <v>12</v>
      </c>
      <c r="I19" s="48">
        <f>1/6</f>
        <v>0.16666666666666666</v>
      </c>
      <c r="J19" s="28">
        <f t="shared" ref="J19:J20" si="2">J$14</f>
        <v>6083</v>
      </c>
      <c r="K19" s="43">
        <f>H19*I19*J19</f>
        <v>12166</v>
      </c>
      <c r="L19" s="29"/>
      <c r="M19" s="34" t="s">
        <v>48</v>
      </c>
      <c r="N19" s="28">
        <v>12</v>
      </c>
      <c r="O19" s="28">
        <f>1/6</f>
        <v>0.16666666666666666</v>
      </c>
      <c r="P19" s="28">
        <f t="shared" ref="P19:P20" si="3">P$14</f>
        <v>529</v>
      </c>
      <c r="Q19" s="43">
        <f>N19*O19*P19</f>
        <v>1058</v>
      </c>
      <c r="R19" s="31"/>
      <c r="S19" s="38" t="s">
        <v>54</v>
      </c>
      <c r="T19" s="30">
        <v>26</v>
      </c>
      <c r="U19" s="30">
        <f>1/6</f>
        <v>0.16666666666666666</v>
      </c>
      <c r="V19" s="28">
        <f t="shared" ref="V19:V21" si="4">V$14</f>
        <v>2458</v>
      </c>
      <c r="W19" s="43">
        <f>T19*U19*V19</f>
        <v>10651.333333333332</v>
      </c>
    </row>
    <row r="20" spans="1:23" ht="315" customHeight="1" x14ac:dyDescent="0.25">
      <c r="A20" s="32" t="s">
        <v>43</v>
      </c>
      <c r="B20" s="28">
        <v>1</v>
      </c>
      <c r="C20" s="28">
        <v>1</v>
      </c>
      <c r="D20" s="28">
        <f t="shared" si="1"/>
        <v>4049</v>
      </c>
      <c r="E20" s="43">
        <f>B20*C20*D20</f>
        <v>4049</v>
      </c>
      <c r="F20" s="29"/>
      <c r="G20" s="34" t="s">
        <v>46</v>
      </c>
      <c r="H20" s="28">
        <v>1</v>
      </c>
      <c r="I20" s="28">
        <v>1</v>
      </c>
      <c r="J20" s="28">
        <f t="shared" si="2"/>
        <v>6083</v>
      </c>
      <c r="K20" s="43">
        <f>H20*I20*J20</f>
        <v>6083</v>
      </c>
      <c r="L20" s="29"/>
      <c r="M20" s="34" t="s">
        <v>49</v>
      </c>
      <c r="N20" s="28">
        <v>1</v>
      </c>
      <c r="O20" s="28">
        <v>1</v>
      </c>
      <c r="P20" s="28">
        <f t="shared" si="3"/>
        <v>529</v>
      </c>
      <c r="Q20" s="43">
        <f>N20*O20*P20</f>
        <v>529</v>
      </c>
      <c r="R20" s="31"/>
      <c r="S20" s="34" t="s">
        <v>51</v>
      </c>
      <c r="T20" s="28">
        <v>1</v>
      </c>
      <c r="U20" s="28">
        <v>1</v>
      </c>
      <c r="V20" s="28">
        <f t="shared" si="4"/>
        <v>2458</v>
      </c>
      <c r="W20" s="43">
        <f>T20*U20*V20</f>
        <v>2458</v>
      </c>
    </row>
    <row r="21" spans="1:23" ht="372.75" customHeight="1" x14ac:dyDescent="0.25">
      <c r="A21" s="32" t="s">
        <v>44</v>
      </c>
      <c r="B21" s="28">
        <v>156</v>
      </c>
      <c r="C21" s="28">
        <f>1/60</f>
        <v>1.6666666666666666E-2</v>
      </c>
      <c r="D21" s="28">
        <f t="shared" si="1"/>
        <v>4049</v>
      </c>
      <c r="E21" s="43">
        <f>B21*C21*D21</f>
        <v>10527.4</v>
      </c>
      <c r="F21" s="29"/>
      <c r="G21" s="34"/>
      <c r="H21" s="29"/>
      <c r="I21" s="29"/>
      <c r="J21" s="28"/>
      <c r="K21" s="33"/>
      <c r="L21" s="29"/>
      <c r="M21" s="34"/>
      <c r="N21" s="29"/>
      <c r="O21" s="30"/>
      <c r="P21" s="28"/>
      <c r="Q21" s="33"/>
      <c r="R21" s="31"/>
      <c r="S21" s="34" t="s">
        <v>52</v>
      </c>
      <c r="T21" s="28">
        <v>156</v>
      </c>
      <c r="U21" s="28">
        <f>1/60</f>
        <v>1.6666666666666666E-2</v>
      </c>
      <c r="V21" s="28">
        <f t="shared" si="4"/>
        <v>2458</v>
      </c>
      <c r="W21" s="43">
        <f>T21*U21*V21</f>
        <v>6390.8</v>
      </c>
    </row>
    <row r="22" spans="1:23" ht="30.6" x14ac:dyDescent="0.25">
      <c r="A22" s="26" t="s">
        <v>197</v>
      </c>
      <c r="B22" s="22"/>
      <c r="C22" s="26"/>
      <c r="D22" s="26"/>
      <c r="E22" s="26"/>
      <c r="F22" s="27"/>
      <c r="G22" s="26" t="s">
        <v>198</v>
      </c>
      <c r="H22" s="22"/>
      <c r="I22" s="39"/>
      <c r="J22" s="26"/>
      <c r="K22" s="26"/>
      <c r="L22" s="27"/>
      <c r="M22" s="26" t="s">
        <v>199</v>
      </c>
      <c r="N22" s="22"/>
      <c r="O22" s="39"/>
      <c r="P22" s="26"/>
      <c r="Q22" s="26"/>
      <c r="R22" s="27"/>
      <c r="S22" s="26" t="s">
        <v>200</v>
      </c>
      <c r="T22" s="22"/>
      <c r="U22" s="39"/>
      <c r="V22" s="26"/>
      <c r="W22" s="26"/>
    </row>
    <row r="23" spans="1:23" ht="113.25" customHeight="1" x14ac:dyDescent="0.25">
      <c r="A23" s="38" t="s">
        <v>55</v>
      </c>
      <c r="B23" s="40">
        <v>13</v>
      </c>
      <c r="C23" s="41">
        <v>3.3000000000000002E-2</v>
      </c>
      <c r="D23" s="33">
        <v>2025</v>
      </c>
      <c r="E23" s="43">
        <f>B23*C23*D23</f>
        <v>868.72500000000014</v>
      </c>
      <c r="F23" s="42"/>
      <c r="G23" s="38" t="s">
        <v>56</v>
      </c>
      <c r="H23" s="40">
        <v>6</v>
      </c>
      <c r="I23" s="43">
        <f>$C23</f>
        <v>3.3000000000000002E-2</v>
      </c>
      <c r="J23" s="33">
        <v>3041</v>
      </c>
      <c r="K23" s="43">
        <f>H23*I23*J23</f>
        <v>602.11800000000005</v>
      </c>
      <c r="L23" s="42"/>
      <c r="M23" s="38" t="s">
        <v>57</v>
      </c>
      <c r="N23" s="40">
        <v>6</v>
      </c>
      <c r="O23" s="43">
        <f>$C23</f>
        <v>3.3000000000000002E-2</v>
      </c>
      <c r="P23" s="33">
        <v>265</v>
      </c>
      <c r="Q23" s="43">
        <f>N23*O23*P23</f>
        <v>52.470000000000006</v>
      </c>
      <c r="R23" s="42"/>
      <c r="S23" s="38" t="s">
        <v>58</v>
      </c>
      <c r="T23" s="40">
        <v>26</v>
      </c>
      <c r="U23" s="43">
        <f>$C23</f>
        <v>3.3000000000000002E-2</v>
      </c>
      <c r="V23" s="33">
        <f>V$14</f>
        <v>2458</v>
      </c>
      <c r="W23" s="43">
        <f>T23*U23*V23</f>
        <v>2108.9640000000004</v>
      </c>
    </row>
    <row r="24" spans="1:23" x14ac:dyDescent="0.25">
      <c r="A24" s="38"/>
      <c r="B24" s="44"/>
      <c r="C24" s="38"/>
      <c r="D24" s="33"/>
      <c r="E24" s="33"/>
      <c r="F24" s="42"/>
      <c r="G24" s="38"/>
      <c r="H24" s="44"/>
      <c r="I24" s="43"/>
      <c r="J24" s="33"/>
      <c r="K24" s="33"/>
      <c r="L24" s="42"/>
      <c r="M24" s="38"/>
      <c r="N24" s="44"/>
      <c r="O24" s="43"/>
      <c r="P24" s="33"/>
      <c r="Q24" s="33"/>
      <c r="R24" s="42"/>
      <c r="S24" s="38"/>
      <c r="T24" s="44"/>
      <c r="U24" s="43"/>
      <c r="V24" s="33"/>
      <c r="W24" s="33"/>
    </row>
    <row r="25" spans="1:23" x14ac:dyDescent="0.25">
      <c r="A25" s="38"/>
      <c r="B25" s="44"/>
      <c r="C25" s="38"/>
      <c r="D25" s="33"/>
      <c r="E25" s="33"/>
      <c r="F25" s="42"/>
      <c r="G25" s="38"/>
      <c r="H25" s="44"/>
      <c r="I25" s="43"/>
      <c r="J25" s="33"/>
      <c r="K25" s="33"/>
      <c r="L25" s="42"/>
      <c r="M25" s="38"/>
      <c r="N25" s="44"/>
      <c r="O25" s="43"/>
      <c r="P25" s="33"/>
      <c r="Q25" s="33"/>
      <c r="R25" s="42"/>
      <c r="S25" s="38"/>
      <c r="T25" s="44"/>
      <c r="U25" s="43"/>
      <c r="V25" s="33"/>
      <c r="W25" s="33"/>
    </row>
    <row r="26" spans="1:23" x14ac:dyDescent="0.25">
      <c r="A26" s="26" t="s">
        <v>59</v>
      </c>
      <c r="B26" s="22"/>
      <c r="C26" s="26"/>
      <c r="D26" s="36"/>
      <c r="E26" s="36"/>
      <c r="F26" s="27"/>
      <c r="G26" s="26" t="s">
        <v>59</v>
      </c>
      <c r="H26" s="22"/>
      <c r="I26" s="39"/>
      <c r="J26" s="36"/>
      <c r="K26" s="36"/>
      <c r="L26" s="27"/>
      <c r="M26" s="26" t="s">
        <v>59</v>
      </c>
      <c r="N26" s="22"/>
      <c r="O26" s="39"/>
      <c r="P26" s="36"/>
      <c r="Q26" s="36"/>
      <c r="R26" s="27"/>
      <c r="S26" s="26" t="s">
        <v>59</v>
      </c>
      <c r="T26" s="22"/>
      <c r="U26" s="39"/>
      <c r="V26" s="36"/>
      <c r="W26" s="36"/>
    </row>
    <row r="27" spans="1:23" x14ac:dyDescent="0.25">
      <c r="B27" s="45"/>
      <c r="D27" s="46"/>
      <c r="E27" s="46"/>
      <c r="H27" s="45"/>
      <c r="I27" s="47"/>
      <c r="J27" s="46"/>
      <c r="K27" s="46"/>
      <c r="N27" s="45"/>
      <c r="O27" s="47"/>
      <c r="P27" s="46"/>
      <c r="Q27" s="46"/>
      <c r="T27" s="45"/>
      <c r="U27" s="47"/>
      <c r="V27" s="46"/>
      <c r="W27" s="46"/>
    </row>
    <row r="28" spans="1:23" ht="40.5" customHeight="1" x14ac:dyDescent="0.25">
      <c r="A28" s="26" t="s">
        <v>60</v>
      </c>
      <c r="B28" s="45"/>
      <c r="D28" s="46"/>
      <c r="E28" s="46"/>
      <c r="G28" s="26" t="s">
        <v>61</v>
      </c>
      <c r="H28" s="45"/>
      <c r="I28" s="47"/>
      <c r="J28" s="46"/>
      <c r="K28" s="46"/>
      <c r="M28" s="26" t="s">
        <v>62</v>
      </c>
      <c r="N28" s="45"/>
      <c r="O28" s="47"/>
      <c r="P28" s="46"/>
      <c r="Q28" s="46"/>
      <c r="S28" s="26" t="s">
        <v>63</v>
      </c>
      <c r="T28" s="45"/>
      <c r="U28" s="47"/>
      <c r="V28" s="46"/>
      <c r="W28" s="46"/>
    </row>
    <row r="29" spans="1:23" ht="46.5" customHeight="1" x14ac:dyDescent="0.25">
      <c r="A29" s="38" t="s">
        <v>64</v>
      </c>
      <c r="B29" s="45">
        <v>10</v>
      </c>
      <c r="C29" s="1">
        <f>1/12</f>
        <v>8.3333333333333329E-2</v>
      </c>
      <c r="D29" s="33">
        <f>D$14</f>
        <v>4049</v>
      </c>
      <c r="E29" s="43">
        <f>B29*C29*D29</f>
        <v>3374.1666666666665</v>
      </c>
      <c r="G29" s="38" t="s">
        <v>64</v>
      </c>
      <c r="H29" s="45">
        <f>P5</f>
        <v>0.2</v>
      </c>
      <c r="I29" s="1">
        <f>1/12</f>
        <v>8.3333333333333329E-2</v>
      </c>
      <c r="J29" s="33">
        <f>J$14</f>
        <v>6083</v>
      </c>
      <c r="K29" s="43">
        <f>H29*I29*J29</f>
        <v>101.38333333333333</v>
      </c>
      <c r="M29" s="38" t="s">
        <v>64</v>
      </c>
      <c r="N29" s="45">
        <f>P6</f>
        <v>0.4</v>
      </c>
      <c r="O29" s="1">
        <f>1/12</f>
        <v>8.3333333333333329E-2</v>
      </c>
      <c r="P29" s="33">
        <f>P$14</f>
        <v>529</v>
      </c>
      <c r="Q29" s="43">
        <f>N29*O29*P29</f>
        <v>17.633333333333333</v>
      </c>
      <c r="S29" s="38" t="s">
        <v>64</v>
      </c>
      <c r="T29" s="45">
        <v>10</v>
      </c>
      <c r="U29" s="1">
        <f>1/12</f>
        <v>8.3333333333333329E-2</v>
      </c>
      <c r="V29" s="33">
        <f>V$14</f>
        <v>2458</v>
      </c>
      <c r="W29" s="43">
        <f>T29*U29*V29</f>
        <v>2048.333333333333</v>
      </c>
    </row>
    <row r="30" spans="1:23" ht="46.5" customHeight="1" x14ac:dyDescent="0.25">
      <c r="A30" s="38" t="s">
        <v>65</v>
      </c>
      <c r="B30" s="45">
        <v>10</v>
      </c>
      <c r="C30" s="1">
        <f>1/30</f>
        <v>3.3333333333333333E-2</v>
      </c>
      <c r="D30" s="33">
        <f>D$14</f>
        <v>4049</v>
      </c>
      <c r="E30" s="43">
        <f>B30*C30*D30</f>
        <v>1349.6666666666665</v>
      </c>
      <c r="H30" s="45"/>
      <c r="I30" s="47"/>
      <c r="J30" s="46"/>
      <c r="K30" s="46"/>
      <c r="M30" s="38" t="s">
        <v>65</v>
      </c>
      <c r="N30" s="45">
        <f>P6</f>
        <v>0.4</v>
      </c>
      <c r="O30" s="1">
        <f>1/30</f>
        <v>3.3333333333333333E-2</v>
      </c>
      <c r="P30" s="33">
        <f>P$14</f>
        <v>529</v>
      </c>
      <c r="Q30" s="43">
        <f>N30*O30*P30</f>
        <v>7.0533333333333337</v>
      </c>
      <c r="S30" s="38" t="s">
        <v>65</v>
      </c>
      <c r="T30" s="45">
        <v>10</v>
      </c>
      <c r="U30" s="1">
        <f>1/30</f>
        <v>3.3333333333333333E-2</v>
      </c>
      <c r="V30" s="33">
        <f>V$14</f>
        <v>2458</v>
      </c>
      <c r="W30" s="43">
        <f>T30*U30*V30</f>
        <v>819.33333333333326</v>
      </c>
    </row>
    <row r="31" spans="1:23" ht="40.799999999999997" x14ac:dyDescent="0.25">
      <c r="A31" s="26" t="s">
        <v>67</v>
      </c>
      <c r="B31" s="22"/>
      <c r="C31" s="26"/>
      <c r="D31" s="36"/>
      <c r="E31" s="36"/>
      <c r="F31" s="27"/>
      <c r="G31" s="26" t="s">
        <v>118</v>
      </c>
      <c r="H31" s="22"/>
      <c r="I31" s="39"/>
      <c r="J31" s="36"/>
      <c r="K31" s="36"/>
      <c r="L31" s="27"/>
      <c r="M31" s="26" t="s">
        <v>178</v>
      </c>
      <c r="N31" s="22"/>
      <c r="O31" s="39"/>
      <c r="P31" s="36"/>
      <c r="Q31" s="36"/>
      <c r="R31" s="27"/>
      <c r="S31" s="26" t="s">
        <v>179</v>
      </c>
      <c r="T31" s="22"/>
      <c r="U31" s="39"/>
      <c r="V31" s="36"/>
      <c r="W31" s="36"/>
    </row>
    <row r="32" spans="1:23" ht="346.8" x14ac:dyDescent="0.25">
      <c r="A32" s="38" t="s">
        <v>66</v>
      </c>
      <c r="B32" s="40">
        <v>32</v>
      </c>
      <c r="C32" s="41">
        <v>8.3000000000000004E-2</v>
      </c>
      <c r="D32" s="33">
        <f>D$14</f>
        <v>4049</v>
      </c>
      <c r="E32" s="43">
        <f>B32*C32*D32</f>
        <v>10754.144</v>
      </c>
      <c r="F32" s="42"/>
      <c r="G32" s="38" t="s">
        <v>119</v>
      </c>
      <c r="H32" s="40">
        <f>P5</f>
        <v>0.2</v>
      </c>
      <c r="I32" s="43">
        <f>$C32</f>
        <v>8.3000000000000004E-2</v>
      </c>
      <c r="J32" s="33">
        <f>J$14</f>
        <v>6083</v>
      </c>
      <c r="K32" s="43">
        <f>H32*I32*J32</f>
        <v>100.9778</v>
      </c>
      <c r="L32" s="27"/>
      <c r="M32" s="38" t="s">
        <v>152</v>
      </c>
      <c r="N32" s="40">
        <f>P6</f>
        <v>0.4</v>
      </c>
      <c r="O32" s="43">
        <f>$C32</f>
        <v>8.3000000000000004E-2</v>
      </c>
      <c r="P32" s="33">
        <f>P$14</f>
        <v>529</v>
      </c>
      <c r="Q32" s="43">
        <f>N32*O32*P32</f>
        <v>17.562799999999999</v>
      </c>
      <c r="R32" s="42"/>
      <c r="S32" s="38" t="s">
        <v>152</v>
      </c>
      <c r="T32" s="40">
        <f>P7</f>
        <v>6.9790892654611545</v>
      </c>
      <c r="U32" s="43">
        <f>$C32</f>
        <v>8.3000000000000004E-2</v>
      </c>
      <c r="V32" s="33">
        <f>V$14</f>
        <v>2458</v>
      </c>
      <c r="W32" s="43">
        <f>T32*U32*V32</f>
        <v>1423.831917403792</v>
      </c>
    </row>
    <row r="33" spans="1:23" ht="5.25" hidden="1" customHeight="1" x14ac:dyDescent="0.25">
      <c r="B33" s="45"/>
      <c r="D33" s="46"/>
      <c r="E33" s="46"/>
      <c r="H33" s="45"/>
      <c r="I33" s="47"/>
      <c r="J33" s="46"/>
      <c r="K33" s="46"/>
      <c r="N33" s="45"/>
      <c r="O33" s="47"/>
      <c r="P33" s="46"/>
      <c r="Q33" s="46"/>
      <c r="T33" s="45"/>
      <c r="U33" s="47"/>
      <c r="V33" s="46"/>
      <c r="W33" s="46"/>
    </row>
    <row r="34" spans="1:23" x14ac:dyDescent="0.25">
      <c r="A34" s="26" t="s">
        <v>156</v>
      </c>
      <c r="B34" s="22"/>
      <c r="C34" s="26"/>
      <c r="D34" s="36"/>
      <c r="E34" s="36"/>
      <c r="F34" s="27"/>
      <c r="G34" s="26" t="s">
        <v>156</v>
      </c>
      <c r="H34" s="22"/>
      <c r="I34" s="39"/>
      <c r="J34" s="36"/>
      <c r="K34" s="36"/>
      <c r="L34" s="27"/>
      <c r="M34" s="26" t="s">
        <v>156</v>
      </c>
      <c r="N34" s="22"/>
      <c r="O34" s="39"/>
      <c r="P34" s="36"/>
      <c r="Q34" s="36"/>
      <c r="R34" s="27"/>
      <c r="S34" s="26" t="s">
        <v>156</v>
      </c>
      <c r="T34" s="22"/>
      <c r="U34" s="39"/>
      <c r="V34" s="36"/>
      <c r="W34" s="36"/>
    </row>
    <row r="35" spans="1:23" x14ac:dyDescent="0.25">
      <c r="A35" s="26"/>
      <c r="B35" s="22"/>
      <c r="C35" s="26"/>
      <c r="D35" s="36"/>
      <c r="E35" s="36"/>
      <c r="F35" s="27"/>
      <c r="G35" s="26"/>
      <c r="H35" s="22"/>
      <c r="I35" s="39"/>
      <c r="J35" s="36"/>
      <c r="K35" s="36"/>
      <c r="L35" s="27"/>
      <c r="M35" s="26"/>
      <c r="N35" s="22"/>
      <c r="O35" s="39"/>
      <c r="P35" s="36"/>
      <c r="Q35" s="36"/>
      <c r="R35" s="27"/>
      <c r="S35" s="26"/>
      <c r="T35" s="22"/>
      <c r="U35" s="39"/>
      <c r="V35" s="36"/>
      <c r="W35" s="36"/>
    </row>
    <row r="36" spans="1:23" ht="20.399999999999999" x14ac:dyDescent="0.25">
      <c r="A36" s="26" t="s">
        <v>70</v>
      </c>
      <c r="B36" s="22"/>
      <c r="C36" s="26"/>
      <c r="D36" s="36"/>
      <c r="E36" s="36"/>
      <c r="F36" s="27"/>
      <c r="G36" s="26" t="s">
        <v>124</v>
      </c>
      <c r="H36" s="22"/>
      <c r="I36" s="39"/>
      <c r="J36" s="36"/>
      <c r="K36" s="36"/>
      <c r="L36" s="27"/>
      <c r="M36" s="26" t="s">
        <v>125</v>
      </c>
      <c r="N36" s="22"/>
      <c r="O36" s="39"/>
      <c r="P36" s="36"/>
      <c r="Q36" s="36"/>
      <c r="R36" s="27"/>
      <c r="S36" s="26" t="s">
        <v>126</v>
      </c>
      <c r="T36" s="22"/>
      <c r="U36" s="39"/>
      <c r="V36" s="36"/>
      <c r="W36" s="36"/>
    </row>
    <row r="37" spans="1:23" ht="115.5" customHeight="1" x14ac:dyDescent="0.25">
      <c r="A37" s="38" t="s">
        <v>0</v>
      </c>
      <c r="B37" s="44">
        <f>S4</f>
        <v>129</v>
      </c>
      <c r="C37" s="41">
        <f>1/60</f>
        <v>1.6666666666666666E-2</v>
      </c>
      <c r="D37" s="41">
        <f>D$14</f>
        <v>4049</v>
      </c>
      <c r="E37" s="43">
        <f>B37*C37*D37</f>
        <v>8705.35</v>
      </c>
      <c r="F37" s="42"/>
      <c r="G37" s="38" t="s">
        <v>120</v>
      </c>
      <c r="H37" s="44">
        <f>S5</f>
        <v>12</v>
      </c>
      <c r="I37" s="43">
        <f>$C37</f>
        <v>1.6666666666666666E-2</v>
      </c>
      <c r="J37" s="41">
        <f>J$14</f>
        <v>6083</v>
      </c>
      <c r="K37" s="43">
        <f>H37*I37*J37</f>
        <v>1216.6000000000001</v>
      </c>
      <c r="L37" s="27"/>
      <c r="M37" s="38" t="s">
        <v>0</v>
      </c>
      <c r="N37" s="44">
        <f>S6</f>
        <v>27</v>
      </c>
      <c r="O37" s="43">
        <f>$C37</f>
        <v>1.6666666666666666E-2</v>
      </c>
      <c r="P37" s="41">
        <f>P$14</f>
        <v>529</v>
      </c>
      <c r="Q37" s="43">
        <f>N37*O37*P37</f>
        <v>238.05</v>
      </c>
      <c r="R37" s="42"/>
      <c r="S37" s="38" t="s">
        <v>0</v>
      </c>
      <c r="T37" s="44">
        <f>S7</f>
        <v>44</v>
      </c>
      <c r="U37" s="43">
        <f>$C37</f>
        <v>1.6666666666666666E-2</v>
      </c>
      <c r="V37" s="41">
        <f>V$14</f>
        <v>2458</v>
      </c>
      <c r="W37" s="43">
        <f>T37*U37*V37</f>
        <v>1802.5333333333333</v>
      </c>
    </row>
    <row r="38" spans="1:23" x14ac:dyDescent="0.25">
      <c r="B38" s="45"/>
      <c r="D38" s="46"/>
      <c r="E38" s="46"/>
      <c r="H38" s="45"/>
      <c r="I38" s="47"/>
      <c r="J38" s="46"/>
      <c r="K38" s="46"/>
      <c r="N38" s="45"/>
      <c r="O38" s="47"/>
      <c r="P38" s="46"/>
      <c r="Q38" s="46"/>
      <c r="T38" s="45"/>
      <c r="U38" s="47"/>
      <c r="V38" s="46"/>
      <c r="W38" s="46"/>
    </row>
    <row r="39" spans="1:23" ht="20.399999999999999" x14ac:dyDescent="0.25">
      <c r="A39" s="26" t="s">
        <v>76</v>
      </c>
      <c r="B39" s="22"/>
      <c r="C39" s="26"/>
      <c r="D39" s="36"/>
      <c r="E39" s="36"/>
      <c r="F39" s="27"/>
      <c r="G39" s="26"/>
      <c r="H39" s="22"/>
      <c r="I39" s="39"/>
      <c r="J39" s="36"/>
      <c r="K39" s="36"/>
      <c r="L39" s="27"/>
      <c r="M39" s="26" t="s">
        <v>154</v>
      </c>
      <c r="N39" s="22"/>
      <c r="O39" s="39"/>
      <c r="P39" s="36"/>
      <c r="Q39" s="36"/>
      <c r="R39" s="27"/>
      <c r="S39" s="26" t="s">
        <v>155</v>
      </c>
      <c r="T39" s="22"/>
      <c r="U39" s="39"/>
      <c r="V39" s="36"/>
      <c r="W39" s="36"/>
    </row>
    <row r="40" spans="1:23" ht="117.75" customHeight="1" x14ac:dyDescent="0.25">
      <c r="A40" s="38" t="s">
        <v>73</v>
      </c>
      <c r="B40" s="44">
        <f>ROUND(B37/3,0)</f>
        <v>43</v>
      </c>
      <c r="C40" s="41">
        <f>1/60</f>
        <v>1.6666666666666666E-2</v>
      </c>
      <c r="D40" s="34">
        <f>D$14</f>
        <v>4049</v>
      </c>
      <c r="E40" s="43">
        <f>B40*C40*D40</f>
        <v>2901.7833333333333</v>
      </c>
      <c r="F40" s="42"/>
      <c r="G40" s="26"/>
      <c r="H40" s="44"/>
      <c r="I40" s="41"/>
      <c r="J40" s="34"/>
      <c r="K40" s="33"/>
      <c r="L40" s="27"/>
      <c r="M40" s="38" t="s">
        <v>153</v>
      </c>
      <c r="N40" s="44">
        <f>ROUND(N37/3,0)</f>
        <v>9</v>
      </c>
      <c r="O40" s="41">
        <f>1/60</f>
        <v>1.6666666666666666E-2</v>
      </c>
      <c r="P40" s="34">
        <f>P$14</f>
        <v>529</v>
      </c>
      <c r="Q40" s="43">
        <f>N40*O40*P40</f>
        <v>79.349999999999994</v>
      </c>
      <c r="R40" s="42"/>
      <c r="S40" s="38" t="s">
        <v>73</v>
      </c>
      <c r="T40" s="44">
        <f>ROUND(T37/3,0)</f>
        <v>15</v>
      </c>
      <c r="U40" s="41">
        <f>1/60</f>
        <v>1.6666666666666666E-2</v>
      </c>
      <c r="V40" s="34">
        <f>V$14</f>
        <v>2458</v>
      </c>
      <c r="W40" s="43">
        <f>T40*U40*V40</f>
        <v>614.5</v>
      </c>
    </row>
    <row r="41" spans="1:23" x14ac:dyDescent="0.25">
      <c r="B41" s="45"/>
      <c r="D41" s="46"/>
      <c r="E41" s="46"/>
      <c r="H41" s="45"/>
      <c r="I41" s="47"/>
      <c r="J41" s="46"/>
      <c r="K41" s="46"/>
      <c r="N41" s="45"/>
      <c r="O41" s="47"/>
      <c r="P41" s="46"/>
      <c r="Q41" s="46"/>
      <c r="T41" s="45"/>
      <c r="U41" s="47"/>
      <c r="V41" s="46"/>
      <c r="W41" s="46"/>
    </row>
    <row r="42" spans="1:23" ht="20.399999999999999" x14ac:dyDescent="0.25">
      <c r="A42" s="26" t="s">
        <v>77</v>
      </c>
      <c r="B42" s="22"/>
      <c r="C42" s="26"/>
      <c r="D42" s="36"/>
      <c r="E42" s="33"/>
      <c r="F42" s="27"/>
      <c r="G42" s="26"/>
      <c r="H42" s="22"/>
      <c r="I42" s="43"/>
      <c r="J42" s="36"/>
      <c r="K42" s="33"/>
      <c r="L42" s="27"/>
      <c r="M42" s="26" t="s">
        <v>158</v>
      </c>
      <c r="N42" s="22"/>
      <c r="O42" s="43"/>
      <c r="P42" s="36"/>
      <c r="Q42" s="33"/>
      <c r="R42" s="27"/>
      <c r="S42" s="26" t="s">
        <v>159</v>
      </c>
      <c r="T42" s="22"/>
      <c r="U42" s="43"/>
      <c r="V42" s="36"/>
      <c r="W42" s="33"/>
    </row>
    <row r="43" spans="1:23" ht="102.75" customHeight="1" x14ac:dyDescent="0.25">
      <c r="A43" s="38" t="s">
        <v>74</v>
      </c>
      <c r="B43" s="44">
        <v>1953</v>
      </c>
      <c r="C43" s="41">
        <v>1.67E-2</v>
      </c>
      <c r="D43" s="34">
        <f>D$14</f>
        <v>4049</v>
      </c>
      <c r="E43" s="43">
        <f>B43*C43*D43</f>
        <v>132058.5399</v>
      </c>
      <c r="F43" s="42"/>
      <c r="G43" s="26"/>
      <c r="H43" s="44"/>
      <c r="I43" s="43"/>
      <c r="J43" s="34"/>
      <c r="K43" s="33"/>
      <c r="L43" s="27"/>
      <c r="M43" s="38" t="s">
        <v>157</v>
      </c>
      <c r="N43" s="44">
        <f>W6</f>
        <v>145</v>
      </c>
      <c r="O43" s="43">
        <f>$C43</f>
        <v>1.67E-2</v>
      </c>
      <c r="P43" s="34">
        <f>P$14</f>
        <v>529</v>
      </c>
      <c r="Q43" s="43">
        <f>N43*O43*P43</f>
        <v>1280.9735000000001</v>
      </c>
      <c r="R43" s="42"/>
      <c r="S43" s="38" t="s">
        <v>180</v>
      </c>
      <c r="T43" s="44">
        <f>W7</f>
        <v>40</v>
      </c>
      <c r="U43" s="43">
        <f>$C43</f>
        <v>1.67E-2</v>
      </c>
      <c r="V43" s="41">
        <f>V$14</f>
        <v>2458</v>
      </c>
      <c r="W43" s="43">
        <f>T43*U43*V43</f>
        <v>1641.9439999999997</v>
      </c>
    </row>
    <row r="44" spans="1:23" x14ac:dyDescent="0.25">
      <c r="B44" s="45"/>
      <c r="D44" s="46"/>
      <c r="E44" s="46"/>
      <c r="H44" s="45"/>
      <c r="I44" s="47"/>
      <c r="J44" s="46"/>
      <c r="K44" s="46"/>
      <c r="N44" s="45"/>
      <c r="O44" s="47"/>
      <c r="P44" s="46"/>
      <c r="Q44" s="46"/>
      <c r="T44" s="45"/>
      <c r="U44" s="47"/>
      <c r="V44" s="46"/>
      <c r="W44" s="46"/>
    </row>
    <row r="45" spans="1:23" ht="20.399999999999999" x14ac:dyDescent="0.25">
      <c r="A45" s="26" t="s">
        <v>78</v>
      </c>
      <c r="B45" s="22"/>
      <c r="C45" s="26"/>
      <c r="D45" s="36"/>
      <c r="E45" s="36"/>
      <c r="F45" s="27"/>
      <c r="G45" s="26" t="s">
        <v>121</v>
      </c>
      <c r="H45" s="22"/>
      <c r="I45" s="39"/>
      <c r="J45" s="36"/>
      <c r="K45" s="36"/>
      <c r="L45" s="27"/>
      <c r="M45" s="26" t="s">
        <v>122</v>
      </c>
      <c r="N45" s="22"/>
      <c r="O45" s="39"/>
      <c r="P45" s="36"/>
      <c r="Q45" s="36"/>
      <c r="R45" s="27"/>
      <c r="S45" s="26" t="s">
        <v>123</v>
      </c>
      <c r="T45" s="22"/>
      <c r="U45" s="39"/>
      <c r="V45" s="36"/>
      <c r="W45" s="36"/>
    </row>
    <row r="46" spans="1:23" ht="135" customHeight="1" x14ac:dyDescent="0.25">
      <c r="A46" s="38" t="s">
        <v>1</v>
      </c>
      <c r="B46" s="44">
        <v>3</v>
      </c>
      <c r="C46" s="41">
        <f>1/60</f>
        <v>1.6666666666666666E-2</v>
      </c>
      <c r="D46" s="34">
        <f>D$14</f>
        <v>4049</v>
      </c>
      <c r="E46" s="43">
        <f>B46*C46*D46</f>
        <v>202.45000000000002</v>
      </c>
      <c r="F46" s="42"/>
      <c r="G46" s="38" t="s">
        <v>1</v>
      </c>
      <c r="H46" s="44">
        <v>1</v>
      </c>
      <c r="I46" s="41">
        <f>1/60</f>
        <v>1.6666666666666666E-2</v>
      </c>
      <c r="J46" s="34">
        <f>J$14</f>
        <v>6083</v>
      </c>
      <c r="K46" s="43">
        <f>H46*I46*J46</f>
        <v>101.38333333333333</v>
      </c>
      <c r="L46" s="42"/>
      <c r="M46" s="38" t="s">
        <v>1</v>
      </c>
      <c r="N46" s="44">
        <v>1</v>
      </c>
      <c r="O46" s="41">
        <f>1/60</f>
        <v>1.6666666666666666E-2</v>
      </c>
      <c r="P46" s="34">
        <f>P$14</f>
        <v>529</v>
      </c>
      <c r="Q46" s="43">
        <f>N46*O46*P46</f>
        <v>8.8166666666666664</v>
      </c>
      <c r="R46" s="42"/>
      <c r="S46" s="38" t="s">
        <v>1</v>
      </c>
      <c r="T46" s="44">
        <v>1</v>
      </c>
      <c r="U46" s="41">
        <f>1/60</f>
        <v>1.6666666666666666E-2</v>
      </c>
      <c r="V46" s="34">
        <f>V$14</f>
        <v>2458</v>
      </c>
      <c r="W46" s="43">
        <f>T46*U46*V46</f>
        <v>40.966666666666669</v>
      </c>
    </row>
    <row r="47" spans="1:23" x14ac:dyDescent="0.25">
      <c r="B47" s="45"/>
      <c r="D47" s="46"/>
      <c r="E47" s="46"/>
      <c r="H47" s="45"/>
      <c r="I47" s="47"/>
      <c r="J47" s="46"/>
      <c r="K47" s="46"/>
      <c r="N47" s="45"/>
      <c r="O47" s="47"/>
      <c r="P47" s="46"/>
      <c r="Q47" s="46"/>
      <c r="T47" s="45"/>
      <c r="U47" s="47"/>
      <c r="V47" s="46"/>
      <c r="W47" s="46"/>
    </row>
    <row r="48" spans="1:23" ht="30.6" x14ac:dyDescent="0.25">
      <c r="A48" s="26" t="s">
        <v>79</v>
      </c>
      <c r="B48" s="22"/>
      <c r="C48" s="26"/>
      <c r="D48" s="36"/>
      <c r="E48" s="36"/>
      <c r="F48" s="27"/>
      <c r="G48" s="26"/>
      <c r="H48" s="22"/>
      <c r="I48" s="39"/>
      <c r="J48" s="36"/>
      <c r="K48" s="36"/>
      <c r="L48" s="42"/>
      <c r="M48" s="26" t="s">
        <v>160</v>
      </c>
      <c r="N48" s="22"/>
      <c r="O48" s="39"/>
      <c r="P48" s="36"/>
      <c r="Q48" s="36"/>
      <c r="R48" s="27"/>
      <c r="S48" s="26" t="s">
        <v>161</v>
      </c>
      <c r="T48" s="22"/>
      <c r="U48" s="39"/>
      <c r="V48" s="36"/>
      <c r="W48" s="36"/>
    </row>
    <row r="49" spans="1:23" ht="139.5" customHeight="1" x14ac:dyDescent="0.25">
      <c r="A49" s="38" t="s">
        <v>2</v>
      </c>
      <c r="B49" s="44">
        <v>3</v>
      </c>
      <c r="C49" s="41">
        <f>1/60</f>
        <v>1.6666666666666666E-2</v>
      </c>
      <c r="D49" s="34">
        <f>D$14</f>
        <v>4049</v>
      </c>
      <c r="E49" s="43">
        <f>B49*C49*D49</f>
        <v>202.45000000000002</v>
      </c>
      <c r="F49" s="42"/>
      <c r="G49" s="38"/>
      <c r="H49" s="44"/>
      <c r="I49" s="41"/>
      <c r="J49" s="34"/>
      <c r="K49" s="33"/>
      <c r="L49" s="42"/>
      <c r="M49" s="38" t="s">
        <v>162</v>
      </c>
      <c r="N49" s="44">
        <v>1</v>
      </c>
      <c r="O49" s="41">
        <f>1/60</f>
        <v>1.6666666666666666E-2</v>
      </c>
      <c r="P49" s="34">
        <f>P$14</f>
        <v>529</v>
      </c>
      <c r="Q49" s="43">
        <f>N49*O49*P49</f>
        <v>8.8166666666666664</v>
      </c>
      <c r="R49" s="42"/>
      <c r="S49" s="38" t="s">
        <v>2</v>
      </c>
      <c r="T49" s="44">
        <v>1</v>
      </c>
      <c r="U49" s="41">
        <f>1/60</f>
        <v>1.6666666666666666E-2</v>
      </c>
      <c r="V49" s="34">
        <f>V$14</f>
        <v>2458</v>
      </c>
      <c r="W49" s="43">
        <f>T49*U49*V49</f>
        <v>40.966666666666669</v>
      </c>
    </row>
    <row r="50" spans="1:23" x14ac:dyDescent="0.25">
      <c r="B50" s="45"/>
      <c r="D50" s="46"/>
      <c r="E50" s="46"/>
      <c r="H50" s="45"/>
      <c r="I50" s="47"/>
      <c r="J50" s="46"/>
      <c r="K50" s="46"/>
      <c r="N50" s="45"/>
      <c r="O50" s="47"/>
      <c r="P50" s="46"/>
      <c r="Q50" s="46"/>
      <c r="T50" s="45"/>
      <c r="U50" s="47"/>
      <c r="V50" s="46"/>
      <c r="W50" s="46"/>
    </row>
    <row r="51" spans="1:23" ht="30.6" x14ac:dyDescent="0.25">
      <c r="A51" s="26" t="s">
        <v>80</v>
      </c>
      <c r="B51" s="45"/>
      <c r="D51" s="46"/>
      <c r="E51" s="46"/>
      <c r="G51" s="26" t="s">
        <v>80</v>
      </c>
      <c r="H51" s="45"/>
      <c r="I51" s="47"/>
      <c r="J51" s="46"/>
      <c r="K51" s="46"/>
      <c r="M51" s="26" t="s">
        <v>80</v>
      </c>
      <c r="N51" s="45"/>
      <c r="O51" s="47"/>
      <c r="P51" s="46"/>
      <c r="Q51" s="46"/>
      <c r="S51" s="26" t="s">
        <v>80</v>
      </c>
      <c r="T51" s="45"/>
      <c r="U51" s="47"/>
      <c r="V51" s="46"/>
      <c r="W51" s="46"/>
    </row>
    <row r="52" spans="1:23" ht="74.25" customHeight="1" x14ac:dyDescent="0.25">
      <c r="A52" s="26" t="s">
        <v>85</v>
      </c>
      <c r="B52" s="45"/>
      <c r="D52" s="46"/>
      <c r="E52" s="46"/>
      <c r="H52" s="45"/>
      <c r="I52" s="47"/>
      <c r="J52" s="46"/>
      <c r="K52" s="46"/>
      <c r="N52" s="45"/>
      <c r="O52" s="47"/>
      <c r="P52" s="46"/>
      <c r="Q52" s="46"/>
      <c r="S52" s="26" t="s">
        <v>182</v>
      </c>
      <c r="T52" s="45"/>
      <c r="U52" s="47"/>
      <c r="V52" s="46"/>
      <c r="W52" s="46"/>
    </row>
    <row r="53" spans="1:23" ht="173.4" x14ac:dyDescent="0.25">
      <c r="A53" s="38" t="s">
        <v>81</v>
      </c>
      <c r="B53" s="45">
        <f>W4/100</f>
        <v>39.06</v>
      </c>
      <c r="C53" s="1">
        <v>0.1</v>
      </c>
      <c r="D53" s="34">
        <f t="shared" ref="D53:D54" si="5">D$14</f>
        <v>4049</v>
      </c>
      <c r="E53" s="43">
        <f>B53*C53*D53</f>
        <v>15815.394000000002</v>
      </c>
      <c r="H53" s="45"/>
      <c r="I53" s="47"/>
      <c r="J53" s="46"/>
      <c r="K53" s="46"/>
      <c r="N53" s="45"/>
      <c r="O53" s="47"/>
      <c r="P53" s="46"/>
      <c r="Q53" s="46"/>
      <c r="S53" s="38" t="s">
        <v>181</v>
      </c>
      <c r="T53" s="45">
        <f>W7/100</f>
        <v>0.4</v>
      </c>
      <c r="U53" s="1">
        <v>0.1</v>
      </c>
      <c r="V53" s="34">
        <f t="shared" ref="V53" si="6">V$14</f>
        <v>2458</v>
      </c>
      <c r="W53" s="43">
        <f>T53*U53*V53</f>
        <v>98.320000000000022</v>
      </c>
    </row>
    <row r="54" spans="1:23" ht="156" customHeight="1" x14ac:dyDescent="0.25">
      <c r="A54" s="38" t="s">
        <v>82</v>
      </c>
      <c r="B54" s="45">
        <f>W4/100</f>
        <v>39.06</v>
      </c>
      <c r="C54" s="1">
        <v>0.1</v>
      </c>
      <c r="D54" s="34">
        <f t="shared" si="5"/>
        <v>4049</v>
      </c>
      <c r="E54" s="43">
        <f>B54*C54*D54</f>
        <v>15815.394000000002</v>
      </c>
      <c r="H54" s="45"/>
      <c r="I54" s="47"/>
      <c r="J54" s="46"/>
      <c r="K54" s="46"/>
      <c r="N54" s="45"/>
      <c r="O54" s="47"/>
      <c r="P54" s="46"/>
      <c r="Q54" s="46"/>
      <c r="T54" s="45"/>
      <c r="U54" s="47"/>
      <c r="V54" s="46"/>
      <c r="W54" s="46"/>
    </row>
    <row r="55" spans="1:23" x14ac:dyDescent="0.25">
      <c r="A55" s="38"/>
      <c r="B55" s="45"/>
      <c r="D55" s="34"/>
      <c r="E55" s="33"/>
      <c r="H55" s="45"/>
      <c r="I55" s="47"/>
      <c r="J55" s="46"/>
      <c r="K55" s="46"/>
      <c r="N55" s="45"/>
      <c r="O55" s="47"/>
      <c r="P55" s="46"/>
      <c r="Q55" s="46"/>
      <c r="T55" s="45"/>
      <c r="U55" s="47"/>
      <c r="V55" s="46"/>
      <c r="W55" s="46"/>
    </row>
    <row r="56" spans="1:23" x14ac:dyDescent="0.25">
      <c r="A56" s="26" t="s">
        <v>84</v>
      </c>
      <c r="B56" s="45"/>
      <c r="D56" s="34"/>
      <c r="E56" s="33"/>
      <c r="H56" s="45"/>
      <c r="I56" s="47"/>
      <c r="J56" s="46"/>
      <c r="K56" s="46"/>
      <c r="N56" s="45"/>
      <c r="O56" s="47"/>
      <c r="P56" s="46"/>
      <c r="Q56" s="46"/>
      <c r="T56" s="45"/>
      <c r="U56" s="47"/>
      <c r="V56" s="46"/>
      <c r="W56" s="46"/>
    </row>
    <row r="57" spans="1:23" ht="20.399999999999999" x14ac:dyDescent="0.25">
      <c r="A57" s="26" t="s">
        <v>86</v>
      </c>
      <c r="B57" s="45"/>
      <c r="D57" s="34"/>
      <c r="E57" s="33"/>
      <c r="G57" s="26" t="s">
        <v>128</v>
      </c>
      <c r="H57" s="45"/>
      <c r="I57" s="47"/>
      <c r="J57" s="46"/>
      <c r="K57" s="46"/>
      <c r="M57" s="26" t="s">
        <v>129</v>
      </c>
      <c r="N57" s="45"/>
      <c r="O57" s="47"/>
      <c r="P57" s="46"/>
      <c r="Q57" s="46"/>
      <c r="S57" s="26" t="s">
        <v>130</v>
      </c>
      <c r="T57" s="45"/>
      <c r="U57" s="47"/>
      <c r="V57" s="46"/>
      <c r="W57" s="46"/>
    </row>
    <row r="58" spans="1:23" ht="101.25" customHeight="1" x14ac:dyDescent="0.25">
      <c r="A58" s="38" t="s">
        <v>83</v>
      </c>
      <c r="B58" s="45">
        <v>26</v>
      </c>
      <c r="C58" s="1">
        <f>1/12</f>
        <v>8.3333333333333329E-2</v>
      </c>
      <c r="D58" s="34">
        <f>D$14</f>
        <v>4049</v>
      </c>
      <c r="E58" s="43">
        <f>B58*C58*D58</f>
        <v>8772.8333333333321</v>
      </c>
      <c r="G58" s="38" t="s">
        <v>127</v>
      </c>
      <c r="H58" s="45">
        <f>P5</f>
        <v>0.2</v>
      </c>
      <c r="I58" s="1">
        <f>1/12</f>
        <v>8.3333333333333329E-2</v>
      </c>
      <c r="J58" s="34">
        <f>J$14</f>
        <v>6083</v>
      </c>
      <c r="K58" s="43">
        <f>H58*I58*J58</f>
        <v>101.38333333333333</v>
      </c>
      <c r="M58" s="38" t="s">
        <v>83</v>
      </c>
      <c r="N58" s="45">
        <f>P6</f>
        <v>0.4</v>
      </c>
      <c r="O58" s="1">
        <f>1/12</f>
        <v>8.3333333333333329E-2</v>
      </c>
      <c r="P58" s="34">
        <f>P$14</f>
        <v>529</v>
      </c>
      <c r="Q58" s="43">
        <f>N58*O58*P58</f>
        <v>17.633333333333333</v>
      </c>
      <c r="S58" s="38" t="s">
        <v>83</v>
      </c>
      <c r="T58" s="45">
        <f>P7</f>
        <v>6.9790892654611545</v>
      </c>
      <c r="U58" s="1">
        <f>1/12</f>
        <v>8.3333333333333329E-2</v>
      </c>
      <c r="V58" s="34">
        <f>V$14</f>
        <v>2458</v>
      </c>
      <c r="W58" s="43">
        <f>T58*U58*V58</f>
        <v>1429.5501178752929</v>
      </c>
    </row>
    <row r="59" spans="1:23" ht="30.6" x14ac:dyDescent="0.25">
      <c r="A59" s="26" t="s">
        <v>88</v>
      </c>
      <c r="B59" s="45"/>
      <c r="D59" s="34"/>
      <c r="E59" s="33"/>
      <c r="H59" s="45"/>
      <c r="I59" s="47"/>
      <c r="J59" s="46"/>
      <c r="K59" s="46"/>
      <c r="M59" s="26" t="s">
        <v>164</v>
      </c>
      <c r="N59" s="45"/>
      <c r="O59" s="47"/>
      <c r="P59" s="46"/>
      <c r="Q59" s="46"/>
      <c r="S59" s="26" t="s">
        <v>184</v>
      </c>
      <c r="T59" s="45"/>
      <c r="U59" s="47"/>
      <c r="V59" s="46"/>
      <c r="W59" s="46"/>
    </row>
    <row r="60" spans="1:23" ht="101.25" customHeight="1" x14ac:dyDescent="0.25">
      <c r="A60" s="38" t="s">
        <v>87</v>
      </c>
      <c r="B60" s="45">
        <f>P4/10</f>
        <v>6.4718533128916791</v>
      </c>
      <c r="C60" s="1">
        <f>2/60</f>
        <v>3.3333333333333333E-2</v>
      </c>
      <c r="D60" s="34">
        <f>$D14</f>
        <v>4049</v>
      </c>
      <c r="E60" s="43">
        <f>B60*C60*D60</f>
        <v>873.48446879661367</v>
      </c>
      <c r="H60" s="45"/>
      <c r="I60" s="47"/>
      <c r="J60" s="46"/>
      <c r="K60" s="46"/>
      <c r="M60" s="38" t="s">
        <v>163</v>
      </c>
      <c r="N60" s="45">
        <f>P6/10</f>
        <v>0.04</v>
      </c>
      <c r="O60" s="1">
        <f>2/60</f>
        <v>3.3333333333333333E-2</v>
      </c>
      <c r="P60" s="34">
        <v>529</v>
      </c>
      <c r="Q60" s="43">
        <f>N60*O60*P60</f>
        <v>0.70533333333333326</v>
      </c>
      <c r="S60" s="38" t="s">
        <v>183</v>
      </c>
      <c r="T60" s="45">
        <f>P7/10</f>
        <v>0.69790892654611547</v>
      </c>
      <c r="U60" s="1">
        <f>2/60</f>
        <v>3.3333333333333333E-2</v>
      </c>
      <c r="V60" s="34">
        <v>2458</v>
      </c>
      <c r="W60" s="43">
        <f>T60*U60*V60</f>
        <v>57.182004715011722</v>
      </c>
    </row>
    <row r="61" spans="1:23" ht="40.799999999999997" x14ac:dyDescent="0.25">
      <c r="A61" s="26" t="s">
        <v>89</v>
      </c>
      <c r="B61" s="45"/>
      <c r="D61" s="34"/>
      <c r="E61" s="33"/>
      <c r="H61" s="45"/>
      <c r="I61" s="47"/>
      <c r="J61" s="46"/>
      <c r="K61" s="46"/>
      <c r="M61" s="26" t="s">
        <v>166</v>
      </c>
      <c r="N61" s="45"/>
      <c r="O61" s="47"/>
      <c r="P61" s="46"/>
      <c r="Q61" s="46"/>
      <c r="S61" s="26" t="s">
        <v>185</v>
      </c>
      <c r="T61" s="45"/>
      <c r="U61" s="47"/>
      <c r="V61" s="46"/>
      <c r="W61" s="46"/>
    </row>
    <row r="62" spans="1:23" ht="250.5" customHeight="1" x14ac:dyDescent="0.25">
      <c r="A62" s="38" t="s">
        <v>90</v>
      </c>
      <c r="B62" s="45">
        <v>1</v>
      </c>
      <c r="C62" s="1">
        <f>1/6</f>
        <v>0.16666666666666666</v>
      </c>
      <c r="D62" s="34">
        <f>D$14</f>
        <v>4049</v>
      </c>
      <c r="E62" s="43">
        <f>B62*C62*D62</f>
        <v>674.83333333333326</v>
      </c>
      <c r="H62" s="45"/>
      <c r="I62" s="47"/>
      <c r="J62" s="46"/>
      <c r="K62" s="46"/>
      <c r="M62" s="38" t="s">
        <v>165</v>
      </c>
      <c r="N62" s="45">
        <v>1</v>
      </c>
      <c r="O62" s="1">
        <f>1/6</f>
        <v>0.16666666666666666</v>
      </c>
      <c r="P62" s="34">
        <f>P$14</f>
        <v>529</v>
      </c>
      <c r="Q62" s="43">
        <f>N62*O62*P62</f>
        <v>88.166666666666657</v>
      </c>
      <c r="S62" s="38" t="s">
        <v>186</v>
      </c>
      <c r="T62" s="45">
        <v>1</v>
      </c>
      <c r="U62" s="1">
        <f>1/6</f>
        <v>0.16666666666666666</v>
      </c>
      <c r="V62" s="34">
        <f>V$14</f>
        <v>2458</v>
      </c>
      <c r="W62" s="43">
        <f>T62*U62*V62</f>
        <v>409.66666666666663</v>
      </c>
    </row>
    <row r="63" spans="1:23" ht="21" customHeight="1" x14ac:dyDescent="0.25">
      <c r="A63" s="38"/>
      <c r="B63" s="45"/>
      <c r="D63" s="34"/>
      <c r="E63" s="33"/>
      <c r="H63" s="45"/>
      <c r="I63" s="47"/>
      <c r="J63" s="46"/>
      <c r="K63" s="46"/>
      <c r="N63" s="45"/>
      <c r="O63" s="47"/>
      <c r="P63" s="46"/>
      <c r="Q63" s="46"/>
      <c r="T63" s="45"/>
      <c r="U63" s="47"/>
      <c r="V63" s="46"/>
      <c r="W63" s="46"/>
    </row>
    <row r="64" spans="1:23" ht="30.6" x14ac:dyDescent="0.25">
      <c r="A64" s="26" t="s">
        <v>91</v>
      </c>
      <c r="B64" s="45"/>
      <c r="D64" s="34"/>
      <c r="E64" s="33"/>
      <c r="G64" s="26" t="s">
        <v>91</v>
      </c>
      <c r="H64" s="45"/>
      <c r="I64" s="47"/>
      <c r="J64" s="46"/>
      <c r="K64" s="46"/>
      <c r="M64" s="26" t="s">
        <v>91</v>
      </c>
      <c r="N64" s="45"/>
      <c r="O64" s="47"/>
      <c r="P64" s="46"/>
      <c r="Q64" s="46"/>
      <c r="S64" s="26" t="s">
        <v>91</v>
      </c>
      <c r="T64" s="45"/>
      <c r="U64" s="47"/>
      <c r="V64" s="46"/>
      <c r="W64" s="46"/>
    </row>
    <row r="65" spans="1:23" ht="30.6" x14ac:dyDescent="0.25">
      <c r="A65" s="26" t="s">
        <v>92</v>
      </c>
      <c r="B65" s="45"/>
      <c r="D65" s="34"/>
      <c r="E65" s="33"/>
      <c r="G65" s="26" t="s">
        <v>132</v>
      </c>
      <c r="H65" s="45"/>
      <c r="I65" s="47"/>
      <c r="J65" s="46"/>
      <c r="K65" s="46"/>
      <c r="M65" s="26" t="s">
        <v>133</v>
      </c>
      <c r="N65" s="45"/>
      <c r="O65" s="47"/>
      <c r="P65" s="46"/>
      <c r="Q65" s="46"/>
      <c r="S65" s="26" t="s">
        <v>134</v>
      </c>
      <c r="T65" s="45"/>
      <c r="U65" s="47"/>
      <c r="V65" s="46"/>
      <c r="W65" s="46"/>
    </row>
    <row r="66" spans="1:23" ht="49.5" customHeight="1" x14ac:dyDescent="0.25">
      <c r="A66" s="38" t="s">
        <v>93</v>
      </c>
      <c r="B66" s="45">
        <f>P4/20</f>
        <v>3.2359266564458395</v>
      </c>
      <c r="C66" s="1">
        <f>1/20</f>
        <v>0.05</v>
      </c>
      <c r="D66" s="34">
        <f>D$14</f>
        <v>4049</v>
      </c>
      <c r="E66" s="43">
        <f>B66*C66*D66</f>
        <v>655.11335159746034</v>
      </c>
      <c r="G66" s="38" t="s">
        <v>131</v>
      </c>
      <c r="H66" s="45">
        <f>P5/20</f>
        <v>0.01</v>
      </c>
      <c r="I66" s="1">
        <f>1/20</f>
        <v>0.05</v>
      </c>
      <c r="J66" s="34">
        <f>J$14</f>
        <v>6083</v>
      </c>
      <c r="K66" s="43">
        <f>H66*I66*J66</f>
        <v>3.0415000000000001</v>
      </c>
      <c r="M66" s="38" t="s">
        <v>93</v>
      </c>
      <c r="N66" s="45">
        <f>P6/20</f>
        <v>0.02</v>
      </c>
      <c r="O66" s="1">
        <f>1/20</f>
        <v>0.05</v>
      </c>
      <c r="P66" s="34">
        <f>P$14</f>
        <v>529</v>
      </c>
      <c r="Q66" s="43">
        <f>N66*O66*P66</f>
        <v>0.52900000000000003</v>
      </c>
      <c r="S66" s="38" t="s">
        <v>93</v>
      </c>
      <c r="T66" s="45">
        <f>P7/20</f>
        <v>0.34895446327305774</v>
      </c>
      <c r="U66" s="1">
        <f>1/20</f>
        <v>0.05</v>
      </c>
      <c r="V66" s="34">
        <f>V$14</f>
        <v>2458</v>
      </c>
      <c r="W66" s="43">
        <f>T66*U66*V66</f>
        <v>42.8865035362588</v>
      </c>
    </row>
    <row r="67" spans="1:23" x14ac:dyDescent="0.25">
      <c r="A67" s="38"/>
      <c r="B67" s="45"/>
      <c r="D67" s="34"/>
      <c r="E67" s="33"/>
      <c r="H67" s="45"/>
      <c r="I67" s="47"/>
      <c r="J67" s="46"/>
      <c r="K67" s="46"/>
      <c r="N67" s="45"/>
      <c r="O67" s="47"/>
      <c r="P67" s="46"/>
      <c r="Q67" s="46"/>
      <c r="T67" s="45"/>
      <c r="U67" s="47"/>
      <c r="V67" s="46"/>
      <c r="W67" s="46"/>
    </row>
    <row r="68" spans="1:23" x14ac:dyDescent="0.25">
      <c r="A68" s="26" t="s">
        <v>101</v>
      </c>
      <c r="B68" s="22"/>
      <c r="C68" s="26"/>
      <c r="D68" s="36"/>
      <c r="E68" s="36"/>
      <c r="F68" s="27"/>
      <c r="G68" s="26" t="s">
        <v>101</v>
      </c>
      <c r="H68" s="22"/>
      <c r="I68" s="39"/>
      <c r="J68" s="36"/>
      <c r="K68" s="36"/>
      <c r="L68" s="27"/>
      <c r="M68" s="26" t="s">
        <v>101</v>
      </c>
      <c r="N68" s="22"/>
      <c r="O68" s="39"/>
      <c r="P68" s="36"/>
      <c r="Q68" s="36"/>
      <c r="R68" s="27"/>
      <c r="S68" s="26" t="s">
        <v>101</v>
      </c>
      <c r="T68" s="22"/>
      <c r="U68" s="39"/>
      <c r="V68" s="36"/>
      <c r="W68" s="36"/>
    </row>
    <row r="69" spans="1:23" ht="30.6" x14ac:dyDescent="0.25">
      <c r="A69" s="26" t="s">
        <v>100</v>
      </c>
      <c r="B69" s="22"/>
      <c r="C69" s="26"/>
      <c r="D69" s="36"/>
      <c r="E69" s="36"/>
      <c r="F69" s="27"/>
      <c r="G69" s="26" t="s">
        <v>187</v>
      </c>
      <c r="H69" s="22"/>
      <c r="I69" s="39"/>
      <c r="J69" s="36"/>
      <c r="K69" s="36"/>
      <c r="L69" s="27"/>
      <c r="M69" s="26" t="s">
        <v>188</v>
      </c>
      <c r="N69" s="22"/>
      <c r="O69" s="39"/>
      <c r="P69" s="36"/>
      <c r="Q69" s="36"/>
      <c r="R69" s="27"/>
      <c r="S69" s="26" t="s">
        <v>189</v>
      </c>
      <c r="T69" s="22"/>
      <c r="U69" s="39"/>
      <c r="V69" s="36"/>
      <c r="W69" s="36"/>
    </row>
    <row r="70" spans="1:23" ht="243.75" customHeight="1" x14ac:dyDescent="0.25">
      <c r="A70" s="38" t="s">
        <v>94</v>
      </c>
      <c r="B70" s="22">
        <v>26</v>
      </c>
      <c r="C70" s="26">
        <v>0.75</v>
      </c>
      <c r="D70" s="36">
        <f>D$14</f>
        <v>4049</v>
      </c>
      <c r="E70" s="43">
        <f>B70*C70*D70</f>
        <v>78955.5</v>
      </c>
      <c r="F70" s="27"/>
      <c r="G70" s="38" t="s">
        <v>94</v>
      </c>
      <c r="H70" s="22">
        <f>P5</f>
        <v>0.2</v>
      </c>
      <c r="I70" s="26">
        <v>0.75</v>
      </c>
      <c r="J70" s="36">
        <f>J$14</f>
        <v>6083</v>
      </c>
      <c r="K70" s="43">
        <f>H70*I70*J70</f>
        <v>912.45000000000016</v>
      </c>
      <c r="L70" s="27"/>
      <c r="M70" s="38" t="s">
        <v>167</v>
      </c>
      <c r="N70" s="22">
        <f>P6</f>
        <v>0.4</v>
      </c>
      <c r="O70" s="26">
        <v>0.75</v>
      </c>
      <c r="P70" s="36">
        <f>P$14</f>
        <v>529</v>
      </c>
      <c r="Q70" s="43">
        <f>N70*O70*P70</f>
        <v>158.70000000000002</v>
      </c>
      <c r="R70" s="27"/>
      <c r="S70" s="38" t="s">
        <v>190</v>
      </c>
      <c r="T70" s="22">
        <f>P7</f>
        <v>6.9790892654611545</v>
      </c>
      <c r="U70" s="26">
        <v>0.75</v>
      </c>
      <c r="V70" s="36">
        <f>V$14</f>
        <v>2458</v>
      </c>
      <c r="W70" s="43">
        <f>T70*U70*V70</f>
        <v>12865.951060877638</v>
      </c>
    </row>
    <row r="71" spans="1:23" ht="180" customHeight="1" x14ac:dyDescent="0.25">
      <c r="A71" s="38" t="s">
        <v>95</v>
      </c>
      <c r="B71" s="22">
        <f>P4/5</f>
        <v>12.943706625783358</v>
      </c>
      <c r="C71" s="26">
        <v>1</v>
      </c>
      <c r="D71" s="36">
        <f>D$14</f>
        <v>4049</v>
      </c>
      <c r="E71" s="43">
        <f>B71*C71*D71</f>
        <v>52409.068127796818</v>
      </c>
      <c r="F71" s="27"/>
      <c r="G71" s="38" t="s">
        <v>95</v>
      </c>
      <c r="H71" s="22">
        <f>P5/5</f>
        <v>0.04</v>
      </c>
      <c r="I71" s="26">
        <v>1</v>
      </c>
      <c r="J71" s="36">
        <f>J$14</f>
        <v>6083</v>
      </c>
      <c r="K71" s="43">
        <f>H71*I71*J71</f>
        <v>243.32</v>
      </c>
      <c r="L71" s="27"/>
      <c r="M71" s="38" t="s">
        <v>95</v>
      </c>
      <c r="N71" s="22">
        <f>P6/5</f>
        <v>0.08</v>
      </c>
      <c r="O71" s="26">
        <v>1</v>
      </c>
      <c r="P71" s="36">
        <f>P$14</f>
        <v>529</v>
      </c>
      <c r="Q71" s="43">
        <f>N71*O71*P71</f>
        <v>42.32</v>
      </c>
      <c r="R71" s="27"/>
      <c r="S71" s="38" t="s">
        <v>191</v>
      </c>
      <c r="T71" s="22">
        <f>P7/5</f>
        <v>1.3958178530922309</v>
      </c>
      <c r="U71" s="26">
        <v>1</v>
      </c>
      <c r="V71" s="36">
        <f>V$14</f>
        <v>2458</v>
      </c>
      <c r="W71" s="43">
        <f>T71*U71*V71</f>
        <v>3430.9202829007036</v>
      </c>
    </row>
    <row r="72" spans="1:23" ht="204" customHeight="1" x14ac:dyDescent="0.25">
      <c r="A72" s="38" t="s">
        <v>96</v>
      </c>
      <c r="B72" s="44">
        <v>1</v>
      </c>
      <c r="C72" s="41">
        <f>1/12</f>
        <v>8.3333333333333329E-2</v>
      </c>
      <c r="D72" s="33">
        <f>D$14</f>
        <v>4049</v>
      </c>
      <c r="E72" s="43">
        <f>B72*C72*D72</f>
        <v>337.41666666666663</v>
      </c>
      <c r="F72" s="42"/>
      <c r="G72" s="38" t="s">
        <v>96</v>
      </c>
      <c r="H72" s="44">
        <v>1</v>
      </c>
      <c r="I72" s="43">
        <f>$C72</f>
        <v>8.3333333333333329E-2</v>
      </c>
      <c r="J72" s="33">
        <f>J$14</f>
        <v>6083</v>
      </c>
      <c r="K72" s="43">
        <f>H72*I72*J72</f>
        <v>506.91666666666663</v>
      </c>
      <c r="L72" s="42"/>
      <c r="M72" s="38" t="s">
        <v>96</v>
      </c>
      <c r="N72" s="44">
        <v>1</v>
      </c>
      <c r="O72" s="43">
        <f>$C72</f>
        <v>8.3333333333333329E-2</v>
      </c>
      <c r="P72" s="33">
        <f>P$14</f>
        <v>529</v>
      </c>
      <c r="Q72" s="43">
        <f>N72*O72*P72</f>
        <v>44.083333333333329</v>
      </c>
      <c r="R72" s="42"/>
      <c r="S72" s="41" t="s">
        <v>192</v>
      </c>
      <c r="T72" s="44">
        <v>1</v>
      </c>
      <c r="U72" s="43">
        <f>$C72</f>
        <v>8.3333333333333329E-2</v>
      </c>
      <c r="V72" s="33">
        <f>V$14</f>
        <v>2458</v>
      </c>
      <c r="W72" s="43">
        <f>T72*U72*V72</f>
        <v>204.83333333333331</v>
      </c>
    </row>
    <row r="73" spans="1:23" ht="20.399999999999999" x14ac:dyDescent="0.25">
      <c r="A73" s="26" t="s">
        <v>98</v>
      </c>
      <c r="B73" s="44"/>
      <c r="C73" s="41"/>
      <c r="D73" s="33"/>
      <c r="E73" s="33"/>
      <c r="F73" s="42"/>
      <c r="G73" s="38"/>
      <c r="H73" s="44"/>
      <c r="I73" s="43"/>
      <c r="J73" s="33"/>
      <c r="K73" s="33"/>
      <c r="L73" s="42"/>
      <c r="M73" s="26" t="s">
        <v>169</v>
      </c>
      <c r="N73" s="44"/>
      <c r="O73" s="43"/>
      <c r="P73" s="33"/>
      <c r="Q73" s="33"/>
      <c r="R73" s="42"/>
      <c r="S73" s="26" t="s">
        <v>193</v>
      </c>
      <c r="T73" s="44"/>
      <c r="U73" s="43"/>
      <c r="V73" s="33"/>
      <c r="W73" s="33"/>
    </row>
    <row r="74" spans="1:23" ht="90" customHeight="1" x14ac:dyDescent="0.25">
      <c r="A74" s="38" t="s">
        <v>97</v>
      </c>
      <c r="B74" s="44">
        <f>P4*2/3</f>
        <v>43.145688752611193</v>
      </c>
      <c r="C74" s="41">
        <f>1/60</f>
        <v>1.6666666666666666E-2</v>
      </c>
      <c r="D74" s="33">
        <f>D$14</f>
        <v>4049</v>
      </c>
      <c r="E74" s="43">
        <f>B74*C74*D74</f>
        <v>2911.6148959887123</v>
      </c>
      <c r="F74" s="42"/>
      <c r="G74" s="38"/>
      <c r="H74" s="44"/>
      <c r="I74" s="43"/>
      <c r="J74" s="33"/>
      <c r="K74" s="33"/>
      <c r="L74" s="42"/>
      <c r="M74" s="38" t="s">
        <v>168</v>
      </c>
      <c r="N74" s="44">
        <f>P6*2/3</f>
        <v>0.26666666666666666</v>
      </c>
      <c r="O74" s="41">
        <f>1/60</f>
        <v>1.6666666666666666E-2</v>
      </c>
      <c r="P74" s="33">
        <f>P$14</f>
        <v>529</v>
      </c>
      <c r="Q74" s="43">
        <f>N74*O74*P74</f>
        <v>2.3511111111111109</v>
      </c>
      <c r="R74" s="42"/>
      <c r="S74" s="41" t="s">
        <v>168</v>
      </c>
      <c r="T74" s="44">
        <f>P7*2/3</f>
        <v>4.6527261769741033</v>
      </c>
      <c r="U74" s="41">
        <f>1/60</f>
        <v>1.6666666666666666E-2</v>
      </c>
      <c r="V74" s="33">
        <f>V$14</f>
        <v>2458</v>
      </c>
      <c r="W74" s="43">
        <f>T74*U74*V74</f>
        <v>190.60668238337243</v>
      </c>
    </row>
    <row r="75" spans="1:23" x14ac:dyDescent="0.25">
      <c r="B75" s="45"/>
      <c r="D75" s="46"/>
      <c r="E75" s="46"/>
      <c r="H75" s="45"/>
      <c r="I75" s="47"/>
      <c r="J75" s="46"/>
      <c r="K75" s="46"/>
      <c r="N75" s="45"/>
      <c r="O75" s="47"/>
      <c r="P75" s="46"/>
      <c r="Q75" s="46"/>
      <c r="T75" s="45"/>
      <c r="U75" s="47"/>
      <c r="V75" s="46"/>
      <c r="W75" s="46"/>
    </row>
    <row r="76" spans="1:23" ht="20.399999999999999" x14ac:dyDescent="0.25">
      <c r="A76" s="26" t="s">
        <v>99</v>
      </c>
      <c r="B76" s="22"/>
      <c r="C76" s="26"/>
      <c r="D76" s="36"/>
      <c r="E76" s="36"/>
      <c r="F76" s="27"/>
      <c r="G76" s="26" t="s">
        <v>99</v>
      </c>
      <c r="H76" s="22"/>
      <c r="I76" s="39"/>
      <c r="J76" s="36"/>
      <c r="K76" s="36"/>
      <c r="L76" s="27"/>
      <c r="M76" s="26" t="s">
        <v>99</v>
      </c>
      <c r="N76" s="22"/>
      <c r="O76" s="39"/>
      <c r="P76" s="36"/>
      <c r="Q76" s="36"/>
      <c r="R76" s="27"/>
      <c r="S76" s="26" t="s">
        <v>99</v>
      </c>
      <c r="T76" s="22"/>
      <c r="U76" s="39"/>
      <c r="V76" s="36"/>
      <c r="W76" s="36"/>
    </row>
    <row r="77" spans="1:23" ht="20.399999999999999" x14ac:dyDescent="0.25">
      <c r="A77" s="26" t="s">
        <v>102</v>
      </c>
      <c r="B77" s="22"/>
      <c r="C77" s="26"/>
      <c r="D77" s="36"/>
      <c r="E77" s="36"/>
      <c r="F77" s="27"/>
      <c r="G77" s="26" t="s">
        <v>135</v>
      </c>
      <c r="H77" s="22"/>
      <c r="I77" s="39"/>
      <c r="J77" s="36"/>
      <c r="K77" s="36"/>
      <c r="L77" s="27"/>
      <c r="M77" s="26" t="s">
        <v>136</v>
      </c>
      <c r="N77" s="22"/>
      <c r="O77" s="39"/>
      <c r="P77" s="36"/>
      <c r="Q77" s="36"/>
      <c r="R77" s="27"/>
      <c r="S77" s="26" t="s">
        <v>137</v>
      </c>
      <c r="T77" s="22"/>
      <c r="U77" s="39"/>
      <c r="V77" s="36"/>
      <c r="W77" s="36"/>
    </row>
    <row r="78" spans="1:23" ht="283.5" customHeight="1" x14ac:dyDescent="0.25">
      <c r="A78" s="38" t="s">
        <v>103</v>
      </c>
      <c r="B78" s="22">
        <v>26</v>
      </c>
      <c r="C78" s="26">
        <v>1</v>
      </c>
      <c r="D78" s="36">
        <f>D$14</f>
        <v>4049</v>
      </c>
      <c r="E78" s="43">
        <f>B78*C78*D78</f>
        <v>105274</v>
      </c>
      <c r="F78" s="27"/>
      <c r="G78" s="38" t="s">
        <v>138</v>
      </c>
      <c r="H78" s="22">
        <f>P5</f>
        <v>0.2</v>
      </c>
      <c r="I78" s="26">
        <v>1</v>
      </c>
      <c r="J78" s="36">
        <f>J$14</f>
        <v>6083</v>
      </c>
      <c r="K78" s="43">
        <f>H78*I78*J78</f>
        <v>1216.6000000000001</v>
      </c>
      <c r="L78" s="27"/>
      <c r="M78" s="38" t="s">
        <v>170</v>
      </c>
      <c r="N78" s="22">
        <f>P6</f>
        <v>0.4</v>
      </c>
      <c r="O78" s="26">
        <v>1</v>
      </c>
      <c r="P78" s="36">
        <f>P$14</f>
        <v>529</v>
      </c>
      <c r="Q78" s="43">
        <f>N78*O78*P78</f>
        <v>211.60000000000002</v>
      </c>
      <c r="R78" s="27"/>
      <c r="S78" s="38" t="s">
        <v>103</v>
      </c>
      <c r="T78" s="22">
        <f>P7</f>
        <v>6.9790892654611545</v>
      </c>
      <c r="U78" s="26">
        <v>1</v>
      </c>
      <c r="V78" s="36">
        <f>V$14</f>
        <v>2458</v>
      </c>
      <c r="W78" s="43">
        <f>T78*U78*V78</f>
        <v>17154.601414503519</v>
      </c>
    </row>
    <row r="79" spans="1:23" x14ac:dyDescent="0.25">
      <c r="A79" s="26"/>
      <c r="B79" s="22"/>
      <c r="C79" s="26"/>
      <c r="D79" s="36"/>
      <c r="E79" s="36"/>
      <c r="F79" s="27"/>
      <c r="G79" s="26"/>
      <c r="H79" s="22"/>
      <c r="I79" s="39"/>
      <c r="J79" s="36"/>
      <c r="K79" s="36"/>
      <c r="L79" s="27"/>
      <c r="M79" s="26"/>
      <c r="N79" s="22"/>
      <c r="O79" s="39"/>
      <c r="P79" s="36"/>
      <c r="Q79" s="36"/>
      <c r="R79" s="27"/>
      <c r="S79" s="26"/>
      <c r="T79" s="22"/>
      <c r="U79" s="39"/>
      <c r="V79" s="36"/>
      <c r="W79" s="36"/>
    </row>
    <row r="80" spans="1:23" x14ac:dyDescent="0.25">
      <c r="B80" s="45"/>
      <c r="D80" s="46"/>
      <c r="E80" s="46"/>
      <c r="H80" s="45"/>
      <c r="I80" s="47"/>
      <c r="J80" s="46"/>
      <c r="K80" s="46"/>
      <c r="N80" s="45"/>
      <c r="O80" s="47"/>
      <c r="P80" s="46"/>
      <c r="Q80" s="46"/>
      <c r="T80" s="45"/>
      <c r="U80" s="47"/>
      <c r="V80" s="46"/>
      <c r="W80" s="46"/>
    </row>
    <row r="81" spans="1:23" ht="20.399999999999999" x14ac:dyDescent="0.25">
      <c r="A81" s="26" t="s">
        <v>104</v>
      </c>
      <c r="B81" s="22"/>
      <c r="C81" s="26"/>
      <c r="D81" s="36"/>
      <c r="E81" s="36"/>
      <c r="F81" s="27"/>
      <c r="G81" s="26" t="s">
        <v>139</v>
      </c>
      <c r="H81" s="22"/>
      <c r="I81" s="39"/>
      <c r="J81" s="36"/>
      <c r="K81" s="36"/>
      <c r="L81" s="27"/>
      <c r="M81" s="26" t="s">
        <v>172</v>
      </c>
      <c r="N81" s="22"/>
      <c r="O81" s="39"/>
      <c r="P81" s="36"/>
      <c r="Q81" s="36"/>
      <c r="R81" s="27"/>
      <c r="S81" s="26" t="s">
        <v>173</v>
      </c>
      <c r="T81" s="22"/>
      <c r="U81" s="39"/>
      <c r="V81" s="36"/>
      <c r="W81" s="36"/>
    </row>
    <row r="82" spans="1:23" ht="131.25" customHeight="1" x14ac:dyDescent="0.25">
      <c r="A82" s="38" t="s">
        <v>105</v>
      </c>
      <c r="B82" s="44">
        <f>P4</f>
        <v>64.718533128916789</v>
      </c>
      <c r="C82" s="41">
        <v>0.5</v>
      </c>
      <c r="D82" s="33">
        <f>D$14</f>
        <v>4049</v>
      </c>
      <c r="E82" s="43">
        <f>B82*C82*D82</f>
        <v>131022.67031949204</v>
      </c>
      <c r="F82" s="42"/>
      <c r="G82" s="38" t="s">
        <v>140</v>
      </c>
      <c r="H82" s="44">
        <f>P5</f>
        <v>0.2</v>
      </c>
      <c r="I82" s="41">
        <v>0.25</v>
      </c>
      <c r="J82" s="33">
        <f>J$14</f>
        <v>6083</v>
      </c>
      <c r="K82" s="43">
        <f>H82*I82*J82</f>
        <v>304.15000000000003</v>
      </c>
      <c r="L82" s="42"/>
      <c r="M82" s="38" t="s">
        <v>105</v>
      </c>
      <c r="N82" s="44">
        <f>P6</f>
        <v>0.4</v>
      </c>
      <c r="O82" s="41">
        <v>0.25</v>
      </c>
      <c r="P82" s="33">
        <f>P$14</f>
        <v>529</v>
      </c>
      <c r="Q82" s="43">
        <f>N82*O82*P82</f>
        <v>52.900000000000006</v>
      </c>
      <c r="R82" s="42"/>
      <c r="S82" s="38" t="s">
        <v>105</v>
      </c>
      <c r="T82" s="44">
        <f>P7</f>
        <v>6.9790892654611545</v>
      </c>
      <c r="U82" s="41">
        <v>0.5</v>
      </c>
      <c r="V82" s="33">
        <f>V$14</f>
        <v>2458</v>
      </c>
      <c r="W82" s="43">
        <f>T82*U82*V82</f>
        <v>8577.3007072517594</v>
      </c>
    </row>
    <row r="83" spans="1:23" ht="72.75" customHeight="1" x14ac:dyDescent="0.25">
      <c r="A83" s="38" t="s">
        <v>106</v>
      </c>
      <c r="B83" s="44">
        <v>1</v>
      </c>
      <c r="C83" s="38">
        <v>2</v>
      </c>
      <c r="D83" s="33">
        <f>D$14</f>
        <v>4049</v>
      </c>
      <c r="E83" s="43">
        <f>B83*C83*D83</f>
        <v>8098</v>
      </c>
      <c r="F83" s="42"/>
      <c r="G83" s="38" t="s">
        <v>106</v>
      </c>
      <c r="H83" s="44">
        <v>1</v>
      </c>
      <c r="I83" s="38">
        <v>0.2</v>
      </c>
      <c r="J83" s="33">
        <f>J$14</f>
        <v>6083</v>
      </c>
      <c r="K83" s="43">
        <f>H83*I83*J83</f>
        <v>1216.6000000000001</v>
      </c>
      <c r="L83" s="42"/>
      <c r="M83" s="38" t="s">
        <v>106</v>
      </c>
      <c r="N83" s="44">
        <v>1</v>
      </c>
      <c r="O83" s="38">
        <v>0.2</v>
      </c>
      <c r="P83" s="33">
        <f>P$14</f>
        <v>529</v>
      </c>
      <c r="Q83" s="43">
        <f>N83*O83*P83</f>
        <v>105.80000000000001</v>
      </c>
      <c r="R83" s="42"/>
      <c r="S83" s="38" t="s">
        <v>106</v>
      </c>
      <c r="T83" s="44">
        <v>1</v>
      </c>
      <c r="U83" s="38">
        <v>1</v>
      </c>
      <c r="V83" s="33">
        <f>V$14</f>
        <v>2458</v>
      </c>
      <c r="W83" s="43">
        <f>T83*U83*V83</f>
        <v>2458</v>
      </c>
    </row>
    <row r="84" spans="1:23" ht="106.5" customHeight="1" x14ac:dyDescent="0.25">
      <c r="A84" s="38" t="s">
        <v>107</v>
      </c>
      <c r="B84" s="44">
        <v>1</v>
      </c>
      <c r="C84" s="34">
        <v>2</v>
      </c>
      <c r="D84" s="33">
        <f>D$14</f>
        <v>4049</v>
      </c>
      <c r="E84" s="43">
        <f>B84*C84*D84</f>
        <v>8098</v>
      </c>
      <c r="F84" s="42"/>
      <c r="G84" s="38" t="s">
        <v>141</v>
      </c>
      <c r="H84" s="44">
        <v>1</v>
      </c>
      <c r="I84" s="34">
        <v>0.2</v>
      </c>
      <c r="J84" s="33">
        <f>J$14</f>
        <v>6083</v>
      </c>
      <c r="K84" s="43">
        <f>H84*I84*J84</f>
        <v>1216.6000000000001</v>
      </c>
      <c r="L84" s="42"/>
      <c r="M84" s="38" t="s">
        <v>171</v>
      </c>
      <c r="N84" s="44">
        <v>1</v>
      </c>
      <c r="O84" s="34">
        <v>0.2</v>
      </c>
      <c r="P84" s="33">
        <f>P$14</f>
        <v>529</v>
      </c>
      <c r="Q84" s="43">
        <f>N84*O84*P84</f>
        <v>105.80000000000001</v>
      </c>
      <c r="R84" s="42"/>
      <c r="S84" s="38" t="s">
        <v>141</v>
      </c>
      <c r="T84" s="44">
        <v>1</v>
      </c>
      <c r="U84" s="34">
        <v>1</v>
      </c>
      <c r="V84" s="33">
        <f>V$14</f>
        <v>2458</v>
      </c>
      <c r="W84" s="43">
        <f>T84*U84*V84</f>
        <v>2458</v>
      </c>
    </row>
    <row r="85" spans="1:23" ht="112.5" customHeight="1" x14ac:dyDescent="0.25">
      <c r="A85" s="38" t="s">
        <v>3</v>
      </c>
      <c r="B85" s="44">
        <v>1</v>
      </c>
      <c r="C85" s="34">
        <v>1</v>
      </c>
      <c r="D85" s="33">
        <f>D$14</f>
        <v>4049</v>
      </c>
      <c r="E85" s="43">
        <f>B85*C85*D85</f>
        <v>4049</v>
      </c>
      <c r="F85" s="42"/>
      <c r="G85" s="38" t="s">
        <v>4</v>
      </c>
      <c r="H85" s="44">
        <v>1</v>
      </c>
      <c r="I85" s="34">
        <v>0.1</v>
      </c>
      <c r="J85" s="33">
        <f>J$14</f>
        <v>6083</v>
      </c>
      <c r="K85" s="43">
        <f>H85*I85*J85</f>
        <v>608.30000000000007</v>
      </c>
      <c r="L85" s="42"/>
      <c r="M85" s="38" t="s">
        <v>5</v>
      </c>
      <c r="N85" s="44">
        <v>1</v>
      </c>
      <c r="O85" s="34">
        <v>0.1</v>
      </c>
      <c r="P85" s="33">
        <f>P$14</f>
        <v>529</v>
      </c>
      <c r="Q85" s="43">
        <f>N85*O85*P85</f>
        <v>52.900000000000006</v>
      </c>
      <c r="R85" s="42"/>
      <c r="S85" s="38" t="s">
        <v>5</v>
      </c>
      <c r="T85" s="44">
        <v>1</v>
      </c>
      <c r="U85" s="34">
        <v>0.5</v>
      </c>
      <c r="V85" s="33">
        <f>V$14</f>
        <v>2458</v>
      </c>
      <c r="W85" s="43">
        <f>T85*U85*V85</f>
        <v>1229</v>
      </c>
    </row>
    <row r="86" spans="1:23" ht="20.399999999999999" x14ac:dyDescent="0.25">
      <c r="A86" s="26" t="s">
        <v>110</v>
      </c>
      <c r="B86" s="45"/>
      <c r="C86" s="2"/>
      <c r="D86" s="46"/>
      <c r="E86" s="46"/>
      <c r="G86" s="26" t="s">
        <v>142</v>
      </c>
      <c r="H86" s="45"/>
      <c r="I86" s="47"/>
      <c r="J86" s="46"/>
      <c r="K86" s="47"/>
      <c r="M86" s="26" t="s">
        <v>143</v>
      </c>
      <c r="N86" s="45"/>
      <c r="O86" s="47"/>
      <c r="P86" s="46"/>
      <c r="Q86" s="47"/>
      <c r="S86" s="26" t="s">
        <v>144</v>
      </c>
      <c r="T86" s="45"/>
      <c r="U86" s="47"/>
      <c r="V86" s="46"/>
      <c r="W86" s="47"/>
    </row>
    <row r="87" spans="1:23" ht="309" customHeight="1" x14ac:dyDescent="0.25">
      <c r="A87" s="38" t="s">
        <v>111</v>
      </c>
      <c r="B87" s="22">
        <v>1</v>
      </c>
      <c r="C87" s="37">
        <v>16</v>
      </c>
      <c r="D87" s="36">
        <f>D$14</f>
        <v>4049</v>
      </c>
      <c r="E87" s="43">
        <f>B87*C87*D87</f>
        <v>64784</v>
      </c>
      <c r="F87" s="27"/>
      <c r="G87" s="38" t="s">
        <v>145</v>
      </c>
      <c r="H87" s="22">
        <v>1</v>
      </c>
      <c r="I87" s="39">
        <v>4</v>
      </c>
      <c r="J87" s="33">
        <f>J$14</f>
        <v>6083</v>
      </c>
      <c r="K87" s="43">
        <f>H87*I87*J87</f>
        <v>24332</v>
      </c>
      <c r="L87" s="27"/>
      <c r="M87" s="38" t="s">
        <v>174</v>
      </c>
      <c r="N87" s="22">
        <v>1</v>
      </c>
      <c r="O87" s="39">
        <v>4</v>
      </c>
      <c r="P87" s="33">
        <f t="shared" ref="P87:P90" si="7">P$14</f>
        <v>529</v>
      </c>
      <c r="Q87" s="43">
        <f>N87*O87*P87</f>
        <v>2116</v>
      </c>
      <c r="R87" s="27"/>
      <c r="S87" s="38" t="s">
        <v>194</v>
      </c>
      <c r="T87" s="22">
        <v>1</v>
      </c>
      <c r="U87" s="39">
        <v>8</v>
      </c>
      <c r="V87" s="33">
        <f t="shared" ref="V87:V90" si="8">V$14</f>
        <v>2458</v>
      </c>
      <c r="W87" s="43">
        <f>T87*U87*V87</f>
        <v>19664</v>
      </c>
    </row>
    <row r="88" spans="1:23" ht="143.25" customHeight="1" x14ac:dyDescent="0.25">
      <c r="A88" s="38" t="s">
        <v>112</v>
      </c>
      <c r="B88" s="44">
        <v>1</v>
      </c>
      <c r="C88" s="34">
        <v>0</v>
      </c>
      <c r="D88" s="33">
        <f>D$14</f>
        <v>4049</v>
      </c>
      <c r="E88" s="43">
        <f>B88*C88*D88</f>
        <v>0</v>
      </c>
      <c r="F88" s="42"/>
      <c r="G88" s="38" t="s">
        <v>112</v>
      </c>
      <c r="H88" s="44">
        <v>1</v>
      </c>
      <c r="I88" s="34">
        <v>0</v>
      </c>
      <c r="J88" s="33">
        <f>J$14</f>
        <v>6083</v>
      </c>
      <c r="K88" s="43">
        <f>H88*I88*J88</f>
        <v>0</v>
      </c>
      <c r="L88" s="42"/>
      <c r="M88" s="38" t="s">
        <v>175</v>
      </c>
      <c r="N88" s="22">
        <v>1</v>
      </c>
      <c r="O88" s="39">
        <v>0</v>
      </c>
      <c r="P88" s="33">
        <f t="shared" si="7"/>
        <v>529</v>
      </c>
      <c r="Q88" s="43">
        <f>N88*O88*P88</f>
        <v>0</v>
      </c>
      <c r="R88" s="42"/>
      <c r="S88" s="38" t="s">
        <v>112</v>
      </c>
      <c r="T88" s="22">
        <v>1</v>
      </c>
      <c r="U88" s="39">
        <v>0</v>
      </c>
      <c r="V88" s="33">
        <f t="shared" si="8"/>
        <v>2458</v>
      </c>
      <c r="W88" s="43">
        <f>T88*U88*V88</f>
        <v>0</v>
      </c>
    </row>
    <row r="89" spans="1:23" ht="121.5" customHeight="1" x14ac:dyDescent="0.25">
      <c r="A89" s="38" t="s">
        <v>113</v>
      </c>
      <c r="B89" s="44">
        <v>1</v>
      </c>
      <c r="C89" s="34">
        <v>1</v>
      </c>
      <c r="D89" s="33">
        <f>D$14</f>
        <v>4049</v>
      </c>
      <c r="E89" s="43">
        <f>B89*C89*D89</f>
        <v>4049</v>
      </c>
      <c r="F89" s="42"/>
      <c r="G89" s="38" t="s">
        <v>113</v>
      </c>
      <c r="H89" s="44">
        <v>1</v>
      </c>
      <c r="I89" s="34">
        <v>0.5</v>
      </c>
      <c r="J89" s="33">
        <f>J$14</f>
        <v>6083</v>
      </c>
      <c r="K89" s="43">
        <f>H89*I89*J89</f>
        <v>3041.5</v>
      </c>
      <c r="L89" s="42"/>
      <c r="M89" s="38" t="s">
        <v>113</v>
      </c>
      <c r="N89" s="22">
        <v>1</v>
      </c>
      <c r="O89" s="39">
        <v>0.5</v>
      </c>
      <c r="P89" s="33">
        <f t="shared" si="7"/>
        <v>529</v>
      </c>
      <c r="Q89" s="43">
        <f>N89*O89*P89</f>
        <v>264.5</v>
      </c>
      <c r="R89" s="42"/>
      <c r="S89" s="38" t="s">
        <v>113</v>
      </c>
      <c r="T89" s="22">
        <v>1</v>
      </c>
      <c r="U89" s="39">
        <v>0.75</v>
      </c>
      <c r="V89" s="33">
        <f t="shared" si="8"/>
        <v>2458</v>
      </c>
      <c r="W89" s="43">
        <f>T89*U89*V89</f>
        <v>1843.5</v>
      </c>
    </row>
    <row r="90" spans="1:23" ht="141" customHeight="1" x14ac:dyDescent="0.25">
      <c r="A90" s="38" t="s">
        <v>6</v>
      </c>
      <c r="B90" s="44">
        <v>1</v>
      </c>
      <c r="C90" s="34">
        <v>1</v>
      </c>
      <c r="D90" s="33">
        <f>D$14</f>
        <v>4049</v>
      </c>
      <c r="E90" s="43">
        <f>B90*C90*D90</f>
        <v>4049</v>
      </c>
      <c r="F90" s="42"/>
      <c r="G90" s="38" t="s">
        <v>7</v>
      </c>
      <c r="H90" s="44">
        <v>1</v>
      </c>
      <c r="I90" s="34">
        <v>0.5</v>
      </c>
      <c r="J90" s="33">
        <f>J$14</f>
        <v>6083</v>
      </c>
      <c r="K90" s="43">
        <f>H90*I90*J90</f>
        <v>3041.5</v>
      </c>
      <c r="L90" s="42"/>
      <c r="M90" s="38" t="s">
        <v>6</v>
      </c>
      <c r="N90" s="22">
        <v>1</v>
      </c>
      <c r="O90" s="39">
        <v>0.5</v>
      </c>
      <c r="P90" s="33">
        <f t="shared" si="7"/>
        <v>529</v>
      </c>
      <c r="Q90" s="43">
        <f>N90*O90*P90</f>
        <v>264.5</v>
      </c>
      <c r="R90" s="42"/>
      <c r="S90" s="38" t="s">
        <v>6</v>
      </c>
      <c r="T90" s="22">
        <v>1</v>
      </c>
      <c r="U90" s="39">
        <v>1</v>
      </c>
      <c r="V90" s="33">
        <f t="shared" si="8"/>
        <v>2458</v>
      </c>
      <c r="W90" s="43">
        <f>T90*U90*V90</f>
        <v>2458</v>
      </c>
    </row>
    <row r="91" spans="1:23" ht="30.6" x14ac:dyDescent="0.25">
      <c r="A91" s="26" t="s">
        <v>114</v>
      </c>
      <c r="B91" s="45"/>
      <c r="C91" s="2"/>
      <c r="D91" s="46"/>
      <c r="E91" s="47"/>
      <c r="G91" s="26" t="s">
        <v>146</v>
      </c>
      <c r="H91" s="45"/>
      <c r="I91" s="47"/>
      <c r="J91" s="46"/>
      <c r="K91" s="47"/>
      <c r="M91" s="26" t="s">
        <v>147</v>
      </c>
      <c r="N91" s="45"/>
      <c r="O91" s="47"/>
      <c r="P91" s="46"/>
      <c r="Q91" s="47"/>
      <c r="S91" s="26" t="s">
        <v>148</v>
      </c>
      <c r="T91" s="45"/>
      <c r="U91" s="47"/>
      <c r="V91" s="46"/>
      <c r="W91" s="47"/>
    </row>
    <row r="92" spans="1:23" ht="78" customHeight="1" x14ac:dyDescent="0.25">
      <c r="A92" s="38" t="s">
        <v>115</v>
      </c>
      <c r="B92" s="22">
        <v>1</v>
      </c>
      <c r="C92" s="37">
        <v>0.5</v>
      </c>
      <c r="D92" s="36">
        <f>D$14</f>
        <v>4049</v>
      </c>
      <c r="E92" s="43">
        <f>B92*C92*D92</f>
        <v>2024.5</v>
      </c>
      <c r="F92" s="27"/>
      <c r="G92" s="38" t="s">
        <v>149</v>
      </c>
      <c r="H92" s="22">
        <v>1</v>
      </c>
      <c r="I92" s="37">
        <v>0.1</v>
      </c>
      <c r="J92" s="36">
        <f>J$14</f>
        <v>6083</v>
      </c>
      <c r="K92" s="43">
        <f>H92*I92*J92</f>
        <v>608.30000000000007</v>
      </c>
      <c r="L92" s="27"/>
      <c r="M92" s="38" t="s">
        <v>176</v>
      </c>
      <c r="N92" s="22">
        <v>1</v>
      </c>
      <c r="O92" s="37">
        <v>0.1</v>
      </c>
      <c r="P92" s="36">
        <f>P$14</f>
        <v>529</v>
      </c>
      <c r="Q92" s="43">
        <f>N92*O92*P92</f>
        <v>52.900000000000006</v>
      </c>
      <c r="R92" s="27"/>
      <c r="S92" s="38" t="s">
        <v>195</v>
      </c>
      <c r="T92" s="22">
        <v>1</v>
      </c>
      <c r="U92" s="37">
        <v>0.25</v>
      </c>
      <c r="V92" s="36">
        <f>V$14</f>
        <v>2458</v>
      </c>
      <c r="W92" s="43">
        <f>T92*U92*V92</f>
        <v>614.5</v>
      </c>
    </row>
    <row r="93" spans="1:23" ht="173.25" customHeight="1" x14ac:dyDescent="0.25">
      <c r="A93" s="38" t="s">
        <v>116</v>
      </c>
      <c r="B93" s="44">
        <v>1</v>
      </c>
      <c r="C93" s="34">
        <v>1</v>
      </c>
      <c r="D93" s="33">
        <f>D$14</f>
        <v>4049</v>
      </c>
      <c r="E93" s="43">
        <f>B93*C93*D93</f>
        <v>4049</v>
      </c>
      <c r="F93" s="42"/>
      <c r="G93" s="38" t="s">
        <v>150</v>
      </c>
      <c r="H93" s="44">
        <v>1</v>
      </c>
      <c r="I93" s="34">
        <v>0.2</v>
      </c>
      <c r="J93" s="33">
        <f>J$14</f>
        <v>6083</v>
      </c>
      <c r="K93" s="43">
        <f>H93*I93*J93</f>
        <v>1216.6000000000001</v>
      </c>
      <c r="L93" s="42"/>
      <c r="M93" s="38" t="s">
        <v>116</v>
      </c>
      <c r="N93" s="44">
        <v>1</v>
      </c>
      <c r="O93" s="34">
        <v>0.2</v>
      </c>
      <c r="P93" s="33">
        <f>P$14</f>
        <v>529</v>
      </c>
      <c r="Q93" s="43">
        <f>N93*O93*P93</f>
        <v>105.80000000000001</v>
      </c>
      <c r="R93" s="42"/>
      <c r="S93" s="38" t="s">
        <v>116</v>
      </c>
      <c r="T93" s="44">
        <v>1</v>
      </c>
      <c r="U93" s="34">
        <v>0.6</v>
      </c>
      <c r="V93" s="33">
        <f>V$14</f>
        <v>2458</v>
      </c>
      <c r="W93" s="43">
        <f>T93*U93*V93</f>
        <v>1474.8</v>
      </c>
    </row>
    <row r="94" spans="1:23" ht="86.25" customHeight="1" x14ac:dyDescent="0.25">
      <c r="A94" s="38" t="s">
        <v>8</v>
      </c>
      <c r="B94" s="44">
        <v>1</v>
      </c>
      <c r="C94" s="34">
        <v>0.25</v>
      </c>
      <c r="D94" s="33">
        <f>D$14</f>
        <v>4049</v>
      </c>
      <c r="E94" s="43">
        <f>B94*C94*D94</f>
        <v>1012.25</v>
      </c>
      <c r="F94" s="42"/>
      <c r="G94" s="38" t="s">
        <v>8</v>
      </c>
      <c r="H94" s="44">
        <v>1</v>
      </c>
      <c r="I94" s="34">
        <v>0.05</v>
      </c>
      <c r="J94" s="33">
        <f>J$14</f>
        <v>6083</v>
      </c>
      <c r="K94" s="43">
        <f>H94*I94*J94</f>
        <v>304.15000000000003</v>
      </c>
      <c r="L94" s="42"/>
      <c r="M94" s="38" t="s">
        <v>8</v>
      </c>
      <c r="N94" s="44">
        <v>1</v>
      </c>
      <c r="O94" s="34">
        <v>0.05</v>
      </c>
      <c r="P94" s="33">
        <f>P$14</f>
        <v>529</v>
      </c>
      <c r="Q94" s="43">
        <f>N94*O94*P94</f>
        <v>26.450000000000003</v>
      </c>
      <c r="R94" s="42"/>
      <c r="S94" s="38" t="s">
        <v>8</v>
      </c>
      <c r="T94" s="44">
        <v>1</v>
      </c>
      <c r="U94" s="34">
        <v>0.1</v>
      </c>
      <c r="V94" s="33">
        <f>V$14</f>
        <v>2458</v>
      </c>
      <c r="W94" s="43">
        <f>T94*U94*V94</f>
        <v>245.8</v>
      </c>
    </row>
    <row r="95" spans="1:23" ht="116.25" customHeight="1" x14ac:dyDescent="0.25">
      <c r="A95" s="38" t="s">
        <v>117</v>
      </c>
      <c r="B95" s="44">
        <v>1</v>
      </c>
      <c r="C95" s="34">
        <v>0.25</v>
      </c>
      <c r="D95" s="33">
        <f>D$14</f>
        <v>4049</v>
      </c>
      <c r="E95" s="43">
        <f>B95*C95*D95</f>
        <v>1012.25</v>
      </c>
      <c r="F95" s="42"/>
      <c r="G95" s="38" t="s">
        <v>151</v>
      </c>
      <c r="H95" s="44">
        <v>1</v>
      </c>
      <c r="I95" s="34">
        <v>0.05</v>
      </c>
      <c r="J95" s="33">
        <f>J$14</f>
        <v>6083</v>
      </c>
      <c r="K95" s="43">
        <f>H95*I95*J95</f>
        <v>304.15000000000003</v>
      </c>
      <c r="L95" s="42"/>
      <c r="M95" s="38" t="s">
        <v>177</v>
      </c>
      <c r="N95" s="44">
        <v>1</v>
      </c>
      <c r="O95" s="34">
        <v>0.05</v>
      </c>
      <c r="P95" s="33">
        <f>P$14</f>
        <v>529</v>
      </c>
      <c r="Q95" s="43">
        <f>N95*O95*P95</f>
        <v>26.450000000000003</v>
      </c>
      <c r="R95" s="42"/>
      <c r="S95" s="38" t="s">
        <v>196</v>
      </c>
      <c r="T95" s="44">
        <v>1</v>
      </c>
      <c r="U95" s="34">
        <v>0.1</v>
      </c>
      <c r="V95" s="33">
        <f>V$14</f>
        <v>2458</v>
      </c>
      <c r="W95" s="43">
        <f>T95*U95*V95</f>
        <v>245.8</v>
      </c>
    </row>
    <row r="96" spans="1:23" x14ac:dyDescent="0.25">
      <c r="A96" s="1" t="s">
        <v>9</v>
      </c>
    </row>
    <row r="97" spans="1:23" x14ac:dyDescent="0.25">
      <c r="C97" s="3" t="s">
        <v>10</v>
      </c>
      <c r="D97" s="3"/>
      <c r="E97" s="4">
        <f>SUM(E16:E96)</f>
        <v>764588.66473033838</v>
      </c>
      <c r="I97" s="3" t="s">
        <v>11</v>
      </c>
      <c r="J97" s="3"/>
      <c r="K97" s="4">
        <f>SUM(K16:K96)</f>
        <v>190333.52396666663</v>
      </c>
      <c r="N97" s="3" t="s">
        <v>12</v>
      </c>
      <c r="O97" s="3"/>
      <c r="P97" s="3"/>
      <c r="Q97" s="4">
        <f>SUM(Q16:Q96)</f>
        <v>18411.315077777781</v>
      </c>
      <c r="U97" s="3" t="s">
        <v>13</v>
      </c>
      <c r="V97" s="3"/>
      <c r="W97" s="4">
        <f>SUM(W16:W96)</f>
        <v>193048.725358114</v>
      </c>
    </row>
    <row r="98" spans="1:23" x14ac:dyDescent="0.25">
      <c r="A98" s="18" t="s">
        <v>14</v>
      </c>
    </row>
    <row r="99" spans="1:23" x14ac:dyDescent="0.25">
      <c r="A99" s="19">
        <f>E97+K97+Q97+W97</f>
        <v>1166382.2291328968</v>
      </c>
    </row>
  </sheetData>
  <sheetProtection formatCells="0"/>
  <phoneticPr fontId="1" type="noConversion"/>
  <printOptions headings="1"/>
  <pageMargins left="0.5" right="0.5" top="1" bottom="0.5" header="0.5" footer="0.5"/>
  <pageSetup paperSize="5" scale="91" fitToHeight="21" orientation="landscape" r:id="rId1"/>
  <headerFooter alignWithMargins="0">
    <oddFooter>Page &amp;P of &amp;N</oddFooter>
  </headerFooter>
  <ignoredErrors>
    <ignoredError sqref="D88 I32 O49:P4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Sheet3</vt:lpstr>
      <vt:lpstr>Sheet1!OLE_LINK1</vt:lpstr>
      <vt:lpstr>Sheet1!Print_Area</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Hinchman</dc:creator>
  <cp:lastModifiedBy>FAmanat</cp:lastModifiedBy>
  <cp:lastPrinted>2012-04-20T15:11:43Z</cp:lastPrinted>
  <dcterms:created xsi:type="dcterms:W3CDTF">2010-10-12T21:11:19Z</dcterms:created>
  <dcterms:modified xsi:type="dcterms:W3CDTF">2012-10-12T19:52:48Z</dcterms:modified>
</cp:coreProperties>
</file>