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8795" windowHeight="8775"/>
  </bookViews>
  <sheets>
    <sheet name="Sheet1" sheetId="1" r:id="rId1"/>
    <sheet name="Numbers for Burden Grid" sheetId="2" r:id="rId2"/>
    <sheet name="Sheet3" sheetId="3" r:id="rId3"/>
  </sheets>
  <definedNames>
    <definedName name="_xlnm.Print_Titles" localSheetId="0">Sheet1!$1:$19</definedName>
  </definedNames>
  <calcPr calcId="145621"/>
</workbook>
</file>

<file path=xl/calcChain.xml><?xml version="1.0" encoding="utf-8"?>
<calcChain xmlns="http://schemas.openxmlformats.org/spreadsheetml/2006/main">
  <c r="B16" i="2" l="1"/>
  <c r="H55" i="1" l="1"/>
  <c r="H54" i="1"/>
  <c r="B14" i="2"/>
  <c r="B1" i="2" l="1"/>
  <c r="B15" i="2"/>
  <c r="J42" i="1"/>
  <c r="H41" i="1"/>
  <c r="H43" i="1" l="1"/>
  <c r="H40" i="1"/>
  <c r="O43" i="1"/>
  <c r="J43" i="1"/>
  <c r="L43" i="1" s="1"/>
  <c r="Q43" i="1" s="1"/>
  <c r="O42" i="1"/>
  <c r="L42" i="1"/>
  <c r="Q42" i="1" s="1"/>
  <c r="H44" i="1"/>
  <c r="O44" i="1"/>
  <c r="J45" i="1"/>
  <c r="L45" i="1" s="1"/>
  <c r="Q45" i="1" s="1"/>
  <c r="O45" i="1"/>
  <c r="H34" i="1" l="1"/>
  <c r="O54" i="1"/>
  <c r="O55" i="1"/>
  <c r="H31" i="1"/>
  <c r="H24" i="1"/>
  <c r="H25" i="1"/>
  <c r="H21" i="1" l="1"/>
  <c r="I32" i="1" l="1"/>
  <c r="I44" i="1" l="1"/>
  <c r="J44" i="1" s="1"/>
  <c r="L44" i="1" s="1"/>
  <c r="Q44" i="1" s="1"/>
  <c r="I52" i="1"/>
  <c r="H22" i="1"/>
  <c r="O53" i="1"/>
  <c r="H53" i="1"/>
  <c r="O41" i="1"/>
  <c r="J41" i="1"/>
  <c r="L41" i="1" s="1"/>
  <c r="Q41" i="1" s="1"/>
  <c r="O40" i="1"/>
  <c r="J40" i="1"/>
  <c r="L40" i="1" s="1"/>
  <c r="Q40" i="1" s="1"/>
  <c r="O33" i="1"/>
  <c r="J33" i="1"/>
  <c r="L33" i="1" s="1"/>
  <c r="Q33" i="1" s="1"/>
  <c r="O34" i="1"/>
  <c r="J34" i="1"/>
  <c r="L34" i="1" s="1"/>
  <c r="Q34" i="1" s="1"/>
  <c r="H61" i="1" l="1"/>
  <c r="H58" i="1"/>
  <c r="H51" i="1" l="1"/>
  <c r="H27" i="1"/>
  <c r="H26" i="1"/>
  <c r="I59" i="1" l="1"/>
  <c r="I31" i="1"/>
  <c r="H59" i="1"/>
  <c r="O59" i="1"/>
  <c r="O60" i="1"/>
  <c r="J59" i="1" l="1"/>
  <c r="L59" i="1" s="1"/>
  <c r="Q59" i="1" s="1"/>
  <c r="H47" i="1" l="1"/>
  <c r="O20" i="1"/>
  <c r="J21" i="1"/>
  <c r="J20" i="1"/>
  <c r="L20" i="1" s="1"/>
  <c r="I36" i="1" l="1"/>
  <c r="H52" i="1"/>
  <c r="H36" i="1"/>
  <c r="H37" i="1"/>
  <c r="H32" i="1"/>
  <c r="I24" i="1"/>
  <c r="H29" i="1"/>
  <c r="H28" i="1"/>
  <c r="I27" i="1" l="1"/>
  <c r="O57" i="1" l="1"/>
  <c r="J57" i="1"/>
  <c r="L57" i="1" s="1"/>
  <c r="Q57" i="1" s="1"/>
  <c r="H23" i="1"/>
  <c r="I25" i="1"/>
  <c r="J61" i="1" l="1"/>
  <c r="L61" i="1" s="1"/>
  <c r="I23" i="1" l="1"/>
  <c r="H46" i="1" l="1"/>
  <c r="J52" i="1" l="1"/>
  <c r="O52" i="1"/>
  <c r="L52" i="1" l="1"/>
  <c r="Q52" i="1" s="1"/>
  <c r="H39" i="1"/>
  <c r="H38" i="1"/>
  <c r="O28" i="1" l="1"/>
  <c r="O29" i="1"/>
  <c r="O30" i="1"/>
  <c r="O31" i="1"/>
  <c r="O32" i="1"/>
  <c r="O35" i="1"/>
  <c r="O36" i="1"/>
  <c r="O37" i="1"/>
  <c r="O38" i="1"/>
  <c r="O39" i="1"/>
  <c r="O46" i="1"/>
  <c r="O47" i="1"/>
  <c r="O48" i="1"/>
  <c r="O49" i="1"/>
  <c r="O50" i="1"/>
  <c r="O51" i="1"/>
  <c r="O56" i="1"/>
  <c r="O58" i="1"/>
  <c r="O61" i="1"/>
  <c r="J28" i="1"/>
  <c r="L28" i="1" s="1"/>
  <c r="Q28" i="1" s="1"/>
  <c r="J29" i="1"/>
  <c r="L29" i="1" s="1"/>
  <c r="Q29" i="1" s="1"/>
  <c r="J50" i="1"/>
  <c r="L50" i="1" s="1"/>
  <c r="Q50" i="1" s="1"/>
  <c r="J46" i="1"/>
  <c r="L46" i="1" s="1"/>
  <c r="Q46" i="1" s="1"/>
  <c r="J39" i="1" l="1"/>
  <c r="L39" i="1" s="1"/>
  <c r="Q39" i="1" s="1"/>
  <c r="J38" i="1"/>
  <c r="L38" i="1" s="1"/>
  <c r="Q38" i="1" s="1"/>
  <c r="J36" i="1" l="1"/>
  <c r="I37" i="1" s="1"/>
  <c r="O27" i="1"/>
  <c r="J27" i="1"/>
  <c r="L27" i="1" s="1"/>
  <c r="Q27" i="1" s="1"/>
  <c r="L36" i="1" l="1"/>
  <c r="Q36" i="1" s="1"/>
  <c r="J37" i="1"/>
  <c r="L21" i="1"/>
  <c r="J35" i="1"/>
  <c r="L35" i="1" s="1"/>
  <c r="Q35" i="1" s="1"/>
  <c r="J30" i="1"/>
  <c r="P62" i="1"/>
  <c r="P63" i="1" s="1"/>
  <c r="O24" i="1"/>
  <c r="O25" i="1"/>
  <c r="O26" i="1"/>
  <c r="O21" i="1"/>
  <c r="O22" i="1"/>
  <c r="O23" i="1"/>
  <c r="M62" i="1"/>
  <c r="M63" i="1" s="1"/>
  <c r="J58" i="1"/>
  <c r="L58" i="1" s="1"/>
  <c r="Q58" i="1" s="1"/>
  <c r="J56" i="1"/>
  <c r="L56" i="1" s="1"/>
  <c r="Q56" i="1" s="1"/>
  <c r="J51" i="1"/>
  <c r="L49" i="1"/>
  <c r="Q49" i="1" s="1"/>
  <c r="J48" i="1"/>
  <c r="L48" i="1" s="1"/>
  <c r="Q48" i="1" s="1"/>
  <c r="J47" i="1"/>
  <c r="L47" i="1" s="1"/>
  <c r="Q47" i="1" s="1"/>
  <c r="J32" i="1"/>
  <c r="L32" i="1" s="1"/>
  <c r="Q32" i="1" s="1"/>
  <c r="J31" i="1"/>
  <c r="J26" i="1"/>
  <c r="L26" i="1" s="1"/>
  <c r="Q26" i="1" s="1"/>
  <c r="J25" i="1"/>
  <c r="L25" i="1" s="1"/>
  <c r="Q25" i="1" s="1"/>
  <c r="J24" i="1"/>
  <c r="L24" i="1" s="1"/>
  <c r="Q24" i="1" s="1"/>
  <c r="J23" i="1"/>
  <c r="J22" i="1"/>
  <c r="L22" i="1" s="1"/>
  <c r="I53" i="1" l="1"/>
  <c r="J54" i="1"/>
  <c r="L54" i="1" s="1"/>
  <c r="Q54" i="1" s="1"/>
  <c r="L51" i="1"/>
  <c r="Q51" i="1" s="1"/>
  <c r="L37" i="1"/>
  <c r="Q37" i="1" s="1"/>
  <c r="H60" i="1"/>
  <c r="J60" i="1" s="1"/>
  <c r="L60" i="1" s="1"/>
  <c r="Q60" i="1" s="1"/>
  <c r="L31" i="1"/>
  <c r="Q31" i="1" s="1"/>
  <c r="L30" i="1"/>
  <c r="Q30" i="1" s="1"/>
  <c r="O62" i="1"/>
  <c r="O63" i="1" s="1"/>
  <c r="L23" i="1"/>
  <c r="Q23" i="1" s="1"/>
  <c r="Q22" i="1"/>
  <c r="Q21" i="1"/>
  <c r="L53" i="1" l="1"/>
  <c r="Q53" i="1" s="1"/>
  <c r="J53" i="1"/>
  <c r="Q61" i="1"/>
  <c r="J55" i="1"/>
  <c r="L55" i="1" s="1"/>
  <c r="J62" i="1" l="1"/>
  <c r="J63" i="1" s="1"/>
  <c r="J64" i="1" s="1"/>
  <c r="L62" i="1"/>
  <c r="L63" i="1" s="1"/>
  <c r="L64" i="1" s="1"/>
  <c r="B17" i="2" s="1"/>
  <c r="B13" i="2" s="1"/>
  <c r="Q55" i="1"/>
  <c r="Q62" i="1" s="1"/>
  <c r="Q63" i="1" s="1"/>
  <c r="Q64" i="1" s="1"/>
</calcChain>
</file>

<file path=xl/sharedStrings.xml><?xml version="1.0" encoding="utf-8"?>
<sst xmlns="http://schemas.openxmlformats.org/spreadsheetml/2006/main" count="169" uniqueCount="89">
  <si>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</si>
  <si>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DOCUMENT</t>
  </si>
  <si>
    <t>IDENTIFICATION OF REPORTING OR RECORDKEEPING REQUIREMENT</t>
  </si>
  <si>
    <t>FORMS NO(S) (IF "NONE" SO STATE) (D)</t>
  </si>
  <si>
    <t>ANNUAL BURDEN</t>
  </si>
  <si>
    <t>REPORTS</t>
  </si>
  <si>
    <t>RECORDS</t>
  </si>
  <si>
    <t>NO OF RESPONSES PER POLICY (F)</t>
  </si>
  <si>
    <t>TOTAL ANNUAL RESPONSES (CAL. E X F) (G)</t>
  </si>
  <si>
    <t>HOURS PER RESPONSE (H)</t>
  </si>
  <si>
    <t>TOTAL HOURS (CAL. G X H) (I)</t>
  </si>
  <si>
    <t>NO. OF RECORD-KEEPERS (J)</t>
  </si>
  <si>
    <t>HOURS PER RECORD-KEEPER (K)</t>
  </si>
  <si>
    <t>TOTAL RECORD- KEEPING HOURS (CAL. J X K)  (L)</t>
  </si>
  <si>
    <t>COST PER HOUR</t>
  </si>
  <si>
    <t>NONE</t>
  </si>
  <si>
    <t>P10- Policy Record</t>
  </si>
  <si>
    <t>P11- Acreage Record</t>
  </si>
  <si>
    <t>P12- Payment Record</t>
  </si>
  <si>
    <t>P21- Loss Line Record</t>
  </si>
  <si>
    <t>P27- Land ID Record</t>
  </si>
  <si>
    <t>P51- Conflict of Interest Policy Reporting Record</t>
  </si>
  <si>
    <t>P57- Quality Control Reporting Record</t>
  </si>
  <si>
    <t>Reading insurance documents</t>
  </si>
  <si>
    <t>SUBTOTAL</t>
  </si>
  <si>
    <t>TOTAL OF ALL PAGES</t>
  </si>
  <si>
    <t>DESCRIPTION: (DATA ELEMENT)  (C)</t>
  </si>
  <si>
    <t>TOTAL COST</t>
  </si>
  <si>
    <t>RESPONDENT (B)</t>
  </si>
  <si>
    <t xml:space="preserve">Farmer </t>
  </si>
  <si>
    <t>Insurance Sales Agent/Insurance Underwriter/Farmer</t>
  </si>
  <si>
    <t>Insurance Sales Agent/Office Clerk</t>
  </si>
  <si>
    <t>Insurance Underwriter</t>
  </si>
  <si>
    <t>TOTAL - COLUMNS "G" AND "J" = OMB 831, 13 b; COLUMNS "I" AND "L" = OMB 831, 13c</t>
  </si>
  <si>
    <t>Multiple Peril Crop Insurance</t>
  </si>
  <si>
    <t>P13- Inventory Value Record</t>
  </si>
  <si>
    <t>P15- Yield History Record</t>
  </si>
  <si>
    <t>P22- Inventory Loss Record</t>
  </si>
  <si>
    <t>P58- Notice of Loss Reporting Record</t>
  </si>
  <si>
    <t>OMB NO. 0563-0053</t>
  </si>
  <si>
    <t>P49- Policy Delete Record</t>
  </si>
  <si>
    <t>P10- Policy Record (Company Application)</t>
  </si>
  <si>
    <t>P11- Acreage Record (Company Acreage Report)</t>
  </si>
  <si>
    <t>P21- Loss Line Record (Company Claim for Indemnity)</t>
  </si>
  <si>
    <t>Accountant</t>
  </si>
  <si>
    <t>Farmer</t>
  </si>
  <si>
    <t>IT Staff</t>
  </si>
  <si>
    <t>Additional burden hours for crop insurance companies to transmit data elements to RMA</t>
  </si>
  <si>
    <t>P48- Delete Record*</t>
  </si>
  <si>
    <t>* This is accounted for on line_ "IT Staff" as part of the IT transmittal of data records.</t>
  </si>
  <si>
    <t>P81- Policy Holder Tracking Experience Inquiry Record*</t>
  </si>
  <si>
    <t>P55- Agent Data Record*</t>
  </si>
  <si>
    <t>P56- Loss Adjuster Data Record*</t>
  </si>
  <si>
    <t>P14- Insurance In Force Record*</t>
  </si>
  <si>
    <t>P54- Agency/Company Employee Data Record*</t>
  </si>
  <si>
    <t xml:space="preserve">Additional information provided as needed </t>
  </si>
  <si>
    <t>Insurance Sales Agent/Insurance Underwriter/Farmer/Agricultural Inspector</t>
  </si>
  <si>
    <t>P20- Loss Total Record *</t>
  </si>
  <si>
    <t>Insurance Sales Agent/Office Clerk/Claims Adjuster</t>
  </si>
  <si>
    <t>P05-  CIMS Request Record*</t>
  </si>
  <si>
    <t>P09- Fund Designation Record (per company)*</t>
  </si>
  <si>
    <t>Insurance Sales Agent/Claims Adjuster</t>
  </si>
  <si>
    <t xml:space="preserve">Travel time </t>
  </si>
  <si>
    <t>Insurance Sales Agent/Claims Adjuster/Farmer</t>
  </si>
  <si>
    <t>Record retention</t>
  </si>
  <si>
    <t>Policies Earning Premium</t>
  </si>
  <si>
    <t>Companies</t>
  </si>
  <si>
    <t>Nursery Policies Earning Premium</t>
  </si>
  <si>
    <t>Active Crop Insurance Agents</t>
  </si>
  <si>
    <t>Active Loss Adjusters</t>
  </si>
  <si>
    <t>Unique Producers</t>
  </si>
  <si>
    <t>Producers with Spring and Fall</t>
  </si>
  <si>
    <t>New Producers</t>
  </si>
  <si>
    <t>PASS Processing Summary Input Records</t>
  </si>
  <si>
    <t>http://www.rma.usda.gov/FTP/Publications/M13_Handbook/2015/draft/ACT_NARR.PDF</t>
  </si>
  <si>
    <t>P19- WFRP Farm Reports</t>
  </si>
  <si>
    <t>P23- WFRP Indemnity Record</t>
  </si>
  <si>
    <t>P75- Records Producer Certification</t>
  </si>
  <si>
    <t>DATE PREPARED-8/25/15</t>
  </si>
  <si>
    <t>Begginning Farmer or Rancher</t>
  </si>
  <si>
    <t>Whole Farm Revenue Protection Policies Earning Premium</t>
  </si>
  <si>
    <t>P26- Production</t>
  </si>
  <si>
    <t>P26-Production</t>
  </si>
  <si>
    <r>
      <t xml:space="preserve">Estimate of Burden: </t>
    </r>
    <r>
      <rPr>
        <sz val="11"/>
        <color theme="1"/>
        <rFont val="Calibri"/>
        <family val="2"/>
        <scheme val="minor"/>
      </rPr>
      <t>The public reporting burden for this collection of information are estimated to average  of an hour per response.</t>
    </r>
  </si>
  <si>
    <t xml:space="preserve">Estimated Annual Number of Responses: </t>
  </si>
  <si>
    <t xml:space="preserve">Estimated Annual Number of Respondents: </t>
  </si>
  <si>
    <t>Estimated Annual Number of Responses Per Respondent:</t>
  </si>
  <si>
    <t>Estimated Total Annual Burden on Respondents:</t>
  </si>
  <si>
    <t>NO OF RESPONDENTS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</si>
</sst>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&quot;$&quot;#,##0.0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8" fillId="0" borderId="0" xfId="0" applyFont="1"/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1" fontId="3" fillId="0" borderId="12" xfId="0" applyNumberFormat="1" applyFont="1" applyBorder="1" applyAlignment="1" applyProtection="1">
      <alignment horizontal="left" vertical="center"/>
    </xf>
    <xf numFmtId="49" fontId="3" fillId="0" borderId="12" xfId="0" applyNumberFormat="1" applyFont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165" fontId="3" fillId="0" borderId="12" xfId="0" applyNumberFormat="1" applyFont="1" applyBorder="1" applyAlignment="1">
      <alignment wrapText="1"/>
    </xf>
    <xf numFmtId="165" fontId="3" fillId="0" borderId="12" xfId="0" applyNumberFormat="1" applyFont="1" applyFill="1" applyBorder="1" applyAlignment="1">
      <alignment wrapText="1"/>
    </xf>
    <xf numFmtId="1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Fill="1" applyBorder="1" applyAlignment="1" applyProtection="1">
      <alignment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" fontId="3" fillId="0" borderId="12" xfId="0" applyNumberFormat="1" applyFont="1" applyFill="1" applyBorder="1" applyAlignment="1" applyProtection="1">
      <alignment wrapText="1"/>
    </xf>
    <xf numFmtId="1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Border="1" applyAlignment="1" applyProtection="1">
      <alignment wrapText="1"/>
    </xf>
    <xf numFmtId="0" fontId="10" fillId="0" borderId="0" xfId="0" applyFont="1"/>
    <xf numFmtId="3" fontId="3" fillId="0" borderId="12" xfId="0" applyNumberFormat="1" applyFont="1" applyBorder="1" applyAlignment="1" applyProtection="1">
      <alignment wrapText="1"/>
      <protection locked="0"/>
    </xf>
    <xf numFmtId="3" fontId="3" fillId="0" borderId="12" xfId="0" applyNumberFormat="1" applyFont="1" applyBorder="1" applyAlignment="1" applyProtection="1">
      <alignment wrapText="1"/>
    </xf>
    <xf numFmtId="3" fontId="3" fillId="0" borderId="12" xfId="0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Fill="1" applyBorder="1" applyAlignment="1" applyProtection="1">
      <alignment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1" fontId="3" fillId="0" borderId="12" xfId="0" applyNumberFormat="1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wrapText="1"/>
    </xf>
    <xf numFmtId="1" fontId="7" fillId="0" borderId="12" xfId="0" applyNumberFormat="1" applyFont="1" applyFill="1" applyBorder="1" applyAlignment="1" applyProtection="1">
      <alignment wrapText="1"/>
    </xf>
    <xf numFmtId="3" fontId="7" fillId="0" borderId="12" xfId="0" applyNumberFormat="1" applyFont="1" applyFill="1" applyBorder="1" applyAlignment="1" applyProtection="1">
      <alignment wrapText="1"/>
    </xf>
    <xf numFmtId="3" fontId="0" fillId="0" borderId="0" xfId="0" applyNumberFormat="1" applyFont="1"/>
    <xf numFmtId="0" fontId="0" fillId="0" borderId="0" xfId="0" applyFont="1"/>
    <xf numFmtId="0" fontId="11" fillId="0" borderId="0" xfId="0" applyFont="1"/>
    <xf numFmtId="0" fontId="12" fillId="0" borderId="0" xfId="1"/>
    <xf numFmtId="0" fontId="13" fillId="0" borderId="0" xfId="0" applyFont="1"/>
    <xf numFmtId="0" fontId="0" fillId="0" borderId="0" xfId="0" applyFont="1" applyFill="1"/>
    <xf numFmtId="0" fontId="13" fillId="0" borderId="0" xfId="0" applyFont="1" applyBorder="1" applyAlignment="1" applyProtection="1">
      <alignment wrapText="1"/>
    </xf>
    <xf numFmtId="0" fontId="13" fillId="0" borderId="0" xfId="0" applyFont="1" applyAlignment="1">
      <alignment wrapText="1"/>
    </xf>
    <xf numFmtId="0" fontId="0" fillId="0" borderId="0" xfId="0" applyFont="1" applyAlignment="1">
      <alignment wrapText="1"/>
    </xf>
    <xf numFmtId="3" fontId="13" fillId="0" borderId="0" xfId="0" applyNumberFormat="1" applyFont="1" applyBorder="1" applyAlignment="1" applyProtection="1">
      <alignment wrapText="1"/>
      <protection locked="0"/>
    </xf>
    <xf numFmtId="0" fontId="14" fillId="0" borderId="0" xfId="0" applyFont="1" applyAlignment="1">
      <alignment vertical="center" wrapText="1"/>
    </xf>
    <xf numFmtId="2" fontId="0" fillId="0" borderId="0" xfId="0" applyNumberFormat="1" applyFont="1"/>
    <xf numFmtId="166" fontId="0" fillId="0" borderId="0" xfId="0" applyNumberFormat="1" applyFont="1"/>
    <xf numFmtId="49" fontId="3" fillId="2" borderId="12" xfId="0" applyNumberFormat="1" applyFont="1" applyFill="1" applyBorder="1" applyAlignment="1" applyProtection="1">
      <alignment horizontal="left" vertical="center" wrapText="1"/>
      <protection locked="0"/>
    </xf>
    <xf numFmtId="3" fontId="3" fillId="2" borderId="12" xfId="0" applyNumberFormat="1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Alignment="1" applyProtection="1">
      <alignment wrapText="1"/>
      <protection locked="0"/>
    </xf>
    <xf numFmtId="3" fontId="3" fillId="2" borderId="12" xfId="0" applyNumberFormat="1" applyFont="1" applyFill="1" applyBorder="1" applyAlignment="1" applyProtection="1">
      <alignment wrapText="1"/>
    </xf>
    <xf numFmtId="1" fontId="3" fillId="2" borderId="12" xfId="0" applyNumberFormat="1" applyFont="1" applyFill="1" applyBorder="1" applyAlignment="1" applyProtection="1">
      <alignment wrapText="1"/>
      <protection locked="0"/>
    </xf>
    <xf numFmtId="165" fontId="3" fillId="2" borderId="12" xfId="0" applyNumberFormat="1" applyFont="1" applyFill="1" applyBorder="1" applyAlignment="1">
      <alignment wrapText="1"/>
    </xf>
    <xf numFmtId="2" fontId="3" fillId="2" borderId="12" xfId="0" applyNumberFormat="1" applyFont="1" applyFill="1" applyBorder="1" applyAlignment="1" applyProtection="1">
      <alignment wrapText="1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3" fontId="3" fillId="3" borderId="12" xfId="0" applyNumberFormat="1" applyFont="1" applyFill="1" applyBorder="1" applyAlignment="1" applyProtection="1">
      <alignment wrapText="1"/>
      <protection locked="0"/>
    </xf>
    <xf numFmtId="2" fontId="3" fillId="3" borderId="12" xfId="0" applyNumberFormat="1" applyFont="1" applyFill="1" applyBorder="1" applyAlignment="1" applyProtection="1">
      <alignment wrapText="1"/>
      <protection locked="0"/>
    </xf>
    <xf numFmtId="3" fontId="3" fillId="3" borderId="12" xfId="0" applyNumberFormat="1" applyFont="1" applyFill="1" applyBorder="1" applyAlignment="1" applyProtection="1">
      <alignment wrapText="1"/>
    </xf>
    <xf numFmtId="1" fontId="3" fillId="3" borderId="12" xfId="0" applyNumberFormat="1" applyFont="1" applyFill="1" applyBorder="1" applyAlignment="1" applyProtection="1">
      <alignment wrapText="1"/>
      <protection locked="0"/>
    </xf>
    <xf numFmtId="165" fontId="3" fillId="3" borderId="12" xfId="0" applyNumberFormat="1" applyFont="1" applyFill="1" applyBorder="1" applyAlignment="1">
      <alignment wrapText="1"/>
    </xf>
    <xf numFmtId="2" fontId="3" fillId="3" borderId="12" xfId="0" applyNumberFormat="1" applyFont="1" applyFill="1" applyBorder="1" applyAlignment="1" applyProtection="1">
      <alignment wrapText="1"/>
    </xf>
    <xf numFmtId="49" fontId="3" fillId="4" borderId="12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2" xfId="0" applyNumberFormat="1" applyFont="1" applyFill="1" applyBorder="1" applyAlignment="1" applyProtection="1">
      <alignment wrapText="1"/>
      <protection locked="0"/>
    </xf>
    <xf numFmtId="2" fontId="3" fillId="4" borderId="12" xfId="0" applyNumberFormat="1" applyFont="1" applyFill="1" applyBorder="1" applyAlignment="1" applyProtection="1">
      <alignment wrapText="1"/>
      <protection locked="0"/>
    </xf>
    <xf numFmtId="3" fontId="3" fillId="4" borderId="12" xfId="0" applyNumberFormat="1" applyFont="1" applyFill="1" applyBorder="1" applyAlignment="1" applyProtection="1">
      <alignment wrapText="1"/>
    </xf>
    <xf numFmtId="1" fontId="3" fillId="4" borderId="12" xfId="0" applyNumberFormat="1" applyFont="1" applyFill="1" applyBorder="1" applyAlignment="1" applyProtection="1">
      <alignment wrapText="1"/>
      <protection locked="0"/>
    </xf>
    <xf numFmtId="165" fontId="3" fillId="4" borderId="12" xfId="0" applyNumberFormat="1" applyFont="1" applyFill="1" applyBorder="1" applyAlignment="1">
      <alignment wrapText="1"/>
    </xf>
    <xf numFmtId="2" fontId="9" fillId="3" borderId="12" xfId="0" applyNumberFormat="1" applyFont="1" applyFill="1" applyBorder="1" applyAlignment="1" applyProtection="1">
      <alignment horizontal="left" vertical="center" wrapText="1"/>
      <protection locked="0"/>
    </xf>
    <xf numFmtId="2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</xf>
    <xf numFmtId="2" fontId="5" fillId="0" borderId="3" xfId="0" applyNumberFormat="1" applyFont="1" applyBorder="1" applyAlignment="1" applyProtection="1">
      <alignment horizontal="center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2" fontId="5" fillId="0" borderId="8" xfId="0" applyNumberFormat="1" applyFont="1" applyBorder="1" applyAlignment="1" applyProtection="1">
      <alignment horizontal="center" vertical="center" wrapText="1"/>
    </xf>
    <xf numFmtId="2" fontId="5" fillId="0" borderId="7" xfId="0" applyNumberFormat="1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2" fontId="7" fillId="0" borderId="9" xfId="0" applyNumberFormat="1" applyFont="1" applyBorder="1" applyAlignment="1" applyProtection="1">
      <alignment horizontal="center" wrapText="1"/>
    </xf>
    <xf numFmtId="2" fontId="7" fillId="0" borderId="10" xfId="0" applyNumberFormat="1" applyFont="1" applyBorder="1" applyAlignment="1" applyProtection="1">
      <alignment horizontal="center" wrapText="1"/>
    </xf>
    <xf numFmtId="2" fontId="7" fillId="0" borderId="11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164" fontId="6" fillId="0" borderId="4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wrapText="1"/>
    </xf>
    <xf numFmtId="0" fontId="6" fillId="0" borderId="5" xfId="0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7" xfId="0" applyFont="1" applyBorder="1" applyAlignment="1" applyProtection="1">
      <alignment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5" fillId="0" borderId="5" xfId="0" applyFont="1" applyFill="1" applyBorder="1" applyAlignment="1" applyProtection="1">
      <alignment horizontal="center" vertical="top" wrapText="1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7" xfId="0" applyFont="1" applyFill="1" applyBorder="1" applyAlignment="1" applyProtection="1">
      <alignment horizontal="center" vertical="top" wrapText="1"/>
    </xf>
    <xf numFmtId="0" fontId="0" fillId="2" borderId="12" xfId="0" applyFill="1" applyBorder="1" applyAlignment="1">
      <alignment horizontal="left" vertical="center" wrapText="1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2" fontId="5" fillId="0" borderId="7" xfId="0" applyNumberFormat="1" applyFont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49" fontId="4" fillId="0" borderId="12" xfId="0" applyNumberFormat="1" applyFont="1" applyFill="1" applyBorder="1" applyAlignment="1" applyProtection="1">
      <alignment horizontal="right" vertical="center" wrapText="1"/>
    </xf>
    <xf numFmtId="0" fontId="6" fillId="0" borderId="12" xfId="0" applyFont="1" applyFill="1" applyBorder="1" applyAlignment="1" applyProtection="1">
      <alignment vertical="center" wrapText="1"/>
    </xf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49" fontId="7" fillId="0" borderId="12" xfId="0" applyNumberFormat="1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0" fontId="0" fillId="3" borderId="12" xfId="0" applyFill="1" applyBorder="1" applyAlignment="1">
      <alignment horizontal="left" vertical="center" wrapText="1"/>
    </xf>
    <xf numFmtId="49" fontId="9" fillId="4" borderId="12" xfId="0" applyNumberFormat="1" applyFont="1" applyFill="1" applyBorder="1" applyAlignment="1" applyProtection="1">
      <alignment horizontal="left" vertical="center" wrapText="1"/>
      <protection locked="0"/>
    </xf>
    <xf numFmtId="4" fontId="3" fillId="0" borderId="12" xfId="0" applyNumberFormat="1" applyFont="1" applyFill="1" applyBorder="1" applyAlignment="1">
      <alignment wrapText="1"/>
    </xf>
    <xf numFmtId="4" fontId="3" fillId="3" borderId="12" xfId="0" applyNumberFormat="1" applyFont="1" applyFill="1" applyBorder="1" applyAlignment="1">
      <alignment wrapText="1"/>
    </xf>
    <xf numFmtId="4" fontId="3" fillId="2" borderId="12" xfId="0" applyNumberFormat="1" applyFont="1" applyFill="1" applyBorder="1" applyAlignment="1">
      <alignment wrapText="1"/>
    </xf>
    <xf numFmtId="4" fontId="3" fillId="4" borderId="12" xfId="0" applyNumberFormat="1" applyFont="1" applyFill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4" fontId="7" fillId="0" borderId="12" xfId="0" applyNumberFormat="1" applyFont="1" applyFill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ma.usda.gov/FTP/Publications/M13_Handbook/2015/draft/ACT_NARR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zoomScale="80" zoomScaleNormal="80" workbookViewId="0">
      <pane ySplit="19" topLeftCell="A48" activePane="bottomLeft" state="frozen"/>
      <selection pane="bottomLeft" activeCell="M51" sqref="M51"/>
    </sheetView>
  </sheetViews>
  <sheetFormatPr defaultRowHeight="15" x14ac:dyDescent="0.25"/>
  <cols>
    <col min="1" max="1" width="12.28515625" customWidth="1"/>
    <col min="2" max="2" width="16.42578125" customWidth="1"/>
    <col min="7" max="7" width="19" customWidth="1"/>
    <col min="8" max="8" width="15.140625" customWidth="1"/>
    <col min="9" max="10" width="15" customWidth="1"/>
    <col min="11" max="11" width="15.42578125" customWidth="1"/>
    <col min="12" max="12" width="12.7109375" customWidth="1"/>
    <col min="13" max="13" width="14.140625" customWidth="1"/>
    <col min="14" max="14" width="11.42578125" customWidth="1"/>
    <col min="15" max="15" width="9.85546875" customWidth="1"/>
    <col min="16" max="16" width="13" customWidth="1"/>
    <col min="17" max="17" width="18.7109375" bestFit="1" customWidth="1"/>
    <col min="18" max="18" width="47.140625" customWidth="1"/>
    <col min="19" max="19" width="14.85546875" customWidth="1"/>
  </cols>
  <sheetData>
    <row r="1" spans="1:17" x14ac:dyDescent="0.25">
      <c r="A1" s="110" t="s">
        <v>0</v>
      </c>
      <c r="B1" s="111"/>
      <c r="C1" s="112"/>
      <c r="D1" s="112"/>
      <c r="E1" s="112"/>
      <c r="F1" s="112"/>
      <c r="G1" s="112"/>
      <c r="H1" s="112"/>
      <c r="I1" s="113"/>
      <c r="J1" s="120" t="s">
        <v>1</v>
      </c>
      <c r="K1" s="121"/>
      <c r="L1" s="121"/>
      <c r="M1" s="121"/>
      <c r="N1" s="122"/>
      <c r="O1" s="133" t="s">
        <v>39</v>
      </c>
      <c r="P1" s="134"/>
    </row>
    <row r="2" spans="1:17" x14ac:dyDescent="0.25">
      <c r="A2" s="114"/>
      <c r="B2" s="115"/>
      <c r="C2" s="115"/>
      <c r="D2" s="115"/>
      <c r="E2" s="115"/>
      <c r="F2" s="115"/>
      <c r="G2" s="115"/>
      <c r="H2" s="115"/>
      <c r="I2" s="116"/>
      <c r="J2" s="123"/>
      <c r="K2" s="124"/>
      <c r="L2" s="124"/>
      <c r="M2" s="124"/>
      <c r="N2" s="125"/>
      <c r="O2" s="135"/>
      <c r="P2" s="136"/>
    </row>
    <row r="3" spans="1:17" x14ac:dyDescent="0.25">
      <c r="A3" s="114"/>
      <c r="B3" s="115"/>
      <c r="C3" s="115"/>
      <c r="D3" s="115"/>
      <c r="E3" s="115"/>
      <c r="F3" s="115"/>
      <c r="G3" s="115"/>
      <c r="H3" s="115"/>
      <c r="I3" s="116"/>
      <c r="J3" s="139" t="s">
        <v>34</v>
      </c>
      <c r="K3" s="140"/>
      <c r="L3" s="140"/>
      <c r="M3" s="140"/>
      <c r="N3" s="141"/>
      <c r="O3" s="135"/>
      <c r="P3" s="136"/>
    </row>
    <row r="4" spans="1:17" x14ac:dyDescent="0.25">
      <c r="A4" s="114"/>
      <c r="B4" s="115"/>
      <c r="C4" s="115"/>
      <c r="D4" s="115"/>
      <c r="E4" s="115"/>
      <c r="F4" s="115"/>
      <c r="G4" s="115"/>
      <c r="H4" s="115"/>
      <c r="I4" s="116"/>
      <c r="J4" s="142"/>
      <c r="K4" s="140"/>
      <c r="L4" s="140"/>
      <c r="M4" s="140"/>
      <c r="N4" s="141"/>
      <c r="O4" s="135"/>
      <c r="P4" s="136"/>
    </row>
    <row r="5" spans="1:17" x14ac:dyDescent="0.25">
      <c r="A5" s="114"/>
      <c r="B5" s="115"/>
      <c r="C5" s="115"/>
      <c r="D5" s="115"/>
      <c r="E5" s="115"/>
      <c r="F5" s="115"/>
      <c r="G5" s="115"/>
      <c r="H5" s="115"/>
      <c r="I5" s="116"/>
      <c r="J5" s="142"/>
      <c r="K5" s="140"/>
      <c r="L5" s="140"/>
      <c r="M5" s="140"/>
      <c r="N5" s="141"/>
      <c r="O5" s="137"/>
      <c r="P5" s="138"/>
    </row>
    <row r="6" spans="1:17" x14ac:dyDescent="0.25">
      <c r="A6" s="114"/>
      <c r="B6" s="115"/>
      <c r="C6" s="115"/>
      <c r="D6" s="115"/>
      <c r="E6" s="115"/>
      <c r="F6" s="115"/>
      <c r="G6" s="115"/>
      <c r="H6" s="115"/>
      <c r="I6" s="116"/>
      <c r="J6" s="142"/>
      <c r="K6" s="140"/>
      <c r="L6" s="140"/>
      <c r="M6" s="140"/>
      <c r="N6" s="141"/>
      <c r="O6" s="146" t="s">
        <v>78</v>
      </c>
      <c r="P6" s="147"/>
    </row>
    <row r="7" spans="1:17" hidden="1" x14ac:dyDescent="0.25">
      <c r="A7" s="114"/>
      <c r="B7" s="115"/>
      <c r="C7" s="115"/>
      <c r="D7" s="115"/>
      <c r="E7" s="115"/>
      <c r="F7" s="115"/>
      <c r="G7" s="115"/>
      <c r="H7" s="115"/>
      <c r="I7" s="116"/>
      <c r="J7" s="142"/>
      <c r="K7" s="140"/>
      <c r="L7" s="140"/>
      <c r="M7" s="140"/>
      <c r="N7" s="141"/>
      <c r="O7" s="148"/>
      <c r="P7" s="149"/>
      <c r="Q7" s="18"/>
    </row>
    <row r="8" spans="1:17" ht="2.25" hidden="1" customHeight="1" x14ac:dyDescent="0.25">
      <c r="A8" s="114"/>
      <c r="B8" s="115"/>
      <c r="C8" s="115"/>
      <c r="D8" s="115"/>
      <c r="E8" s="115"/>
      <c r="F8" s="115"/>
      <c r="G8" s="115"/>
      <c r="H8" s="115"/>
      <c r="I8" s="116"/>
      <c r="J8" s="142"/>
      <c r="K8" s="140"/>
      <c r="L8" s="140"/>
      <c r="M8" s="140"/>
      <c r="N8" s="141"/>
      <c r="O8" s="148"/>
      <c r="P8" s="149"/>
      <c r="Q8" s="18"/>
    </row>
    <row r="9" spans="1:17" hidden="1" x14ac:dyDescent="0.25">
      <c r="A9" s="117"/>
      <c r="B9" s="118"/>
      <c r="C9" s="118"/>
      <c r="D9" s="118"/>
      <c r="E9" s="118"/>
      <c r="F9" s="118"/>
      <c r="G9" s="118"/>
      <c r="H9" s="118"/>
      <c r="I9" s="119"/>
      <c r="J9" s="143"/>
      <c r="K9" s="144"/>
      <c r="L9" s="144"/>
      <c r="M9" s="144"/>
      <c r="N9" s="145"/>
      <c r="O9" s="150"/>
      <c r="P9" s="151"/>
      <c r="Q9" s="18"/>
    </row>
    <row r="10" spans="1:17" ht="15" hidden="1" customHeight="1" x14ac:dyDescent="0.25">
      <c r="A10" s="127" t="s">
        <v>2</v>
      </c>
      <c r="B10" s="128"/>
      <c r="C10" s="128"/>
      <c r="D10" s="128"/>
      <c r="E10" s="128"/>
      <c r="F10" s="128"/>
      <c r="G10" s="128"/>
      <c r="H10" s="129"/>
      <c r="I10" s="153" t="s">
        <v>4</v>
      </c>
      <c r="J10" s="154"/>
      <c r="K10" s="154"/>
      <c r="L10" s="154"/>
      <c r="M10" s="154"/>
      <c r="N10" s="154"/>
      <c r="O10" s="154"/>
      <c r="P10" s="155"/>
      <c r="Q10" s="1"/>
    </row>
    <row r="11" spans="1:17" hidden="1" x14ac:dyDescent="0.25">
      <c r="A11" s="130"/>
      <c r="B11" s="131"/>
      <c r="C11" s="131"/>
      <c r="D11" s="131"/>
      <c r="E11" s="131"/>
      <c r="F11" s="131"/>
      <c r="G11" s="131"/>
      <c r="H11" s="132"/>
      <c r="I11" s="156"/>
      <c r="J11" s="157"/>
      <c r="K11" s="157"/>
      <c r="L11" s="157"/>
      <c r="M11" s="157"/>
      <c r="N11" s="157"/>
      <c r="O11" s="157"/>
      <c r="P11" s="158"/>
      <c r="Q11" s="1"/>
    </row>
    <row r="12" spans="1:17" ht="15" hidden="1" customHeight="1" x14ac:dyDescent="0.25">
      <c r="A12" s="83" t="s">
        <v>28</v>
      </c>
      <c r="B12" s="83" t="s">
        <v>26</v>
      </c>
      <c r="C12" s="84"/>
      <c r="D12" s="84"/>
      <c r="E12" s="84"/>
      <c r="F12" s="85"/>
      <c r="G12" s="104" t="s">
        <v>3</v>
      </c>
      <c r="H12" s="92" t="s">
        <v>5</v>
      </c>
      <c r="I12" s="93"/>
      <c r="J12" s="93"/>
      <c r="K12" s="93"/>
      <c r="L12" s="94"/>
      <c r="M12" s="98" t="s">
        <v>6</v>
      </c>
      <c r="N12" s="99"/>
      <c r="O12" s="100"/>
      <c r="P12" s="26"/>
      <c r="Q12" s="27"/>
    </row>
    <row r="13" spans="1:17" ht="15" hidden="1" customHeight="1" x14ac:dyDescent="0.25">
      <c r="A13" s="86"/>
      <c r="B13" s="86"/>
      <c r="C13" s="87"/>
      <c r="D13" s="87"/>
      <c r="E13" s="87"/>
      <c r="F13" s="88"/>
      <c r="G13" s="105"/>
      <c r="H13" s="95"/>
      <c r="I13" s="96"/>
      <c r="J13" s="96"/>
      <c r="K13" s="96"/>
      <c r="L13" s="97"/>
      <c r="M13" s="101"/>
      <c r="N13" s="102"/>
      <c r="O13" s="103"/>
      <c r="P13" s="26"/>
      <c r="Q13" s="27"/>
    </row>
    <row r="14" spans="1:17" ht="15" hidden="1" customHeight="1" x14ac:dyDescent="0.25">
      <c r="A14" s="86"/>
      <c r="B14" s="86"/>
      <c r="C14" s="87"/>
      <c r="D14" s="87"/>
      <c r="E14" s="87"/>
      <c r="F14" s="88"/>
      <c r="G14" s="105"/>
      <c r="H14" s="104" t="s">
        <v>88</v>
      </c>
      <c r="I14" s="104" t="s">
        <v>7</v>
      </c>
      <c r="J14" s="104" t="s">
        <v>8</v>
      </c>
      <c r="K14" s="104" t="s">
        <v>9</v>
      </c>
      <c r="L14" s="104" t="s">
        <v>10</v>
      </c>
      <c r="M14" s="104" t="s">
        <v>11</v>
      </c>
      <c r="N14" s="104" t="s">
        <v>12</v>
      </c>
      <c r="O14" s="107" t="s">
        <v>13</v>
      </c>
      <c r="P14" s="80" t="s">
        <v>14</v>
      </c>
      <c r="Q14" s="80" t="s">
        <v>27</v>
      </c>
    </row>
    <row r="15" spans="1:17" ht="15" hidden="1" customHeight="1" x14ac:dyDescent="0.25">
      <c r="A15" s="86"/>
      <c r="B15" s="86"/>
      <c r="C15" s="87"/>
      <c r="D15" s="87"/>
      <c r="E15" s="87"/>
      <c r="F15" s="88"/>
      <c r="G15" s="105"/>
      <c r="H15" s="105"/>
      <c r="I15" s="105"/>
      <c r="J15" s="105"/>
      <c r="K15" s="105"/>
      <c r="L15" s="105"/>
      <c r="M15" s="105"/>
      <c r="N15" s="105"/>
      <c r="O15" s="108"/>
      <c r="P15" s="81"/>
      <c r="Q15" s="81"/>
    </row>
    <row r="16" spans="1:17" ht="15" hidden="1" customHeight="1" x14ac:dyDescent="0.25">
      <c r="A16" s="86"/>
      <c r="B16" s="86"/>
      <c r="C16" s="87"/>
      <c r="D16" s="87"/>
      <c r="E16" s="87"/>
      <c r="F16" s="88"/>
      <c r="G16" s="105"/>
      <c r="H16" s="105"/>
      <c r="I16" s="105"/>
      <c r="J16" s="105"/>
      <c r="K16" s="105"/>
      <c r="L16" s="105"/>
      <c r="M16" s="105"/>
      <c r="N16" s="105"/>
      <c r="O16" s="108"/>
      <c r="P16" s="81"/>
      <c r="Q16" s="81"/>
    </row>
    <row r="17" spans="1:21" ht="15" hidden="1" customHeight="1" x14ac:dyDescent="0.25">
      <c r="A17" s="86"/>
      <c r="B17" s="86"/>
      <c r="C17" s="87"/>
      <c r="D17" s="87"/>
      <c r="E17" s="87"/>
      <c r="F17" s="88"/>
      <c r="G17" s="105"/>
      <c r="H17" s="105"/>
      <c r="I17" s="105"/>
      <c r="J17" s="105"/>
      <c r="K17" s="105"/>
      <c r="L17" s="105"/>
      <c r="M17" s="105"/>
      <c r="N17" s="105"/>
      <c r="O17" s="108"/>
      <c r="P17" s="81"/>
      <c r="Q17" s="81"/>
    </row>
    <row r="18" spans="1:21" ht="15" hidden="1" customHeight="1" x14ac:dyDescent="0.25">
      <c r="A18" s="86"/>
      <c r="B18" s="86"/>
      <c r="C18" s="87"/>
      <c r="D18" s="87"/>
      <c r="E18" s="87"/>
      <c r="F18" s="88"/>
      <c r="G18" s="105"/>
      <c r="H18" s="105"/>
      <c r="I18" s="105"/>
      <c r="J18" s="105"/>
      <c r="K18" s="105"/>
      <c r="L18" s="105"/>
      <c r="M18" s="105"/>
      <c r="N18" s="105"/>
      <c r="O18" s="108"/>
      <c r="P18" s="81"/>
      <c r="Q18" s="81"/>
    </row>
    <row r="19" spans="1:21" ht="67.5" customHeight="1" x14ac:dyDescent="0.25">
      <c r="A19" s="89"/>
      <c r="B19" s="89"/>
      <c r="C19" s="90"/>
      <c r="D19" s="90"/>
      <c r="E19" s="90"/>
      <c r="F19" s="91"/>
      <c r="G19" s="106"/>
      <c r="H19" s="106"/>
      <c r="I19" s="106"/>
      <c r="J19" s="106"/>
      <c r="K19" s="106"/>
      <c r="L19" s="106"/>
      <c r="M19" s="106"/>
      <c r="N19" s="106"/>
      <c r="O19" s="109"/>
      <c r="P19" s="82"/>
      <c r="Q19" s="82"/>
    </row>
    <row r="20" spans="1:21" ht="51" x14ac:dyDescent="0.25">
      <c r="A20" s="6" t="s">
        <v>31</v>
      </c>
      <c r="B20" s="70" t="s">
        <v>59</v>
      </c>
      <c r="C20" s="126"/>
      <c r="D20" s="126"/>
      <c r="E20" s="126"/>
      <c r="F20" s="126"/>
      <c r="G20" s="6" t="s">
        <v>15</v>
      </c>
      <c r="H20" s="21">
        <v>0</v>
      </c>
      <c r="I20" s="12">
        <v>0</v>
      </c>
      <c r="J20" s="22">
        <f>H20*I20</f>
        <v>0</v>
      </c>
      <c r="K20" s="12">
        <v>0</v>
      </c>
      <c r="L20" s="169">
        <f>SUM(J20*K20)</f>
        <v>0</v>
      </c>
      <c r="M20" s="28">
        <v>0</v>
      </c>
      <c r="N20" s="28">
        <v>0</v>
      </c>
      <c r="O20" s="28">
        <f t="shared" ref="O20:O27" si="0">SUM(M20*N20)</f>
        <v>0</v>
      </c>
      <c r="P20" s="9">
        <v>22.73</v>
      </c>
      <c r="Q20" s="9"/>
    </row>
    <row r="21" spans="1:21" x14ac:dyDescent="0.25">
      <c r="A21" s="52" t="s">
        <v>46</v>
      </c>
      <c r="B21" s="65" t="s">
        <v>60</v>
      </c>
      <c r="C21" s="66"/>
      <c r="D21" s="66"/>
      <c r="E21" s="66"/>
      <c r="F21" s="66"/>
      <c r="G21" s="52" t="s">
        <v>15</v>
      </c>
      <c r="H21" s="53">
        <f>'Numbers for Burden Grid'!B2</f>
        <v>18</v>
      </c>
      <c r="I21" s="54">
        <v>0</v>
      </c>
      <c r="J21" s="55">
        <f>H21*I21</f>
        <v>0</v>
      </c>
      <c r="K21" s="54">
        <v>0</v>
      </c>
      <c r="L21" s="170">
        <f>SUM(J21*K21)</f>
        <v>0</v>
      </c>
      <c r="M21" s="56">
        <v>0</v>
      </c>
      <c r="N21" s="56">
        <v>0</v>
      </c>
      <c r="O21" s="56">
        <f t="shared" si="0"/>
        <v>0</v>
      </c>
      <c r="P21" s="57">
        <v>50.98</v>
      </c>
      <c r="Q21" s="57">
        <f>L21*P21</f>
        <v>0</v>
      </c>
    </row>
    <row r="22" spans="1:21" x14ac:dyDescent="0.25">
      <c r="A22" s="45" t="s">
        <v>29</v>
      </c>
      <c r="B22" s="72" t="s">
        <v>41</v>
      </c>
      <c r="C22" s="72"/>
      <c r="D22" s="72"/>
      <c r="E22" s="72"/>
      <c r="F22" s="72"/>
      <c r="G22" s="45" t="s">
        <v>15</v>
      </c>
      <c r="H22" s="46">
        <f>'Numbers for Burden Grid'!B8+('Numbers for Burden Grid'!B1*0.1)</f>
        <v>156569.5</v>
      </c>
      <c r="I22" s="47">
        <v>1</v>
      </c>
      <c r="J22" s="48">
        <f>SUM(H22*I22)</f>
        <v>156569.5</v>
      </c>
      <c r="K22" s="47">
        <v>0.33</v>
      </c>
      <c r="L22" s="171">
        <f>SUM(J22*K22)</f>
        <v>51667.935000000005</v>
      </c>
      <c r="M22" s="49">
        <v>0</v>
      </c>
      <c r="N22" s="49">
        <v>0</v>
      </c>
      <c r="O22" s="49">
        <f>SUM(M22*N22)</f>
        <v>0</v>
      </c>
      <c r="P22" s="50">
        <v>34.89</v>
      </c>
      <c r="Q22" s="50">
        <f t="shared" ref="Q22:Q55" si="1">L22*P22</f>
        <v>1802694.2521500003</v>
      </c>
    </row>
    <row r="23" spans="1:21" ht="51" x14ac:dyDescent="0.25">
      <c r="A23" s="59" t="s">
        <v>31</v>
      </c>
      <c r="B23" s="168" t="s">
        <v>16</v>
      </c>
      <c r="C23" s="168"/>
      <c r="D23" s="168"/>
      <c r="E23" s="168"/>
      <c r="F23" s="168"/>
      <c r="G23" s="59" t="s">
        <v>15</v>
      </c>
      <c r="H23" s="60">
        <f>'Numbers for Burden Grid'!B4</f>
        <v>15816</v>
      </c>
      <c r="I23" s="61">
        <f>H22/'Numbers for Burden Grid'!B4</f>
        <v>9.8994372787051095</v>
      </c>
      <c r="J23" s="62">
        <f>SUM(H23*I23)</f>
        <v>156569.5</v>
      </c>
      <c r="K23" s="61">
        <v>0.33</v>
      </c>
      <c r="L23" s="172">
        <f>SUM(J23*K23)</f>
        <v>51667.935000000005</v>
      </c>
      <c r="M23" s="63">
        <v>0</v>
      </c>
      <c r="N23" s="63">
        <v>0</v>
      </c>
      <c r="O23" s="63">
        <f t="shared" si="0"/>
        <v>0</v>
      </c>
      <c r="P23" s="64">
        <v>22.73</v>
      </c>
      <c r="Q23" s="64">
        <f t="shared" si="1"/>
        <v>1174412.1625500002</v>
      </c>
    </row>
    <row r="24" spans="1:21" x14ac:dyDescent="0.25">
      <c r="A24" s="45" t="s">
        <v>29</v>
      </c>
      <c r="B24" s="72" t="s">
        <v>42</v>
      </c>
      <c r="C24" s="72"/>
      <c r="D24" s="72"/>
      <c r="E24" s="72"/>
      <c r="F24" s="72"/>
      <c r="G24" s="45" t="s">
        <v>15</v>
      </c>
      <c r="H24" s="46">
        <f>'Numbers for Burden Grid'!B6</f>
        <v>570036</v>
      </c>
      <c r="I24" s="47">
        <f>'Numbers for Burden Grid'!B1/'Numbers for Burden Grid'!B6</f>
        <v>2.0978061034741664</v>
      </c>
      <c r="J24" s="48">
        <f>SUM(H24*I24)</f>
        <v>1195825</v>
      </c>
      <c r="K24" s="47">
        <v>0.75</v>
      </c>
      <c r="L24" s="171">
        <f>SUM(J24*K24)</f>
        <v>896868.75</v>
      </c>
      <c r="M24" s="49">
        <v>0</v>
      </c>
      <c r="N24" s="49">
        <v>0</v>
      </c>
      <c r="O24" s="49">
        <f t="shared" si="0"/>
        <v>0</v>
      </c>
      <c r="P24" s="50">
        <v>34.89</v>
      </c>
      <c r="Q24" s="50">
        <f t="shared" si="1"/>
        <v>31291750.6875</v>
      </c>
    </row>
    <row r="25" spans="1:21" ht="51" x14ac:dyDescent="0.25">
      <c r="A25" s="6" t="s">
        <v>31</v>
      </c>
      <c r="B25" s="70" t="s">
        <v>17</v>
      </c>
      <c r="C25" s="70"/>
      <c r="D25" s="70"/>
      <c r="E25" s="70"/>
      <c r="F25" s="70"/>
      <c r="G25" s="6" t="s">
        <v>15</v>
      </c>
      <c r="H25" s="21">
        <f>'Numbers for Burden Grid'!B4</f>
        <v>15816</v>
      </c>
      <c r="I25" s="12">
        <f>'Numbers for Burden Grid'!B1/'Numbers for Burden Grid'!B4</f>
        <v>75.608560950935768</v>
      </c>
      <c r="J25" s="22">
        <f t="shared" ref="J25:J47" si="2">SUM(H25*I25)</f>
        <v>1195825</v>
      </c>
      <c r="K25" s="13">
        <v>0.5</v>
      </c>
      <c r="L25" s="169">
        <f t="shared" ref="L25:L47" si="3">SUM(J25*K25)</f>
        <v>597912.5</v>
      </c>
      <c r="M25" s="28">
        <v>0</v>
      </c>
      <c r="N25" s="28">
        <v>0</v>
      </c>
      <c r="O25" s="28">
        <f t="shared" si="0"/>
        <v>0</v>
      </c>
      <c r="P25" s="9">
        <v>22.73</v>
      </c>
      <c r="Q25" s="9">
        <f t="shared" si="1"/>
        <v>13590551.125</v>
      </c>
    </row>
    <row r="26" spans="1:21" x14ac:dyDescent="0.25">
      <c r="A26" s="45" t="s">
        <v>29</v>
      </c>
      <c r="B26" s="72" t="s">
        <v>18</v>
      </c>
      <c r="C26" s="72"/>
      <c r="D26" s="72"/>
      <c r="E26" s="72"/>
      <c r="F26" s="72"/>
      <c r="G26" s="45" t="s">
        <v>15</v>
      </c>
      <c r="H26" s="46">
        <f>'Numbers for Burden Grid'!B6+'Numbers for Burden Grid'!B7</f>
        <v>859917</v>
      </c>
      <c r="I26" s="47">
        <v>1</v>
      </c>
      <c r="J26" s="48">
        <f t="shared" si="2"/>
        <v>859917</v>
      </c>
      <c r="K26" s="51">
        <v>0.1</v>
      </c>
      <c r="L26" s="171">
        <f t="shared" si="3"/>
        <v>85991.700000000012</v>
      </c>
      <c r="M26" s="49">
        <v>0</v>
      </c>
      <c r="N26" s="49">
        <v>0</v>
      </c>
      <c r="O26" s="49">
        <f t="shared" si="0"/>
        <v>0</v>
      </c>
      <c r="P26" s="50">
        <v>34.89</v>
      </c>
      <c r="Q26" s="50">
        <f t="shared" si="1"/>
        <v>3000250.4130000006</v>
      </c>
    </row>
    <row r="27" spans="1:21" x14ac:dyDescent="0.25">
      <c r="A27" s="52" t="s">
        <v>44</v>
      </c>
      <c r="B27" s="71" t="s">
        <v>18</v>
      </c>
      <c r="C27" s="71"/>
      <c r="D27" s="71"/>
      <c r="E27" s="71"/>
      <c r="F27" s="71"/>
      <c r="G27" s="52" t="s">
        <v>15</v>
      </c>
      <c r="H27" s="53">
        <f>'Numbers for Burden Grid'!B2</f>
        <v>18</v>
      </c>
      <c r="I27" s="54">
        <f>H26/H27</f>
        <v>47773.166666666664</v>
      </c>
      <c r="J27" s="55">
        <f t="shared" ref="J27:J29" si="4">SUM(H27*I27)</f>
        <v>859917</v>
      </c>
      <c r="K27" s="58">
        <v>0.1</v>
      </c>
      <c r="L27" s="170">
        <f t="shared" ref="L27:L30" si="5">SUM(J27*K27)</f>
        <v>85991.700000000012</v>
      </c>
      <c r="M27" s="56">
        <v>0</v>
      </c>
      <c r="N27" s="56">
        <v>0</v>
      </c>
      <c r="O27" s="56">
        <f t="shared" si="0"/>
        <v>0</v>
      </c>
      <c r="P27" s="57">
        <v>35.42</v>
      </c>
      <c r="Q27" s="57">
        <f t="shared" ref="Q27:Q29" si="6">L27*P27</f>
        <v>3045826.0140000004</v>
      </c>
    </row>
    <row r="28" spans="1:21" x14ac:dyDescent="0.25">
      <c r="A28" s="45" t="s">
        <v>29</v>
      </c>
      <c r="B28" s="72" t="s">
        <v>35</v>
      </c>
      <c r="C28" s="72"/>
      <c r="D28" s="72"/>
      <c r="E28" s="72"/>
      <c r="F28" s="72"/>
      <c r="G28" s="45" t="s">
        <v>15</v>
      </c>
      <c r="H28" s="46">
        <f>'Numbers for Burden Grid'!B3</f>
        <v>1263</v>
      </c>
      <c r="I28" s="47">
        <v>1</v>
      </c>
      <c r="J28" s="48">
        <f t="shared" si="4"/>
        <v>1263</v>
      </c>
      <c r="K28" s="51">
        <v>8</v>
      </c>
      <c r="L28" s="171">
        <f t="shared" si="5"/>
        <v>10104</v>
      </c>
      <c r="M28" s="49">
        <v>0</v>
      </c>
      <c r="N28" s="49">
        <v>0</v>
      </c>
      <c r="O28" s="49">
        <f t="shared" ref="O28:O61" si="7">SUM(M28*N28)</f>
        <v>0</v>
      </c>
      <c r="P28" s="50">
        <v>34.89</v>
      </c>
      <c r="Q28" s="50">
        <f t="shared" si="6"/>
        <v>352528.56</v>
      </c>
    </row>
    <row r="29" spans="1:21" ht="51" x14ac:dyDescent="0.25">
      <c r="A29" s="52" t="s">
        <v>31</v>
      </c>
      <c r="B29" s="71" t="s">
        <v>35</v>
      </c>
      <c r="C29" s="71"/>
      <c r="D29" s="71"/>
      <c r="E29" s="71"/>
      <c r="F29" s="71"/>
      <c r="G29" s="52" t="s">
        <v>15</v>
      </c>
      <c r="H29" s="53">
        <f>'Numbers for Burden Grid'!B3</f>
        <v>1263</v>
      </c>
      <c r="I29" s="54">
        <v>1</v>
      </c>
      <c r="J29" s="55">
        <f t="shared" si="4"/>
        <v>1263</v>
      </c>
      <c r="K29" s="58">
        <v>0.5</v>
      </c>
      <c r="L29" s="170">
        <f t="shared" si="5"/>
        <v>631.5</v>
      </c>
      <c r="M29" s="56">
        <v>0</v>
      </c>
      <c r="N29" s="56">
        <v>0</v>
      </c>
      <c r="O29" s="56">
        <f t="shared" si="7"/>
        <v>0</v>
      </c>
      <c r="P29" s="57">
        <v>22.73</v>
      </c>
      <c r="Q29" s="57">
        <f t="shared" si="6"/>
        <v>14353.995000000001</v>
      </c>
      <c r="R29" s="7"/>
      <c r="S29" s="7"/>
      <c r="T29" s="7"/>
      <c r="U29" s="7"/>
    </row>
    <row r="30" spans="1:21" x14ac:dyDescent="0.25">
      <c r="A30" s="6" t="s">
        <v>46</v>
      </c>
      <c r="B30" s="70" t="s">
        <v>53</v>
      </c>
      <c r="C30" s="70"/>
      <c r="D30" s="70"/>
      <c r="E30" s="70"/>
      <c r="F30" s="70"/>
      <c r="G30" s="6" t="s">
        <v>15</v>
      </c>
      <c r="H30" s="21">
        <v>0</v>
      </c>
      <c r="I30" s="12">
        <v>0</v>
      </c>
      <c r="J30" s="22">
        <f t="shared" si="2"/>
        <v>0</v>
      </c>
      <c r="K30" s="13">
        <v>0</v>
      </c>
      <c r="L30" s="169">
        <f t="shared" si="5"/>
        <v>0</v>
      </c>
      <c r="M30" s="28">
        <v>0</v>
      </c>
      <c r="N30" s="28">
        <v>0</v>
      </c>
      <c r="O30" s="28">
        <f t="shared" si="7"/>
        <v>0</v>
      </c>
      <c r="P30" s="9">
        <v>50.98</v>
      </c>
      <c r="Q30" s="9">
        <f t="shared" si="1"/>
        <v>0</v>
      </c>
      <c r="R30" s="7"/>
      <c r="S30" s="7"/>
      <c r="T30" s="7"/>
      <c r="U30" s="7"/>
    </row>
    <row r="31" spans="1:21" x14ac:dyDescent="0.25">
      <c r="A31" s="45" t="s">
        <v>29</v>
      </c>
      <c r="B31" s="72" t="s">
        <v>36</v>
      </c>
      <c r="C31" s="72"/>
      <c r="D31" s="72"/>
      <c r="E31" s="72"/>
      <c r="F31" s="72"/>
      <c r="G31" s="45" t="s">
        <v>15</v>
      </c>
      <c r="H31" s="46">
        <f>'Numbers for Burden Grid'!B6</f>
        <v>570036</v>
      </c>
      <c r="I31" s="47">
        <f>'Numbers for Burden Grid'!B1/'Numbers for Burden Grid'!B6</f>
        <v>2.0978061034741664</v>
      </c>
      <c r="J31" s="48">
        <f t="shared" si="2"/>
        <v>1195825</v>
      </c>
      <c r="K31" s="51">
        <v>1</v>
      </c>
      <c r="L31" s="171">
        <f>SUM(J31*K31)</f>
        <v>1195825</v>
      </c>
      <c r="M31" s="49">
        <v>0</v>
      </c>
      <c r="N31" s="49">
        <v>0</v>
      </c>
      <c r="O31" s="49">
        <f t="shared" si="7"/>
        <v>0</v>
      </c>
      <c r="P31" s="50">
        <v>34.89</v>
      </c>
      <c r="Q31" s="50">
        <f t="shared" si="1"/>
        <v>41722334.25</v>
      </c>
    </row>
    <row r="32" spans="1:21" ht="51" x14ac:dyDescent="0.25">
      <c r="A32" s="6" t="s">
        <v>31</v>
      </c>
      <c r="B32" s="70" t="s">
        <v>36</v>
      </c>
      <c r="C32" s="70"/>
      <c r="D32" s="70"/>
      <c r="E32" s="70"/>
      <c r="F32" s="70"/>
      <c r="G32" s="6" t="s">
        <v>15</v>
      </c>
      <c r="H32" s="21">
        <f>'Numbers for Burden Grid'!B4</f>
        <v>15816</v>
      </c>
      <c r="I32" s="12">
        <f>'Numbers for Burden Grid'!B1/'Numbers for Burden Grid'!B4</f>
        <v>75.608560950935768</v>
      </c>
      <c r="J32" s="22">
        <f t="shared" si="2"/>
        <v>1195825</v>
      </c>
      <c r="K32" s="13">
        <v>1.5</v>
      </c>
      <c r="L32" s="169">
        <f t="shared" si="3"/>
        <v>1793737.5</v>
      </c>
      <c r="M32" s="28">
        <v>0</v>
      </c>
      <c r="N32" s="28">
        <v>0</v>
      </c>
      <c r="O32" s="28">
        <f t="shared" si="7"/>
        <v>0</v>
      </c>
      <c r="P32" s="9">
        <v>22.73</v>
      </c>
      <c r="Q32" s="9">
        <f t="shared" si="1"/>
        <v>40771653.375</v>
      </c>
    </row>
    <row r="33" spans="1:21" x14ac:dyDescent="0.25">
      <c r="A33" s="45" t="s">
        <v>29</v>
      </c>
      <c r="B33" s="72" t="s">
        <v>75</v>
      </c>
      <c r="C33" s="72"/>
      <c r="D33" s="72"/>
      <c r="E33" s="72"/>
      <c r="F33" s="72"/>
      <c r="G33" s="45" t="s">
        <v>15</v>
      </c>
      <c r="H33" s="46">
        <v>976</v>
      </c>
      <c r="I33" s="47">
        <v>1</v>
      </c>
      <c r="J33" s="48">
        <f t="shared" ref="J33" si="8">SUM(H33*I33)</f>
        <v>976</v>
      </c>
      <c r="K33" s="51">
        <v>0.25</v>
      </c>
      <c r="L33" s="171">
        <f>SUM(J33*K33)</f>
        <v>244</v>
      </c>
      <c r="M33" s="49">
        <v>0</v>
      </c>
      <c r="N33" s="49">
        <v>0</v>
      </c>
      <c r="O33" s="49">
        <f t="shared" ref="O33" si="9">SUM(M33*N33)</f>
        <v>0</v>
      </c>
      <c r="P33" s="50">
        <v>34.89</v>
      </c>
      <c r="Q33" s="50">
        <f t="shared" ref="Q33:Q34" si="10">L33*P33</f>
        <v>8513.16</v>
      </c>
    </row>
    <row r="34" spans="1:21" ht="51" x14ac:dyDescent="0.25">
      <c r="A34" s="52" t="s">
        <v>31</v>
      </c>
      <c r="B34" s="71" t="s">
        <v>75</v>
      </c>
      <c r="C34" s="73"/>
      <c r="D34" s="73"/>
      <c r="E34" s="73"/>
      <c r="F34" s="73"/>
      <c r="G34" s="52" t="s">
        <v>15</v>
      </c>
      <c r="H34" s="53">
        <f>'Numbers for Burden Grid'!B11</f>
        <v>976</v>
      </c>
      <c r="I34" s="54">
        <v>1</v>
      </c>
      <c r="J34" s="55">
        <f>H34*I34</f>
        <v>976</v>
      </c>
      <c r="K34" s="54">
        <v>0.25</v>
      </c>
      <c r="L34" s="170">
        <f>SUM(J34*K34)</f>
        <v>244</v>
      </c>
      <c r="M34" s="56">
        <v>0</v>
      </c>
      <c r="N34" s="56">
        <v>0</v>
      </c>
      <c r="O34" s="56">
        <f t="shared" ref="O34" si="11">SUM(M34*N34)</f>
        <v>0</v>
      </c>
      <c r="P34" s="57">
        <v>22.73</v>
      </c>
      <c r="Q34" s="57">
        <f t="shared" si="10"/>
        <v>5546.12</v>
      </c>
    </row>
    <row r="35" spans="1:21" x14ac:dyDescent="0.25">
      <c r="A35" s="6" t="s">
        <v>46</v>
      </c>
      <c r="B35" s="70" t="s">
        <v>57</v>
      </c>
      <c r="C35" s="70"/>
      <c r="D35" s="70"/>
      <c r="E35" s="70"/>
      <c r="F35" s="70"/>
      <c r="G35" s="6" t="s">
        <v>15</v>
      </c>
      <c r="H35" s="21">
        <v>0</v>
      </c>
      <c r="I35" s="12">
        <v>0</v>
      </c>
      <c r="J35" s="22">
        <f t="shared" si="2"/>
        <v>0</v>
      </c>
      <c r="K35" s="13">
        <v>0</v>
      </c>
      <c r="L35" s="169">
        <f t="shared" si="3"/>
        <v>0</v>
      </c>
      <c r="M35" s="28">
        <v>0</v>
      </c>
      <c r="N35" s="28">
        <v>0</v>
      </c>
      <c r="O35" s="28">
        <f t="shared" si="7"/>
        <v>0</v>
      </c>
      <c r="P35" s="9">
        <v>50.98</v>
      </c>
      <c r="Q35" s="9">
        <f t="shared" si="1"/>
        <v>0</v>
      </c>
    </row>
    <row r="36" spans="1:21" x14ac:dyDescent="0.25">
      <c r="A36" s="45" t="s">
        <v>29</v>
      </c>
      <c r="B36" s="72" t="s">
        <v>43</v>
      </c>
      <c r="C36" s="72"/>
      <c r="D36" s="72"/>
      <c r="E36" s="72"/>
      <c r="F36" s="72"/>
      <c r="G36" s="45" t="s">
        <v>15</v>
      </c>
      <c r="H36" s="46">
        <f>ROUND(0.3*'Numbers for Burden Grid'!B6, 0)</f>
        <v>171011</v>
      </c>
      <c r="I36" s="47">
        <f>'Numbers for Burden Grid'!B1/'Numbers for Burden Grid'!B6</f>
        <v>2.0978061034741664</v>
      </c>
      <c r="J36" s="48">
        <f t="shared" ref="J36" si="12">SUM(H36*I36)</f>
        <v>358747.91956122068</v>
      </c>
      <c r="K36" s="51">
        <v>2.5</v>
      </c>
      <c r="L36" s="171">
        <f t="shared" ref="L36" si="13">SUM(J36*K36)</f>
        <v>896869.79890305176</v>
      </c>
      <c r="M36" s="49">
        <v>0</v>
      </c>
      <c r="N36" s="49">
        <v>0</v>
      </c>
      <c r="O36" s="49">
        <f t="shared" si="7"/>
        <v>0</v>
      </c>
      <c r="P36" s="50">
        <v>34.89</v>
      </c>
      <c r="Q36" s="50">
        <f t="shared" ref="Q36" si="14">L36*P36</f>
        <v>31291787.283727478</v>
      </c>
    </row>
    <row r="37" spans="1:21" ht="63.75" x14ac:dyDescent="0.25">
      <c r="A37" s="6" t="s">
        <v>58</v>
      </c>
      <c r="B37" s="70" t="s">
        <v>19</v>
      </c>
      <c r="C37" s="70"/>
      <c r="D37" s="70"/>
      <c r="E37" s="70"/>
      <c r="F37" s="70"/>
      <c r="G37" s="6" t="s">
        <v>15</v>
      </c>
      <c r="H37" s="21">
        <f>'Numbers for Burden Grid'!B4+'Numbers for Burden Grid'!B5</f>
        <v>20714</v>
      </c>
      <c r="I37" s="12">
        <f>J36/H37</f>
        <v>17.319103966458467</v>
      </c>
      <c r="J37" s="22">
        <f t="shared" si="2"/>
        <v>358747.91956122068</v>
      </c>
      <c r="K37" s="13">
        <v>2.5</v>
      </c>
      <c r="L37" s="169">
        <f t="shared" si="3"/>
        <v>896869.79890305176</v>
      </c>
      <c r="M37" s="28">
        <v>0</v>
      </c>
      <c r="N37" s="28">
        <v>0</v>
      </c>
      <c r="O37" s="28">
        <f t="shared" si="7"/>
        <v>0</v>
      </c>
      <c r="P37" s="9">
        <v>25.33</v>
      </c>
      <c r="Q37" s="9">
        <f t="shared" si="1"/>
        <v>22717712.006214298</v>
      </c>
    </row>
    <row r="38" spans="1:21" x14ac:dyDescent="0.25">
      <c r="A38" s="45" t="s">
        <v>29</v>
      </c>
      <c r="B38" s="72" t="s">
        <v>37</v>
      </c>
      <c r="C38" s="72"/>
      <c r="D38" s="72"/>
      <c r="E38" s="72"/>
      <c r="F38" s="72"/>
      <c r="G38" s="45" t="s">
        <v>15</v>
      </c>
      <c r="H38" s="46">
        <f>ROUND(0.0463*'Numbers for Burden Grid'!B3, 0)</f>
        <v>58</v>
      </c>
      <c r="I38" s="47">
        <v>1</v>
      </c>
      <c r="J38" s="48">
        <f t="shared" ref="J38:J39" si="15">SUM(H38*I38)</f>
        <v>58</v>
      </c>
      <c r="K38" s="51">
        <v>2.5</v>
      </c>
      <c r="L38" s="171">
        <f t="shared" si="3"/>
        <v>145</v>
      </c>
      <c r="M38" s="49">
        <v>0</v>
      </c>
      <c r="N38" s="49">
        <v>0</v>
      </c>
      <c r="O38" s="49">
        <f t="shared" si="7"/>
        <v>0</v>
      </c>
      <c r="P38" s="50">
        <v>34.89</v>
      </c>
      <c r="Q38" s="50">
        <f t="shared" si="1"/>
        <v>5059.05</v>
      </c>
    </row>
    <row r="39" spans="1:21" ht="63.75" x14ac:dyDescent="0.25">
      <c r="A39" s="52" t="s">
        <v>58</v>
      </c>
      <c r="B39" s="71" t="s">
        <v>37</v>
      </c>
      <c r="C39" s="71"/>
      <c r="D39" s="71"/>
      <c r="E39" s="71"/>
      <c r="F39" s="71"/>
      <c r="G39" s="52" t="s">
        <v>15</v>
      </c>
      <c r="H39" s="53">
        <f>ROUND(0.0463*'Numbers for Burden Grid'!B3, 0)</f>
        <v>58</v>
      </c>
      <c r="I39" s="54">
        <v>1</v>
      </c>
      <c r="J39" s="55">
        <f t="shared" si="15"/>
        <v>58</v>
      </c>
      <c r="K39" s="58">
        <v>2.5</v>
      </c>
      <c r="L39" s="170">
        <f t="shared" si="3"/>
        <v>145</v>
      </c>
      <c r="M39" s="56">
        <v>0</v>
      </c>
      <c r="N39" s="56">
        <v>0</v>
      </c>
      <c r="O39" s="56">
        <f t="shared" si="7"/>
        <v>0</v>
      </c>
      <c r="P39" s="57">
        <v>25.33</v>
      </c>
      <c r="Q39" s="57">
        <f t="shared" si="1"/>
        <v>3672.85</v>
      </c>
    </row>
    <row r="40" spans="1:21" s="7" customFormat="1" x14ac:dyDescent="0.25">
      <c r="A40" s="45" t="s">
        <v>29</v>
      </c>
      <c r="B40" s="72" t="s">
        <v>76</v>
      </c>
      <c r="C40" s="72"/>
      <c r="D40" s="72"/>
      <c r="E40" s="72"/>
      <c r="F40" s="72"/>
      <c r="G40" s="45" t="s">
        <v>15</v>
      </c>
      <c r="H40" s="46">
        <f>ROUND(0.06*'Numbers for Burden Grid'!B11, 0)</f>
        <v>59</v>
      </c>
      <c r="I40" s="47">
        <v>1</v>
      </c>
      <c r="J40" s="48">
        <f t="shared" ref="J40:J41" si="16">SUM(H40*I40)</f>
        <v>59</v>
      </c>
      <c r="K40" s="51">
        <v>0.1</v>
      </c>
      <c r="L40" s="171">
        <f t="shared" ref="L40:L41" si="17">SUM(J40*K40)</f>
        <v>5.9</v>
      </c>
      <c r="M40" s="49">
        <v>0</v>
      </c>
      <c r="N40" s="49">
        <v>0</v>
      </c>
      <c r="O40" s="49">
        <f t="shared" ref="O40:O41" si="18">SUM(M40*N40)</f>
        <v>0</v>
      </c>
      <c r="P40" s="50">
        <v>34.89</v>
      </c>
      <c r="Q40" s="50">
        <f t="shared" ref="Q40:Q43" si="19">L40*P40</f>
        <v>205.85100000000003</v>
      </c>
    </row>
    <row r="41" spans="1:21" s="7" customFormat="1" ht="63.75" x14ac:dyDescent="0.25">
      <c r="A41" s="52" t="s">
        <v>58</v>
      </c>
      <c r="B41" s="71" t="s">
        <v>76</v>
      </c>
      <c r="C41" s="71"/>
      <c r="D41" s="71"/>
      <c r="E41" s="71"/>
      <c r="F41" s="71"/>
      <c r="G41" s="52" t="s">
        <v>15</v>
      </c>
      <c r="H41" s="53">
        <f>ROUND(0.06*'Numbers for Burden Grid'!B11, 0)</f>
        <v>59</v>
      </c>
      <c r="I41" s="54">
        <v>1</v>
      </c>
      <c r="J41" s="55">
        <f t="shared" si="16"/>
        <v>59</v>
      </c>
      <c r="K41" s="58">
        <v>0.1</v>
      </c>
      <c r="L41" s="170">
        <f t="shared" si="17"/>
        <v>5.9</v>
      </c>
      <c r="M41" s="56">
        <v>0</v>
      </c>
      <c r="N41" s="56">
        <v>0</v>
      </c>
      <c r="O41" s="56">
        <f t="shared" si="18"/>
        <v>0</v>
      </c>
      <c r="P41" s="57">
        <v>25.33</v>
      </c>
      <c r="Q41" s="57">
        <f t="shared" si="19"/>
        <v>149.447</v>
      </c>
      <c r="R41"/>
      <c r="S41"/>
      <c r="T41"/>
      <c r="U41"/>
    </row>
    <row r="42" spans="1:21" ht="15" customHeight="1" x14ac:dyDescent="0.25">
      <c r="A42" s="45" t="s">
        <v>29</v>
      </c>
      <c r="B42" s="74" t="s">
        <v>81</v>
      </c>
      <c r="C42" s="75"/>
      <c r="D42" s="75"/>
      <c r="E42" s="75"/>
      <c r="F42" s="76"/>
      <c r="G42" s="45" t="s">
        <v>15</v>
      </c>
      <c r="H42" s="46">
        <v>11048</v>
      </c>
      <c r="I42" s="47">
        <v>1</v>
      </c>
      <c r="J42" s="48">
        <f>H42*I42</f>
        <v>11048</v>
      </c>
      <c r="K42" s="51">
        <v>0.5</v>
      </c>
      <c r="L42" s="171">
        <f>SUM(J42*K42)</f>
        <v>5524</v>
      </c>
      <c r="M42" s="49">
        <v>0</v>
      </c>
      <c r="N42" s="49">
        <v>0</v>
      </c>
      <c r="O42" s="49">
        <f t="shared" ref="O42:O43" si="20">SUM(M42*N42)</f>
        <v>0</v>
      </c>
      <c r="P42" s="50">
        <v>34.89</v>
      </c>
      <c r="Q42" s="50">
        <f t="shared" si="19"/>
        <v>192732.36000000002</v>
      </c>
      <c r="R42" s="7"/>
      <c r="S42" s="7"/>
      <c r="T42" s="7"/>
      <c r="U42" s="7"/>
    </row>
    <row r="43" spans="1:21" ht="51" x14ac:dyDescent="0.25">
      <c r="A43" s="52" t="s">
        <v>31</v>
      </c>
      <c r="B43" s="67" t="s">
        <v>82</v>
      </c>
      <c r="C43" s="68"/>
      <c r="D43" s="68"/>
      <c r="E43" s="68"/>
      <c r="F43" s="69"/>
      <c r="G43" s="52" t="s">
        <v>15</v>
      </c>
      <c r="H43" s="53">
        <f>0.06*11048</f>
        <v>662.88</v>
      </c>
      <c r="I43" s="54">
        <v>1</v>
      </c>
      <c r="J43" s="55">
        <f>H43*I43</f>
        <v>662.88</v>
      </c>
      <c r="K43" s="54">
        <v>0.5</v>
      </c>
      <c r="L43" s="170">
        <f>SUM(J43*K43)</f>
        <v>331.44</v>
      </c>
      <c r="M43" s="56">
        <v>0</v>
      </c>
      <c r="N43" s="56">
        <v>0</v>
      </c>
      <c r="O43" s="56">
        <f t="shared" si="20"/>
        <v>0</v>
      </c>
      <c r="P43" s="57">
        <v>22.73</v>
      </c>
      <c r="Q43" s="57">
        <f t="shared" si="19"/>
        <v>7533.6311999999998</v>
      </c>
    </row>
    <row r="44" spans="1:21" ht="51" x14ac:dyDescent="0.25">
      <c r="A44" s="52" t="s">
        <v>31</v>
      </c>
      <c r="B44" s="67" t="s">
        <v>20</v>
      </c>
      <c r="C44" s="68"/>
      <c r="D44" s="68"/>
      <c r="E44" s="68"/>
      <c r="F44" s="69"/>
      <c r="G44" s="52" t="s">
        <v>15</v>
      </c>
      <c r="H44" s="53">
        <f>'Numbers for Burden Grid'!B4</f>
        <v>15816</v>
      </c>
      <c r="I44" s="54">
        <f>('Numbers for Burden Grid'!B1*0.5*0.85)/'Numbers for Burden Grid'!B4</f>
        <v>32.133638404147696</v>
      </c>
      <c r="J44" s="55">
        <f t="shared" si="2"/>
        <v>508225.62499999994</v>
      </c>
      <c r="K44" s="58">
        <v>1</v>
      </c>
      <c r="L44" s="170">
        <f t="shared" si="3"/>
        <v>508225.62499999994</v>
      </c>
      <c r="M44" s="56">
        <v>0</v>
      </c>
      <c r="N44" s="56">
        <v>0</v>
      </c>
      <c r="O44" s="56">
        <f t="shared" si="7"/>
        <v>0</v>
      </c>
      <c r="P44" s="57">
        <v>22.73</v>
      </c>
      <c r="Q44" s="57">
        <f t="shared" si="1"/>
        <v>11551968.456249999</v>
      </c>
    </row>
    <row r="45" spans="1:21" x14ac:dyDescent="0.25">
      <c r="A45" s="6" t="s">
        <v>46</v>
      </c>
      <c r="B45" s="77" t="s">
        <v>48</v>
      </c>
      <c r="C45" s="78"/>
      <c r="D45" s="78"/>
      <c r="E45" s="78"/>
      <c r="F45" s="79"/>
      <c r="G45" s="6" t="s">
        <v>15</v>
      </c>
      <c r="H45" s="21">
        <v>0</v>
      </c>
      <c r="I45" s="12">
        <v>0</v>
      </c>
      <c r="J45" s="22">
        <f t="shared" ref="J45:J46" si="21">SUM(H45*I45)</f>
        <v>0</v>
      </c>
      <c r="K45" s="13">
        <v>0</v>
      </c>
      <c r="L45" s="169">
        <f t="shared" si="3"/>
        <v>0</v>
      </c>
      <c r="M45" s="28">
        <v>0</v>
      </c>
      <c r="N45" s="28">
        <v>0</v>
      </c>
      <c r="O45" s="28">
        <f t="shared" si="7"/>
        <v>0</v>
      </c>
      <c r="P45" s="9">
        <v>50.98</v>
      </c>
      <c r="Q45" s="9">
        <f t="shared" si="1"/>
        <v>0</v>
      </c>
    </row>
    <row r="46" spans="1:21" ht="51" x14ac:dyDescent="0.25">
      <c r="A46" s="6" t="s">
        <v>31</v>
      </c>
      <c r="B46" s="70" t="s">
        <v>40</v>
      </c>
      <c r="C46" s="70"/>
      <c r="D46" s="70"/>
      <c r="E46" s="70"/>
      <c r="F46" s="70"/>
      <c r="G46" s="6" t="s">
        <v>15</v>
      </c>
      <c r="H46" s="21">
        <f>ROUND(0.1*'Numbers for Burden Grid'!B1, 0)</f>
        <v>119583</v>
      </c>
      <c r="I46" s="12">
        <v>1</v>
      </c>
      <c r="J46" s="22">
        <f t="shared" si="21"/>
        <v>119583</v>
      </c>
      <c r="K46" s="13">
        <v>0.1</v>
      </c>
      <c r="L46" s="169">
        <f t="shared" si="3"/>
        <v>11958.300000000001</v>
      </c>
      <c r="M46" s="28">
        <v>0</v>
      </c>
      <c r="N46" s="28">
        <v>0</v>
      </c>
      <c r="O46" s="28">
        <f t="shared" si="7"/>
        <v>0</v>
      </c>
      <c r="P46" s="9">
        <v>22.73</v>
      </c>
      <c r="Q46" s="9">
        <f t="shared" si="1"/>
        <v>271812.15900000004</v>
      </c>
    </row>
    <row r="47" spans="1:21" ht="51" x14ac:dyDescent="0.25">
      <c r="A47" s="52" t="s">
        <v>61</v>
      </c>
      <c r="B47" s="71" t="s">
        <v>21</v>
      </c>
      <c r="C47" s="71"/>
      <c r="D47" s="71"/>
      <c r="E47" s="71"/>
      <c r="F47" s="71"/>
      <c r="G47" s="52" t="s">
        <v>15</v>
      </c>
      <c r="H47" s="53">
        <f>'Numbers for Burden Grid'!B4+'Numbers for Burden Grid'!B5</f>
        <v>20714</v>
      </c>
      <c r="I47" s="54">
        <v>1</v>
      </c>
      <c r="J47" s="55">
        <f t="shared" si="2"/>
        <v>20714</v>
      </c>
      <c r="K47" s="58">
        <v>0.1</v>
      </c>
      <c r="L47" s="170">
        <f t="shared" si="3"/>
        <v>2071.4</v>
      </c>
      <c r="M47" s="56">
        <v>0</v>
      </c>
      <c r="N47" s="56">
        <v>0</v>
      </c>
      <c r="O47" s="56">
        <f t="shared" si="7"/>
        <v>0</v>
      </c>
      <c r="P47" s="57">
        <v>30.59</v>
      </c>
      <c r="Q47" s="57">
        <f t="shared" si="1"/>
        <v>63364.126000000004</v>
      </c>
    </row>
    <row r="48" spans="1:21" x14ac:dyDescent="0.25">
      <c r="A48" s="6" t="s">
        <v>46</v>
      </c>
      <c r="B48" s="70" t="s">
        <v>54</v>
      </c>
      <c r="C48" s="70"/>
      <c r="D48" s="70"/>
      <c r="E48" s="70"/>
      <c r="F48" s="70"/>
      <c r="G48" s="6" t="s">
        <v>15</v>
      </c>
      <c r="H48" s="21">
        <v>0</v>
      </c>
      <c r="I48" s="12">
        <v>0</v>
      </c>
      <c r="J48" s="22">
        <f>SUM(H48*I48)</f>
        <v>0</v>
      </c>
      <c r="K48" s="13">
        <v>0</v>
      </c>
      <c r="L48" s="169">
        <f>SUM(J48*K48)</f>
        <v>0</v>
      </c>
      <c r="M48" s="28">
        <v>0</v>
      </c>
      <c r="N48" s="28">
        <v>0</v>
      </c>
      <c r="O48" s="28">
        <f t="shared" si="7"/>
        <v>0</v>
      </c>
      <c r="P48" s="9">
        <v>50.98</v>
      </c>
      <c r="Q48" s="9">
        <f t="shared" si="1"/>
        <v>0</v>
      </c>
    </row>
    <row r="49" spans="1:21" x14ac:dyDescent="0.25">
      <c r="A49" s="6" t="s">
        <v>46</v>
      </c>
      <c r="B49" s="70" t="s">
        <v>51</v>
      </c>
      <c r="C49" s="70"/>
      <c r="D49" s="70"/>
      <c r="E49" s="70"/>
      <c r="F49" s="70"/>
      <c r="G49" s="6" t="s">
        <v>15</v>
      </c>
      <c r="H49" s="21">
        <v>0</v>
      </c>
      <c r="I49" s="12">
        <v>0</v>
      </c>
      <c r="J49" s="22">
        <v>0</v>
      </c>
      <c r="K49" s="12">
        <v>0</v>
      </c>
      <c r="L49" s="169">
        <f t="shared" ref="L49:L61" si="22">SUM(J49*K49)</f>
        <v>0</v>
      </c>
      <c r="M49" s="28">
        <v>0</v>
      </c>
      <c r="N49" s="28">
        <v>0</v>
      </c>
      <c r="O49" s="28">
        <f t="shared" si="7"/>
        <v>0</v>
      </c>
      <c r="P49" s="9">
        <v>50.98</v>
      </c>
      <c r="Q49" s="9">
        <f t="shared" si="1"/>
        <v>0</v>
      </c>
    </row>
    <row r="50" spans="1:21" x14ac:dyDescent="0.25">
      <c r="A50" s="6" t="s">
        <v>46</v>
      </c>
      <c r="B50" s="70" t="s">
        <v>52</v>
      </c>
      <c r="C50" s="70"/>
      <c r="D50" s="70"/>
      <c r="E50" s="70"/>
      <c r="F50" s="70"/>
      <c r="G50" s="6" t="s">
        <v>15</v>
      </c>
      <c r="H50" s="21">
        <v>0</v>
      </c>
      <c r="I50" s="12">
        <v>0</v>
      </c>
      <c r="J50" s="22">
        <f t="shared" ref="J50" si="23">SUM(H50*I50)</f>
        <v>0</v>
      </c>
      <c r="K50" s="12">
        <v>0</v>
      </c>
      <c r="L50" s="169">
        <f t="shared" si="22"/>
        <v>0</v>
      </c>
      <c r="M50" s="28">
        <v>0</v>
      </c>
      <c r="N50" s="28">
        <v>0</v>
      </c>
      <c r="O50" s="28">
        <f t="shared" si="7"/>
        <v>0</v>
      </c>
      <c r="P50" s="9">
        <v>50.98</v>
      </c>
      <c r="Q50" s="9">
        <f t="shared" si="1"/>
        <v>0</v>
      </c>
    </row>
    <row r="51" spans="1:21" s="7" customFormat="1" ht="30.75" customHeight="1" x14ac:dyDescent="0.25">
      <c r="A51" s="52" t="s">
        <v>32</v>
      </c>
      <c r="B51" s="71" t="s">
        <v>22</v>
      </c>
      <c r="C51" s="71"/>
      <c r="D51" s="71"/>
      <c r="E51" s="71"/>
      <c r="F51" s="71"/>
      <c r="G51" s="52" t="s">
        <v>15</v>
      </c>
      <c r="H51" s="53">
        <f>'Numbers for Burden Grid'!B2</f>
        <v>18</v>
      </c>
      <c r="I51" s="54">
        <v>1</v>
      </c>
      <c r="J51" s="55">
        <f t="shared" ref="J51:J61" si="24">SUM(H51*I51)</f>
        <v>18</v>
      </c>
      <c r="K51" s="58">
        <v>24</v>
      </c>
      <c r="L51" s="170">
        <f t="shared" si="22"/>
        <v>432</v>
      </c>
      <c r="M51" s="56">
        <v>0</v>
      </c>
      <c r="N51" s="56">
        <v>0</v>
      </c>
      <c r="O51" s="56">
        <f t="shared" si="7"/>
        <v>0</v>
      </c>
      <c r="P51" s="57">
        <v>33.93</v>
      </c>
      <c r="Q51" s="57">
        <f t="shared" si="1"/>
        <v>14657.76</v>
      </c>
      <c r="R51"/>
      <c r="S51"/>
      <c r="T51"/>
      <c r="U51"/>
    </row>
    <row r="52" spans="1:21" x14ac:dyDescent="0.25">
      <c r="A52" s="45" t="s">
        <v>29</v>
      </c>
      <c r="B52" s="74" t="s">
        <v>38</v>
      </c>
      <c r="C52" s="75"/>
      <c r="D52" s="75"/>
      <c r="E52" s="75"/>
      <c r="F52" s="76"/>
      <c r="G52" s="45" t="s">
        <v>15</v>
      </c>
      <c r="H52" s="46">
        <f>ROUND(0.3*'Numbers for Burden Grid'!B6, 0)</f>
        <v>171011</v>
      </c>
      <c r="I52" s="47">
        <f>'Numbers for Burden Grid'!B1/'Numbers for Burden Grid'!B6</f>
        <v>2.0978061034741664</v>
      </c>
      <c r="J52" s="48">
        <f t="shared" ref="J52" si="25">SUM(H52*I52)</f>
        <v>358747.91956122068</v>
      </c>
      <c r="K52" s="47">
        <v>0.1</v>
      </c>
      <c r="L52" s="171">
        <f t="shared" ref="L52:L54" si="26">SUM(J52*K52)</f>
        <v>35874.79195612207</v>
      </c>
      <c r="M52" s="49">
        <v>0</v>
      </c>
      <c r="N52" s="49">
        <v>0</v>
      </c>
      <c r="O52" s="49">
        <f t="shared" ref="O52" si="27">SUM(M52*N52)</f>
        <v>0</v>
      </c>
      <c r="P52" s="50">
        <v>34.89</v>
      </c>
      <c r="Q52" s="50">
        <f t="shared" si="1"/>
        <v>1251671.491349099</v>
      </c>
    </row>
    <row r="53" spans="1:21" ht="51" x14ac:dyDescent="0.25">
      <c r="A53" s="52" t="s">
        <v>31</v>
      </c>
      <c r="B53" s="67" t="s">
        <v>38</v>
      </c>
      <c r="C53" s="68"/>
      <c r="D53" s="68"/>
      <c r="E53" s="68"/>
      <c r="F53" s="69"/>
      <c r="G53" s="52" t="s">
        <v>15</v>
      </c>
      <c r="H53" s="53">
        <f>'Numbers for Burden Grid'!B3</f>
        <v>1263</v>
      </c>
      <c r="I53" s="54">
        <f>J51/H53</f>
        <v>1.4251781472684086E-2</v>
      </c>
      <c r="J53" s="55">
        <f>SUM(H53*I53)</f>
        <v>18</v>
      </c>
      <c r="K53" s="54">
        <v>0.15</v>
      </c>
      <c r="L53" s="170">
        <f t="shared" si="26"/>
        <v>2.6999999999999997</v>
      </c>
      <c r="M53" s="56">
        <v>0</v>
      </c>
      <c r="N53" s="56">
        <v>0</v>
      </c>
      <c r="O53" s="56">
        <f t="shared" ref="O53" si="28">SUM(M53*N53)</f>
        <v>0</v>
      </c>
      <c r="P53" s="57">
        <v>22.73</v>
      </c>
      <c r="Q53" s="57">
        <f t="shared" ref="Q53:Q54" si="29">L53*P53</f>
        <v>61.370999999999995</v>
      </c>
    </row>
    <row r="54" spans="1:21" s="7" customFormat="1" x14ac:dyDescent="0.25">
      <c r="A54" s="45" t="s">
        <v>45</v>
      </c>
      <c r="B54" s="74" t="s">
        <v>77</v>
      </c>
      <c r="C54" s="75"/>
      <c r="D54" s="75"/>
      <c r="E54" s="75"/>
      <c r="F54" s="76"/>
      <c r="G54" s="45" t="s">
        <v>15</v>
      </c>
      <c r="H54" s="46">
        <f>'Numbers for Burden Grid'!B10</f>
        <v>13556</v>
      </c>
      <c r="I54" s="47">
        <v>1</v>
      </c>
      <c r="J54" s="48">
        <f t="shared" ref="J54" si="30">SUM(H54*I54)</f>
        <v>13556</v>
      </c>
      <c r="K54" s="47">
        <v>0.3</v>
      </c>
      <c r="L54" s="171">
        <f t="shared" si="26"/>
        <v>4066.7999999999997</v>
      </c>
      <c r="M54" s="49">
        <v>0</v>
      </c>
      <c r="N54" s="49">
        <v>0</v>
      </c>
      <c r="O54" s="49">
        <f t="shared" ref="O54" si="31">SUM(M54*N54)</f>
        <v>0</v>
      </c>
      <c r="P54" s="50">
        <v>34.89</v>
      </c>
      <c r="Q54" s="50">
        <f t="shared" si="29"/>
        <v>141890.652</v>
      </c>
      <c r="R54"/>
      <c r="S54"/>
      <c r="T54"/>
      <c r="U54"/>
    </row>
    <row r="55" spans="1:21" s="7" customFormat="1" ht="51" x14ac:dyDescent="0.25">
      <c r="A55" s="6" t="s">
        <v>31</v>
      </c>
      <c r="B55" s="77" t="s">
        <v>77</v>
      </c>
      <c r="C55" s="78"/>
      <c r="D55" s="78"/>
      <c r="E55" s="78"/>
      <c r="F55" s="79"/>
      <c r="G55" s="6" t="s">
        <v>15</v>
      </c>
      <c r="H55" s="21">
        <f>'Numbers for Burden Grid'!B10</f>
        <v>13556</v>
      </c>
      <c r="I55" s="12">
        <v>1</v>
      </c>
      <c r="J55" s="22">
        <f t="shared" si="24"/>
        <v>13556</v>
      </c>
      <c r="K55" s="12">
        <v>0.3</v>
      </c>
      <c r="L55" s="169">
        <f t="shared" si="22"/>
        <v>4066.7999999999997</v>
      </c>
      <c r="M55" s="28">
        <v>0</v>
      </c>
      <c r="N55" s="28">
        <v>0</v>
      </c>
      <c r="O55" s="28">
        <f t="shared" si="7"/>
        <v>0</v>
      </c>
      <c r="P55" s="9">
        <v>22.73</v>
      </c>
      <c r="Q55" s="9">
        <f t="shared" si="1"/>
        <v>92438.364000000001</v>
      </c>
      <c r="R55"/>
      <c r="S55"/>
      <c r="T55"/>
      <c r="U55"/>
    </row>
    <row r="56" spans="1:21" x14ac:dyDescent="0.25">
      <c r="A56" s="6" t="s">
        <v>46</v>
      </c>
      <c r="B56" s="163" t="s">
        <v>50</v>
      </c>
      <c r="C56" s="163"/>
      <c r="D56" s="163"/>
      <c r="E56" s="163"/>
      <c r="F56" s="163"/>
      <c r="G56" s="2" t="s">
        <v>15</v>
      </c>
      <c r="H56" s="21">
        <v>0</v>
      </c>
      <c r="I56" s="11">
        <v>0</v>
      </c>
      <c r="J56" s="20">
        <f t="shared" si="24"/>
        <v>0</v>
      </c>
      <c r="K56" s="11">
        <v>0</v>
      </c>
      <c r="L56" s="173">
        <f t="shared" si="22"/>
        <v>0</v>
      </c>
      <c r="M56" s="10">
        <v>0</v>
      </c>
      <c r="N56" s="10">
        <v>0</v>
      </c>
      <c r="O56" s="10">
        <f t="shared" si="7"/>
        <v>0</v>
      </c>
      <c r="P56" s="8">
        <v>50.9</v>
      </c>
      <c r="Q56" s="8">
        <f t="shared" ref="Q56" si="32">L56*P56</f>
        <v>0</v>
      </c>
    </row>
    <row r="57" spans="1:21" ht="102" x14ac:dyDescent="0.25">
      <c r="A57" s="23" t="s">
        <v>56</v>
      </c>
      <c r="B57" s="163" t="s">
        <v>55</v>
      </c>
      <c r="C57" s="164"/>
      <c r="D57" s="164"/>
      <c r="E57" s="164"/>
      <c r="F57" s="164"/>
      <c r="G57" s="23" t="s">
        <v>15</v>
      </c>
      <c r="H57" s="19">
        <v>25000</v>
      </c>
      <c r="I57" s="11">
        <v>1</v>
      </c>
      <c r="J57" s="20">
        <f t="shared" si="24"/>
        <v>25000</v>
      </c>
      <c r="K57" s="11">
        <v>0.33</v>
      </c>
      <c r="L57" s="173">
        <f t="shared" si="22"/>
        <v>8250</v>
      </c>
      <c r="M57" s="10">
        <v>0</v>
      </c>
      <c r="N57" s="10">
        <v>0</v>
      </c>
      <c r="O57" s="10">
        <f t="shared" ref="O57" si="33">SUM(M57*N57)</f>
        <v>0</v>
      </c>
      <c r="P57" s="9">
        <v>30.11</v>
      </c>
      <c r="Q57" s="8">
        <f t="shared" ref="Q57" si="34">L57*P57</f>
        <v>248407.5</v>
      </c>
    </row>
    <row r="58" spans="1:21" ht="76.5" x14ac:dyDescent="0.25">
      <c r="A58" s="3" t="s">
        <v>30</v>
      </c>
      <c r="B58" s="163" t="s">
        <v>23</v>
      </c>
      <c r="C58" s="164"/>
      <c r="D58" s="164"/>
      <c r="E58" s="164"/>
      <c r="F58" s="164"/>
      <c r="G58" s="2" t="s">
        <v>15</v>
      </c>
      <c r="H58" s="21">
        <f>'Numbers for Burden Grid'!B6+26000</f>
        <v>596036</v>
      </c>
      <c r="I58" s="11">
        <v>1</v>
      </c>
      <c r="J58" s="20">
        <f t="shared" si="24"/>
        <v>596036</v>
      </c>
      <c r="K58" s="11">
        <v>0.5</v>
      </c>
      <c r="L58" s="173">
        <f t="shared" si="22"/>
        <v>298018</v>
      </c>
      <c r="M58" s="10">
        <v>0</v>
      </c>
      <c r="N58" s="10">
        <v>0</v>
      </c>
      <c r="O58" s="10">
        <f t="shared" si="7"/>
        <v>0</v>
      </c>
      <c r="P58" s="8">
        <v>33.15</v>
      </c>
      <c r="Q58" s="8">
        <f t="shared" ref="Q58:Q61" si="35">L58*P58</f>
        <v>9879296.6999999993</v>
      </c>
    </row>
    <row r="59" spans="1:21" x14ac:dyDescent="0.25">
      <c r="A59" s="45" t="s">
        <v>45</v>
      </c>
      <c r="B59" s="72" t="s">
        <v>64</v>
      </c>
      <c r="C59" s="152"/>
      <c r="D59" s="152"/>
      <c r="E59" s="152"/>
      <c r="F59" s="152"/>
      <c r="G59" s="45" t="s">
        <v>15</v>
      </c>
      <c r="H59" s="46">
        <f>'Numbers for Burden Grid'!B6</f>
        <v>570036</v>
      </c>
      <c r="I59" s="47">
        <f>'Numbers for Burden Grid'!B1/'Numbers for Burden Grid'!B6</f>
        <v>2.0978061034741664</v>
      </c>
      <c r="J59" s="48">
        <f t="shared" si="24"/>
        <v>1195825</v>
      </c>
      <c r="K59" s="47">
        <v>0.15</v>
      </c>
      <c r="L59" s="171">
        <f t="shared" si="22"/>
        <v>179373.75</v>
      </c>
      <c r="M59" s="49">
        <v>0</v>
      </c>
      <c r="N59" s="49">
        <v>0</v>
      </c>
      <c r="O59" s="49">
        <f t="shared" si="7"/>
        <v>0</v>
      </c>
      <c r="P59" s="50">
        <v>14.82</v>
      </c>
      <c r="Q59" s="50">
        <f t="shared" si="35"/>
        <v>2658318.9750000001</v>
      </c>
    </row>
    <row r="60" spans="1:21" ht="63.75" x14ac:dyDescent="0.25">
      <c r="A60" s="24" t="s">
        <v>63</v>
      </c>
      <c r="B60" s="163" t="s">
        <v>62</v>
      </c>
      <c r="C60" s="164"/>
      <c r="D60" s="164"/>
      <c r="E60" s="164"/>
      <c r="F60" s="164"/>
      <c r="G60" s="25" t="s">
        <v>15</v>
      </c>
      <c r="H60" s="19">
        <f>'Numbers for Burden Grid'!B6+J37</f>
        <v>928783.91956122068</v>
      </c>
      <c r="I60" s="11">
        <v>1</v>
      </c>
      <c r="J60" s="20">
        <f t="shared" si="24"/>
        <v>928783.91956122068</v>
      </c>
      <c r="K60" s="11">
        <v>1</v>
      </c>
      <c r="L60" s="173">
        <f t="shared" si="22"/>
        <v>928783.91956122068</v>
      </c>
      <c r="M60" s="10">
        <v>0</v>
      </c>
      <c r="N60" s="10">
        <v>0</v>
      </c>
      <c r="O60" s="10">
        <f t="shared" si="7"/>
        <v>0</v>
      </c>
      <c r="P60" s="8">
        <v>32.020000000000003</v>
      </c>
      <c r="Q60" s="8">
        <f t="shared" si="35"/>
        <v>29739661.104350287</v>
      </c>
    </row>
    <row r="61" spans="1:21" ht="24" customHeight="1" x14ac:dyDescent="0.25">
      <c r="A61" s="52" t="s">
        <v>46</v>
      </c>
      <c r="B61" s="71" t="s">
        <v>47</v>
      </c>
      <c r="C61" s="167"/>
      <c r="D61" s="167"/>
      <c r="E61" s="167"/>
      <c r="F61" s="167"/>
      <c r="G61" s="52" t="s">
        <v>15</v>
      </c>
      <c r="H61" s="54">
        <f>'Numbers for Burden Grid'!B9/2500000</f>
        <v>1574.2232948000001</v>
      </c>
      <c r="I61" s="54">
        <v>1</v>
      </c>
      <c r="J61" s="55">
        <f t="shared" si="24"/>
        <v>1574.2232948000001</v>
      </c>
      <c r="K61" s="54">
        <v>2.5</v>
      </c>
      <c r="L61" s="170">
        <f t="shared" si="22"/>
        <v>3935.5582370000002</v>
      </c>
      <c r="M61" s="56">
        <v>0</v>
      </c>
      <c r="N61" s="56">
        <v>0</v>
      </c>
      <c r="O61" s="56">
        <f t="shared" si="7"/>
        <v>0</v>
      </c>
      <c r="P61" s="57">
        <v>50.98</v>
      </c>
      <c r="Q61" s="57">
        <f t="shared" si="35"/>
        <v>200634.75892225999</v>
      </c>
    </row>
    <row r="62" spans="1:21" x14ac:dyDescent="0.25">
      <c r="A62" s="4"/>
      <c r="B62" s="165" t="s">
        <v>24</v>
      </c>
      <c r="C62" s="166"/>
      <c r="D62" s="166"/>
      <c r="E62" s="166"/>
      <c r="F62" s="166"/>
      <c r="G62" s="5"/>
      <c r="H62" s="17"/>
      <c r="I62" s="10"/>
      <c r="J62" s="20">
        <f>SUM(J21:J61)</f>
        <v>11331829.406539682</v>
      </c>
      <c r="K62" s="20"/>
      <c r="L62" s="17">
        <f>SUM(L21:L61)</f>
        <v>8555843.002560446</v>
      </c>
      <c r="M62" s="20">
        <f>SUM(M21:M56)</f>
        <v>0</v>
      </c>
      <c r="N62" s="20"/>
      <c r="O62" s="20">
        <f>SUM(O21:O56)</f>
        <v>0</v>
      </c>
      <c r="P62" s="20">
        <f>SUM(P21:P61)</f>
        <v>1390.7500000000007</v>
      </c>
      <c r="Q62" s="20">
        <f>SUM(Q21:Q61)</f>
        <v>247113450.01121339</v>
      </c>
    </row>
    <row r="63" spans="1:21" x14ac:dyDescent="0.25">
      <c r="A63" s="16"/>
      <c r="B63" s="159" t="s">
        <v>25</v>
      </c>
      <c r="C63" s="160"/>
      <c r="D63" s="160"/>
      <c r="E63" s="160"/>
      <c r="F63" s="160"/>
      <c r="G63" s="14"/>
      <c r="H63" s="15"/>
      <c r="I63" s="10"/>
      <c r="J63" s="22">
        <f>SUM(J62+K93+K122+K151+K180+K209+K238+K267+K296+K325+K354+K383+K412+K441+K470+K499+K528+K557+K586+K615+K644+K673+K702+K731+K760+K789+K818+K847+K876+K905+K934+K963+K992+K1021+K1050+K1079+K1108+K1137+K1166+K1195+K1224+K1253+K1282+K1311+K1340+K1369+K1398+K1427+K1456+K1485+K1514+K1543+K1572+K1601+K1630+K1659+K1688+K1717+K1746+K1775)</f>
        <v>11331829.406539682</v>
      </c>
      <c r="K63" s="22"/>
      <c r="L63" s="15">
        <f>SUM(L62+M93+M122+M151+M180+M209+M238+M267+M296+M325+M354+M383+M412+M441+M470+M499+M528+M557+M586+M615+M644+M673+M702+M731+M760+M789+M818+M847+M876+M905+M934+M963+M992+M1021+M1050+M1079+M1108+M1137+M1166+M1195+M1224+M1253+M1282+M1311+M1340+M1369+M1398+M1427+M1456+M1485+M1514+M1543+M1572+M1601+M1630+M1659+M1688+M1717+M1746+M1775)</f>
        <v>8555843.002560446</v>
      </c>
      <c r="M63" s="22">
        <f>SUM(M62+N93+N122+N151+N180+N209+N238+N267+N296+N325+N354+N383+N412+N441+N470+N499+N528+N557+N586+N615+N644+N673+N702+N731+N760+N789+N818+N847+N876+N905+N934+N963+N992+N1021+N1050+N1079+N1108+N1137+N1166+N1195+N1224+N1253+N1282+N1311+N1340+N1369+N1398+N1427+N1456+N1485+N1514+N1543+N1572+N1601+N1630+N1659+N1688+N1717+N1746+N1775)</f>
        <v>0</v>
      </c>
      <c r="N63" s="22"/>
      <c r="O63" s="22">
        <f>SUM(O62+P93+P122+P151+P180+P209+P238+P267+P296+P325+P354+P383+P412+P441+P470+P499+P528+P557+P586+P615+P644+P673+P702+P731+P760+P789+P818+P847+P876+P905+P934+P963+P992+P1021+P1050+P1079+P1108+P1137+P1166+P1195+P1224+P1253+P1282+P1311+P1340+P1369+P1398+P1427+P1456+P1485+P1514+P1543+P1572+P1601+P1630+P1659+P1688+P1717+P1746+P1775)</f>
        <v>0</v>
      </c>
      <c r="P63" s="22">
        <f>SUM(P62+Q93+Q122+Q151+Q180+Q209+Q238+Q267+Q296+Q325+Q354+Q383+Q412+Q441+Q470+Q499+Q528+Q557+Q586+Q615+Q644+Q673+Q702+Q731+Q760+Q789+Q818+Q847+Q876+Q905+Q934+Q963+Q992+Q1021+Q1050+Q1079+Q1108+Q1137+Q1166+Q1195+Q1224+Q1253+Q1282+Q1311+Q1340+Q1369+Q1398+Q1427+Q1456+Q1485+Q1514+Q1543+Q1572+Q1601+Q1630+Q1659+Q1688+Q1717+Q1746+Q1775)</f>
        <v>1390.7500000000007</v>
      </c>
      <c r="Q63" s="22">
        <f>SUM(Q62+R72+R101+R130+R159+R188+R217+R246+R275+R304+R333+R362+R391+R420+R449+R478+R507+R536+R565+R594+R623+R652+R681+R710+R739+R768+R797+R826+R855+R884+R913+R942+R971+R1000+R1029+R1058+R1087+R1116+R1145+R1174+R1203+R1232+R1261+R1290+R1319+R1348+R1377+R1406+R1435+R1464+R1493+R1522+R1551+R1580+R1609+R1638+R1667+R1696+R1725+R1754)</f>
        <v>247113450.01121339</v>
      </c>
    </row>
    <row r="64" spans="1:21" ht="15.75" x14ac:dyDescent="0.25">
      <c r="A64" s="161" t="s">
        <v>33</v>
      </c>
      <c r="B64" s="161"/>
      <c r="C64" s="162"/>
      <c r="D64" s="162"/>
      <c r="E64" s="162"/>
      <c r="F64" s="162"/>
      <c r="G64" s="162"/>
      <c r="H64" s="29"/>
      <c r="I64" s="30"/>
      <c r="J64" s="31">
        <f>SUM(J63+M63)</f>
        <v>11331829.406539682</v>
      </c>
      <c r="K64" s="22"/>
      <c r="L64" s="174">
        <f>SUM(L63+O63)</f>
        <v>8555843.002560446</v>
      </c>
      <c r="M64" s="31"/>
      <c r="N64" s="31"/>
      <c r="O64" s="31"/>
      <c r="P64" s="31"/>
      <c r="Q64" s="31">
        <f>Q63</f>
        <v>247113450.01121339</v>
      </c>
    </row>
    <row r="65" spans="1:2" x14ac:dyDescent="0.25">
      <c r="B65" t="s">
        <v>49</v>
      </c>
    </row>
    <row r="67" spans="1:2" x14ac:dyDescent="0.25">
      <c r="A67" s="35" t="s">
        <v>74</v>
      </c>
    </row>
  </sheetData>
  <mergeCells count="67">
    <mergeCell ref="B47:F47"/>
    <mergeCell ref="B57:F57"/>
    <mergeCell ref="B56:F56"/>
    <mergeCell ref="B55:F55"/>
    <mergeCell ref="B22:F22"/>
    <mergeCell ref="B39:F39"/>
    <mergeCell ref="B23:F23"/>
    <mergeCell ref="B54:F54"/>
    <mergeCell ref="B43:F43"/>
    <mergeCell ref="B24:F24"/>
    <mergeCell ref="B27:F27"/>
    <mergeCell ref="B42:F42"/>
    <mergeCell ref="B63:F63"/>
    <mergeCell ref="A64:G64"/>
    <mergeCell ref="B58:F58"/>
    <mergeCell ref="B62:F62"/>
    <mergeCell ref="B61:F61"/>
    <mergeCell ref="B60:F60"/>
    <mergeCell ref="O1:P5"/>
    <mergeCell ref="J3:N9"/>
    <mergeCell ref="O6:P9"/>
    <mergeCell ref="B59:F59"/>
    <mergeCell ref="I10:P11"/>
    <mergeCell ref="L14:L19"/>
    <mergeCell ref="M14:M19"/>
    <mergeCell ref="B44:F44"/>
    <mergeCell ref="B25:F25"/>
    <mergeCell ref="B26:F26"/>
    <mergeCell ref="B29:F29"/>
    <mergeCell ref="B30:F30"/>
    <mergeCell ref="B31:F31"/>
    <mergeCell ref="B32:F32"/>
    <mergeCell ref="B35:F35"/>
    <mergeCell ref="B37:F37"/>
    <mergeCell ref="A1:I9"/>
    <mergeCell ref="J1:N2"/>
    <mergeCell ref="B20:F20"/>
    <mergeCell ref="G12:G19"/>
    <mergeCell ref="A10:H11"/>
    <mergeCell ref="A12:A19"/>
    <mergeCell ref="Q14:Q19"/>
    <mergeCell ref="P14:P19"/>
    <mergeCell ref="B12:F19"/>
    <mergeCell ref="H12:L13"/>
    <mergeCell ref="M12:O13"/>
    <mergeCell ref="H14:H19"/>
    <mergeCell ref="I14:I19"/>
    <mergeCell ref="J14:J19"/>
    <mergeCell ref="N14:N19"/>
    <mergeCell ref="O14:O19"/>
    <mergeCell ref="K14:K19"/>
    <mergeCell ref="B21:F21"/>
    <mergeCell ref="B53:F53"/>
    <mergeCell ref="B48:F48"/>
    <mergeCell ref="B49:F49"/>
    <mergeCell ref="B51:F51"/>
    <mergeCell ref="B28:F28"/>
    <mergeCell ref="B36:F36"/>
    <mergeCell ref="B38:F38"/>
    <mergeCell ref="B34:F34"/>
    <mergeCell ref="B33:F33"/>
    <mergeCell ref="B40:F40"/>
    <mergeCell ref="B41:F41"/>
    <mergeCell ref="B52:F52"/>
    <mergeCell ref="B46:F46"/>
    <mergeCell ref="B50:F50"/>
    <mergeCell ref="B45:F45"/>
  </mergeCells>
  <hyperlinks>
    <hyperlink ref="A67" r:id="rId1"/>
  </hyperlinks>
  <pageMargins left="0.45" right="0.45" top="0.75" bottom="0.75" header="0.3" footer="0.3"/>
  <pageSetup scale="5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7" workbookViewId="0">
      <selection activeCell="B17" sqref="B17"/>
    </sheetView>
  </sheetViews>
  <sheetFormatPr defaultRowHeight="15" x14ac:dyDescent="0.25"/>
  <cols>
    <col min="1" max="1" width="54" style="33" bestFit="1" customWidth="1"/>
    <col min="2" max="2" width="12" style="33" bestFit="1" customWidth="1"/>
    <col min="3" max="16384" width="9.140625" style="33"/>
  </cols>
  <sheetData>
    <row r="1" spans="1:3" x14ac:dyDescent="0.25">
      <c r="A1" s="38" t="s">
        <v>65</v>
      </c>
      <c r="B1" s="41">
        <f>1206873-10747-301</f>
        <v>1195825</v>
      </c>
    </row>
    <row r="2" spans="1:3" x14ac:dyDescent="0.25">
      <c r="A2" s="39" t="s">
        <v>66</v>
      </c>
      <c r="B2" s="32">
        <v>18</v>
      </c>
    </row>
    <row r="3" spans="1:3" x14ac:dyDescent="0.25">
      <c r="A3" s="39" t="s">
        <v>67</v>
      </c>
      <c r="B3" s="32">
        <v>1263</v>
      </c>
    </row>
    <row r="4" spans="1:3" x14ac:dyDescent="0.25">
      <c r="A4" s="39" t="s">
        <v>68</v>
      </c>
      <c r="B4" s="32">
        <v>15816</v>
      </c>
    </row>
    <row r="5" spans="1:3" x14ac:dyDescent="0.25">
      <c r="A5" s="39" t="s">
        <v>69</v>
      </c>
      <c r="B5" s="32">
        <v>4898</v>
      </c>
    </row>
    <row r="6" spans="1:3" x14ac:dyDescent="0.25">
      <c r="A6" s="39" t="s">
        <v>70</v>
      </c>
      <c r="B6" s="33">
        <v>570036</v>
      </c>
    </row>
    <row r="7" spans="1:3" x14ac:dyDescent="0.25">
      <c r="A7" s="40" t="s">
        <v>71</v>
      </c>
      <c r="B7" s="37">
        <v>289881</v>
      </c>
      <c r="C7" s="34"/>
    </row>
    <row r="8" spans="1:3" x14ac:dyDescent="0.25">
      <c r="A8" s="33" t="s">
        <v>72</v>
      </c>
      <c r="B8" s="32">
        <v>36987</v>
      </c>
    </row>
    <row r="9" spans="1:3" x14ac:dyDescent="0.25">
      <c r="A9" s="37" t="s">
        <v>73</v>
      </c>
      <c r="B9" s="37">
        <v>3935558237</v>
      </c>
    </row>
    <row r="10" spans="1:3" x14ac:dyDescent="0.25">
      <c r="A10" s="36" t="s">
        <v>79</v>
      </c>
      <c r="B10" s="33">
        <v>13556</v>
      </c>
    </row>
    <row r="11" spans="1:3" ht="16.5" customHeight="1" x14ac:dyDescent="0.25">
      <c r="A11" s="36" t="s">
        <v>80</v>
      </c>
      <c r="B11" s="33">
        <v>976</v>
      </c>
    </row>
    <row r="12" spans="1:3" x14ac:dyDescent="0.25">
      <c r="B12" s="32"/>
    </row>
    <row r="13" spans="1:3" ht="60" x14ac:dyDescent="0.25">
      <c r="A13" s="42" t="s">
        <v>83</v>
      </c>
      <c r="B13" s="43">
        <f>B17/B16</f>
        <v>0.75502751547096236</v>
      </c>
    </row>
    <row r="14" spans="1:3" ht="30" x14ac:dyDescent="0.25">
      <c r="A14" s="42" t="s">
        <v>85</v>
      </c>
      <c r="B14" s="32">
        <f>B4+B5+B6</f>
        <v>590750</v>
      </c>
    </row>
    <row r="15" spans="1:3" x14ac:dyDescent="0.25">
      <c r="A15" s="42" t="s">
        <v>86</v>
      </c>
      <c r="B15" s="44">
        <f>B16/B14</f>
        <v>19.18210648589028</v>
      </c>
    </row>
    <row r="16" spans="1:3" x14ac:dyDescent="0.25">
      <c r="A16" s="42" t="s">
        <v>84</v>
      </c>
      <c r="B16" s="32">
        <f>Sheet1!J64</f>
        <v>11331829.406539682</v>
      </c>
    </row>
    <row r="17" spans="1:2" x14ac:dyDescent="0.25">
      <c r="A17" s="42" t="s">
        <v>87</v>
      </c>
      <c r="B17" s="32">
        <f>Sheet1!L64</f>
        <v>8555843.002560446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Numbers for Burden Grid</vt:lpstr>
      <vt:lpstr>Sheet3</vt:lpstr>
      <vt:lpstr>Sheet1!Print_Titles</vt:lpstr>
    </vt:vector>
  </TitlesOfParts>
  <Company>Risk Management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sarah.shaw</dc:creator>
  <cp:lastModifiedBy>Parker, Charlene - OCIO</cp:lastModifiedBy>
  <cp:lastPrinted>2015-12-28T15:33:18Z</cp:lastPrinted>
  <dcterms:created xsi:type="dcterms:W3CDTF">2011-01-12T13:53:13Z</dcterms:created>
  <dcterms:modified xsi:type="dcterms:W3CDTF">2015-12-28T15:57:27Z</dcterms:modified>
</cp:coreProperties>
</file>