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Kerwin\Desktop\ICR Review Sept\"/>
    </mc:Choice>
  </mc:AlternateContent>
  <bookViews>
    <workbookView xWindow="120" yWindow="30" windowWidth="9600" windowHeight="6930"/>
  </bookViews>
  <sheets>
    <sheet name="# Respondents" sheetId="4" r:id="rId1"/>
    <sheet name="# Responses" sheetId="5" r:id="rId2"/>
    <sheet name="Respondent Burden" sheetId="1" r:id="rId3"/>
    <sheet name="Agency Burden" sheetId="3" r:id="rId4"/>
    <sheet name="Capital &amp; O&amp;M" sheetId="6" r:id="rId5"/>
  </sheets>
  <definedNames>
    <definedName name="OLE_LINK1" localSheetId="3">'Agency Burden'!#REF!</definedName>
  </definedNames>
  <calcPr calcId="152511"/>
</workbook>
</file>

<file path=xl/calcChain.xml><?xml version="1.0" encoding="utf-8"?>
<calcChain xmlns="http://schemas.openxmlformats.org/spreadsheetml/2006/main">
  <c r="F21" i="1" l="1"/>
  <c r="F20" i="1"/>
  <c r="F24" i="1" l="1"/>
  <c r="G7" i="6" s="1"/>
  <c r="F32" i="1"/>
  <c r="F13" i="1"/>
  <c r="F11" i="1"/>
  <c r="F33" i="1" l="1"/>
  <c r="F15" i="3"/>
  <c r="C11" i="5"/>
  <c r="F11" i="5" s="1"/>
  <c r="E5" i="6"/>
  <c r="E8" i="6" s="1"/>
  <c r="C14" i="5"/>
  <c r="F14" i="5" s="1"/>
  <c r="C16" i="5"/>
  <c r="F16" i="5" s="1"/>
  <c r="D12" i="3"/>
  <c r="E12" i="3" s="1"/>
  <c r="D14" i="3"/>
  <c r="E14" i="3" s="1"/>
  <c r="D15" i="3"/>
  <c r="E15" i="3" s="1"/>
  <c r="D13" i="3"/>
  <c r="E13" i="3" s="1"/>
  <c r="D16" i="3"/>
  <c r="E16" i="3" s="1"/>
  <c r="F16" i="3"/>
  <c r="D17" i="3"/>
  <c r="E17" i="3" s="1"/>
  <c r="D18" i="3"/>
  <c r="E18" i="3" s="1"/>
  <c r="D20" i="3"/>
  <c r="E20" i="3" s="1"/>
  <c r="D8" i="3"/>
  <c r="E8" i="3" s="1"/>
  <c r="D9" i="3"/>
  <c r="E9" i="3" s="1"/>
  <c r="D10" i="3"/>
  <c r="E10" i="3" s="1"/>
  <c r="D7" i="3"/>
  <c r="E32" i="1"/>
  <c r="E24" i="1"/>
  <c r="G24" i="1" s="1"/>
  <c r="H24" i="1" s="1"/>
  <c r="E23" i="1"/>
  <c r="E22" i="1"/>
  <c r="G22" i="1" s="1"/>
  <c r="E19" i="1"/>
  <c r="F14" i="1"/>
  <c r="F19" i="1" s="1"/>
  <c r="E14" i="1"/>
  <c r="E26" i="1"/>
  <c r="F26" i="1"/>
  <c r="C18" i="5" s="1"/>
  <c r="F18" i="5" s="1"/>
  <c r="E13" i="1"/>
  <c r="E21" i="1"/>
  <c r="E20" i="1"/>
  <c r="F18" i="1"/>
  <c r="C10" i="5" s="1"/>
  <c r="F10" i="5" s="1"/>
  <c r="G16" i="3" l="1"/>
  <c r="H16" i="3" s="1"/>
  <c r="F13" i="3"/>
  <c r="G13" i="3" s="1"/>
  <c r="H13" i="3" s="1"/>
  <c r="G5" i="6"/>
  <c r="H5" i="6" s="1"/>
  <c r="F23" i="1"/>
  <c r="C15" i="5" s="1"/>
  <c r="F15" i="5" s="1"/>
  <c r="F10" i="3"/>
  <c r="G10" i="3" s="1"/>
  <c r="H10" i="3" s="1"/>
  <c r="C8" i="5"/>
  <c r="F8" i="5" s="1"/>
  <c r="C12" i="5"/>
  <c r="F12" i="5" s="1"/>
  <c r="F14" i="3"/>
  <c r="G14" i="3" s="1"/>
  <c r="H14" i="3" s="1"/>
  <c r="G6" i="6"/>
  <c r="H6" i="6" s="1"/>
  <c r="F12" i="3"/>
  <c r="G12" i="3" s="1"/>
  <c r="H12" i="3" s="1"/>
  <c r="F9" i="3"/>
  <c r="G9" i="3" s="1"/>
  <c r="H9" i="3" s="1"/>
  <c r="C7" i="5"/>
  <c r="F7" i="5" s="1"/>
  <c r="F20" i="3"/>
  <c r="G20" i="3" s="1"/>
  <c r="H20" i="3" s="1"/>
  <c r="F18" i="3"/>
  <c r="G18" i="3" s="1"/>
  <c r="C13" i="5"/>
  <c r="F13" i="5" s="1"/>
  <c r="G15" i="3"/>
  <c r="H15" i="3" s="1"/>
  <c r="I16" i="3"/>
  <c r="J16" i="3" s="1"/>
  <c r="G32" i="1"/>
  <c r="I24" i="1"/>
  <c r="J24" i="1" s="1"/>
  <c r="H22" i="1"/>
  <c r="I22" i="1"/>
  <c r="G14" i="1"/>
  <c r="H14" i="1" s="1"/>
  <c r="G21" i="1"/>
  <c r="H21" i="1" s="1"/>
  <c r="G19" i="1"/>
  <c r="I19" i="1" s="1"/>
  <c r="G26" i="1"/>
  <c r="I26" i="1" s="1"/>
  <c r="G13" i="1"/>
  <c r="H13" i="1" s="1"/>
  <c r="G20" i="1"/>
  <c r="H20" i="1" s="1"/>
  <c r="F12" i="1"/>
  <c r="E11" i="1"/>
  <c r="E9" i="1"/>
  <c r="G7" i="4"/>
  <c r="D8" i="4" s="1"/>
  <c r="M2" i="1" s="1"/>
  <c r="E18" i="1"/>
  <c r="G18" i="1" s="1"/>
  <c r="H18" i="1" s="1"/>
  <c r="E7" i="3"/>
  <c r="I32" i="1" l="1"/>
  <c r="I15" i="3"/>
  <c r="J15" i="3" s="1"/>
  <c r="I14" i="3"/>
  <c r="J14" i="3" s="1"/>
  <c r="C6" i="5"/>
  <c r="F6" i="5" s="1"/>
  <c r="F8" i="3"/>
  <c r="G8" i="3" s="1"/>
  <c r="C5" i="5"/>
  <c r="F5" i="5" s="1"/>
  <c r="F7" i="3"/>
  <c r="G7" i="3" s="1"/>
  <c r="H18" i="3"/>
  <c r="I18" i="3"/>
  <c r="I12" i="3"/>
  <c r="J12" i="3" s="1"/>
  <c r="I20" i="3"/>
  <c r="J20" i="3" s="1"/>
  <c r="G23" i="1"/>
  <c r="I23" i="1" s="1"/>
  <c r="I13" i="3"/>
  <c r="J13" i="3" s="1"/>
  <c r="F17" i="3"/>
  <c r="G17" i="3" s="1"/>
  <c r="H17" i="3" s="1"/>
  <c r="I10" i="3"/>
  <c r="J10" i="3" s="1"/>
  <c r="I9" i="3"/>
  <c r="J9" i="3" s="1"/>
  <c r="H32" i="1"/>
  <c r="J22" i="1"/>
  <c r="I14" i="1"/>
  <c r="J14" i="1" s="1"/>
  <c r="I21" i="1"/>
  <c r="J21" i="1" s="1"/>
  <c r="H19" i="1"/>
  <c r="J19" i="1" s="1"/>
  <c r="I20" i="1"/>
  <c r="J20" i="1" s="1"/>
  <c r="I13" i="1"/>
  <c r="J13" i="1" s="1"/>
  <c r="H26" i="1"/>
  <c r="J26" i="1" s="1"/>
  <c r="I18" i="1"/>
  <c r="J18" i="1" s="1"/>
  <c r="G11" i="1"/>
  <c r="H11" i="1" s="1"/>
  <c r="J32" i="1" l="1"/>
  <c r="F19" i="5"/>
  <c r="H7" i="3"/>
  <c r="I7" i="3"/>
  <c r="H8" i="3"/>
  <c r="I8" i="3"/>
  <c r="J18" i="3"/>
  <c r="H23" i="1"/>
  <c r="J23" i="1" s="1"/>
  <c r="I17" i="3"/>
  <c r="J17" i="3" s="1"/>
  <c r="I11" i="1"/>
  <c r="J11" i="1" s="1"/>
  <c r="G21" i="3" l="1"/>
  <c r="J8" i="3"/>
  <c r="J7" i="3"/>
  <c r="E33" i="1"/>
  <c r="G33" i="1" s="1"/>
  <c r="E12" i="1"/>
  <c r="G12" i="1" s="1"/>
  <c r="J21" i="3" l="1"/>
  <c r="H33" i="1"/>
  <c r="G39" i="1" s="1"/>
  <c r="I33" i="1"/>
  <c r="H12" i="1"/>
  <c r="I12" i="1"/>
  <c r="J33" i="1" l="1"/>
  <c r="J39" i="1" s="1"/>
  <c r="J12" i="1"/>
  <c r="H7" i="6" l="1"/>
  <c r="H8" i="6" s="1"/>
  <c r="J41" i="1" l="1"/>
  <c r="F10" i="4"/>
  <c r="E10" i="4"/>
  <c r="C8" i="4" l="1"/>
  <c r="C9" i="4" l="1"/>
  <c r="C10" i="4"/>
  <c r="M7" i="1" s="1"/>
  <c r="F9" i="1" l="1"/>
  <c r="G9" i="1" s="1"/>
  <c r="G8" i="4"/>
  <c r="D9" i="4" s="1"/>
  <c r="H9" i="1" l="1"/>
  <c r="I9" i="1"/>
  <c r="G9" i="4"/>
  <c r="G10" i="4" s="1"/>
  <c r="D10" i="4"/>
  <c r="G27" i="1" l="1"/>
  <c r="G40" i="1" s="1"/>
  <c r="F20" i="5" s="1"/>
  <c r="J9" i="1"/>
  <c r="J27" i="1" s="1"/>
  <c r="J40" i="1" s="1"/>
  <c r="J42" i="1" s="1"/>
</calcChain>
</file>

<file path=xl/sharedStrings.xml><?xml version="1.0" encoding="utf-8"?>
<sst xmlns="http://schemas.openxmlformats.org/spreadsheetml/2006/main" count="208" uniqueCount="167">
  <si>
    <t>(A)</t>
  </si>
  <si>
    <t>(B)</t>
  </si>
  <si>
    <t>(C)</t>
  </si>
  <si>
    <t>(D)</t>
  </si>
  <si>
    <t>(E)</t>
  </si>
  <si>
    <t>Reporting Subtotal</t>
  </si>
  <si>
    <t>Total</t>
  </si>
  <si>
    <t>Burden item</t>
  </si>
  <si>
    <t>A</t>
  </si>
  <si>
    <t>B</t>
  </si>
  <si>
    <t>C</t>
  </si>
  <si>
    <t>D</t>
  </si>
  <si>
    <t>E</t>
  </si>
  <si>
    <t>F</t>
  </si>
  <si>
    <t>G</t>
  </si>
  <si>
    <t>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</si>
  <si>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</si>
  <si>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</si>
  <si>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</si>
  <si>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</si>
  <si>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</si>
  <si>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</si>
  <si>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</si>
  <si>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 </t>
    </r>
    <r>
      <rPr>
        <b/>
        <vertAlign val="superscript"/>
        <sz val="10"/>
        <rFont val="Times New Roman"/>
        <family val="1"/>
      </rPr>
      <t>b</t>
    </r>
  </si>
  <si>
    <t>Source Type</t>
  </si>
  <si>
    <t>No.</t>
  </si>
  <si>
    <t>Existing</t>
  </si>
  <si>
    <t>Number of Respondents</t>
  </si>
  <si>
    <t>Respondents That Submit Reports</t>
  </si>
  <si>
    <t>Respondents That Do Not Submit Any Reports</t>
  </si>
  <si>
    <t>Year</t>
  </si>
  <si>
    <t>Number of New Respondents</t>
  </si>
  <si>
    <t>Number of Existing Respondents</t>
  </si>
  <si>
    <t>Number of Existing  Respondents that keep records but do not submit reports</t>
  </si>
  <si>
    <t>Number of Existing Respondents That Are Also New Respondents</t>
  </si>
  <si>
    <t>(E=A+B+C-D)</t>
  </si>
  <si>
    <t>Average</t>
  </si>
  <si>
    <t>Total Annual Responses</t>
  </si>
  <si>
    <t>(A)
Information Collection Activity</t>
  </si>
  <si>
    <t xml:space="preserve">(B)
Number of Respondents  </t>
  </si>
  <si>
    <t>(C)
Number of Responses</t>
  </si>
  <si>
    <t>(D)
Number of Existing Respondents That Keep Records But Do Not Submit Reports</t>
  </si>
  <si>
    <t>(E)
Total Annual Responses
E=(BxC)+D</t>
  </si>
  <si>
    <t>TOTAL ANNUAL BURDEN AND COST (ROUNDED)</t>
  </si>
  <si>
    <t>EPA
person-hours
per occurrence</t>
  </si>
  <si>
    <t>EPA
person-hours
per respondent
per year (AxB)</t>
  </si>
  <si>
    <t>Technical hours
per year
(CxD)</t>
  </si>
  <si>
    <t>Management
hours per year
(Ex0.05)</t>
  </si>
  <si>
    <t>Assumptions:</t>
  </si>
  <si>
    <t>Capital/Startup vs. Operation and Maintenance (O&amp;M) Costs</t>
  </si>
  <si>
    <t>Capital/Startup Cost for One Respondent</t>
  </si>
  <si>
    <t>(F)</t>
  </si>
  <si>
    <t>Number of Respondents  with O&amp;M</t>
  </si>
  <si>
    <t>(G)</t>
  </si>
  <si>
    <t>Total O&amp;M, (E X F)</t>
  </si>
  <si>
    <t>Recordkeeping Subtotal</t>
  </si>
  <si>
    <t>GRAND TOTAL (LABOR, CAPITAL, AND O&amp;M)</t>
  </si>
  <si>
    <t>ERG Notes</t>
  </si>
  <si>
    <t>Labor Rates:</t>
  </si>
  <si>
    <t>hrs/response:</t>
  </si>
  <si>
    <t>TOTAL ANNUAL CAPITAL AND O&amp;M COST (SEE SECTION 6(b)(iii))</t>
  </si>
  <si>
    <t>Requirement</t>
  </si>
  <si>
    <t>N/A - Not Applicable</t>
  </si>
  <si>
    <t>ERG Notes:</t>
  </si>
  <si>
    <r>
      <t>1</t>
    </r>
    <r>
      <rPr>
        <sz val="10"/>
        <color theme="1"/>
        <rFont val="Times New Roman"/>
        <family val="1"/>
      </rPr>
      <t xml:space="preserve"> New respondents include sources with constructed, reconstructed, and modified affected facilities.</t>
    </r>
  </si>
  <si>
    <t>b  This ICR uses the following labor rates: $103.97 (technical), $129.93 (managerial), and $51.79 (clerical).  These rates are from the United States Department of Labor, Bureau of Labor Statistics, June 2014, “Table 2. Civilian Workers, by occupational and industry group.”  The rates are from column 1, “Total compensation.”  They have been increased by 110 percent to account for the benefit packages available to those employed by private industry.</t>
  </si>
  <si>
    <t>New</t>
  </si>
  <si>
    <t>Table 1: Annual Respondent Burden and Cost – NSPS for Oil and Natural Gas Production and Natural Gas Transmission and Distribution (40 CFR Part 60, Subpart OOOO) (Renewal)</t>
  </si>
  <si>
    <t>Table 2: Average Annual EPA Burden and Cost – NSPS for Oil and Natural Gas Production and Natural Gas Transmission and Distribution (40 CFR Part 60, Subpart OOOO) (Renewal)</t>
  </si>
  <si>
    <t>1. Applications</t>
  </si>
  <si>
    <t>N/A</t>
  </si>
  <si>
    <t>2. Survey and Studies</t>
  </si>
  <si>
    <t>3. Acquisition, installation, and utilization of technology and systems</t>
  </si>
  <si>
    <t>4. Report requirements</t>
  </si>
  <si>
    <t>a. Read instructions</t>
  </si>
  <si>
    <t>b. Required activities</t>
  </si>
  <si>
    <t>i. Notification of gas well completion</t>
  </si>
  <si>
    <t>Processing plants</t>
  </si>
  <si>
    <t>Sweetening units</t>
  </si>
  <si>
    <t>Exploration/production</t>
  </si>
  <si>
    <t>Transmission/storage</t>
  </si>
  <si>
    <t>a  EPA estimates an average of 564 existing sources and 32 new sources will be subject to the standard over the next three years. Existing sources comprise 300 exploration and production businesses, 136 transmission and storage operations, 116 processing plants and 12 sweetening units.  New sources comprise 29 processing plants and 3 sweetening units.</t>
  </si>
  <si>
    <t>c. Create information</t>
  </si>
  <si>
    <t>See 4E</t>
  </si>
  <si>
    <t>See 4B</t>
  </si>
  <si>
    <t>d. Gather existing information</t>
  </si>
  <si>
    <t>e. Annual reports</t>
  </si>
  <si>
    <t>i. Gas well completion/recompletion</t>
  </si>
  <si>
    <t>f. Semiannual reports</t>
  </si>
  <si>
    <t>5. Recordkeeping requirements</t>
  </si>
  <si>
    <t>See 4A</t>
  </si>
  <si>
    <t>b. Plan activities</t>
  </si>
  <si>
    <t>c. Implement activities</t>
  </si>
  <si>
    <t>d. Record data</t>
  </si>
  <si>
    <t>i. Records required by standards</t>
  </si>
  <si>
    <t>See 5C</t>
  </si>
  <si>
    <t>e. Time to transmit or disclose information</t>
  </si>
  <si>
    <t>f. Time to train personnel</t>
  </si>
  <si>
    <t>g. Time for audits</t>
  </si>
  <si>
    <t>Review initial notifications</t>
  </si>
  <si>
    <t>ii. Notification of gas well recompletion</t>
  </si>
  <si>
    <t>Review annual reports</t>
  </si>
  <si>
    <t>Review semiannual reports</t>
  </si>
  <si>
    <t>i. Gas processing plant</t>
  </si>
  <si>
    <t>vii. Storage vessel</t>
  </si>
  <si>
    <t>b This ICR uses the following labor rates: $46.67 (technical), $62.90 (managerial), and $25.25 (clerical).  These rates are from the Office of Personnel Management (OPM), 2014 General Schedule, which excludes locality rates of pay.  The rates have been increased by 60 percent to account for the benefit packages available to government employees.</t>
  </si>
  <si>
    <t>Annual reports</t>
  </si>
  <si>
    <t>Notifications</t>
  </si>
  <si>
    <t>Gas well completion</t>
  </si>
  <si>
    <t>Gas well recompletion</t>
  </si>
  <si>
    <t>New gas processing plant</t>
  </si>
  <si>
    <t>New sweetening unit</t>
  </si>
  <si>
    <t>Gas well completion/recompletion</t>
  </si>
  <si>
    <t>Centrifugal compressor</t>
  </si>
  <si>
    <t>Reciprocating compressor</t>
  </si>
  <si>
    <t>Sweetening unit</t>
  </si>
  <si>
    <t>Semiannual reports</t>
  </si>
  <si>
    <t>Gas processing plant</t>
  </si>
  <si>
    <t>Production pneumatic controller</t>
  </si>
  <si>
    <t>Gas processing pneumatic controller</t>
  </si>
  <si>
    <t>Storage vessel</t>
  </si>
  <si>
    <t>vi. Gas processing pneumatic controller</t>
  </si>
  <si>
    <t>v. Production pneumatic controller</t>
  </si>
  <si>
    <t>CEM - Continuous Emission Monitoring System</t>
  </si>
  <si>
    <r>
      <t>SO</t>
    </r>
    <r>
      <rPr>
        <vertAlign val="subscript"/>
        <sz val="10"/>
        <color rgb="FF000000"/>
        <rFont val="Times New Roman"/>
        <family val="1"/>
      </rPr>
      <t>2</t>
    </r>
    <r>
      <rPr>
        <sz val="10"/>
        <color rgb="FF000000"/>
        <rFont val="Times New Roman"/>
        <family val="1"/>
      </rPr>
      <t xml:space="preserve"> CEMS (control outlet)</t>
    </r>
  </si>
  <si>
    <r>
      <t xml:space="preserve">Continuous control device monitoring for storage vessels </t>
    </r>
    <r>
      <rPr>
        <vertAlign val="superscript"/>
        <sz val="10"/>
        <color rgb="FF000000"/>
        <rFont val="Times New Roman"/>
        <family val="1"/>
      </rPr>
      <t>2</t>
    </r>
  </si>
  <si>
    <t>Total Capital/Startup Cost,  (B X C)</t>
  </si>
  <si>
    <r>
      <t xml:space="preserve">Continuous control device monitoring for centrifugal compressors </t>
    </r>
    <r>
      <rPr>
        <vertAlign val="superscript"/>
        <sz val="10"/>
        <color rgb="FF000000"/>
        <rFont val="Times New Roman"/>
        <family val="1"/>
      </rPr>
      <t>2</t>
    </r>
  </si>
  <si>
    <r>
      <t xml:space="preserve">Annual O&amp;M Costs for One Respondent </t>
    </r>
    <r>
      <rPr>
        <vertAlign val="superscript"/>
        <sz val="10"/>
        <color rgb="FF000000"/>
        <rFont val="Times New Roman"/>
        <family val="1"/>
      </rPr>
      <t>1</t>
    </r>
  </si>
  <si>
    <r>
      <t>1</t>
    </r>
    <r>
      <rPr>
        <sz val="10"/>
        <color theme="1"/>
        <rFont val="Times New Roman"/>
        <family val="1"/>
      </rPr>
      <t xml:space="preserve"> Annual O&amp;M costs for centrifugal compressors and storage vessels were calculated assuming 2 hours per month at $33.51 per hour.</t>
    </r>
  </si>
  <si>
    <r>
      <t>2</t>
    </r>
    <r>
      <rPr>
        <sz val="10"/>
        <color theme="1"/>
        <rFont val="Times New Roman"/>
        <family val="1"/>
      </rPr>
      <t xml:space="preserve"> Capital/Startup costs for continuous control device monitoring were included in storage vessel and centrifugal compressor control device costs.</t>
    </r>
  </si>
  <si>
    <t>-prev renewal: 3,230 responses, 21 hrs/response.</t>
  </si>
  <si>
    <t>Prev renewal: Cap/Startup = $219,000; O&amp;M = $612,336; O&amp;M increase due to industry growth.</t>
  </si>
  <si>
    <t>Prev renewal: 9,207 hrs and $420,919 (3-yr avg). Net increase due to industry growth.</t>
  </si>
  <si>
    <r>
      <t xml:space="preserve">a. Familiarization with the rule requirements </t>
    </r>
    <r>
      <rPr>
        <vertAlign val="superscript"/>
        <sz val="10"/>
        <rFont val="Times New Roman"/>
        <family val="1"/>
      </rPr>
      <t>c</t>
    </r>
  </si>
  <si>
    <r>
      <t xml:space="preserve">i. Notification of gas well completion </t>
    </r>
    <r>
      <rPr>
        <vertAlign val="superscript"/>
        <sz val="10"/>
        <rFont val="Times New Roman"/>
        <family val="1"/>
      </rPr>
      <t>d</t>
    </r>
  </si>
  <si>
    <r>
      <t xml:space="preserve">i. Gas well completion/recompletion </t>
    </r>
    <r>
      <rPr>
        <vertAlign val="superscript"/>
        <sz val="10"/>
        <rFont val="Times New Roman"/>
        <family val="1"/>
      </rPr>
      <t>d</t>
    </r>
  </si>
  <si>
    <r>
      <t xml:space="preserve">v. Production pneumatic controller </t>
    </r>
    <r>
      <rPr>
        <vertAlign val="superscript"/>
        <sz val="10"/>
        <rFont val="Times New Roman"/>
        <family val="1"/>
      </rPr>
      <t>i</t>
    </r>
  </si>
  <si>
    <r>
      <t xml:space="preserve">vi. Gas processing pneumatic controller </t>
    </r>
    <r>
      <rPr>
        <vertAlign val="superscript"/>
        <sz val="10"/>
        <rFont val="Times New Roman"/>
        <family val="1"/>
      </rPr>
      <t>j</t>
    </r>
  </si>
  <si>
    <r>
      <t xml:space="preserve">vii. Storage vessel </t>
    </r>
    <r>
      <rPr>
        <vertAlign val="superscript"/>
        <sz val="10"/>
        <rFont val="Times New Roman"/>
        <family val="1"/>
      </rPr>
      <t>k</t>
    </r>
  </si>
  <si>
    <r>
      <t xml:space="preserve">i. Gas processing plant </t>
    </r>
    <r>
      <rPr>
        <vertAlign val="superscript"/>
        <sz val="10"/>
        <rFont val="Times New Roman"/>
        <family val="1"/>
      </rPr>
      <t>l</t>
    </r>
  </si>
  <si>
    <r>
      <t xml:space="preserve">i. Filing and maintaining records </t>
    </r>
    <r>
      <rPr>
        <vertAlign val="superscript"/>
        <sz val="10"/>
        <rFont val="Times New Roman"/>
        <family val="1"/>
      </rPr>
      <t>l</t>
    </r>
  </si>
  <si>
    <r>
      <t xml:space="preserve">ii. Filing and maintaining records </t>
    </r>
    <r>
      <rPr>
        <vertAlign val="superscript"/>
        <sz val="10"/>
        <rFont val="Times New Roman"/>
        <family val="1"/>
      </rPr>
      <t>m</t>
    </r>
  </si>
  <si>
    <t>d Assumes 9,759 completions and 1,206 recompletions each year performed by 300 operators.</t>
  </si>
  <si>
    <t>i EPA estimates 13,632 pneumatic controllers across the 300 exploration &amp; production sites.</t>
  </si>
  <si>
    <t>j EPA estimates an average of 60 existing and 15 new pneumatic controllers at affected processing plants.</t>
  </si>
  <si>
    <t>l Activity applies to exploration &amp; production businesses and transmission &amp; storage operations, for which EPA estimates an average of 300 and 136 sources, respectively.</t>
  </si>
  <si>
    <t>m Activity applies to gas processing plants and sweetening units.  EPA estimates an average of 116 existing and 29 new processing plants and 12 existing and 3 new units.</t>
  </si>
  <si>
    <t>Prev renewal: 68,906 hrs and $2,306,573 (3-yr avg). Net increase due to industry growth. Also note that labor rates have nearly doubled since prev ICR, hence the significant burden increase.</t>
  </si>
  <si>
    <r>
      <t xml:space="preserve">ii. Notification of gas well recompletion </t>
    </r>
    <r>
      <rPr>
        <vertAlign val="superscript"/>
        <sz val="10"/>
        <rFont val="Times New Roman"/>
        <family val="1"/>
      </rPr>
      <t>d</t>
    </r>
  </si>
  <si>
    <r>
      <rPr>
        <b/>
        <sz val="10"/>
        <rFont val="Times New Roman"/>
        <family val="1"/>
      </rPr>
      <t>Note:</t>
    </r>
    <r>
      <rPr>
        <sz val="10"/>
        <rFont val="Times New Roman"/>
        <family val="1"/>
      </rPr>
      <t xml:space="preserve"> Totals have been rounded to three significant digits. Figures may not add exactly due to rounding. </t>
    </r>
  </si>
  <si>
    <t>c  This burden represents the time existing respondents spend re-familiarizing themselves with rule requirements, or that new respondents spend learning rule requirements.</t>
  </si>
  <si>
    <t>k EPA estimates an average of 304 existing and 76 new respondents in the production, processing, transmission, or storage segment will submit annual reports.  EPA anticipates each report will cover approximately four storage vessels, based on research the Agency conducted during initial rule development.</t>
  </si>
  <si>
    <t>e EPA estimates an average of 116 existing and 29 new processing plants.</t>
  </si>
  <si>
    <t>f EPA estimates an average of 12 existing and 3 new sweetening units.</t>
  </si>
  <si>
    <t>g EPA estimates an average of 52 existing and 13 new centrifugal compressors equipped with wet seals at processing plants.</t>
  </si>
  <si>
    <t>h EPA estimates an average of 1,676 existing and 419 new reciprocating compressors.  For existing sources, EPA estimates there are 840 compressors at gathering &amp; boosting stations and 836 compressors are at processing plants. For new sources, EPA estimates there will be 210 compressors at gathering &amp; boosting stations and 209 compressors at processing plants.</t>
  </si>
  <si>
    <r>
      <t xml:space="preserve">iii. Notification of new gas processing plant </t>
    </r>
    <r>
      <rPr>
        <vertAlign val="superscript"/>
        <sz val="10"/>
        <rFont val="Times New Roman"/>
        <family val="1"/>
      </rPr>
      <t>e</t>
    </r>
  </si>
  <si>
    <r>
      <t xml:space="preserve">iv. Notification of new sweetening unit </t>
    </r>
    <r>
      <rPr>
        <vertAlign val="superscript"/>
        <sz val="10"/>
        <rFont val="Times New Roman"/>
        <family val="1"/>
      </rPr>
      <t>f</t>
    </r>
  </si>
  <si>
    <r>
      <t xml:space="preserve">ii. Sweetening unit </t>
    </r>
    <r>
      <rPr>
        <vertAlign val="superscript"/>
        <sz val="10"/>
        <rFont val="Times New Roman"/>
        <family val="1"/>
      </rPr>
      <t>f</t>
    </r>
  </si>
  <si>
    <r>
      <t xml:space="preserve">iii. Centrifugal compressor </t>
    </r>
    <r>
      <rPr>
        <vertAlign val="superscript"/>
        <sz val="10"/>
        <rFont val="Times New Roman"/>
        <family val="1"/>
      </rPr>
      <t>g</t>
    </r>
  </si>
  <si>
    <r>
      <t xml:space="preserve">iv. Reciprocating compressor </t>
    </r>
    <r>
      <rPr>
        <vertAlign val="superscript"/>
        <sz val="10"/>
        <rFont val="Times New Roman"/>
        <family val="1"/>
      </rPr>
      <t>h</t>
    </r>
  </si>
  <si>
    <t>iii. Notification of new gas processing plant</t>
  </si>
  <si>
    <t>iv. Notification of new sweetening unit</t>
  </si>
  <si>
    <t>ii. Sweetening unit</t>
  </si>
  <si>
    <t>iii. Centrifugal compressor</t>
  </si>
  <si>
    <t>iv. Reciprocating compressor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</si>
</sst>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00"/>
    <numFmt numFmtId="165" formatCode="#,##0.0"/>
    <numFmt numFmtId="166" formatCode="0.0"/>
    <numFmt numFmtId="167" formatCode="&quot;$&quot;#,##0"/>
  </numFmts>
  <fonts count="22" x14ac:knownFonts="1">
    <font>
      <sz val="11"/>
      <color theme="1"/>
      <name val="Calibri"/>
      <family val="2"/>
      <scheme val="minor"/>
    </font>
    <font>
      <sz val="10"/>
      <color theme="1"/>
      <name val="Times New Roman"/>
      <family val="1"/>
    </font>
    <font>
      <b/>
      <i/>
      <sz val="10"/>
      <color theme="1"/>
      <name val="Times New Roman"/>
      <family val="1"/>
    </font>
    <font>
      <sz val="10"/>
      <name val="Times New Roman"/>
      <family val="1"/>
    </font>
    <font>
      <b/>
      <sz val="12"/>
      <name val="Times New Roman"/>
      <family val="1"/>
    </font>
    <font>
      <b/>
      <sz val="10"/>
      <name val="Times New Roman"/>
      <family val="1"/>
    </font>
    <font>
      <b/>
      <vertAlign val="superscript"/>
      <sz val="10"/>
      <name val="Times New Roman"/>
      <family val="1"/>
    </font>
    <font>
      <sz val="10"/>
      <color theme="1"/>
      <name val="Arial"/>
      <family val="2"/>
    </font>
    <font>
      <b/>
      <sz val="12"/>
      <color rgb="FF000000"/>
      <name val="Times New Roman"/>
      <family val="1"/>
    </font>
    <font>
      <sz val="9"/>
      <color rgb="FF000000"/>
      <name val="Times New Roman"/>
      <family val="1"/>
    </font>
    <font>
      <sz val="10"/>
      <color rgb="FF000000"/>
      <name val="Times New Roman"/>
      <family val="1"/>
    </font>
    <font>
      <sz val="9"/>
      <color theme="1"/>
      <name val="Times New Roman"/>
      <family val="1"/>
    </font>
    <font>
      <sz val="9"/>
      <name val="Times New Roman"/>
      <family val="1"/>
    </font>
    <font>
      <b/>
      <i/>
      <sz val="10"/>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vertAlign val="superscript"/>
      <sz val="10"/>
      <color rgb="FF000000"/>
      <name val="Times New Roman"/>
      <family val="1"/>
    </font>
    <font>
      <i/>
      <sz val="10"/>
      <color theme="1"/>
      <name val="Times New Roman"/>
      <family val="1"/>
    </font>
    <font>
      <i/>
      <sz val="10"/>
      <color theme="1"/>
      <name val="Arial"/>
      <family val="2"/>
    </font>
    <font>
      <sz val="10"/>
      <name val="Arial"/>
      <family val="2"/>
    </font>
    <font>
      <vertAlign val="subscript"/>
      <sz val="10"/>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7" fillId="0" borderId="0"/>
  </cellStyleXfs>
  <cellXfs count="131">
    <xf numFmtId="0" fontId="0" fillId="0" borderId="0" xfId="0"/>
    <xf numFmtId="0" fontId="1" fillId="0" borderId="0" xfId="0" applyFont="1"/>
    <xf numFmtId="0" fontId="3" fillId="0" borderId="0" xfId="0" applyFont="1" applyFill="1"/>
    <xf numFmtId="0" fontId="4" fillId="0" borderId="0" xfId="0" applyFont="1" applyFill="1"/>
    <xf numFmtId="4" fontId="3" fillId="0" borderId="0" xfId="0" applyNumberFormat="1" applyFont="1" applyFill="1"/>
    <xf numFmtId="0" fontId="3" fillId="0" borderId="0" xfId="0" applyFont="1"/>
    <xf numFmtId="4" fontId="3" fillId="0" borderId="0" xfId="0" applyNumberFormat="1" applyFont="1"/>
    <xf numFmtId="0" fontId="3" fillId="0" borderId="0" xfId="0" applyNumberFormat="1" applyFont="1" applyFill="1" applyAlignment="1"/>
    <xf numFmtId="0" fontId="5"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3" fillId="0" borderId="0" xfId="0" applyNumberFormat="1" applyFont="1" applyAlignment="1"/>
    <xf numFmtId="0" fontId="3" fillId="0" borderId="0" xfId="0" applyFont="1" applyAlignment="1"/>
    <xf numFmtId="0" fontId="3" fillId="0" borderId="0" xfId="0" applyNumberFormat="1" applyFont="1" applyFill="1" applyAlignment="1">
      <alignment wrapText="1"/>
    </xf>
    <xf numFmtId="0" fontId="5" fillId="0" borderId="2" xfId="0" applyNumberFormat="1" applyFont="1" applyFill="1" applyBorder="1" applyAlignment="1">
      <alignment horizontal="center" wrapText="1"/>
    </xf>
    <xf numFmtId="0" fontId="3" fillId="0" borderId="0" xfId="0" applyNumberFormat="1" applyFont="1" applyAlignment="1">
      <alignment wrapText="1"/>
    </xf>
    <xf numFmtId="0" fontId="5" fillId="2" borderId="2" xfId="0" applyFont="1" applyFill="1" applyBorder="1"/>
    <xf numFmtId="0" fontId="3" fillId="0" borderId="2" xfId="0" applyFont="1" applyBorder="1"/>
    <xf numFmtId="0" fontId="7" fillId="0" borderId="0" xfId="1"/>
    <xf numFmtId="0" fontId="8" fillId="0" borderId="4" xfId="1" applyFont="1" applyBorder="1" applyAlignment="1">
      <alignment vertical="top" wrapText="1"/>
    </xf>
    <xf numFmtId="0" fontId="9" fillId="0" borderId="2" xfId="1" applyFont="1" applyBorder="1" applyAlignment="1">
      <alignment vertical="top" wrapText="1"/>
    </xf>
    <xf numFmtId="0" fontId="10" fillId="0" borderId="1" xfId="1" applyFont="1" applyBorder="1" applyAlignment="1">
      <alignment horizontal="center" vertical="top" wrapText="1"/>
    </xf>
    <xf numFmtId="0" fontId="10" fillId="0" borderId="8" xfId="1" applyFont="1" applyBorder="1" applyAlignment="1">
      <alignment horizontal="center" vertical="top" wrapText="1"/>
    </xf>
    <xf numFmtId="0" fontId="10" fillId="0" borderId="8" xfId="1" applyFont="1" applyFill="1" applyBorder="1" applyAlignment="1">
      <alignment horizontal="center" vertical="top" wrapText="1"/>
    </xf>
    <xf numFmtId="0" fontId="7" fillId="0" borderId="0" xfId="1" applyFont="1"/>
    <xf numFmtId="0" fontId="8" fillId="0" borderId="0" xfId="1" applyFont="1" applyBorder="1" applyAlignment="1">
      <alignment horizontal="center" vertical="top" wrapText="1"/>
    </xf>
    <xf numFmtId="0" fontId="11" fillId="0" borderId="2" xfId="1" applyFont="1" applyFill="1" applyBorder="1" applyAlignment="1">
      <alignment horizontal="center" vertical="top" wrapText="1"/>
    </xf>
    <xf numFmtId="0" fontId="11"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5" fillId="0" borderId="0" xfId="0" applyFont="1" applyFill="1" applyBorder="1" applyAlignment="1">
      <alignment horizontal="center" vertical="top" wrapText="1"/>
    </xf>
    <xf numFmtId="3" fontId="5" fillId="0" borderId="0" xfId="0" applyNumberFormat="1" applyFont="1" applyFill="1" applyBorder="1" applyAlignment="1">
      <alignment horizontal="center" vertical="top" wrapText="1"/>
    </xf>
    <xf numFmtId="3" fontId="5" fillId="0" borderId="0" xfId="0" applyNumberFormat="1" applyFont="1" applyFill="1" applyBorder="1" applyAlignment="1">
      <alignment horizontal="right" vertical="top" wrapText="1"/>
    </xf>
    <xf numFmtId="0" fontId="3" fillId="0" borderId="0" xfId="0" quotePrefix="1" applyFont="1"/>
    <xf numFmtId="3" fontId="5" fillId="0" borderId="2" xfId="0" applyNumberFormat="1" applyFont="1" applyFill="1" applyBorder="1" applyAlignment="1">
      <alignment horizontal="right" vertical="top" wrapText="1"/>
    </xf>
    <xf numFmtId="0" fontId="5" fillId="0" borderId="0" xfId="0" applyFont="1" applyFill="1" applyBorder="1" applyAlignment="1">
      <alignment vertical="top" wrapText="1"/>
    </xf>
    <xf numFmtId="0" fontId="3" fillId="0" borderId="0" xfId="0" quotePrefix="1" applyFont="1" applyFill="1"/>
    <xf numFmtId="0" fontId="5" fillId="0" borderId="2" xfId="0" applyNumberFormat="1" applyFont="1" applyFill="1" applyBorder="1" applyAlignment="1">
      <alignment horizontal="center" vertical="center"/>
    </xf>
    <xf numFmtId="0" fontId="3" fillId="0" borderId="0" xfId="0" applyFont="1" applyFill="1" applyBorder="1" applyAlignment="1">
      <alignment horizontal="center"/>
    </xf>
    <xf numFmtId="164" fontId="3" fillId="0" borderId="0" xfId="0" applyNumberFormat="1" applyFont="1" applyFill="1" applyAlignment="1">
      <alignment horizontal="right" vertical="top"/>
    </xf>
    <xf numFmtId="0" fontId="3" fillId="0" borderId="0" xfId="0" applyNumberFormat="1" applyFont="1" applyFill="1" applyBorder="1" applyAlignment="1"/>
    <xf numFmtId="3" fontId="12" fillId="0" borderId="2" xfId="1" applyNumberFormat="1" applyFont="1" applyFill="1" applyBorder="1" applyAlignment="1">
      <alignment horizontal="center" vertical="top" wrapText="1"/>
    </xf>
    <xf numFmtId="0" fontId="12" fillId="0" borderId="2" xfId="1" applyFont="1" applyFill="1" applyBorder="1" applyAlignment="1">
      <alignment horizontal="center" vertical="top" wrapText="1"/>
    </xf>
    <xf numFmtId="0" fontId="12" fillId="0" borderId="2" xfId="1" applyFont="1" applyFill="1" applyBorder="1" applyAlignment="1">
      <alignment vertical="top" wrapText="1"/>
    </xf>
    <xf numFmtId="0" fontId="3" fillId="0" borderId="2" xfId="1" applyFont="1" applyBorder="1" applyAlignment="1">
      <alignment horizontal="center" vertical="top" wrapText="1"/>
    </xf>
    <xf numFmtId="3" fontId="3" fillId="0" borderId="2" xfId="1" applyNumberFormat="1" applyFont="1" applyFill="1" applyBorder="1" applyAlignment="1">
      <alignment horizontal="center" vertical="top" wrapText="1"/>
    </xf>
    <xf numFmtId="0" fontId="1" fillId="0" borderId="0" xfId="0" applyFont="1" applyFill="1"/>
    <xf numFmtId="0" fontId="10" fillId="0" borderId="2" xfId="0" applyFont="1" applyFill="1" applyBorder="1" applyAlignment="1">
      <alignment horizontal="center" vertical="top" wrapText="1"/>
    </xf>
    <xf numFmtId="0" fontId="10" fillId="0" borderId="2" xfId="0" applyFont="1" applyFill="1" applyBorder="1" applyAlignment="1">
      <alignment vertical="top" wrapText="1"/>
    </xf>
    <xf numFmtId="164" fontId="3" fillId="0" borderId="0" xfId="0" applyNumberFormat="1" applyFont="1" applyFill="1" applyAlignment="1">
      <alignment vertical="top"/>
    </xf>
    <xf numFmtId="0" fontId="13" fillId="0" borderId="0" xfId="0" applyFont="1" applyFill="1" applyAlignment="1">
      <alignment horizontal="left" vertical="top"/>
    </xf>
    <xf numFmtId="0" fontId="15" fillId="0" borderId="0" xfId="0" applyFont="1"/>
    <xf numFmtId="0" fontId="13" fillId="0" borderId="0" xfId="0" applyFont="1" applyFill="1" applyAlignment="1">
      <alignment horizontal="left"/>
    </xf>
    <xf numFmtId="0" fontId="3" fillId="0" borderId="0" xfId="0" applyFont="1" applyAlignment="1">
      <alignment horizontal="right" vertical="top"/>
    </xf>
    <xf numFmtId="164" fontId="3" fillId="0" borderId="0" xfId="0" applyNumberFormat="1" applyFont="1" applyAlignment="1">
      <alignment vertical="top"/>
    </xf>
    <xf numFmtId="4" fontId="5" fillId="0" borderId="2" xfId="0" applyNumberFormat="1" applyFont="1" applyFill="1" applyBorder="1" applyAlignment="1">
      <alignment horizontal="center" wrapText="1"/>
    </xf>
    <xf numFmtId="0" fontId="18" fillId="0" borderId="0" xfId="1" applyFont="1" applyAlignment="1">
      <alignment horizontal="right"/>
    </xf>
    <xf numFmtId="0" fontId="7" fillId="0" borderId="0" xfId="1" applyFill="1"/>
    <xf numFmtId="0" fontId="1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xf numFmtId="6" fontId="10" fillId="0" borderId="2" xfId="0" applyNumberFormat="1" applyFont="1" applyFill="1" applyBorder="1" applyAlignment="1">
      <alignment horizontal="center" vertical="top" wrapText="1"/>
    </xf>
    <xf numFmtId="3" fontId="10" fillId="0" borderId="2" xfId="0" applyNumberFormat="1" applyFont="1" applyFill="1" applyBorder="1" applyAlignment="1">
      <alignment horizontal="center" vertical="top" wrapText="1"/>
    </xf>
    <xf numFmtId="6" fontId="10" fillId="0" borderId="2" xfId="0" applyNumberFormat="1" applyFont="1" applyFill="1" applyBorder="1" applyAlignment="1">
      <alignment horizontal="center" vertical="top"/>
    </xf>
    <xf numFmtId="0" fontId="10" fillId="0" borderId="0" xfId="0" applyFont="1" applyFill="1" applyBorder="1" applyAlignment="1">
      <alignment vertical="top" wrapText="1"/>
    </xf>
    <xf numFmtId="6" fontId="10" fillId="0" borderId="0" xfId="0" applyNumberFormat="1" applyFont="1" applyFill="1" applyBorder="1" applyAlignment="1">
      <alignment horizontal="center" vertical="top"/>
    </xf>
    <xf numFmtId="3" fontId="10" fillId="0" borderId="0" xfId="0" applyNumberFormat="1" applyFont="1" applyFill="1" applyBorder="1" applyAlignment="1">
      <alignment horizontal="center" vertical="top"/>
    </xf>
    <xf numFmtId="3" fontId="5" fillId="0" borderId="2" xfId="0" applyNumberFormat="1" applyFont="1" applyFill="1" applyBorder="1" applyAlignment="1">
      <alignment horizontal="center" vertical="top" wrapText="1"/>
    </xf>
    <xf numFmtId="1" fontId="3" fillId="0" borderId="2" xfId="1" applyNumberFormat="1" applyFont="1" applyFill="1" applyBorder="1" applyAlignment="1">
      <alignment horizontal="center" vertical="top" wrapText="1"/>
    </xf>
    <xf numFmtId="1" fontId="10" fillId="0" borderId="2" xfId="0" applyNumberFormat="1" applyFont="1" applyFill="1" applyBorder="1" applyAlignment="1">
      <alignment horizontal="center" vertical="top"/>
    </xf>
    <xf numFmtId="1" fontId="9" fillId="0" borderId="0" xfId="1" applyNumberFormat="1" applyFont="1" applyFill="1" applyBorder="1" applyAlignment="1">
      <alignment horizontal="center" vertical="top" wrapText="1"/>
    </xf>
    <xf numFmtId="1" fontId="10" fillId="0" borderId="0" xfId="0" applyNumberFormat="1" applyFont="1" applyFill="1" applyBorder="1" applyAlignment="1">
      <alignment horizontal="center" vertical="top"/>
    </xf>
    <xf numFmtId="166" fontId="19" fillId="0" borderId="0" xfId="1" applyNumberFormat="1" applyFont="1"/>
    <xf numFmtId="0" fontId="20" fillId="0" borderId="0" xfId="1" applyFont="1"/>
    <xf numFmtId="0" fontId="3" fillId="0" borderId="0" xfId="1" applyFont="1" applyBorder="1" applyAlignment="1">
      <alignment horizontal="left" vertical="top"/>
    </xf>
    <xf numFmtId="167" fontId="10" fillId="0" borderId="2" xfId="0" applyNumberFormat="1" applyFont="1" applyFill="1" applyBorder="1" applyAlignment="1">
      <alignment horizontal="center" vertical="top"/>
    </xf>
    <xf numFmtId="0" fontId="3" fillId="0" borderId="2" xfId="0" applyFont="1" applyFill="1" applyBorder="1"/>
    <xf numFmtId="0" fontId="13" fillId="0" borderId="2" xfId="0" applyFont="1" applyFill="1" applyBorder="1" applyAlignment="1">
      <alignment horizontal="center" vertical="top" wrapText="1"/>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0" fontId="3" fillId="0" borderId="2" xfId="0" applyNumberFormat="1" applyFont="1" applyBorder="1" applyAlignment="1">
      <alignment horizontal="right"/>
    </xf>
    <xf numFmtId="0" fontId="3" fillId="0" borderId="2" xfId="0" applyNumberFormat="1" applyFont="1" applyBorder="1" applyAlignment="1"/>
    <xf numFmtId="0" fontId="3" fillId="0" borderId="2" xfId="0" applyNumberFormat="1" applyFont="1" applyBorder="1" applyAlignment="1">
      <alignment horizontal="right" wrapText="1"/>
    </xf>
    <xf numFmtId="0" fontId="3" fillId="0" borderId="2" xfId="0" applyNumberFormat="1" applyFont="1" applyBorder="1" applyAlignment="1">
      <alignment wrapText="1"/>
    </xf>
    <xf numFmtId="0" fontId="3" fillId="0" borderId="2" xfId="0" applyFont="1" applyFill="1" applyBorder="1" applyAlignment="1">
      <alignment horizontal="right"/>
    </xf>
    <xf numFmtId="0" fontId="3" fillId="0" borderId="2" xfId="0" applyFont="1" applyBorder="1" applyAlignment="1">
      <alignment horizontal="right"/>
    </xf>
    <xf numFmtId="0" fontId="5" fillId="0" borderId="2" xfId="0" applyFont="1" applyBorder="1"/>
    <xf numFmtId="1" fontId="5" fillId="0" borderId="2" xfId="0" applyNumberFormat="1" applyFont="1" applyFill="1" applyBorder="1"/>
    <xf numFmtId="0" fontId="16" fillId="0" borderId="0" xfId="0" applyFont="1"/>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1"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2" xfId="0" applyNumberFormat="1" applyFont="1" applyFill="1" applyBorder="1" applyAlignment="1">
      <alignment horizontal="right" vertical="top" wrapText="1"/>
    </xf>
    <xf numFmtId="0" fontId="3" fillId="0" borderId="2" xfId="0" applyFont="1" applyFill="1" applyBorder="1" applyAlignment="1">
      <alignment horizontal="left" vertical="top" wrapText="1" indent="1"/>
    </xf>
    <xf numFmtId="165"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165" fontId="3" fillId="0" borderId="2" xfId="0" applyNumberFormat="1" applyFont="1" applyFill="1" applyBorder="1" applyAlignment="1">
      <alignment horizontal="right" vertical="top" wrapText="1"/>
    </xf>
    <xf numFmtId="0" fontId="3" fillId="0" borderId="2" xfId="0" applyFont="1" applyFill="1" applyBorder="1" applyAlignment="1">
      <alignment vertical="top" wrapText="1"/>
    </xf>
    <xf numFmtId="1" fontId="3" fillId="0" borderId="6" xfId="0" applyNumberFormat="1" applyFont="1" applyFill="1" applyBorder="1" applyAlignment="1">
      <alignment horizontal="center" vertical="top" wrapText="1"/>
    </xf>
    <xf numFmtId="0" fontId="3" fillId="0" borderId="2" xfId="0" applyFont="1" applyFill="1" applyBorder="1" applyAlignment="1">
      <alignment horizontal="left" vertical="top" wrapText="1" indent="3"/>
    </xf>
    <xf numFmtId="166" fontId="3" fillId="0" borderId="2"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2" xfId="0" applyFont="1" applyFill="1" applyBorder="1"/>
    <xf numFmtId="3" fontId="13" fillId="0" borderId="2" xfId="0" applyNumberFormat="1" applyFont="1" applyFill="1" applyBorder="1" applyAlignment="1">
      <alignment horizontal="center" vertical="top" wrapText="1"/>
    </xf>
    <xf numFmtId="3" fontId="13" fillId="0" borderId="2" xfId="0" applyNumberFormat="1" applyFont="1" applyFill="1" applyBorder="1" applyAlignment="1">
      <alignment horizontal="right" vertical="top" wrapText="1"/>
    </xf>
    <xf numFmtId="1" fontId="12" fillId="0" borderId="2" xfId="1" applyNumberFormat="1" applyFont="1" applyFill="1" applyBorder="1" applyAlignment="1">
      <alignment horizontal="center" vertical="top" wrapText="1"/>
    </xf>
    <xf numFmtId="0" fontId="3" fillId="0" borderId="0" xfId="0" applyFont="1" applyFill="1" applyBorder="1" applyAlignment="1">
      <alignment horizontal="left" vertical="top"/>
    </xf>
    <xf numFmtId="3" fontId="3" fillId="0" borderId="0" xfId="0" applyNumberFormat="1" applyFont="1"/>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8"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6" xfId="1" applyFont="1" applyBorder="1" applyAlignment="1">
      <alignment horizontal="center" vertical="top" wrapText="1"/>
    </xf>
    <xf numFmtId="0" fontId="16" fillId="0" borderId="9" xfId="0" applyFont="1" applyFill="1" applyBorder="1" applyAlignment="1">
      <alignment horizontal="left" vertical="top" wrapText="1"/>
    </xf>
    <xf numFmtId="0" fontId="8" fillId="0" borderId="2" xfId="1" applyFont="1" applyBorder="1" applyAlignment="1">
      <alignment horizontal="center" vertical="top" wrapText="1"/>
    </xf>
    <xf numFmtId="0" fontId="1" fillId="0" borderId="0" xfId="0" applyFont="1" applyFill="1" applyAlignment="1">
      <alignment horizontal="left" wrapText="1"/>
    </xf>
    <xf numFmtId="2" fontId="3" fillId="0" borderId="0" xfId="0" applyNumberFormat="1" applyFont="1" applyFill="1" applyAlignment="1">
      <alignment horizontal="left" vertical="top" wrapText="1"/>
    </xf>
    <xf numFmtId="0" fontId="3" fillId="0" borderId="0" xfId="0" applyNumberFormat="1" applyFont="1" applyFill="1" applyAlignment="1">
      <alignment horizontal="left" vertical="top" wrapText="1"/>
    </xf>
    <xf numFmtId="3" fontId="13" fillId="0" borderId="5"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top" wrapText="1"/>
    </xf>
    <xf numFmtId="0" fontId="5" fillId="0" borderId="1" xfId="0" applyNumberFormat="1" applyFont="1" applyFill="1" applyBorder="1" applyAlignment="1">
      <alignment horizontal="left" wrapText="1"/>
    </xf>
    <xf numFmtId="0" fontId="5" fillId="0" borderId="3" xfId="0" applyNumberFormat="1" applyFont="1" applyFill="1" applyBorder="1" applyAlignment="1">
      <alignment horizontal="left" wrapText="1"/>
    </xf>
    <xf numFmtId="3" fontId="5" fillId="0" borderId="2" xfId="0" applyNumberFormat="1"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lignment horizontal="left" wrapText="1"/>
    </xf>
    <xf numFmtId="0" fontId="8" fillId="0" borderId="5"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tabSelected="1" workbookViewId="0"/>
  </sheetViews>
  <sheetFormatPr defaultRowHeight="12.75" x14ac:dyDescent="0.2"/>
  <cols>
    <col min="1" max="1" width="1" style="17" customWidth="1"/>
    <col min="2" max="2" width="9.7109375" style="17" customWidth="1"/>
    <col min="3" max="3" width="12.85546875" style="17" bestFit="1" customWidth="1"/>
    <col min="4" max="4" width="15.5703125" style="17" bestFit="1" customWidth="1"/>
    <col min="5" max="5" width="18.5703125" style="17" customWidth="1"/>
    <col min="6" max="6" width="15.5703125" style="17" bestFit="1" customWidth="1"/>
    <col min="7" max="7" width="12.85546875" style="17" customWidth="1"/>
    <col min="8" max="16384" width="9.140625" style="17"/>
  </cols>
  <sheetData>
    <row r="2" spans="2:7" ht="15.75" x14ac:dyDescent="0.2">
      <c r="B2" s="108" t="s">
        <v>27</v>
      </c>
      <c r="C2" s="109"/>
      <c r="D2" s="109"/>
      <c r="E2" s="109"/>
      <c r="F2" s="109"/>
      <c r="G2" s="110"/>
    </row>
    <row r="3" spans="2:7" ht="24" customHeight="1" x14ac:dyDescent="0.2">
      <c r="B3" s="18"/>
      <c r="C3" s="111" t="s">
        <v>28</v>
      </c>
      <c r="D3" s="112"/>
      <c r="E3" s="19" t="s">
        <v>29</v>
      </c>
      <c r="F3" s="111"/>
      <c r="G3" s="112"/>
    </row>
    <row r="4" spans="2:7" x14ac:dyDescent="0.2">
      <c r="B4" s="20"/>
      <c r="C4" s="21" t="s">
        <v>0</v>
      </c>
      <c r="D4" s="21" t="s">
        <v>1</v>
      </c>
      <c r="E4" s="21" t="s">
        <v>2</v>
      </c>
      <c r="F4" s="21" t="s">
        <v>3</v>
      </c>
      <c r="G4" s="21" t="s">
        <v>4</v>
      </c>
    </row>
    <row r="5" spans="2:7" ht="51" x14ac:dyDescent="0.2">
      <c r="B5" s="21" t="s">
        <v>30</v>
      </c>
      <c r="C5" s="21" t="s">
        <v>31</v>
      </c>
      <c r="D5" s="21" t="s">
        <v>32</v>
      </c>
      <c r="E5" s="22" t="s">
        <v>33</v>
      </c>
      <c r="F5" s="21" t="s">
        <v>34</v>
      </c>
      <c r="G5" s="21" t="s">
        <v>27</v>
      </c>
    </row>
    <row r="6" spans="2:7" x14ac:dyDescent="0.2">
      <c r="B6" s="21"/>
      <c r="C6" s="21"/>
      <c r="D6" s="21"/>
      <c r="E6" s="21"/>
      <c r="F6" s="21"/>
      <c r="G6" s="21" t="s">
        <v>35</v>
      </c>
    </row>
    <row r="7" spans="2:7" x14ac:dyDescent="0.2">
      <c r="B7" s="42">
        <v>1</v>
      </c>
      <c r="C7" s="66">
        <v>32</v>
      </c>
      <c r="D7" s="66">
        <v>532</v>
      </c>
      <c r="E7" s="66">
        <v>0</v>
      </c>
      <c r="F7" s="66">
        <v>0</v>
      </c>
      <c r="G7" s="66">
        <f>C7+D7+E7-F7</f>
        <v>564</v>
      </c>
    </row>
    <row r="8" spans="2:7" x14ac:dyDescent="0.2">
      <c r="B8" s="42">
        <v>2</v>
      </c>
      <c r="C8" s="66">
        <f>C7</f>
        <v>32</v>
      </c>
      <c r="D8" s="66">
        <f>G7</f>
        <v>564</v>
      </c>
      <c r="E8" s="66">
        <v>0</v>
      </c>
      <c r="F8" s="66">
        <v>0</v>
      </c>
      <c r="G8" s="66">
        <f>C8+D8+E8-F8</f>
        <v>596</v>
      </c>
    </row>
    <row r="9" spans="2:7" x14ac:dyDescent="0.2">
      <c r="B9" s="42">
        <v>3</v>
      </c>
      <c r="C9" s="66">
        <f>C8</f>
        <v>32</v>
      </c>
      <c r="D9" s="66">
        <f>G8</f>
        <v>596</v>
      </c>
      <c r="E9" s="66">
        <v>0</v>
      </c>
      <c r="F9" s="66">
        <v>0</v>
      </c>
      <c r="G9" s="66">
        <f>C9+D9+E9-F9</f>
        <v>628</v>
      </c>
    </row>
    <row r="10" spans="2:7" s="23" customFormat="1" x14ac:dyDescent="0.2">
      <c r="B10" s="42" t="s">
        <v>36</v>
      </c>
      <c r="C10" s="66">
        <f>AVERAGE(C7:C9)</f>
        <v>32</v>
      </c>
      <c r="D10" s="66">
        <f>AVERAGE(D7:D9)</f>
        <v>564</v>
      </c>
      <c r="E10" s="43">
        <f t="shared" ref="E10:F10" si="0">AVERAGE(E7:E9)</f>
        <v>0</v>
      </c>
      <c r="F10" s="43">
        <f t="shared" si="0"/>
        <v>0</v>
      </c>
      <c r="G10" s="43">
        <f>AVERAGE(G7:G9)</f>
        <v>596</v>
      </c>
    </row>
    <row r="11" spans="2:7" s="55" customFormat="1" ht="15.75" x14ac:dyDescent="0.2">
      <c r="B11" s="113" t="s">
        <v>64</v>
      </c>
      <c r="C11" s="113"/>
      <c r="D11" s="113"/>
      <c r="E11" s="113"/>
      <c r="F11" s="113"/>
      <c r="G11" s="113"/>
    </row>
    <row r="12" spans="2:7" s="55" customFormat="1" ht="15.75" x14ac:dyDescent="0.2">
      <c r="B12" s="56"/>
      <c r="C12" s="56"/>
      <c r="D12" s="56"/>
      <c r="E12" s="56"/>
      <c r="F12" s="56"/>
      <c r="G12" s="56"/>
    </row>
  </sheetData>
  <mergeCells count="4">
    <mergeCell ref="B2:G2"/>
    <mergeCell ref="C3:D3"/>
    <mergeCell ref="F3:G3"/>
    <mergeCell ref="B11:G11"/>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workbookViewId="0">
      <selection activeCell="J14" sqref="J14"/>
    </sheetView>
  </sheetViews>
  <sheetFormatPr defaultColWidth="9.140625" defaultRowHeight="12.75" x14ac:dyDescent="0.2"/>
  <cols>
    <col min="1" max="1" width="0.7109375" style="23" customWidth="1"/>
    <col min="2" max="2" width="32.140625" style="23" customWidth="1"/>
    <col min="3" max="4" width="10" style="23" customWidth="1"/>
    <col min="5" max="5" width="16" style="23" customWidth="1"/>
    <col min="6" max="6" width="10.5703125" style="23" customWidth="1"/>
    <col min="7" max="7" width="1" style="23" customWidth="1"/>
    <col min="8" max="16384" width="9.140625" style="23"/>
  </cols>
  <sheetData>
    <row r="2" spans="2:12" ht="15.75" customHeight="1" x14ac:dyDescent="0.2">
      <c r="B2" s="114" t="s">
        <v>37</v>
      </c>
      <c r="C2" s="114"/>
      <c r="D2" s="114"/>
      <c r="E2" s="114"/>
      <c r="F2" s="114"/>
      <c r="G2" s="24"/>
    </row>
    <row r="3" spans="2:12" ht="63.75" customHeight="1" x14ac:dyDescent="0.2">
      <c r="B3" s="25" t="s">
        <v>38</v>
      </c>
      <c r="C3" s="40" t="s">
        <v>39</v>
      </c>
      <c r="D3" s="40" t="s">
        <v>40</v>
      </c>
      <c r="E3" s="25" t="s">
        <v>41</v>
      </c>
      <c r="F3" s="25" t="s">
        <v>42</v>
      </c>
      <c r="G3" s="26"/>
      <c r="H3" s="48" t="s">
        <v>63</v>
      </c>
    </row>
    <row r="4" spans="2:12" x14ac:dyDescent="0.2">
      <c r="B4" s="87" t="s">
        <v>107</v>
      </c>
      <c r="C4" s="39"/>
      <c r="D4" s="39"/>
      <c r="E4" s="40"/>
      <c r="F4" s="40"/>
      <c r="G4" s="27"/>
      <c r="H4" s="5"/>
      <c r="I4" s="71"/>
      <c r="J4" s="71"/>
      <c r="K4" s="71"/>
      <c r="L4" s="71"/>
    </row>
    <row r="5" spans="2:12" x14ac:dyDescent="0.2">
      <c r="B5" s="93" t="s">
        <v>108</v>
      </c>
      <c r="C5" s="39">
        <f>'Respondent Burden'!F11</f>
        <v>300</v>
      </c>
      <c r="D5" s="39">
        <v>33</v>
      </c>
      <c r="E5" s="40">
        <v>0</v>
      </c>
      <c r="F5" s="39">
        <f>C5*D5+E5</f>
        <v>9900</v>
      </c>
      <c r="G5" s="27"/>
      <c r="H5" s="2"/>
      <c r="I5" s="71"/>
      <c r="J5" s="71"/>
      <c r="K5" s="71"/>
      <c r="L5" s="71"/>
    </row>
    <row r="6" spans="2:12" x14ac:dyDescent="0.2">
      <c r="B6" s="93" t="s">
        <v>109</v>
      </c>
      <c r="C6" s="39">
        <f>'Respondent Burden'!F12</f>
        <v>300</v>
      </c>
      <c r="D6" s="39">
        <v>4</v>
      </c>
      <c r="E6" s="40">
        <v>0</v>
      </c>
      <c r="F6" s="39">
        <f t="shared" ref="F6:F8" si="0">C6*D6+E6</f>
        <v>1200</v>
      </c>
      <c r="G6" s="27"/>
      <c r="H6" s="71"/>
      <c r="I6" s="71"/>
      <c r="J6" s="71"/>
      <c r="K6" s="71"/>
      <c r="L6" s="71"/>
    </row>
    <row r="7" spans="2:12" x14ac:dyDescent="0.2">
      <c r="B7" s="93" t="s">
        <v>110</v>
      </c>
      <c r="C7" s="39">
        <f>'Respondent Burden'!F13</f>
        <v>29</v>
      </c>
      <c r="D7" s="105">
        <v>1</v>
      </c>
      <c r="E7" s="40">
        <v>0</v>
      </c>
      <c r="F7" s="39">
        <f t="shared" si="0"/>
        <v>29</v>
      </c>
      <c r="G7" s="68"/>
      <c r="H7" s="71"/>
      <c r="I7" s="71"/>
      <c r="J7" s="71"/>
      <c r="K7" s="71"/>
      <c r="L7" s="71"/>
    </row>
    <row r="8" spans="2:12" x14ac:dyDescent="0.2">
      <c r="B8" s="93" t="s">
        <v>111</v>
      </c>
      <c r="C8" s="39">
        <f>'Respondent Burden'!F14</f>
        <v>3</v>
      </c>
      <c r="D8" s="105">
        <v>1</v>
      </c>
      <c r="E8" s="40">
        <v>0</v>
      </c>
      <c r="F8" s="39">
        <f t="shared" si="0"/>
        <v>3</v>
      </c>
      <c r="G8" s="68"/>
      <c r="H8" s="71"/>
      <c r="I8" s="71"/>
      <c r="J8" s="71"/>
      <c r="K8" s="71"/>
      <c r="L8" s="71"/>
    </row>
    <row r="9" spans="2:12" x14ac:dyDescent="0.2">
      <c r="B9" s="87" t="s">
        <v>106</v>
      </c>
      <c r="C9" s="105"/>
      <c r="D9" s="105"/>
      <c r="E9" s="105"/>
      <c r="F9" s="105"/>
      <c r="G9" s="68"/>
      <c r="H9" s="72"/>
      <c r="I9" s="71"/>
      <c r="J9" s="71"/>
      <c r="K9" s="71"/>
      <c r="L9" s="71"/>
    </row>
    <row r="10" spans="2:12" x14ac:dyDescent="0.2">
      <c r="B10" s="93" t="s">
        <v>112</v>
      </c>
      <c r="C10" s="39">
        <f>'Respondent Burden'!F18</f>
        <v>300</v>
      </c>
      <c r="D10" s="105">
        <v>1</v>
      </c>
      <c r="E10" s="40">
        <v>0</v>
      </c>
      <c r="F10" s="39">
        <f t="shared" ref="F10:F15" si="1">C10*D10+E10</f>
        <v>300</v>
      </c>
      <c r="G10" s="68"/>
      <c r="H10" s="72"/>
      <c r="I10" s="71"/>
      <c r="J10" s="71"/>
      <c r="K10" s="71"/>
      <c r="L10" s="71"/>
    </row>
    <row r="11" spans="2:12" x14ac:dyDescent="0.2">
      <c r="B11" s="93" t="s">
        <v>113</v>
      </c>
      <c r="C11" s="39">
        <f>'Respondent Burden'!F20</f>
        <v>65</v>
      </c>
      <c r="D11" s="105">
        <v>1</v>
      </c>
      <c r="E11" s="40">
        <v>0</v>
      </c>
      <c r="F11" s="39">
        <f t="shared" si="1"/>
        <v>65</v>
      </c>
      <c r="G11" s="27"/>
      <c r="H11" s="71"/>
      <c r="I11" s="71"/>
      <c r="J11" s="71"/>
      <c r="K11" s="71"/>
      <c r="L11" s="71"/>
    </row>
    <row r="12" spans="2:12" x14ac:dyDescent="0.2">
      <c r="B12" s="93" t="s">
        <v>114</v>
      </c>
      <c r="C12" s="39">
        <f>'Respondent Burden'!F21</f>
        <v>2095</v>
      </c>
      <c r="D12" s="39">
        <v>1</v>
      </c>
      <c r="E12" s="40">
        <v>0</v>
      </c>
      <c r="F12" s="39">
        <f t="shared" si="1"/>
        <v>2095</v>
      </c>
      <c r="G12" s="27"/>
      <c r="H12" s="5"/>
      <c r="I12" s="71"/>
      <c r="J12" s="71"/>
      <c r="K12" s="71"/>
      <c r="L12" s="71"/>
    </row>
    <row r="13" spans="2:12" x14ac:dyDescent="0.2">
      <c r="B13" s="93" t="s">
        <v>115</v>
      </c>
      <c r="C13" s="39">
        <f>'Respondent Burden'!F19</f>
        <v>15</v>
      </c>
      <c r="D13" s="39">
        <v>1</v>
      </c>
      <c r="E13" s="40">
        <v>0</v>
      </c>
      <c r="F13" s="39">
        <f t="shared" si="1"/>
        <v>15</v>
      </c>
      <c r="G13" s="27"/>
      <c r="H13" s="2"/>
      <c r="I13" s="71"/>
      <c r="J13" s="71"/>
      <c r="K13" s="71"/>
      <c r="L13" s="71"/>
    </row>
    <row r="14" spans="2:12" x14ac:dyDescent="0.2">
      <c r="B14" s="93" t="s">
        <v>118</v>
      </c>
      <c r="C14" s="39">
        <f>'Respondent Burden'!F22</f>
        <v>300</v>
      </c>
      <c r="D14" s="39">
        <v>1</v>
      </c>
      <c r="E14" s="40">
        <v>0</v>
      </c>
      <c r="F14" s="39">
        <f t="shared" si="1"/>
        <v>300</v>
      </c>
      <c r="G14" s="27"/>
      <c r="H14" s="71"/>
      <c r="I14" s="71"/>
      <c r="J14" s="71"/>
      <c r="K14" s="71"/>
      <c r="L14" s="71"/>
    </row>
    <row r="15" spans="2:12" x14ac:dyDescent="0.2">
      <c r="B15" s="93" t="s">
        <v>119</v>
      </c>
      <c r="C15" s="39">
        <f>'Respondent Burden'!F23</f>
        <v>75</v>
      </c>
      <c r="D15" s="105">
        <v>1</v>
      </c>
      <c r="E15" s="40">
        <v>0</v>
      </c>
      <c r="F15" s="39">
        <f t="shared" si="1"/>
        <v>75</v>
      </c>
      <c r="G15" s="68"/>
      <c r="H15" s="71"/>
      <c r="I15" s="71"/>
      <c r="J15" s="71"/>
      <c r="K15" s="71"/>
      <c r="L15" s="71"/>
    </row>
    <row r="16" spans="2:12" x14ac:dyDescent="0.2">
      <c r="B16" s="93" t="s">
        <v>120</v>
      </c>
      <c r="C16" s="39">
        <f>'Respondent Burden'!F24</f>
        <v>380</v>
      </c>
      <c r="D16" s="105">
        <v>1</v>
      </c>
      <c r="E16" s="40">
        <v>0</v>
      </c>
      <c r="F16" s="39">
        <f>C16*D16+E16</f>
        <v>380</v>
      </c>
      <c r="G16" s="68"/>
      <c r="H16" s="71"/>
      <c r="I16" s="71"/>
      <c r="J16" s="71"/>
      <c r="K16" s="71"/>
      <c r="L16" s="71"/>
    </row>
    <row r="17" spans="2:12" x14ac:dyDescent="0.2">
      <c r="B17" s="87" t="s">
        <v>116</v>
      </c>
      <c r="C17" s="105"/>
      <c r="D17" s="105"/>
      <c r="E17" s="105"/>
      <c r="F17" s="105"/>
      <c r="G17" s="68"/>
      <c r="H17" s="71"/>
      <c r="I17" s="71"/>
      <c r="J17" s="71"/>
      <c r="K17" s="71"/>
      <c r="L17" s="71"/>
    </row>
    <row r="18" spans="2:12" x14ac:dyDescent="0.2">
      <c r="B18" s="93" t="s">
        <v>117</v>
      </c>
      <c r="C18" s="39">
        <f>'Respondent Burden'!F26</f>
        <v>145</v>
      </c>
      <c r="D18" s="105">
        <v>2</v>
      </c>
      <c r="E18" s="40">
        <v>0</v>
      </c>
      <c r="F18" s="39">
        <f>C18*D18+E18</f>
        <v>290</v>
      </c>
      <c r="G18" s="68"/>
      <c r="H18" s="71"/>
      <c r="I18" s="71"/>
      <c r="J18" s="71"/>
      <c r="K18" s="71"/>
      <c r="L18" s="71"/>
    </row>
    <row r="19" spans="2:12" x14ac:dyDescent="0.2">
      <c r="B19" s="41"/>
      <c r="C19" s="41"/>
      <c r="D19" s="41"/>
      <c r="E19" s="40" t="s">
        <v>6</v>
      </c>
      <c r="F19" s="39">
        <f>SUM(F4:F18)</f>
        <v>14652</v>
      </c>
      <c r="G19" s="26"/>
      <c r="H19" s="31" t="s">
        <v>131</v>
      </c>
      <c r="I19" s="71"/>
      <c r="J19" s="71"/>
      <c r="K19" s="71"/>
      <c r="L19" s="71"/>
    </row>
    <row r="20" spans="2:12" x14ac:dyDescent="0.2">
      <c r="E20" s="54" t="s">
        <v>59</v>
      </c>
      <c r="F20" s="70">
        <f>'Respondent Burden'!G40/F19</f>
        <v>6.4086814086814083</v>
      </c>
      <c r="H20" s="71"/>
      <c r="I20" s="71"/>
      <c r="J20" s="71"/>
      <c r="K20" s="71"/>
      <c r="L20" s="71"/>
    </row>
    <row r="21" spans="2:12" x14ac:dyDescent="0.2">
      <c r="H21" s="71"/>
      <c r="I21" s="71"/>
      <c r="J21" s="71"/>
      <c r="K21" s="71"/>
      <c r="L21" s="71"/>
    </row>
    <row r="22" spans="2:12" x14ac:dyDescent="0.2">
      <c r="H22" s="71"/>
      <c r="I22" s="71"/>
      <c r="J22" s="71"/>
      <c r="K22" s="71"/>
      <c r="L22" s="71"/>
    </row>
    <row r="23" spans="2:12" x14ac:dyDescent="0.2">
      <c r="H23" s="71"/>
      <c r="I23" s="71"/>
      <c r="J23" s="71"/>
      <c r="K23" s="71"/>
      <c r="L23" s="71"/>
    </row>
    <row r="24" spans="2:12" x14ac:dyDescent="0.2">
      <c r="H24" s="71"/>
      <c r="I24" s="71"/>
      <c r="J24" s="71"/>
      <c r="K24" s="71"/>
      <c r="L24" s="71"/>
    </row>
  </sheetData>
  <mergeCells count="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heetViews>
  <sheetFormatPr defaultRowHeight="12.75" x14ac:dyDescent="0.2"/>
  <cols>
    <col min="1" max="1" width="0.7109375" style="44" customWidth="1"/>
    <col min="2" max="2" width="44.42578125" style="1" customWidth="1"/>
    <col min="3" max="3" width="12.7109375" style="1" customWidth="1"/>
    <col min="4" max="4" width="12.5703125" style="1" customWidth="1"/>
    <col min="5" max="5" width="13.42578125" style="1" customWidth="1"/>
    <col min="6" max="6" width="11.140625" style="1" customWidth="1"/>
    <col min="7" max="7" width="10.28515625" style="1" customWidth="1"/>
    <col min="8" max="8" width="11.85546875" style="1" customWidth="1"/>
    <col min="9" max="9" width="12.140625" style="1" customWidth="1"/>
    <col min="10" max="10" width="12.7109375" style="1" bestFit="1" customWidth="1"/>
    <col min="11" max="11" width="2.28515625" style="5" customWidth="1"/>
    <col min="12" max="12" width="20" style="5" customWidth="1"/>
    <col min="13" max="13" width="4.85546875" style="5" bestFit="1" customWidth="1"/>
    <col min="14" max="14" width="8" style="1" bestFit="1" customWidth="1"/>
    <col min="15" max="15" width="11" style="1" customWidth="1"/>
    <col min="16" max="16384" width="9.140625" style="1"/>
  </cols>
  <sheetData>
    <row r="1" spans="1:13" s="5" customFormat="1" ht="15.75" x14ac:dyDescent="0.25">
      <c r="A1" s="2"/>
      <c r="B1" s="3" t="s">
        <v>67</v>
      </c>
      <c r="C1" s="2"/>
      <c r="D1" s="2"/>
      <c r="E1" s="2"/>
      <c r="F1" s="2"/>
      <c r="G1" s="2"/>
      <c r="H1" s="2"/>
      <c r="I1" s="2"/>
      <c r="J1" s="4"/>
      <c r="L1" s="15" t="s">
        <v>24</v>
      </c>
      <c r="M1" s="15" t="s">
        <v>25</v>
      </c>
    </row>
    <row r="2" spans="1:13" s="5" customFormat="1" x14ac:dyDescent="0.2">
      <c r="A2" s="2"/>
      <c r="F2" s="51" t="s">
        <v>58</v>
      </c>
      <c r="G2" s="52">
        <v>103.97</v>
      </c>
      <c r="H2" s="52">
        <v>129.93</v>
      </c>
      <c r="I2" s="47">
        <v>51.79</v>
      </c>
      <c r="J2" s="6"/>
      <c r="L2" s="84" t="s">
        <v>26</v>
      </c>
      <c r="M2" s="85">
        <f>'# Respondents'!D8</f>
        <v>564</v>
      </c>
    </row>
    <row r="3" spans="1:13" s="10" customFormat="1" ht="12.75" customHeight="1" x14ac:dyDescent="0.2">
      <c r="A3" s="7"/>
      <c r="B3" s="121" t="s">
        <v>7</v>
      </c>
      <c r="C3" s="8" t="s">
        <v>8</v>
      </c>
      <c r="D3" s="8" t="s">
        <v>9</v>
      </c>
      <c r="E3" s="8" t="s">
        <v>10</v>
      </c>
      <c r="F3" s="8" t="s">
        <v>11</v>
      </c>
      <c r="G3" s="8" t="s">
        <v>12</v>
      </c>
      <c r="H3" s="8" t="s">
        <v>13</v>
      </c>
      <c r="I3" s="8" t="s">
        <v>14</v>
      </c>
      <c r="J3" s="9" t="s">
        <v>15</v>
      </c>
      <c r="L3" s="78" t="s">
        <v>79</v>
      </c>
      <c r="M3" s="79">
        <v>300</v>
      </c>
    </row>
    <row r="4" spans="1:13" s="14" customFormat="1" ht="51" x14ac:dyDescent="0.2">
      <c r="A4" s="12"/>
      <c r="B4" s="122"/>
      <c r="C4" s="13" t="s">
        <v>16</v>
      </c>
      <c r="D4" s="13" t="s">
        <v>17</v>
      </c>
      <c r="E4" s="13" t="s">
        <v>18</v>
      </c>
      <c r="F4" s="13" t="s">
        <v>19</v>
      </c>
      <c r="G4" s="13" t="s">
        <v>20</v>
      </c>
      <c r="H4" s="13" t="s">
        <v>21</v>
      </c>
      <c r="I4" s="13" t="s">
        <v>22</v>
      </c>
      <c r="J4" s="53" t="s">
        <v>23</v>
      </c>
      <c r="L4" s="80" t="s">
        <v>80</v>
      </c>
      <c r="M4" s="81">
        <v>136</v>
      </c>
    </row>
    <row r="5" spans="1:13" s="2" customFormat="1" x14ac:dyDescent="0.2">
      <c r="B5" s="97" t="s">
        <v>69</v>
      </c>
      <c r="C5" s="89" t="s">
        <v>70</v>
      </c>
      <c r="D5" s="89"/>
      <c r="E5" s="90"/>
      <c r="F5" s="90"/>
      <c r="G5" s="91"/>
      <c r="H5" s="91"/>
      <c r="I5" s="91"/>
      <c r="J5" s="92"/>
      <c r="L5" s="82" t="s">
        <v>77</v>
      </c>
      <c r="M5" s="74">
        <v>116</v>
      </c>
    </row>
    <row r="6" spans="1:13" s="5" customFormat="1" x14ac:dyDescent="0.2">
      <c r="A6" s="2"/>
      <c r="B6" s="97" t="s">
        <v>71</v>
      </c>
      <c r="C6" s="89" t="s">
        <v>70</v>
      </c>
      <c r="D6" s="89"/>
      <c r="E6" s="90"/>
      <c r="F6" s="89"/>
      <c r="G6" s="91"/>
      <c r="H6" s="91"/>
      <c r="I6" s="91"/>
      <c r="J6" s="92"/>
      <c r="L6" s="83" t="s">
        <v>78</v>
      </c>
      <c r="M6" s="16">
        <v>12</v>
      </c>
    </row>
    <row r="7" spans="1:13" s="2" customFormat="1" ht="25.5" x14ac:dyDescent="0.2">
      <c r="B7" s="97" t="s">
        <v>72</v>
      </c>
      <c r="C7" s="89" t="s">
        <v>70</v>
      </c>
      <c r="D7" s="89"/>
      <c r="E7" s="90"/>
      <c r="F7" s="89"/>
      <c r="G7" s="91"/>
      <c r="H7" s="91"/>
      <c r="I7" s="91"/>
      <c r="J7" s="92"/>
      <c r="K7" s="5"/>
      <c r="L7" s="84" t="s">
        <v>66</v>
      </c>
      <c r="M7" s="85">
        <f>'# Respondents'!C10</f>
        <v>32</v>
      </c>
    </row>
    <row r="8" spans="1:13" s="2" customFormat="1" x14ac:dyDescent="0.2">
      <c r="B8" s="97" t="s">
        <v>73</v>
      </c>
      <c r="C8" s="89" t="s">
        <v>70</v>
      </c>
      <c r="D8" s="89"/>
      <c r="E8" s="90"/>
      <c r="F8" s="89"/>
      <c r="G8" s="91"/>
      <c r="H8" s="91"/>
      <c r="I8" s="91"/>
      <c r="J8" s="92"/>
      <c r="K8" s="5"/>
      <c r="L8" s="82" t="s">
        <v>77</v>
      </c>
      <c r="M8" s="74">
        <v>29</v>
      </c>
    </row>
    <row r="9" spans="1:13" s="5" customFormat="1" ht="15.75" x14ac:dyDescent="0.2">
      <c r="A9" s="2"/>
      <c r="B9" s="93" t="s">
        <v>134</v>
      </c>
      <c r="C9" s="89">
        <v>1</v>
      </c>
      <c r="D9" s="98">
        <v>1</v>
      </c>
      <c r="E9" s="89">
        <f t="shared" ref="E9" si="0">C9*D9</f>
        <v>1</v>
      </c>
      <c r="F9" s="89">
        <f>M7+M2</f>
        <v>596</v>
      </c>
      <c r="G9" s="90">
        <f>ROUND(E9*F9,2)</f>
        <v>596</v>
      </c>
      <c r="H9" s="94">
        <f>ROUND(G9*0.05,2)</f>
        <v>29.8</v>
      </c>
      <c r="I9" s="94">
        <f>ROUND(G9*0.1, 2)</f>
        <v>59.6</v>
      </c>
      <c r="J9" s="92">
        <f>ROUND(G9*$G$2+H9*$H$2+I9*$I$2, 2)</f>
        <v>68924.72</v>
      </c>
      <c r="L9" s="83" t="s">
        <v>78</v>
      </c>
      <c r="M9" s="16">
        <v>3</v>
      </c>
    </row>
    <row r="10" spans="1:13" s="5" customFormat="1" x14ac:dyDescent="0.2">
      <c r="A10" s="2"/>
      <c r="B10" s="93" t="s">
        <v>75</v>
      </c>
      <c r="C10" s="88"/>
      <c r="D10" s="88"/>
      <c r="E10" s="90"/>
      <c r="F10" s="90"/>
      <c r="G10" s="91"/>
      <c r="H10" s="91"/>
      <c r="I10" s="91"/>
      <c r="J10" s="92"/>
    </row>
    <row r="11" spans="1:13" s="5" customFormat="1" ht="15.75" x14ac:dyDescent="0.25">
      <c r="A11" s="2"/>
      <c r="B11" s="99" t="s">
        <v>135</v>
      </c>
      <c r="C11" s="100">
        <v>0.5</v>
      </c>
      <c r="D11" s="98">
        <v>33</v>
      </c>
      <c r="E11" s="89">
        <f t="shared" ref="E11" si="1">C11*D11</f>
        <v>16.5</v>
      </c>
      <c r="F11" s="89">
        <f>M3</f>
        <v>300</v>
      </c>
      <c r="G11" s="90">
        <f t="shared" ref="G11:G14" si="2">ROUND(E11*F11,2)</f>
        <v>4950</v>
      </c>
      <c r="H11" s="94">
        <f t="shared" ref="H11:H14" si="3">ROUND(G11*0.05,2)</f>
        <v>247.5</v>
      </c>
      <c r="I11" s="90">
        <f t="shared" ref="I11:I14" si="4">ROUND(G11*0.1, 2)</f>
        <v>495</v>
      </c>
      <c r="J11" s="92">
        <f t="shared" ref="J11:J14" si="5">ROUND(G11*$G$2+H11*$H$2+I11*$I$2, 2)</f>
        <v>572445.23</v>
      </c>
      <c r="L11" s="50" t="s">
        <v>63</v>
      </c>
    </row>
    <row r="12" spans="1:13" s="5" customFormat="1" ht="15.75" x14ac:dyDescent="0.2">
      <c r="A12" s="2"/>
      <c r="B12" s="99" t="s">
        <v>149</v>
      </c>
      <c r="C12" s="100">
        <v>0.5</v>
      </c>
      <c r="D12" s="101">
        <v>4</v>
      </c>
      <c r="E12" s="90">
        <f>C12*D12</f>
        <v>2</v>
      </c>
      <c r="F12" s="90">
        <f>M3</f>
        <v>300</v>
      </c>
      <c r="G12" s="90">
        <f t="shared" si="2"/>
        <v>600</v>
      </c>
      <c r="H12" s="90">
        <f t="shared" si="3"/>
        <v>30</v>
      </c>
      <c r="I12" s="90">
        <f t="shared" si="4"/>
        <v>60</v>
      </c>
      <c r="J12" s="96">
        <f t="shared" si="5"/>
        <v>69387.3</v>
      </c>
    </row>
    <row r="13" spans="1:13" s="5" customFormat="1" ht="15.75" x14ac:dyDescent="0.2">
      <c r="A13" s="2"/>
      <c r="B13" s="99" t="s">
        <v>157</v>
      </c>
      <c r="C13" s="89">
        <v>1</v>
      </c>
      <c r="D13" s="98">
        <v>1</v>
      </c>
      <c r="E13" s="89">
        <f t="shared" ref="E13" si="6">C13*D13</f>
        <v>1</v>
      </c>
      <c r="F13" s="89">
        <f>M8</f>
        <v>29</v>
      </c>
      <c r="G13" s="90">
        <f t="shared" si="2"/>
        <v>29</v>
      </c>
      <c r="H13" s="91">
        <f t="shared" si="3"/>
        <v>1.45</v>
      </c>
      <c r="I13" s="94">
        <f t="shared" si="4"/>
        <v>2.9</v>
      </c>
      <c r="J13" s="92">
        <f t="shared" si="5"/>
        <v>3353.72</v>
      </c>
    </row>
    <row r="14" spans="1:13" s="5" customFormat="1" ht="15.75" x14ac:dyDescent="0.2">
      <c r="A14" s="2"/>
      <c r="B14" s="99" t="s">
        <v>158</v>
      </c>
      <c r="C14" s="89">
        <v>1</v>
      </c>
      <c r="D14" s="98">
        <v>1</v>
      </c>
      <c r="E14" s="89">
        <f t="shared" ref="E14" si="7">C14*D14</f>
        <v>1</v>
      </c>
      <c r="F14" s="89">
        <f>M9</f>
        <v>3</v>
      </c>
      <c r="G14" s="90">
        <f t="shared" si="2"/>
        <v>3</v>
      </c>
      <c r="H14" s="91">
        <f t="shared" si="3"/>
        <v>0.15</v>
      </c>
      <c r="I14" s="94">
        <f t="shared" si="4"/>
        <v>0.3</v>
      </c>
      <c r="J14" s="92">
        <f t="shared" si="5"/>
        <v>346.94</v>
      </c>
    </row>
    <row r="15" spans="1:13" s="5" customFormat="1" x14ac:dyDescent="0.2">
      <c r="A15" s="2"/>
      <c r="B15" s="93" t="s">
        <v>82</v>
      </c>
      <c r="C15" s="89" t="s">
        <v>84</v>
      </c>
      <c r="D15" s="98"/>
      <c r="E15" s="89"/>
      <c r="F15" s="89"/>
      <c r="G15" s="91"/>
      <c r="H15" s="91"/>
      <c r="I15" s="91"/>
      <c r="J15" s="92"/>
    </row>
    <row r="16" spans="1:13" s="5" customFormat="1" x14ac:dyDescent="0.2">
      <c r="A16" s="2"/>
      <c r="B16" s="93" t="s">
        <v>85</v>
      </c>
      <c r="C16" s="89" t="s">
        <v>83</v>
      </c>
      <c r="D16" s="74"/>
      <c r="E16" s="74"/>
      <c r="F16" s="74"/>
      <c r="G16" s="74"/>
      <c r="H16" s="74"/>
      <c r="I16" s="74"/>
      <c r="J16" s="74"/>
    </row>
    <row r="17" spans="1:10" s="5" customFormat="1" x14ac:dyDescent="0.2">
      <c r="A17" s="2"/>
      <c r="B17" s="93" t="s">
        <v>86</v>
      </c>
      <c r="C17" s="89"/>
      <c r="D17" s="98"/>
      <c r="E17" s="89"/>
      <c r="F17" s="89"/>
      <c r="G17" s="91"/>
      <c r="H17" s="91"/>
      <c r="I17" s="91"/>
      <c r="J17" s="92"/>
    </row>
    <row r="18" spans="1:10" s="5" customFormat="1" ht="15.75" x14ac:dyDescent="0.2">
      <c r="A18" s="2"/>
      <c r="B18" s="99" t="s">
        <v>136</v>
      </c>
      <c r="C18" s="89">
        <v>16</v>
      </c>
      <c r="D18" s="98">
        <v>1</v>
      </c>
      <c r="E18" s="89">
        <f t="shared" ref="E18" si="8">C18*D18</f>
        <v>16</v>
      </c>
      <c r="F18" s="89">
        <f>M3</f>
        <v>300</v>
      </c>
      <c r="G18" s="90">
        <f t="shared" ref="G18:G24" si="9">ROUND(E18*F18,2)</f>
        <v>4800</v>
      </c>
      <c r="H18" s="90">
        <f t="shared" ref="H18:H24" si="10">ROUND(G18*0.05,2)</f>
        <v>240</v>
      </c>
      <c r="I18" s="90">
        <f t="shared" ref="I18:I24" si="11">ROUND(G18*0.1, 2)</f>
        <v>480</v>
      </c>
      <c r="J18" s="96">
        <f t="shared" ref="J18:J24" si="12">ROUND(G18*$G$2+H18*$H$2+I18*$I$2, 2)</f>
        <v>555098.4</v>
      </c>
    </row>
    <row r="19" spans="1:10" s="5" customFormat="1" ht="15.75" x14ac:dyDescent="0.2">
      <c r="A19" s="2"/>
      <c r="B19" s="99" t="s">
        <v>159</v>
      </c>
      <c r="C19" s="89">
        <v>1</v>
      </c>
      <c r="D19" s="98">
        <v>1</v>
      </c>
      <c r="E19" s="89">
        <f>C19*D19</f>
        <v>1</v>
      </c>
      <c r="F19" s="89">
        <f>9+2*F14</f>
        <v>15</v>
      </c>
      <c r="G19" s="90">
        <f>ROUND(E19*F19,2)</f>
        <v>15</v>
      </c>
      <c r="H19" s="91">
        <f>ROUND(G19*0.05,2)</f>
        <v>0.75</v>
      </c>
      <c r="I19" s="94">
        <f>ROUND(G19*0.1, 2)</f>
        <v>1.5</v>
      </c>
      <c r="J19" s="92">
        <f>ROUND(G19*$G$2+H19*$H$2+I19*$I$2, 2)</f>
        <v>1734.68</v>
      </c>
    </row>
    <row r="20" spans="1:10" s="5" customFormat="1" ht="15.75" x14ac:dyDescent="0.2">
      <c r="A20" s="2"/>
      <c r="B20" s="99" t="s">
        <v>160</v>
      </c>
      <c r="C20" s="89">
        <v>8</v>
      </c>
      <c r="D20" s="98">
        <v>1</v>
      </c>
      <c r="E20" s="89">
        <f t="shared" ref="E20" si="13">C20*D20</f>
        <v>8</v>
      </c>
      <c r="F20" s="89">
        <f>39+2*13</f>
        <v>65</v>
      </c>
      <c r="G20" s="90">
        <f t="shared" si="9"/>
        <v>520</v>
      </c>
      <c r="H20" s="90">
        <f t="shared" si="10"/>
        <v>26</v>
      </c>
      <c r="I20" s="90">
        <f t="shared" si="11"/>
        <v>52</v>
      </c>
      <c r="J20" s="92">
        <f t="shared" si="12"/>
        <v>60135.66</v>
      </c>
    </row>
    <row r="21" spans="1:10" s="5" customFormat="1" ht="15.75" x14ac:dyDescent="0.2">
      <c r="A21" s="2"/>
      <c r="B21" s="99" t="s">
        <v>161</v>
      </c>
      <c r="C21" s="89">
        <v>8</v>
      </c>
      <c r="D21" s="98">
        <v>1</v>
      </c>
      <c r="E21" s="89">
        <f t="shared" ref="E21:E26" si="14">C21*D21</f>
        <v>8</v>
      </c>
      <c r="F21" s="90">
        <f>1257+2*419</f>
        <v>2095</v>
      </c>
      <c r="G21" s="90">
        <f t="shared" si="9"/>
        <v>16760</v>
      </c>
      <c r="H21" s="90">
        <f t="shared" si="10"/>
        <v>838</v>
      </c>
      <c r="I21" s="90">
        <f t="shared" si="11"/>
        <v>1676</v>
      </c>
      <c r="J21" s="92">
        <f t="shared" si="12"/>
        <v>1938218.58</v>
      </c>
    </row>
    <row r="22" spans="1:10" s="5" customFormat="1" ht="15.75" x14ac:dyDescent="0.2">
      <c r="A22" s="2"/>
      <c r="B22" s="99" t="s">
        <v>137</v>
      </c>
      <c r="C22" s="89">
        <v>8</v>
      </c>
      <c r="D22" s="98">
        <v>1</v>
      </c>
      <c r="E22" s="89">
        <f t="shared" ref="E22" si="15">C22*D22</f>
        <v>8</v>
      </c>
      <c r="F22" s="89">
        <v>300</v>
      </c>
      <c r="G22" s="90">
        <f t="shared" si="9"/>
        <v>2400</v>
      </c>
      <c r="H22" s="90">
        <f t="shared" si="10"/>
        <v>120</v>
      </c>
      <c r="I22" s="90">
        <f t="shared" si="11"/>
        <v>240</v>
      </c>
      <c r="J22" s="96">
        <f t="shared" si="12"/>
        <v>277549.2</v>
      </c>
    </row>
    <row r="23" spans="1:10" s="5" customFormat="1" ht="15.75" x14ac:dyDescent="0.2">
      <c r="A23" s="2"/>
      <c r="B23" s="99" t="s">
        <v>138</v>
      </c>
      <c r="C23" s="89">
        <v>8</v>
      </c>
      <c r="D23" s="98">
        <v>1</v>
      </c>
      <c r="E23" s="89">
        <f t="shared" ref="E23" si="16">C23*D23</f>
        <v>8</v>
      </c>
      <c r="F23" s="89">
        <f>45+2*F19</f>
        <v>75</v>
      </c>
      <c r="G23" s="90">
        <f t="shared" si="9"/>
        <v>600</v>
      </c>
      <c r="H23" s="90">
        <f t="shared" si="10"/>
        <v>30</v>
      </c>
      <c r="I23" s="90">
        <f t="shared" si="11"/>
        <v>60</v>
      </c>
      <c r="J23" s="96">
        <f t="shared" si="12"/>
        <v>69387.3</v>
      </c>
    </row>
    <row r="24" spans="1:10" s="5" customFormat="1" ht="15.75" x14ac:dyDescent="0.2">
      <c r="A24" s="2"/>
      <c r="B24" s="99" t="s">
        <v>139</v>
      </c>
      <c r="C24" s="89">
        <v>8</v>
      </c>
      <c r="D24" s="98">
        <v>1</v>
      </c>
      <c r="E24" s="89">
        <f t="shared" ref="E24" si="17">C24*D24</f>
        <v>8</v>
      </c>
      <c r="F24" s="90">
        <f>(912/4) + 2*(304/4)</f>
        <v>380</v>
      </c>
      <c r="G24" s="90">
        <f t="shared" si="9"/>
        <v>3040</v>
      </c>
      <c r="H24" s="90">
        <f t="shared" si="10"/>
        <v>152</v>
      </c>
      <c r="I24" s="90">
        <f t="shared" si="11"/>
        <v>304</v>
      </c>
      <c r="J24" s="92">
        <f t="shared" si="12"/>
        <v>351562.32</v>
      </c>
    </row>
    <row r="25" spans="1:10" s="5" customFormat="1" x14ac:dyDescent="0.2">
      <c r="A25" s="2"/>
      <c r="B25" s="93" t="s">
        <v>88</v>
      </c>
      <c r="C25" s="89"/>
      <c r="D25" s="98"/>
      <c r="E25" s="89"/>
      <c r="F25" s="89"/>
      <c r="G25" s="91"/>
      <c r="H25" s="91"/>
      <c r="I25" s="91"/>
      <c r="J25" s="92"/>
    </row>
    <row r="26" spans="1:10" s="5" customFormat="1" ht="15.75" x14ac:dyDescent="0.2">
      <c r="A26" s="2"/>
      <c r="B26" s="99" t="s">
        <v>140</v>
      </c>
      <c r="C26" s="89">
        <v>40</v>
      </c>
      <c r="D26" s="98">
        <v>2</v>
      </c>
      <c r="E26" s="89">
        <f t="shared" si="14"/>
        <v>80</v>
      </c>
      <c r="F26" s="89">
        <f>87+2*F13</f>
        <v>145</v>
      </c>
      <c r="G26" s="90">
        <f>ROUND(E26*F26,2)</f>
        <v>11600</v>
      </c>
      <c r="H26" s="90">
        <f>ROUND(G26*0.05,2)</f>
        <v>580</v>
      </c>
      <c r="I26" s="90">
        <f>ROUND(G26*0.1, 2)</f>
        <v>1160</v>
      </c>
      <c r="J26" s="96">
        <f>ROUND(G26*$G$2+H26*$H$2+I26*$I$2, 2)</f>
        <v>1341487.8</v>
      </c>
    </row>
    <row r="27" spans="1:10" s="5" customFormat="1" ht="13.5" x14ac:dyDescent="0.25">
      <c r="A27" s="2"/>
      <c r="B27" s="102" t="s">
        <v>5</v>
      </c>
      <c r="C27" s="75"/>
      <c r="D27" s="75"/>
      <c r="E27" s="103"/>
      <c r="F27" s="103"/>
      <c r="G27" s="118">
        <f>ROUNDDOWN(SUM(G9:I26), 0)</f>
        <v>52799</v>
      </c>
      <c r="H27" s="119"/>
      <c r="I27" s="120"/>
      <c r="J27" s="104">
        <f>SUM(J9:J26)</f>
        <v>5309631.8499999996</v>
      </c>
    </row>
    <row r="28" spans="1:10" s="2" customFormat="1" x14ac:dyDescent="0.2">
      <c r="B28" s="97" t="s">
        <v>89</v>
      </c>
      <c r="C28" s="88"/>
      <c r="D28" s="88"/>
      <c r="E28" s="90"/>
      <c r="F28" s="90"/>
      <c r="G28" s="90"/>
      <c r="H28" s="90"/>
      <c r="I28" s="90"/>
      <c r="J28" s="95"/>
    </row>
    <row r="29" spans="1:10" s="2" customFormat="1" x14ac:dyDescent="0.2">
      <c r="B29" s="93" t="s">
        <v>74</v>
      </c>
      <c r="C29" s="88" t="s">
        <v>90</v>
      </c>
      <c r="D29" s="88"/>
      <c r="E29" s="89"/>
      <c r="F29" s="90"/>
      <c r="G29" s="91"/>
      <c r="H29" s="91"/>
      <c r="I29" s="91"/>
      <c r="J29" s="92"/>
    </row>
    <row r="30" spans="1:10" s="2" customFormat="1" x14ac:dyDescent="0.2">
      <c r="B30" s="93" t="s">
        <v>91</v>
      </c>
      <c r="C30" s="88" t="s">
        <v>84</v>
      </c>
      <c r="D30" s="88"/>
      <c r="E30" s="89"/>
      <c r="F30" s="90"/>
      <c r="G30" s="91"/>
      <c r="H30" s="91"/>
      <c r="I30" s="91"/>
      <c r="J30" s="92"/>
    </row>
    <row r="31" spans="1:10" s="5" customFormat="1" x14ac:dyDescent="0.2">
      <c r="A31" s="2"/>
      <c r="B31" s="93" t="s">
        <v>92</v>
      </c>
      <c r="C31" s="88"/>
      <c r="D31" s="101"/>
      <c r="E31" s="94"/>
      <c r="F31" s="94"/>
      <c r="G31" s="91"/>
      <c r="H31" s="94"/>
      <c r="I31" s="91"/>
      <c r="J31" s="92"/>
    </row>
    <row r="32" spans="1:10" s="5" customFormat="1" ht="15.75" x14ac:dyDescent="0.2">
      <c r="A32" s="2"/>
      <c r="B32" s="99" t="s">
        <v>141</v>
      </c>
      <c r="C32" s="88">
        <v>5</v>
      </c>
      <c r="D32" s="101">
        <v>12</v>
      </c>
      <c r="E32" s="90">
        <f>C32*D32</f>
        <v>60</v>
      </c>
      <c r="F32" s="90">
        <f>M3+M4</f>
        <v>436</v>
      </c>
      <c r="G32" s="90">
        <f>ROUND(E32*F32,2)</f>
        <v>26160</v>
      </c>
      <c r="H32" s="90">
        <f>ROUND(G32*0.05,2)</f>
        <v>1308</v>
      </c>
      <c r="I32" s="90">
        <f>ROUND(G32*0.1, 2)</f>
        <v>2616</v>
      </c>
      <c r="J32" s="92">
        <f>ROUND(G32*$G$2+H32*$H$2+I32*$I$2, 2)</f>
        <v>3025286.28</v>
      </c>
    </row>
    <row r="33" spans="1:12" s="2" customFormat="1" ht="15.75" x14ac:dyDescent="0.2">
      <c r="B33" s="99" t="s">
        <v>142</v>
      </c>
      <c r="C33" s="88">
        <v>5</v>
      </c>
      <c r="D33" s="101">
        <v>12</v>
      </c>
      <c r="E33" s="90">
        <f>C33*D33</f>
        <v>60</v>
      </c>
      <c r="F33" s="90">
        <f>(M5 + M6) + (M8 + M9)</f>
        <v>160</v>
      </c>
      <c r="G33" s="90">
        <f>ROUND(E33*F33,2)</f>
        <v>9600</v>
      </c>
      <c r="H33" s="90">
        <f>ROUND(G33*0.05,2)</f>
        <v>480</v>
      </c>
      <c r="I33" s="90">
        <f>ROUND(G33*0.1, 2)</f>
        <v>960</v>
      </c>
      <c r="J33" s="96">
        <f>ROUND(G33*$G$2+H33*$H$2+I33*$I$2, 2)</f>
        <v>1110196.8</v>
      </c>
    </row>
    <row r="34" spans="1:12" s="2" customFormat="1" x14ac:dyDescent="0.2">
      <c r="B34" s="93" t="s">
        <v>93</v>
      </c>
      <c r="C34" s="88" t="s">
        <v>70</v>
      </c>
      <c r="D34" s="88"/>
      <c r="E34" s="90"/>
      <c r="F34" s="90"/>
      <c r="G34" s="90"/>
      <c r="H34" s="94"/>
      <c r="I34" s="94"/>
      <c r="J34" s="92"/>
    </row>
    <row r="35" spans="1:12" s="2" customFormat="1" x14ac:dyDescent="0.2">
      <c r="B35" s="93" t="s">
        <v>96</v>
      </c>
      <c r="C35" s="88"/>
      <c r="D35" s="101"/>
      <c r="E35" s="90"/>
      <c r="F35" s="90"/>
      <c r="G35" s="91"/>
      <c r="H35" s="91"/>
      <c r="I35" s="91"/>
      <c r="J35" s="92"/>
    </row>
    <row r="36" spans="1:12" s="2" customFormat="1" x14ac:dyDescent="0.2">
      <c r="B36" s="99" t="s">
        <v>94</v>
      </c>
      <c r="C36" s="88" t="s">
        <v>95</v>
      </c>
      <c r="D36" s="101"/>
      <c r="E36" s="90"/>
      <c r="F36" s="90"/>
      <c r="G36" s="91"/>
      <c r="H36" s="91"/>
      <c r="I36" s="91"/>
      <c r="J36" s="92"/>
    </row>
    <row r="37" spans="1:12" s="2" customFormat="1" x14ac:dyDescent="0.2">
      <c r="B37" s="93" t="s">
        <v>97</v>
      </c>
      <c r="C37" s="88" t="s">
        <v>95</v>
      </c>
      <c r="D37" s="88"/>
      <c r="E37" s="90"/>
      <c r="F37" s="90"/>
      <c r="G37" s="90"/>
      <c r="H37" s="94"/>
      <c r="I37" s="94"/>
      <c r="J37" s="92"/>
    </row>
    <row r="38" spans="1:12" s="2" customFormat="1" x14ac:dyDescent="0.2">
      <c r="B38" s="93" t="s">
        <v>98</v>
      </c>
      <c r="C38" s="88" t="s">
        <v>70</v>
      </c>
      <c r="D38" s="101"/>
      <c r="E38" s="90"/>
      <c r="F38" s="90"/>
      <c r="G38" s="91"/>
      <c r="H38" s="91"/>
      <c r="I38" s="91"/>
      <c r="J38" s="92"/>
    </row>
    <row r="39" spans="1:12" s="5" customFormat="1" ht="13.5" x14ac:dyDescent="0.25">
      <c r="A39" s="2"/>
      <c r="B39" s="102" t="s">
        <v>55</v>
      </c>
      <c r="C39" s="75"/>
      <c r="D39" s="75"/>
      <c r="E39" s="103"/>
      <c r="F39" s="103"/>
      <c r="G39" s="118">
        <f>ROUNDDOWN(SUM(G29:I38), 0)</f>
        <v>41124</v>
      </c>
      <c r="H39" s="119"/>
      <c r="I39" s="120"/>
      <c r="J39" s="104">
        <f>SUM(J29:J38)</f>
        <v>4135483.08</v>
      </c>
    </row>
    <row r="40" spans="1:12" s="5" customFormat="1" ht="13.5" x14ac:dyDescent="0.2">
      <c r="A40" s="2"/>
      <c r="B40" s="76" t="s">
        <v>43</v>
      </c>
      <c r="C40" s="75"/>
      <c r="D40" s="77"/>
      <c r="E40" s="76"/>
      <c r="F40" s="77"/>
      <c r="G40" s="123">
        <f>ROUND(G27+G39, -2)</f>
        <v>93900</v>
      </c>
      <c r="H40" s="123"/>
      <c r="I40" s="123"/>
      <c r="J40" s="32">
        <f>ROUND(J27+J39, -4)</f>
        <v>9450000</v>
      </c>
    </row>
    <row r="41" spans="1:12" s="5" customFormat="1" ht="25.5" x14ac:dyDescent="0.2">
      <c r="A41" s="2"/>
      <c r="B41" s="76" t="s">
        <v>60</v>
      </c>
      <c r="C41" s="75"/>
      <c r="D41" s="77"/>
      <c r="E41" s="76"/>
      <c r="F41" s="77"/>
      <c r="G41" s="65"/>
      <c r="H41" s="65"/>
      <c r="I41" s="65"/>
      <c r="J41" s="32">
        <f>ROUND('Capital &amp; O&amp;M'!E8+'Capital &amp; O&amp;M'!H8, -3)</f>
        <v>1750000</v>
      </c>
      <c r="K41" s="31"/>
    </row>
    <row r="42" spans="1:12" s="5" customFormat="1" ht="13.5" x14ac:dyDescent="0.2">
      <c r="A42" s="2"/>
      <c r="B42" s="76" t="s">
        <v>56</v>
      </c>
      <c r="C42" s="75"/>
      <c r="D42" s="77"/>
      <c r="E42" s="76"/>
      <c r="F42" s="77"/>
      <c r="G42" s="65"/>
      <c r="H42" s="65"/>
      <c r="I42" s="65"/>
      <c r="J42" s="32">
        <f>ROUND(J40+J41, -5)</f>
        <v>11200000</v>
      </c>
      <c r="K42" s="31"/>
      <c r="L42" s="5" t="s">
        <v>148</v>
      </c>
    </row>
    <row r="43" spans="1:12" s="2" customFormat="1" x14ac:dyDescent="0.2">
      <c r="B43" s="57" t="s">
        <v>62</v>
      </c>
      <c r="C43" s="33"/>
      <c r="D43" s="29"/>
      <c r="E43" s="29"/>
      <c r="F43" s="30"/>
      <c r="G43" s="34"/>
      <c r="K43" s="31"/>
    </row>
    <row r="44" spans="1:12" s="2" customFormat="1" x14ac:dyDescent="0.2">
      <c r="B44" s="106" t="s">
        <v>150</v>
      </c>
      <c r="C44" s="33"/>
      <c r="D44" s="29"/>
      <c r="E44" s="29"/>
      <c r="F44" s="30"/>
      <c r="G44" s="34"/>
      <c r="K44" s="31"/>
    </row>
    <row r="45" spans="1:12" s="2" customFormat="1" x14ac:dyDescent="0.2">
      <c r="B45" s="28"/>
      <c r="C45" s="33"/>
      <c r="D45" s="29"/>
      <c r="E45" s="29"/>
      <c r="F45" s="30"/>
      <c r="G45" s="34"/>
      <c r="K45" s="31"/>
    </row>
    <row r="46" spans="1:12" s="5" customFormat="1" x14ac:dyDescent="0.2">
      <c r="A46" s="2"/>
      <c r="B46" s="58" t="s">
        <v>48</v>
      </c>
      <c r="C46" s="2"/>
      <c r="D46" s="2"/>
      <c r="E46" s="2"/>
      <c r="F46" s="2"/>
      <c r="G46" s="2"/>
      <c r="H46" s="2"/>
      <c r="I46" s="2"/>
      <c r="J46" s="2"/>
    </row>
    <row r="47" spans="1:12" s="5" customFormat="1" ht="26.25" customHeight="1" x14ac:dyDescent="0.2">
      <c r="A47" s="2"/>
      <c r="B47" s="117" t="s">
        <v>81</v>
      </c>
      <c r="C47" s="117"/>
      <c r="D47" s="117"/>
      <c r="E47" s="117"/>
      <c r="F47" s="117"/>
      <c r="G47" s="117"/>
      <c r="H47" s="117"/>
      <c r="I47" s="117"/>
      <c r="J47" s="117"/>
    </row>
    <row r="48" spans="1:12" s="5" customFormat="1" ht="39.75" customHeight="1" x14ac:dyDescent="0.2">
      <c r="A48" s="2"/>
      <c r="B48" s="116" t="s">
        <v>65</v>
      </c>
      <c r="C48" s="116"/>
      <c r="D48" s="116"/>
      <c r="E48" s="116"/>
      <c r="F48" s="116"/>
      <c r="G48" s="116"/>
      <c r="H48" s="116"/>
      <c r="I48" s="116"/>
      <c r="J48" s="116"/>
    </row>
    <row r="49" spans="1:10" s="5" customFormat="1" x14ac:dyDescent="0.2">
      <c r="A49" s="2"/>
      <c r="B49" s="117" t="s">
        <v>151</v>
      </c>
      <c r="C49" s="117"/>
      <c r="D49" s="117"/>
      <c r="E49" s="117"/>
      <c r="F49" s="117"/>
      <c r="G49" s="117"/>
      <c r="H49" s="117"/>
      <c r="I49" s="117"/>
      <c r="J49" s="117"/>
    </row>
    <row r="50" spans="1:10" s="5" customFormat="1" x14ac:dyDescent="0.2">
      <c r="A50" s="2"/>
      <c r="B50" s="117" t="s">
        <v>143</v>
      </c>
      <c r="C50" s="117"/>
      <c r="D50" s="117"/>
      <c r="E50" s="117"/>
      <c r="F50" s="117"/>
      <c r="G50" s="117"/>
      <c r="H50" s="117"/>
      <c r="I50" s="117"/>
      <c r="J50" s="117"/>
    </row>
    <row r="51" spans="1:10" x14ac:dyDescent="0.2">
      <c r="B51" s="117" t="s">
        <v>153</v>
      </c>
      <c r="C51" s="117"/>
      <c r="D51" s="117"/>
      <c r="E51" s="117"/>
      <c r="F51" s="117"/>
      <c r="G51" s="117"/>
      <c r="H51" s="117"/>
      <c r="I51" s="117"/>
      <c r="J51" s="117"/>
    </row>
    <row r="52" spans="1:10" x14ac:dyDescent="0.2">
      <c r="B52" s="115" t="s">
        <v>154</v>
      </c>
      <c r="C52" s="115"/>
      <c r="D52" s="115"/>
      <c r="E52" s="115"/>
      <c r="F52" s="115"/>
      <c r="G52" s="115"/>
      <c r="H52" s="115"/>
      <c r="I52" s="115"/>
      <c r="J52" s="115"/>
    </row>
    <row r="53" spans="1:10" s="5" customFormat="1" x14ac:dyDescent="0.2">
      <c r="A53" s="2"/>
      <c r="B53" s="117" t="s">
        <v>155</v>
      </c>
      <c r="C53" s="117"/>
      <c r="D53" s="117"/>
      <c r="E53" s="117"/>
      <c r="F53" s="117"/>
      <c r="G53" s="117"/>
      <c r="H53" s="117"/>
      <c r="I53" s="117"/>
      <c r="J53" s="117"/>
    </row>
    <row r="54" spans="1:10" s="5" customFormat="1" ht="27" customHeight="1" x14ac:dyDescent="0.2">
      <c r="A54" s="2"/>
      <c r="B54" s="117" t="s">
        <v>156</v>
      </c>
      <c r="C54" s="117"/>
      <c r="D54" s="117"/>
      <c r="E54" s="117"/>
      <c r="F54" s="117"/>
      <c r="G54" s="117"/>
      <c r="H54" s="117"/>
      <c r="I54" s="117"/>
      <c r="J54" s="117"/>
    </row>
    <row r="55" spans="1:10" x14ac:dyDescent="0.2">
      <c r="B55" s="115" t="s">
        <v>144</v>
      </c>
      <c r="C55" s="115"/>
      <c r="D55" s="115"/>
      <c r="E55" s="115"/>
      <c r="F55" s="115"/>
      <c r="G55" s="115"/>
      <c r="H55" s="115"/>
      <c r="I55" s="115"/>
      <c r="J55" s="115"/>
    </row>
    <row r="56" spans="1:10" x14ac:dyDescent="0.2">
      <c r="B56" s="117" t="s">
        <v>145</v>
      </c>
      <c r="C56" s="117"/>
      <c r="D56" s="117"/>
      <c r="E56" s="117"/>
      <c r="F56" s="117"/>
      <c r="G56" s="117"/>
      <c r="H56" s="117"/>
      <c r="I56" s="117"/>
      <c r="J56" s="117"/>
    </row>
    <row r="57" spans="1:10" ht="25.5" customHeight="1" x14ac:dyDescent="0.2">
      <c r="B57" s="117" t="s">
        <v>152</v>
      </c>
      <c r="C57" s="117"/>
      <c r="D57" s="117"/>
      <c r="E57" s="117"/>
      <c r="F57" s="117"/>
      <c r="G57" s="117"/>
      <c r="H57" s="117"/>
      <c r="I57" s="117"/>
      <c r="J57" s="117"/>
    </row>
    <row r="58" spans="1:10" x14ac:dyDescent="0.2">
      <c r="B58" s="117" t="s">
        <v>146</v>
      </c>
      <c r="C58" s="117"/>
      <c r="D58" s="117"/>
      <c r="E58" s="117"/>
      <c r="F58" s="117"/>
      <c r="G58" s="117"/>
      <c r="H58" s="117"/>
      <c r="I58" s="117"/>
      <c r="J58" s="117"/>
    </row>
    <row r="59" spans="1:10" x14ac:dyDescent="0.2">
      <c r="B59" s="117" t="s">
        <v>147</v>
      </c>
      <c r="C59" s="117"/>
      <c r="D59" s="117"/>
      <c r="E59" s="117"/>
      <c r="F59" s="117"/>
      <c r="G59" s="117"/>
      <c r="H59" s="117"/>
      <c r="I59" s="117"/>
      <c r="J59" s="117"/>
    </row>
    <row r="60" spans="1:10" x14ac:dyDescent="0.2">
      <c r="B60" s="115"/>
      <c r="C60" s="115"/>
      <c r="D60" s="115"/>
      <c r="E60" s="115"/>
      <c r="F60" s="115"/>
      <c r="G60" s="115"/>
      <c r="H60" s="115"/>
      <c r="I60" s="115"/>
      <c r="J60" s="115"/>
    </row>
  </sheetData>
  <mergeCells count="18">
    <mergeCell ref="G27:I27"/>
    <mergeCell ref="B51:J51"/>
    <mergeCell ref="B52:J52"/>
    <mergeCell ref="B3:B4"/>
    <mergeCell ref="G39:I39"/>
    <mergeCell ref="G40:I40"/>
    <mergeCell ref="B47:J47"/>
    <mergeCell ref="B60:J60"/>
    <mergeCell ref="B48:J48"/>
    <mergeCell ref="B50:J50"/>
    <mergeCell ref="B53:J53"/>
    <mergeCell ref="B54:J54"/>
    <mergeCell ref="B55:J55"/>
    <mergeCell ref="B56:J56"/>
    <mergeCell ref="B57:J57"/>
    <mergeCell ref="B58:J58"/>
    <mergeCell ref="B59:J59"/>
    <mergeCell ref="B49:J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heetViews>
  <sheetFormatPr defaultColWidth="9.140625" defaultRowHeight="15" x14ac:dyDescent="0.25"/>
  <cols>
    <col min="1" max="1" width="0.85546875" customWidth="1"/>
    <col min="2" max="2" width="33.42578125" customWidth="1"/>
    <col min="3" max="3" width="12.85546875" bestFit="1" customWidth="1"/>
    <col min="4" max="5" width="12.5703125" bestFit="1" customWidth="1"/>
    <col min="6" max="6" width="11.7109375" customWidth="1"/>
    <col min="7" max="7" width="13.85546875" bestFit="1" customWidth="1"/>
    <col min="8" max="9" width="12.42578125" bestFit="1" customWidth="1"/>
    <col min="10" max="10" width="11.42578125" customWidth="1"/>
    <col min="11" max="11" width="2" style="49" customWidth="1"/>
    <col min="12" max="12" width="6.7109375" style="49" bestFit="1" customWidth="1"/>
  </cols>
  <sheetData>
    <row r="1" spans="2:12" ht="15.75" x14ac:dyDescent="0.25">
      <c r="B1" s="3" t="s">
        <v>68</v>
      </c>
    </row>
    <row r="2" spans="2:12" ht="15.75" x14ac:dyDescent="0.25">
      <c r="B2" s="3"/>
    </row>
    <row r="3" spans="2:12" x14ac:dyDescent="0.25">
      <c r="F3" s="51" t="s">
        <v>58</v>
      </c>
      <c r="G3" s="37">
        <v>46.67</v>
      </c>
      <c r="H3" s="37">
        <v>62.9</v>
      </c>
      <c r="I3" s="37">
        <v>25.25</v>
      </c>
    </row>
    <row r="4" spans="2:12" s="7" customFormat="1" ht="12.75" x14ac:dyDescent="0.2">
      <c r="B4" s="127" t="s">
        <v>7</v>
      </c>
      <c r="C4" s="35" t="s">
        <v>8</v>
      </c>
      <c r="D4" s="35" t="s">
        <v>9</v>
      </c>
      <c r="E4" s="35" t="s">
        <v>10</v>
      </c>
      <c r="F4" s="35" t="s">
        <v>11</v>
      </c>
      <c r="G4" s="35" t="s">
        <v>12</v>
      </c>
      <c r="H4" s="35" t="s">
        <v>13</v>
      </c>
      <c r="I4" s="35" t="s">
        <v>14</v>
      </c>
      <c r="J4" s="35" t="s">
        <v>15</v>
      </c>
      <c r="K4" s="36"/>
    </row>
    <row r="5" spans="2:12" s="12" customFormat="1" ht="51.75" x14ac:dyDescent="0.25">
      <c r="B5" s="127"/>
      <c r="C5" s="13" t="s">
        <v>44</v>
      </c>
      <c r="D5" s="13" t="s">
        <v>17</v>
      </c>
      <c r="E5" s="13" t="s">
        <v>45</v>
      </c>
      <c r="F5" s="13" t="s">
        <v>19</v>
      </c>
      <c r="G5" s="13" t="s">
        <v>46</v>
      </c>
      <c r="H5" s="13" t="s">
        <v>47</v>
      </c>
      <c r="I5" s="13" t="s">
        <v>22</v>
      </c>
      <c r="J5" s="13" t="s">
        <v>23</v>
      </c>
      <c r="K5" s="38"/>
      <c r="L5" s="50" t="s">
        <v>63</v>
      </c>
    </row>
    <row r="6" spans="2:12" s="2" customFormat="1" ht="12.75" x14ac:dyDescent="0.2">
      <c r="B6" s="87" t="s">
        <v>99</v>
      </c>
      <c r="C6" s="88"/>
      <c r="D6" s="89"/>
      <c r="E6" s="89"/>
      <c r="F6" s="90"/>
      <c r="G6" s="91"/>
      <c r="H6" s="91"/>
      <c r="I6" s="91"/>
      <c r="J6" s="92"/>
    </row>
    <row r="7" spans="2:12" s="2" customFormat="1" ht="12.75" x14ac:dyDescent="0.2">
      <c r="B7" s="93" t="s">
        <v>76</v>
      </c>
      <c r="C7" s="88">
        <v>0.5</v>
      </c>
      <c r="D7" s="89">
        <f>'Respondent Burden'!D11</f>
        <v>33</v>
      </c>
      <c r="E7" s="89">
        <f t="shared" ref="E7:E8" si="0">C7*D7</f>
        <v>16.5</v>
      </c>
      <c r="F7" s="90">
        <f>'Respondent Burden'!F11</f>
        <v>300</v>
      </c>
      <c r="G7" s="90">
        <f>ROUND(E7*F7, 2)</f>
        <v>4950</v>
      </c>
      <c r="H7" s="94">
        <f>ROUND(G7*0.05, 2)</f>
        <v>247.5</v>
      </c>
      <c r="I7" s="90">
        <f>ROUND(G7*0.1, 2)</f>
        <v>495</v>
      </c>
      <c r="J7" s="95">
        <f>ROUND(G7*$G$3+H7*$H$3+I7*$I$3, 2)</f>
        <v>259083</v>
      </c>
      <c r="L7" s="5"/>
    </row>
    <row r="8" spans="2:12" s="2" customFormat="1" ht="12.75" x14ac:dyDescent="0.2">
      <c r="B8" s="93" t="s">
        <v>100</v>
      </c>
      <c r="C8" s="88">
        <v>0.5</v>
      </c>
      <c r="D8" s="89">
        <f>'Respondent Burden'!D12</f>
        <v>4</v>
      </c>
      <c r="E8" s="89">
        <f t="shared" si="0"/>
        <v>2</v>
      </c>
      <c r="F8" s="90">
        <f>'Respondent Burden'!F12</f>
        <v>300</v>
      </c>
      <c r="G8" s="90">
        <f t="shared" ref="G8:G10" si="1">ROUND(E8*F8, 2)</f>
        <v>600</v>
      </c>
      <c r="H8" s="90">
        <f t="shared" ref="H8:H18" si="2">ROUND(G8*0.05, 2)</f>
        <v>30</v>
      </c>
      <c r="I8" s="90">
        <f t="shared" ref="I8:I10" si="3">ROUND(G8*0.1, 2)</f>
        <v>60</v>
      </c>
      <c r="J8" s="95">
        <f t="shared" ref="J8:J10" si="4">ROUND(G8*$G$3+H8*$H$3+I8*$I$3, 2)</f>
        <v>31404</v>
      </c>
      <c r="L8" s="5"/>
    </row>
    <row r="9" spans="2:12" s="2" customFormat="1" ht="25.5" x14ac:dyDescent="0.2">
      <c r="B9" s="93" t="s">
        <v>162</v>
      </c>
      <c r="C9" s="88">
        <v>0.5</v>
      </c>
      <c r="D9" s="89">
        <f>'Respondent Burden'!D13</f>
        <v>1</v>
      </c>
      <c r="E9" s="89">
        <f t="shared" ref="E9" si="5">C9*D9</f>
        <v>0.5</v>
      </c>
      <c r="F9" s="90">
        <f>'Respondent Burden'!F13</f>
        <v>29</v>
      </c>
      <c r="G9" s="94">
        <f t="shared" si="1"/>
        <v>14.5</v>
      </c>
      <c r="H9" s="91">
        <f t="shared" si="2"/>
        <v>0.73</v>
      </c>
      <c r="I9" s="91">
        <f t="shared" si="3"/>
        <v>1.45</v>
      </c>
      <c r="J9" s="92">
        <f t="shared" si="4"/>
        <v>759.24</v>
      </c>
      <c r="L9" s="5"/>
    </row>
    <row r="10" spans="2:12" s="2" customFormat="1" ht="12.75" x14ac:dyDescent="0.2">
      <c r="B10" s="93" t="s">
        <v>163</v>
      </c>
      <c r="C10" s="88">
        <v>0.5</v>
      </c>
      <c r="D10" s="89">
        <f>'Respondent Burden'!D14</f>
        <v>1</v>
      </c>
      <c r="E10" s="89">
        <f t="shared" ref="E10:E18" si="6">C10*D10</f>
        <v>0.5</v>
      </c>
      <c r="F10" s="90">
        <f>'Respondent Burden'!F14</f>
        <v>3</v>
      </c>
      <c r="G10" s="94">
        <f t="shared" si="1"/>
        <v>1.5</v>
      </c>
      <c r="H10" s="91">
        <f t="shared" si="2"/>
        <v>0.08</v>
      </c>
      <c r="I10" s="91">
        <f t="shared" si="3"/>
        <v>0.15</v>
      </c>
      <c r="J10" s="92">
        <f t="shared" si="4"/>
        <v>78.819999999999993</v>
      </c>
      <c r="L10" s="5"/>
    </row>
    <row r="11" spans="2:12" s="2" customFormat="1" ht="12.75" x14ac:dyDescent="0.2">
      <c r="B11" s="87" t="s">
        <v>101</v>
      </c>
      <c r="C11" s="88"/>
      <c r="D11" s="88"/>
      <c r="E11" s="89"/>
      <c r="F11" s="90"/>
      <c r="G11" s="91"/>
      <c r="H11" s="91"/>
      <c r="I11" s="91"/>
      <c r="J11" s="92"/>
    </row>
    <row r="12" spans="2:12" s="2" customFormat="1" ht="12.75" x14ac:dyDescent="0.2">
      <c r="B12" s="93" t="s">
        <v>87</v>
      </c>
      <c r="C12" s="88">
        <v>1</v>
      </c>
      <c r="D12" s="88">
        <f>'Respondent Burden'!D18</f>
        <v>1</v>
      </c>
      <c r="E12" s="89">
        <f t="shared" si="6"/>
        <v>1</v>
      </c>
      <c r="F12" s="90">
        <f>'Respondent Burden'!F18</f>
        <v>300</v>
      </c>
      <c r="G12" s="90">
        <f t="shared" ref="G12:G18" si="7">ROUND(E12*F12, 2)</f>
        <v>300</v>
      </c>
      <c r="H12" s="90">
        <f t="shared" si="2"/>
        <v>15</v>
      </c>
      <c r="I12" s="90">
        <f t="shared" ref="I12:I18" si="8">ROUND(G12*0.1, 2)</f>
        <v>30</v>
      </c>
      <c r="J12" s="95">
        <f t="shared" ref="J12:J18" si="9">ROUND(G12*$G$3+H12*$H$3+I12*$I$3, 2)</f>
        <v>15702</v>
      </c>
      <c r="L12" s="5"/>
    </row>
    <row r="13" spans="2:12" s="2" customFormat="1" ht="12.75" x14ac:dyDescent="0.2">
      <c r="B13" s="93" t="s">
        <v>164</v>
      </c>
      <c r="C13" s="88">
        <v>1</v>
      </c>
      <c r="D13" s="88">
        <f>'Respondent Burden'!D19</f>
        <v>1</v>
      </c>
      <c r="E13" s="89">
        <f>C13*D13</f>
        <v>1</v>
      </c>
      <c r="F13" s="90">
        <f>'Respondent Burden'!F19</f>
        <v>15</v>
      </c>
      <c r="G13" s="90">
        <f>ROUND(E13*F13, 2)</f>
        <v>15</v>
      </c>
      <c r="H13" s="91">
        <f>ROUND(G13*0.05, 2)</f>
        <v>0.75</v>
      </c>
      <c r="I13" s="94">
        <f>ROUND(G13*0.1, 2)</f>
        <v>1.5</v>
      </c>
      <c r="J13" s="96">
        <f>ROUND(G13*$G$3+H13*$H$3+I13*$I$3, 2)</f>
        <v>785.1</v>
      </c>
      <c r="L13" s="5"/>
    </row>
    <row r="14" spans="2:12" s="2" customFormat="1" ht="12.75" x14ac:dyDescent="0.2">
      <c r="B14" s="93" t="s">
        <v>165</v>
      </c>
      <c r="C14" s="88">
        <v>1</v>
      </c>
      <c r="D14" s="88">
        <f>'Respondent Burden'!D20</f>
        <v>1</v>
      </c>
      <c r="E14" s="89">
        <f t="shared" si="6"/>
        <v>1</v>
      </c>
      <c r="F14" s="90">
        <f>'Respondent Burden'!F20</f>
        <v>65</v>
      </c>
      <c r="G14" s="90">
        <f t="shared" si="7"/>
        <v>65</v>
      </c>
      <c r="H14" s="91">
        <f t="shared" si="2"/>
        <v>3.25</v>
      </c>
      <c r="I14" s="94">
        <f t="shared" si="8"/>
        <v>6.5</v>
      </c>
      <c r="J14" s="96">
        <f t="shared" si="9"/>
        <v>3402.1</v>
      </c>
      <c r="L14" s="5"/>
    </row>
    <row r="15" spans="2:12" s="2" customFormat="1" ht="12.75" x14ac:dyDescent="0.2">
      <c r="B15" s="93" t="s">
        <v>166</v>
      </c>
      <c r="C15" s="88">
        <v>1</v>
      </c>
      <c r="D15" s="88">
        <f>'Respondent Burden'!D21</f>
        <v>1</v>
      </c>
      <c r="E15" s="89">
        <f t="shared" si="6"/>
        <v>1</v>
      </c>
      <c r="F15" s="90">
        <f>'Respondent Burden'!F21</f>
        <v>2095</v>
      </c>
      <c r="G15" s="90">
        <f t="shared" si="7"/>
        <v>2095</v>
      </c>
      <c r="H15" s="91">
        <f t="shared" si="2"/>
        <v>104.75</v>
      </c>
      <c r="I15" s="94">
        <f t="shared" si="8"/>
        <v>209.5</v>
      </c>
      <c r="J15" s="96">
        <f t="shared" si="9"/>
        <v>109652.3</v>
      </c>
      <c r="L15" s="5"/>
    </row>
    <row r="16" spans="2:12" s="2" customFormat="1" ht="12.75" x14ac:dyDescent="0.2">
      <c r="B16" s="93" t="s">
        <v>122</v>
      </c>
      <c r="C16" s="88">
        <v>1</v>
      </c>
      <c r="D16" s="88">
        <f>'Respondent Burden'!D22</f>
        <v>1</v>
      </c>
      <c r="E16" s="89">
        <f t="shared" si="6"/>
        <v>1</v>
      </c>
      <c r="F16" s="90">
        <f>'Respondent Burden'!F22</f>
        <v>300</v>
      </c>
      <c r="G16" s="90">
        <f t="shared" si="7"/>
        <v>300</v>
      </c>
      <c r="H16" s="90">
        <f t="shared" si="2"/>
        <v>15</v>
      </c>
      <c r="I16" s="90">
        <f t="shared" si="8"/>
        <v>30</v>
      </c>
      <c r="J16" s="95">
        <f t="shared" si="9"/>
        <v>15702</v>
      </c>
      <c r="L16" s="5"/>
    </row>
    <row r="17" spans="1:14" s="2" customFormat="1" ht="12.75" x14ac:dyDescent="0.2">
      <c r="B17" s="93" t="s">
        <v>121</v>
      </c>
      <c r="C17" s="88">
        <v>1</v>
      </c>
      <c r="D17" s="88">
        <f>'Respondent Burden'!D23</f>
        <v>1</v>
      </c>
      <c r="E17" s="89">
        <f t="shared" si="6"/>
        <v>1</v>
      </c>
      <c r="F17" s="90">
        <f>'Respondent Burden'!F23</f>
        <v>75</v>
      </c>
      <c r="G17" s="90">
        <f t="shared" si="7"/>
        <v>75</v>
      </c>
      <c r="H17" s="91">
        <f t="shared" si="2"/>
        <v>3.75</v>
      </c>
      <c r="I17" s="94">
        <f t="shared" si="8"/>
        <v>7.5</v>
      </c>
      <c r="J17" s="96">
        <f t="shared" si="9"/>
        <v>3925.5</v>
      </c>
      <c r="L17" s="5"/>
    </row>
    <row r="18" spans="1:14" s="2" customFormat="1" ht="12.75" x14ac:dyDescent="0.2">
      <c r="B18" s="93" t="s">
        <v>104</v>
      </c>
      <c r="C18" s="88">
        <v>1</v>
      </c>
      <c r="D18" s="88">
        <f>'Respondent Burden'!D24</f>
        <v>1</v>
      </c>
      <c r="E18" s="89">
        <f t="shared" si="6"/>
        <v>1</v>
      </c>
      <c r="F18" s="90">
        <f>'Respondent Burden'!F24</f>
        <v>380</v>
      </c>
      <c r="G18" s="90">
        <f t="shared" si="7"/>
        <v>380</v>
      </c>
      <c r="H18" s="90">
        <f t="shared" si="2"/>
        <v>19</v>
      </c>
      <c r="I18" s="90">
        <f t="shared" si="8"/>
        <v>38</v>
      </c>
      <c r="J18" s="96">
        <f t="shared" si="9"/>
        <v>19889.2</v>
      </c>
      <c r="L18" s="5"/>
    </row>
    <row r="19" spans="1:14" s="2" customFormat="1" ht="12.75" x14ac:dyDescent="0.2">
      <c r="B19" s="87" t="s">
        <v>102</v>
      </c>
      <c r="C19" s="88"/>
      <c r="D19" s="88"/>
      <c r="E19" s="89"/>
      <c r="F19" s="90"/>
      <c r="G19" s="91"/>
      <c r="H19" s="91"/>
      <c r="I19" s="91"/>
      <c r="J19" s="92"/>
    </row>
    <row r="20" spans="1:14" s="2" customFormat="1" ht="12.75" x14ac:dyDescent="0.2">
      <c r="B20" s="93" t="s">
        <v>103</v>
      </c>
      <c r="C20" s="89">
        <v>1</v>
      </c>
      <c r="D20" s="89">
        <f>'Respondent Burden'!D26</f>
        <v>2</v>
      </c>
      <c r="E20" s="89">
        <f>C20*D20</f>
        <v>2</v>
      </c>
      <c r="F20" s="90">
        <f>'Respondent Burden'!F26</f>
        <v>145</v>
      </c>
      <c r="G20" s="90">
        <f>ROUND(E20*F20, 2)</f>
        <v>290</v>
      </c>
      <c r="H20" s="94">
        <f>ROUND(G20*0.05, 2)</f>
        <v>14.5</v>
      </c>
      <c r="I20" s="90">
        <f>ROUND(G20*0.1, 2)</f>
        <v>29</v>
      </c>
      <c r="J20" s="96">
        <f>ROUND(G20*$G$3+H20*$H$3+I20*$I$3, 2)</f>
        <v>15178.6</v>
      </c>
      <c r="L20" s="5"/>
    </row>
    <row r="21" spans="1:14" s="2" customFormat="1" x14ac:dyDescent="0.25">
      <c r="B21" s="124" t="s">
        <v>43</v>
      </c>
      <c r="C21" s="125"/>
      <c r="D21" s="125"/>
      <c r="E21" s="125"/>
      <c r="F21" s="126"/>
      <c r="G21" s="123">
        <f>ROUND(SUM(G6:I20), -2)</f>
        <v>10400</v>
      </c>
      <c r="H21" s="123"/>
      <c r="I21" s="123"/>
      <c r="J21" s="32">
        <f>ROUND(SUM(J6:J20), -3)</f>
        <v>476000</v>
      </c>
      <c r="K21" s="34"/>
      <c r="L21" s="5" t="s">
        <v>133</v>
      </c>
      <c r="M21" s="49"/>
      <c r="N21" s="49"/>
    </row>
    <row r="22" spans="1:14" s="2" customFormat="1" ht="12.75" x14ac:dyDescent="0.2">
      <c r="B22" s="106" t="s">
        <v>150</v>
      </c>
      <c r="C22" s="33"/>
      <c r="D22" s="29"/>
      <c r="E22" s="29"/>
      <c r="F22" s="30"/>
      <c r="G22" s="34"/>
      <c r="K22" s="31"/>
    </row>
    <row r="24" spans="1:14" s="5" customFormat="1" ht="12.75" x14ac:dyDescent="0.2">
      <c r="A24" s="2"/>
      <c r="B24" s="58" t="s">
        <v>48</v>
      </c>
      <c r="C24" s="2"/>
      <c r="D24" s="2"/>
      <c r="E24" s="2"/>
      <c r="F24" s="2"/>
      <c r="G24" s="2"/>
      <c r="H24" s="2"/>
      <c r="I24" s="2"/>
      <c r="J24" s="2"/>
      <c r="M24" s="107"/>
      <c r="N24" s="107"/>
    </row>
    <row r="25" spans="1:14" s="5" customFormat="1" ht="37.5" customHeight="1" x14ac:dyDescent="0.2">
      <c r="A25" s="2"/>
      <c r="B25" s="117" t="s">
        <v>81</v>
      </c>
      <c r="C25" s="117"/>
      <c r="D25" s="117"/>
      <c r="E25" s="117"/>
      <c r="F25" s="117"/>
      <c r="G25" s="117"/>
      <c r="H25" s="117"/>
      <c r="I25" s="117"/>
      <c r="J25" s="117"/>
    </row>
    <row r="26" spans="1:14" s="5" customFormat="1" ht="26.25" customHeight="1" x14ac:dyDescent="0.2">
      <c r="A26" s="2"/>
      <c r="B26" s="116" t="s">
        <v>105</v>
      </c>
      <c r="C26" s="116"/>
      <c r="D26" s="116"/>
      <c r="E26" s="116"/>
      <c r="F26" s="116"/>
      <c r="G26" s="116"/>
      <c r="H26" s="116"/>
      <c r="I26" s="116"/>
      <c r="J26" s="116"/>
    </row>
  </sheetData>
  <mergeCells count="5">
    <mergeCell ref="B21:F21"/>
    <mergeCell ref="B4:B5"/>
    <mergeCell ref="G21:I21"/>
    <mergeCell ref="B25:J25"/>
    <mergeCell ref="B26:J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workbookViewId="0">
      <selection activeCell="C6" sqref="C6"/>
    </sheetView>
  </sheetViews>
  <sheetFormatPr defaultRowHeight="12.75" x14ac:dyDescent="0.2"/>
  <cols>
    <col min="1" max="1" width="1" style="1" customWidth="1"/>
    <col min="2" max="2" width="38.5703125" style="1" customWidth="1"/>
    <col min="3" max="3" width="12.5703125" style="1" customWidth="1"/>
    <col min="4" max="4" width="12.7109375" style="1" customWidth="1"/>
    <col min="5" max="5" width="14.42578125" style="1" customWidth="1"/>
    <col min="6" max="6" width="12.5703125" style="1" customWidth="1"/>
    <col min="7" max="11" width="12" style="1" customWidth="1"/>
    <col min="12" max="12" width="54.7109375" style="1" bestFit="1" customWidth="1"/>
    <col min="13" max="16384" width="9.140625" style="1"/>
  </cols>
  <sheetData>
    <row r="1" spans="2:9" s="5" customFormat="1" x14ac:dyDescent="0.2">
      <c r="B1" s="1"/>
      <c r="C1" s="1"/>
      <c r="D1" s="1"/>
      <c r="E1" s="1"/>
      <c r="F1" s="1"/>
      <c r="G1" s="1"/>
    </row>
    <row r="2" spans="2:9" ht="15.75" x14ac:dyDescent="0.2">
      <c r="B2" s="128" t="s">
        <v>49</v>
      </c>
      <c r="C2" s="129"/>
      <c r="D2" s="129"/>
      <c r="E2" s="129"/>
      <c r="F2" s="129"/>
      <c r="G2" s="129"/>
      <c r="H2" s="130"/>
    </row>
    <row r="3" spans="2:9" x14ac:dyDescent="0.2">
      <c r="B3" s="45" t="s">
        <v>0</v>
      </c>
      <c r="C3" s="45" t="s">
        <v>1</v>
      </c>
      <c r="D3" s="45" t="s">
        <v>2</v>
      </c>
      <c r="E3" s="45" t="s">
        <v>3</v>
      </c>
      <c r="F3" s="45" t="s">
        <v>4</v>
      </c>
      <c r="G3" s="45" t="s">
        <v>51</v>
      </c>
      <c r="H3" s="45" t="s">
        <v>53</v>
      </c>
    </row>
    <row r="4" spans="2:9" ht="41.25" x14ac:dyDescent="0.25">
      <c r="B4" s="46" t="s">
        <v>61</v>
      </c>
      <c r="C4" s="46" t="s">
        <v>50</v>
      </c>
      <c r="D4" s="46" t="s">
        <v>31</v>
      </c>
      <c r="E4" s="46" t="s">
        <v>126</v>
      </c>
      <c r="F4" s="46" t="s">
        <v>128</v>
      </c>
      <c r="G4" s="46" t="s">
        <v>52</v>
      </c>
      <c r="H4" s="46" t="s">
        <v>54</v>
      </c>
      <c r="I4" s="50" t="s">
        <v>57</v>
      </c>
    </row>
    <row r="5" spans="2:9" ht="14.25" x14ac:dyDescent="0.2">
      <c r="B5" s="46" t="s">
        <v>124</v>
      </c>
      <c r="C5" s="59">
        <v>73000</v>
      </c>
      <c r="D5" s="60">
        <v>3</v>
      </c>
      <c r="E5" s="59">
        <f>C5*D5</f>
        <v>219000</v>
      </c>
      <c r="F5" s="59">
        <v>17100</v>
      </c>
      <c r="G5" s="60">
        <f>'Respondent Burden'!F19</f>
        <v>15</v>
      </c>
      <c r="H5" s="59">
        <f>F5*G5</f>
        <v>256500</v>
      </c>
    </row>
    <row r="6" spans="2:9" ht="28.5" x14ac:dyDescent="0.2">
      <c r="B6" s="46" t="s">
        <v>127</v>
      </c>
      <c r="C6" s="59" t="s">
        <v>70</v>
      </c>
      <c r="D6" s="60">
        <v>13</v>
      </c>
      <c r="E6" s="59">
        <v>0</v>
      </c>
      <c r="F6" s="59">
        <v>804</v>
      </c>
      <c r="G6" s="60">
        <f>'Respondent Burden'!F20</f>
        <v>65</v>
      </c>
      <c r="H6" s="59">
        <f>F6*G6</f>
        <v>52260</v>
      </c>
    </row>
    <row r="7" spans="2:9" ht="28.5" x14ac:dyDescent="0.2">
      <c r="B7" s="46" t="s">
        <v>125</v>
      </c>
      <c r="C7" s="59" t="s">
        <v>70</v>
      </c>
      <c r="D7" s="60">
        <v>304</v>
      </c>
      <c r="E7" s="59">
        <v>0</v>
      </c>
      <c r="F7" s="59">
        <v>804</v>
      </c>
      <c r="G7" s="60">
        <f>'Respondent Burden'!F24*4</f>
        <v>1520</v>
      </c>
      <c r="H7" s="59">
        <f>F7*G7</f>
        <v>1222080</v>
      </c>
    </row>
    <row r="8" spans="2:9" x14ac:dyDescent="0.2">
      <c r="B8" s="46" t="s">
        <v>6</v>
      </c>
      <c r="C8" s="67"/>
      <c r="D8" s="67"/>
      <c r="E8" s="73">
        <f>SUM(E5:E7)</f>
        <v>219000</v>
      </c>
      <c r="F8" s="67"/>
      <c r="G8" s="67"/>
      <c r="H8" s="61">
        <f>SUM(H5:H7)</f>
        <v>1530840</v>
      </c>
      <c r="I8" s="11" t="s">
        <v>132</v>
      </c>
    </row>
    <row r="9" spans="2:9" x14ac:dyDescent="0.2">
      <c r="B9" s="1" t="s">
        <v>123</v>
      </c>
      <c r="C9" s="69"/>
      <c r="D9" s="69"/>
      <c r="E9" s="63"/>
      <c r="F9" s="63"/>
      <c r="G9" s="64"/>
      <c r="H9" s="63"/>
      <c r="I9" s="11"/>
    </row>
    <row r="10" spans="2:9" x14ac:dyDescent="0.2">
      <c r="B10" s="62" t="s">
        <v>62</v>
      </c>
    </row>
    <row r="12" spans="2:9" x14ac:dyDescent="0.2">
      <c r="B12" s="1" t="s">
        <v>48</v>
      </c>
    </row>
    <row r="13" spans="2:9" ht="15.75" x14ac:dyDescent="0.2">
      <c r="B13" s="86" t="s">
        <v>129</v>
      </c>
    </row>
    <row r="14" spans="2:9" ht="15.75" x14ac:dyDescent="0.2">
      <c r="B14" s="86" t="s">
        <v>130</v>
      </c>
    </row>
  </sheetData>
  <mergeCells count="1">
    <mergeCell ref="B2:H2"/>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Respondents</vt:lpstr>
      <vt:lpstr># Responses</vt:lpstr>
      <vt:lpstr>Respondent Burden</vt:lpstr>
      <vt:lpstr>Agency Burden</vt:lpstr>
      <vt:lpstr>Capital &amp; O&amp;M</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Courtney Kerwin</cp:lastModifiedBy>
  <dcterms:created xsi:type="dcterms:W3CDTF">2014-10-21T14:07:44Z</dcterms:created>
  <dcterms:modified xsi:type="dcterms:W3CDTF">2015-09-12T01:39:55Z</dcterms:modified>
</cp:coreProperties>
</file>