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ULES\Part 73 Enhanced weapons\SPRM#2\ROCIS\"/>
    </mc:Choice>
  </mc:AlternateContent>
  <bookViews>
    <workbookView xWindow="0" yWindow="60" windowWidth="19320" windowHeight="7740" tabRatio="831" firstSheet="4" activeTab="9"/>
  </bookViews>
  <sheets>
    <sheet name="Overall Rule Totals" sheetId="11" r:id="rId1"/>
    <sheet name="Pt 73 1x reporting" sheetId="1" r:id="rId2"/>
    <sheet name="Pt 73 reporting" sheetId="2" r:id="rId3"/>
    <sheet name="Pt 73 3rd party" sheetId="3" r:id="rId4"/>
    <sheet name="Pt 73 1x rkeeping" sheetId="10" r:id="rId5"/>
    <sheet name="Pt 73 rkeeping" sheetId="4" r:id="rId6"/>
    <sheet name="Part 73 total" sheetId="5" r:id="rId7"/>
    <sheet name="Form 754 1x reporting" sheetId="6" r:id="rId8"/>
    <sheet name="Form 754 reporting" sheetId="7" r:id="rId9"/>
    <sheet name="Form 754 rkeeping" sheetId="8" r:id="rId10"/>
    <sheet name="Form 754 Total" sheetId="9" r:id="rId11"/>
    <sheet name="Government Costs" sheetId="12" r:id="rId12"/>
  </sheets>
  <calcPr calcId="152511"/>
</workbook>
</file>

<file path=xl/calcChain.xml><?xml version="1.0" encoding="utf-8"?>
<calcChain xmlns="http://schemas.openxmlformats.org/spreadsheetml/2006/main">
  <c r="F16" i="5" l="1"/>
  <c r="B10" i="12" l="1"/>
  <c r="B7" i="12"/>
  <c r="D6" i="12"/>
  <c r="E6" i="12" s="1"/>
  <c r="C6" i="12"/>
  <c r="C7" i="12" s="1"/>
  <c r="D5" i="12"/>
  <c r="E5" i="12" s="1"/>
  <c r="C5" i="12"/>
  <c r="B12" i="12" l="1"/>
  <c r="E7" i="12"/>
  <c r="D7" i="12"/>
  <c r="B6" i="11" l="1"/>
  <c r="B12" i="11"/>
  <c r="B19" i="11" l="1"/>
  <c r="F2" i="10" l="1"/>
  <c r="F3" i="10" s="1"/>
  <c r="F4" i="10" s="1"/>
  <c r="D6" i="11" s="1"/>
  <c r="E2" i="10"/>
  <c r="E3" i="10" s="1"/>
  <c r="E4" i="10" s="1"/>
  <c r="C6" i="11" s="1"/>
  <c r="B4" i="9"/>
  <c r="F2" i="8"/>
  <c r="G2" i="8" s="1"/>
  <c r="G2" i="7"/>
  <c r="G4" i="7" s="1"/>
  <c r="E2" i="7"/>
  <c r="E4" i="7" s="1"/>
  <c r="E2" i="6"/>
  <c r="E4" i="6" s="1"/>
  <c r="E5" i="6" s="1"/>
  <c r="B4" i="5"/>
  <c r="F7" i="4"/>
  <c r="F6" i="4"/>
  <c r="G6" i="4" s="1"/>
  <c r="F2" i="4"/>
  <c r="G2" i="4" s="1"/>
  <c r="G3" i="3"/>
  <c r="E3" i="3"/>
  <c r="E2" i="3"/>
  <c r="G2" i="3" s="1"/>
  <c r="H2" i="3" s="1"/>
  <c r="G29" i="2"/>
  <c r="H29" i="2" s="1"/>
  <c r="E29" i="2"/>
  <c r="E24" i="2"/>
  <c r="G24" i="2" s="1"/>
  <c r="H24" i="2" s="1"/>
  <c r="E25" i="2"/>
  <c r="G25" i="2" s="1"/>
  <c r="H25" i="2" s="1"/>
  <c r="E23" i="2"/>
  <c r="G23" i="2" s="1"/>
  <c r="H23" i="2" s="1"/>
  <c r="G21" i="2"/>
  <c r="H21" i="2" s="1"/>
  <c r="E21" i="2"/>
  <c r="G19" i="2"/>
  <c r="E19" i="2"/>
  <c r="E14" i="2"/>
  <c r="G14" i="2" s="1"/>
  <c r="H14" i="2" s="1"/>
  <c r="E7" i="2"/>
  <c r="G7" i="2" s="1"/>
  <c r="H7" i="2" s="1"/>
  <c r="E4" i="2"/>
  <c r="G4" i="2" s="1"/>
  <c r="H4" i="2" s="1"/>
  <c r="E27" i="1"/>
  <c r="G27" i="1" s="1"/>
  <c r="E20" i="1"/>
  <c r="G20" i="1" s="1"/>
  <c r="H20" i="1" s="1"/>
  <c r="E16" i="1"/>
  <c r="E15" i="1"/>
  <c r="G15" i="1" s="1"/>
  <c r="H15" i="1" s="1"/>
  <c r="E9" i="1"/>
  <c r="G9" i="1" s="1"/>
  <c r="H9" i="1" s="1"/>
  <c r="E5" i="1"/>
  <c r="G5" i="1" s="1"/>
  <c r="H5" i="1" s="1"/>
  <c r="E2" i="1"/>
  <c r="H3" i="3" l="1"/>
  <c r="H4" i="3" s="1"/>
  <c r="G4" i="3"/>
  <c r="C13" i="11" s="1"/>
  <c r="D13" i="11" s="1"/>
  <c r="B26" i="11"/>
  <c r="B3" i="9"/>
  <c r="B5" i="9" s="1"/>
  <c r="G2" i="1"/>
  <c r="E29" i="1"/>
  <c r="E30" i="1" s="1"/>
  <c r="B5" i="11" s="1"/>
  <c r="B7" i="11" s="1"/>
  <c r="F3" i="8"/>
  <c r="C4" i="9" s="1"/>
  <c r="G3" i="8"/>
  <c r="H2" i="7"/>
  <c r="H4" i="7" s="1"/>
  <c r="G2" i="6"/>
  <c r="F8" i="4"/>
  <c r="C5" i="5"/>
  <c r="E4" i="3"/>
  <c r="E30" i="2"/>
  <c r="G30" i="2"/>
  <c r="C11" i="11" s="1"/>
  <c r="H27" i="1"/>
  <c r="H19" i="2"/>
  <c r="H30" i="2" s="1"/>
  <c r="D11" i="11" s="1"/>
  <c r="G7" i="4"/>
  <c r="G8" i="4" s="1"/>
  <c r="D12" i="11" s="1"/>
  <c r="D19" i="11" s="1"/>
  <c r="H2" i="1"/>
  <c r="G16" i="1"/>
  <c r="H16" i="1" s="1"/>
  <c r="B3" i="5" l="1"/>
  <c r="B25" i="11" s="1"/>
  <c r="B28" i="11" s="1"/>
  <c r="B11" i="11"/>
  <c r="C27" i="11"/>
  <c r="D27" i="11" s="1"/>
  <c r="D5" i="5"/>
  <c r="C14" i="11"/>
  <c r="C4" i="5"/>
  <c r="C12" i="11"/>
  <c r="C19" i="11" s="1"/>
  <c r="F4" i="9"/>
  <c r="H13" i="11"/>
  <c r="J13" i="11" s="1"/>
  <c r="D4" i="9"/>
  <c r="D14" i="11"/>
  <c r="B5" i="5"/>
  <c r="B27" i="11" s="1"/>
  <c r="B13" i="11"/>
  <c r="G4" i="6"/>
  <c r="G5" i="6" s="1"/>
  <c r="C3" i="9" s="1"/>
  <c r="H2" i="6"/>
  <c r="H4" i="6" s="1"/>
  <c r="H5" i="6" s="1"/>
  <c r="B6" i="5"/>
  <c r="G29" i="1"/>
  <c r="G30" i="1" s="1"/>
  <c r="C5" i="11" s="1"/>
  <c r="C7" i="11" s="1"/>
  <c r="F4" i="5" l="1"/>
  <c r="C26" i="11"/>
  <c r="D26" i="11" s="1"/>
  <c r="H12" i="11"/>
  <c r="J12" i="11" s="1"/>
  <c r="D4" i="5"/>
  <c r="C18" i="11"/>
  <c r="B14" i="11"/>
  <c r="B20" i="11" s="1"/>
  <c r="B18" i="11"/>
  <c r="C5" i="9"/>
  <c r="D5" i="9" s="1"/>
  <c r="D3" i="9"/>
  <c r="C20" i="11"/>
  <c r="G20" i="11" s="1"/>
  <c r="H29" i="1"/>
  <c r="C3" i="5"/>
  <c r="H30" i="1"/>
  <c r="D5" i="11" s="1"/>
  <c r="C6" i="5" l="1"/>
  <c r="D6" i="5" s="1"/>
  <c r="C25" i="11"/>
  <c r="D3" i="5"/>
  <c r="D7" i="11"/>
  <c r="D20" i="11" s="1"/>
  <c r="D18" i="11"/>
  <c r="C28" i="11" l="1"/>
  <c r="D28" i="11" s="1"/>
  <c r="D25" i="11"/>
</calcChain>
</file>

<file path=xl/sharedStrings.xml><?xml version="1.0" encoding="utf-8"?>
<sst xmlns="http://schemas.openxmlformats.org/spreadsheetml/2006/main" count="311" uniqueCount="180">
  <si>
    <t>Requirement</t>
  </si>
  <si>
    <t>Description</t>
  </si>
  <si>
    <t>No. of Respondents</t>
  </si>
  <si>
    <t xml:space="preserve"> Responses per Respondent</t>
  </si>
  <si>
    <t xml:space="preserve">Number of Responses </t>
  </si>
  <si>
    <t>Burden Hours per Response</t>
  </si>
  <si>
    <t>Total Annual Burden Hours</t>
  </si>
  <si>
    <t xml:space="preserve"> Cost at $279/hr </t>
  </si>
  <si>
    <t>73.18(b)</t>
  </si>
  <si>
    <t>Requirement to apply for Section 161A authorities</t>
  </si>
  <si>
    <t>73.18(d)(2)</t>
  </si>
  <si>
    <t>Preemption authority applications in writing</t>
  </si>
  <si>
    <t>Burden shown under Section 73.18(b)</t>
  </si>
  <si>
    <t>73.18(d)(4)</t>
  </si>
  <si>
    <t>Notice of completion of firearms background checks for preemption authority application</t>
  </si>
  <si>
    <t>73.18(e)(2)</t>
  </si>
  <si>
    <t>Combined preemption and enhanced weapons authority applications in writing</t>
  </si>
  <si>
    <t>73.18(e)(3)</t>
  </si>
  <si>
    <t>Contents of combined preemption and enhanced weapons authority application</t>
  </si>
  <si>
    <t>Burden shown under Section 73.18(e)(2)</t>
  </si>
  <si>
    <t>73.18(e)(5)</t>
  </si>
  <si>
    <t>Notice of completion of firearms background checks for combined preemption and enhanced weapons authority application</t>
  </si>
  <si>
    <t>73.18(e)(7)</t>
  </si>
  <si>
    <t>Applications to change type, caliber, or quantity of enhanced weapons</t>
  </si>
  <si>
    <t>73.18(f)(1)</t>
  </si>
  <si>
    <t xml:space="preserve">Updated physical security plans, training and qualification plans, safeguards contingency plans, and safety assessments </t>
  </si>
  <si>
    <t>73.18(f)(2)(i)</t>
  </si>
  <si>
    <t>Identify types of models, calibers, and numbers of enhanced weapons used</t>
  </si>
  <si>
    <t>Burden shown under Section 73.18(f)(1)(i)</t>
  </si>
  <si>
    <t>73.18(f)(2)(ii)</t>
  </si>
  <si>
    <t>Updated training and qualification plan for use of enhanced weapons</t>
  </si>
  <si>
    <t>73.18(f)(2)(iii)</t>
  </si>
  <si>
    <t>Updated safeguards contingency plan for use of enhanced weapons</t>
  </si>
  <si>
    <t>73.18(f)(2)(iv)</t>
  </si>
  <si>
    <t>Updated safety assessment for use of enhanced weapons</t>
  </si>
  <si>
    <t>73.18(f)(3)</t>
  </si>
  <si>
    <t>Updated training and qualification plan on possessing, storing, maintaining, qualifying on, and using enhanced weapons</t>
  </si>
  <si>
    <t>73.18(s)(3)</t>
  </si>
  <si>
    <t>Updating procedures, instructions, and training material to transition from requirements under the order to the requirements of § 73.18</t>
  </si>
  <si>
    <t>73.18(s)(4)</t>
  </si>
  <si>
    <t>Notifying the NRC of completed transition from an order to the requirements of § 73.18</t>
  </si>
  <si>
    <t>73.19(b)(1)</t>
  </si>
  <si>
    <t>Develop Firearms Background Check Plan</t>
  </si>
  <si>
    <t>73.19(d)(1)</t>
  </si>
  <si>
    <t>Requirement for fingerprint checks</t>
  </si>
  <si>
    <t>Burden shown under Section 73.19(b)(1)</t>
  </si>
  <si>
    <t>73.19(d)(2)</t>
  </si>
  <si>
    <t>Requirement for checks using the NICS system</t>
  </si>
  <si>
    <t>73.19(e)(1)</t>
  </si>
  <si>
    <t>Firearms Background submittals in accordance with §73.4</t>
  </si>
  <si>
    <t>73.19(j)</t>
  </si>
  <si>
    <t>Tranining on disqualifying events and status</t>
  </si>
  <si>
    <t>73.19(k)(1)</t>
  </si>
  <si>
    <t>Submission of standard fingerprint card</t>
  </si>
  <si>
    <t>73.19(k)(2)</t>
  </si>
  <si>
    <t>Purpose of fingerprint check for firearms background check</t>
  </si>
  <si>
    <t>73.19(k)(3)</t>
  </si>
  <si>
    <t>Procedures for quality finger print card submission</t>
  </si>
  <si>
    <t>Burden shown under Section 73.19(i)</t>
  </si>
  <si>
    <t>73.19(k)(4)</t>
  </si>
  <si>
    <t>Resubmission of fingerprint cards that contain omissions or evident errors</t>
  </si>
  <si>
    <t>73.19(p)</t>
  </si>
  <si>
    <t>Training on and process for delayed or denied NICS responses</t>
  </si>
  <si>
    <t>73.19(q)</t>
  </si>
  <si>
    <t xml:space="preserve">System to protect the records and personal information </t>
  </si>
  <si>
    <t>73.19(r)(1)</t>
  </si>
  <si>
    <t>Update procedures, instructions, and training material to transition from orders to the final rule</t>
  </si>
  <si>
    <t>73.19(r)(4)</t>
  </si>
  <si>
    <t>Notify the NRC of complete transition from orders to the final rule</t>
  </si>
  <si>
    <t>TOTAL</t>
  </si>
  <si>
    <t>ANNUALIZED TOTAL</t>
  </si>
  <si>
    <t>73.18(k)</t>
  </si>
  <si>
    <t>Notifications of adverse ATF findings or notices</t>
  </si>
  <si>
    <t>Burden shown under Section 73.71(h)</t>
  </si>
  <si>
    <t>73.18(p)</t>
  </si>
  <si>
    <t>Notification of lost or stolen enhanced weapon</t>
  </si>
  <si>
    <t>Burden shown under Section 73.71(g)</t>
  </si>
  <si>
    <t>73.18(r)(1)</t>
  </si>
  <si>
    <t>Applications to terminate Section 161A authorities</t>
  </si>
  <si>
    <t>73.18(r)(2)</t>
  </si>
  <si>
    <t>Applications to modify combined preemption and enhanced weapons authority</t>
  </si>
  <si>
    <t>Burden shown under Section 73.18(r)(1)</t>
  </si>
  <si>
    <t>73.18(r)(4)</t>
  </si>
  <si>
    <t>Re-applications for Section 161A authority after termination, suspension or revocation.</t>
  </si>
  <si>
    <t>73.19(b)(5-9)</t>
  </si>
  <si>
    <t>Permission to initiate Firarms Background Checks</t>
  </si>
  <si>
    <t>73.19(b)(12)</t>
  </si>
  <si>
    <t>Break-in-service Firearms Background Checks</t>
  </si>
  <si>
    <t>73.19(g)</t>
  </si>
  <si>
    <t>Notification of personnel removed from duties requiring access to covered weapons</t>
  </si>
  <si>
    <t>73.19(h)</t>
  </si>
  <si>
    <t>Notification of disqualifying events or status</t>
  </si>
  <si>
    <t>73.71(a)*</t>
  </si>
  <si>
    <t>Notification of an imminent or actual physical threat</t>
  </si>
  <si>
    <t>73.71(b)*</t>
  </si>
  <si>
    <t>Notification of an imminent or actual threat against a shipment of SNM fuel, HLW, or SSNM</t>
  </si>
  <si>
    <t>Burden shown under Section 73.71(a)</t>
  </si>
  <si>
    <t>73.71(c)*</t>
  </si>
  <si>
    <t>Notification of a safeguards event</t>
  </si>
  <si>
    <t>73.71(d)*</t>
  </si>
  <si>
    <t>Notification of a loss, actual or attempted sabotage, actual or attempted theft, or recovery or accounting of SNM during it’s shipment</t>
  </si>
  <si>
    <t>Burden shown under Section 73.71(c)</t>
  </si>
  <si>
    <t>73.71(e)*</t>
  </si>
  <si>
    <t xml:space="preserve">Notification of events that indicate pre-operational surveillance, reconnaissance, or intelligence gathering activities </t>
  </si>
  <si>
    <t>73.71(f)*</t>
  </si>
  <si>
    <t>Notification of unauthorized operation or tampering events</t>
  </si>
  <si>
    <t>73.71(g)</t>
  </si>
  <si>
    <t>73.71(h)</t>
  </si>
  <si>
    <t>Notification after receipt of an advise inspection, enforcement action, or other adverse notice from the ATF</t>
  </si>
  <si>
    <t>73.71(j)(1)*</t>
  </si>
  <si>
    <t>Notification by telephone after receipt of an advise inspection, enforcement action, or other adverse notice from the ATF</t>
  </si>
  <si>
    <t>Burden shown under Section 73.71(m)</t>
  </si>
  <si>
    <t>73.71(j)(8)*</t>
  </si>
  <si>
    <t>Notification by telephone to retract a security event report</t>
  </si>
  <si>
    <t>73.71(m)(1)*</t>
  </si>
  <si>
    <t>Submission of written report following security event notification</t>
  </si>
  <si>
    <t>Number of Recordkeepers</t>
  </si>
  <si>
    <t>Number of Records per Recordkeeper</t>
  </si>
  <si>
    <t>Burden Hours Per Recordkeeper</t>
  </si>
  <si>
    <t>73.18(o)</t>
  </si>
  <si>
    <t>Periodic inventories of enhanced weapons</t>
  </si>
  <si>
    <t>73.18(o)(2)</t>
  </si>
  <si>
    <t>Maintain records of periodic inventories</t>
  </si>
  <si>
    <t>Burden shown under Section 73.18(o)</t>
  </si>
  <si>
    <t>73.18(o)(8)</t>
  </si>
  <si>
    <t>Maintain log of tamper indicating devices</t>
  </si>
  <si>
    <t>73.18(q) – (L)</t>
  </si>
  <si>
    <t>Records of receipt, transfer, and transportation of enhanced weapons</t>
  </si>
  <si>
    <t>73.71(k)*– (L)</t>
  </si>
  <si>
    <t>Maintain a Safeguards Event Log</t>
  </si>
  <si>
    <t>73.71(m)(1)*– (L)</t>
  </si>
  <si>
    <t>Reporting</t>
  </si>
  <si>
    <t>Recordkeeping</t>
  </si>
  <si>
    <t>3rd Party</t>
  </si>
  <si>
    <t>Responses</t>
  </si>
  <si>
    <t>Hours</t>
  </si>
  <si>
    <t>Total</t>
  </si>
  <si>
    <t>Part 73 Enhanced Weapons Proposed Rule Totals</t>
  </si>
  <si>
    <t>Section</t>
  </si>
  <si>
    <t>Total Burden Hours</t>
  </si>
  <si>
    <t>Cost at $279/hr</t>
  </si>
  <si>
    <t>Firearms Background submittals in accordance with § 73.4</t>
  </si>
  <si>
    <t>73.19(n)(2)</t>
  </si>
  <si>
    <t>Forwarding NICS result to security personnel</t>
  </si>
  <si>
    <t>Burden shown under Section 73.19(e)(1)</t>
  </si>
  <si>
    <t>Firearms Background submittals in accordance with § 73.4</t>
  </si>
  <si>
    <t>No. of Recordkeepers</t>
  </si>
  <si>
    <t xml:space="preserve"> No. of Records per Recordkeeper</t>
  </si>
  <si>
    <t>Burden Hours per Recordkeeper</t>
  </si>
  <si>
    <t>73.19(e)(4) – (CW+1)</t>
  </si>
  <si>
    <t>Retain copies of Form 754 submittals</t>
  </si>
  <si>
    <t>NRC Form 754 Totals</t>
  </si>
  <si>
    <t>Annualized total</t>
  </si>
  <si>
    <t>Burden shown under Section 73.18(s)(4)</t>
  </si>
  <si>
    <t>Training on disqualifying events and status</t>
  </si>
  <si>
    <t>Overall Totals</t>
  </si>
  <si>
    <t>Annual Reporting</t>
  </si>
  <si>
    <t># recordkeepers total</t>
  </si>
  <si>
    <t>Burden</t>
  </si>
  <si>
    <t>Cost @$279/hr</t>
  </si>
  <si>
    <t>recordkeeping</t>
  </si>
  <si>
    <t>One-Time</t>
  </si>
  <si>
    <t>Annual</t>
  </si>
  <si>
    <t>Reporting (annualized)</t>
  </si>
  <si>
    <t>Combined</t>
  </si>
  <si>
    <t>reporting</t>
  </si>
  <si>
    <t>Calculations for the text:  Sections 12 and 13.</t>
  </si>
  <si>
    <t>Recordkeeping Storage</t>
  </si>
  <si>
    <t>Part 73</t>
  </si>
  <si>
    <t>Form 754</t>
  </si>
  <si>
    <t>Factor</t>
  </si>
  <si>
    <t>2011 proposed rule Supporting Statement</t>
  </si>
  <si>
    <t>Burden scaled to 10 enhanced weapons respondents</t>
  </si>
  <si>
    <t xml:space="preserve">review the required reports and records, and perform onsite inventory inspections </t>
  </si>
  <si>
    <t>annual cost to perform 752 onsite inventory inspections</t>
  </si>
  <si>
    <t>Fraction of annual to overall costs</t>
  </si>
  <si>
    <t>Total Burden for Enhanced Weapons Proposed Rule</t>
  </si>
  <si>
    <t>Third Party</t>
  </si>
  <si>
    <t>total*</t>
  </si>
  <si>
    <t>*Note that 10 recordkeepers were counted only once in the total number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</si>
</sst>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  <numFmt numFmtId="167" formatCode="#,##0.0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6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0" fillId="0" borderId="9" xfId="0" applyNumberFormat="1" applyBorder="1"/>
    <xf numFmtId="0" fontId="0" fillId="0" borderId="9" xfId="0" applyBorder="1"/>
    <xf numFmtId="3" fontId="1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6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3" fontId="0" fillId="0" borderId="0" xfId="0" applyNumberFormat="1"/>
    <xf numFmtId="165" fontId="7" fillId="0" borderId="10" xfId="0" applyNumberFormat="1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/>
    </xf>
    <xf numFmtId="0" fontId="0" fillId="0" borderId="0" xfId="0" applyFill="1" applyBorder="1"/>
    <xf numFmtId="1" fontId="0" fillId="0" borderId="0" xfId="0" applyNumberFormat="1"/>
    <xf numFmtId="0" fontId="1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6" fontId="3" fillId="0" borderId="9" xfId="0" applyNumberFormat="1" applyFont="1" applyBorder="1" applyAlignment="1">
      <alignment horizontal="center" vertical="center"/>
    </xf>
    <xf numFmtId="6" fontId="2" fillId="0" borderId="9" xfId="0" applyNumberFormat="1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3" fontId="8" fillId="0" borderId="9" xfId="0" applyNumberFormat="1" applyFont="1" applyBorder="1" applyAlignment="1">
      <alignment horizontal="center" vertical="center"/>
    </xf>
    <xf numFmtId="5" fontId="8" fillId="0" borderId="9" xfId="1" applyNumberFormat="1" applyFont="1" applyBorder="1" applyAlignment="1">
      <alignment horizontal="center" vertical="center"/>
    </xf>
    <xf numFmtId="5" fontId="0" fillId="0" borderId="0" xfId="0" applyNumberFormat="1"/>
    <xf numFmtId="0" fontId="0" fillId="0" borderId="0" xfId="0" applyFont="1" applyAlignment="1">
      <alignment horizontal="right"/>
    </xf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6" fontId="10" fillId="0" borderId="9" xfId="0" applyNumberFormat="1" applyFont="1" applyBorder="1" applyAlignment="1">
      <alignment horizontal="right" vertical="center"/>
    </xf>
    <xf numFmtId="6" fontId="9" fillId="0" borderId="9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/>
    </xf>
    <xf numFmtId="167" fontId="1" fillId="0" borderId="9" xfId="0" applyNumberFormat="1" applyFont="1" applyBorder="1"/>
    <xf numFmtId="167" fontId="0" fillId="0" borderId="11" xfId="0" applyNumberFormat="1" applyFont="1" applyBorder="1" applyAlignment="1">
      <alignment horizontal="right"/>
    </xf>
    <xf numFmtId="167" fontId="0" fillId="0" borderId="9" xfId="0" applyNumberFormat="1" applyFont="1" applyBorder="1" applyAlignment="1">
      <alignment horizontal="right"/>
    </xf>
    <xf numFmtId="167" fontId="1" fillId="0" borderId="9" xfId="0" applyNumberFormat="1" applyFont="1" applyBorder="1" applyAlignment="1">
      <alignment horizontal="right"/>
    </xf>
    <xf numFmtId="167" fontId="0" fillId="0" borderId="9" xfId="0" applyNumberFormat="1" applyBorder="1"/>
    <xf numFmtId="4" fontId="1" fillId="0" borderId="9" xfId="0" applyNumberFormat="1" applyFont="1" applyBorder="1" applyAlignment="1">
      <alignment horizontal="right"/>
    </xf>
    <xf numFmtId="4" fontId="1" fillId="0" borderId="9" xfId="0" applyNumberFormat="1" applyFont="1" applyBorder="1"/>
    <xf numFmtId="0" fontId="1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8"/>
  <sheetViews>
    <sheetView workbookViewId="0">
      <selection activeCell="B27" sqref="B27"/>
    </sheetView>
  </sheetViews>
  <sheetFormatPr defaultRowHeight="13.8" x14ac:dyDescent="0.25"/>
  <cols>
    <col min="1" max="1" width="24" customWidth="1"/>
    <col min="2" max="2" width="10.5" customWidth="1"/>
    <col min="4" max="4" width="12.69921875" customWidth="1"/>
    <col min="10" max="10" width="14.09765625" customWidth="1"/>
  </cols>
  <sheetData>
    <row r="1" spans="1:10" x14ac:dyDescent="0.25">
      <c r="A1" t="s">
        <v>166</v>
      </c>
    </row>
    <row r="3" spans="1:10" x14ac:dyDescent="0.25">
      <c r="A3" t="s">
        <v>161</v>
      </c>
    </row>
    <row r="4" spans="1:10" x14ac:dyDescent="0.25">
      <c r="B4" s="48" t="s">
        <v>134</v>
      </c>
      <c r="C4" s="48" t="s">
        <v>158</v>
      </c>
      <c r="D4" s="49" t="s">
        <v>159</v>
      </c>
    </row>
    <row r="5" spans="1:10" x14ac:dyDescent="0.25">
      <c r="A5" s="35" t="s">
        <v>163</v>
      </c>
      <c r="B5" s="34">
        <f>'Pt 73 1x reporting'!E30+'Form 754 1x reporting'!E5</f>
        <v>1686.6666666666667</v>
      </c>
      <c r="C5" s="34">
        <f>'Pt 73 1x reporting'!G30+'Form 754 1x reporting'!G5</f>
        <v>12950</v>
      </c>
      <c r="D5" s="34">
        <f>'Pt 73 1x reporting'!H30+'Form 754 1x reporting'!H5</f>
        <v>3613050</v>
      </c>
    </row>
    <row r="6" spans="1:10" x14ac:dyDescent="0.25">
      <c r="A6" s="35" t="s">
        <v>160</v>
      </c>
      <c r="B6">
        <f>'Pt 73 1x rkeeping'!C4</f>
        <v>10</v>
      </c>
      <c r="C6" s="51">
        <f>'Pt 73 1x rkeeping'!E4</f>
        <v>1333.3333333333333</v>
      </c>
      <c r="D6">
        <f>'Pt 73 1x rkeeping'!F4</f>
        <v>372000</v>
      </c>
    </row>
    <row r="7" spans="1:10" x14ac:dyDescent="0.25">
      <c r="A7" s="38" t="s">
        <v>155</v>
      </c>
      <c r="B7" s="36">
        <f>B6+B5</f>
        <v>1696.6666666666667</v>
      </c>
      <c r="C7" s="36">
        <f>C6+C5</f>
        <v>14283.333333333334</v>
      </c>
      <c r="D7" s="36">
        <f>D6+D5</f>
        <v>3985050</v>
      </c>
      <c r="G7" t="s">
        <v>157</v>
      </c>
      <c r="I7">
        <v>133</v>
      </c>
    </row>
    <row r="9" spans="1:10" x14ac:dyDescent="0.25">
      <c r="A9" t="s">
        <v>162</v>
      </c>
      <c r="G9" t="s">
        <v>167</v>
      </c>
    </row>
    <row r="11" spans="1:10" x14ac:dyDescent="0.25">
      <c r="A11" s="35" t="s">
        <v>156</v>
      </c>
      <c r="B11" s="34">
        <f>'Pt 73 reporting'!E30+'Form 754 reporting'!E4</f>
        <v>2195.8000000000002</v>
      </c>
      <c r="C11" s="34">
        <f>'Pt 73 reporting'!G30+'Form 754 reporting'!G4</f>
        <v>24312.1</v>
      </c>
      <c r="D11" s="34">
        <f>'Pt 73 reporting'!H30+'Form 754 reporting'!H4</f>
        <v>6783075.9000000004</v>
      </c>
      <c r="G11" s="35"/>
      <c r="H11" s="35" t="s">
        <v>158</v>
      </c>
      <c r="I11" s="35" t="s">
        <v>170</v>
      </c>
      <c r="J11" s="35" t="s">
        <v>159</v>
      </c>
    </row>
    <row r="12" spans="1:10" x14ac:dyDescent="0.25">
      <c r="A12" s="50" t="s">
        <v>160</v>
      </c>
      <c r="B12" s="35">
        <f>'Pt 73 rkeeping'!C$8+'Form 754 rkeeping'!C$3</f>
        <v>143</v>
      </c>
      <c r="C12" s="34">
        <f>'Pt 73 rkeeping'!F$8+'Form 754 rkeeping'!F$3</f>
        <v>9041</v>
      </c>
      <c r="D12" s="34">
        <f>'Pt 73 rkeeping'!G$8+'Form 754 rkeeping'!G$3</f>
        <v>2522439</v>
      </c>
      <c r="G12" s="35" t="s">
        <v>168</v>
      </c>
      <c r="H12" s="34">
        <f>'Part 73 total'!C4</f>
        <v>10034.333333333334</v>
      </c>
      <c r="I12" s="35">
        <v>4.0000000000000002E-4</v>
      </c>
      <c r="J12" s="35">
        <f>I12*H12</f>
        <v>4.0137333333333336</v>
      </c>
    </row>
    <row r="13" spans="1:10" x14ac:dyDescent="0.25">
      <c r="A13" s="50" t="s">
        <v>177</v>
      </c>
      <c r="B13" s="35">
        <f>'Pt 73 3rd party'!E4</f>
        <v>60</v>
      </c>
      <c r="C13" s="34">
        <f>'Pt 73 3rd party'!G4</f>
        <v>270</v>
      </c>
      <c r="D13" s="34">
        <f>C13*279</f>
        <v>75330</v>
      </c>
      <c r="G13" s="35" t="s">
        <v>169</v>
      </c>
      <c r="H13" s="34">
        <f>'Form 754 Total'!C4</f>
        <v>340</v>
      </c>
      <c r="I13" s="35">
        <v>4.0000000000000002E-4</v>
      </c>
      <c r="J13" s="35">
        <f>I13*H13</f>
        <v>0.13600000000000001</v>
      </c>
    </row>
    <row r="14" spans="1:10" x14ac:dyDescent="0.25">
      <c r="A14" s="38" t="s">
        <v>155</v>
      </c>
      <c r="B14" s="36">
        <f>SUM(B11:B13)</f>
        <v>2398.8000000000002</v>
      </c>
      <c r="C14" s="36">
        <f t="shared" ref="C14:D14" si="0">SUM(C11:C13)</f>
        <v>33623.1</v>
      </c>
      <c r="D14" s="36">
        <f t="shared" si="0"/>
        <v>9380844.9000000004</v>
      </c>
    </row>
    <row r="17" spans="1:7" x14ac:dyDescent="0.25">
      <c r="A17" t="s">
        <v>164</v>
      </c>
    </row>
    <row r="18" spans="1:7" x14ac:dyDescent="0.25">
      <c r="A18" s="35" t="s">
        <v>165</v>
      </c>
      <c r="B18" s="34">
        <f t="shared" ref="B18:D19" si="1">B11+B5</f>
        <v>3882.4666666666672</v>
      </c>
      <c r="C18" s="34">
        <f t="shared" si="1"/>
        <v>37262.1</v>
      </c>
      <c r="D18" s="34">
        <f t="shared" si="1"/>
        <v>10396125.9</v>
      </c>
    </row>
    <row r="19" spans="1:7" x14ac:dyDescent="0.25">
      <c r="A19" s="35" t="s">
        <v>160</v>
      </c>
      <c r="B19" s="34">
        <f t="shared" si="1"/>
        <v>153</v>
      </c>
      <c r="C19" s="34">
        <f t="shared" si="1"/>
        <v>10374.333333333334</v>
      </c>
      <c r="D19" s="34">
        <f t="shared" si="1"/>
        <v>2894439</v>
      </c>
      <c r="G19" t="s">
        <v>175</v>
      </c>
    </row>
    <row r="20" spans="1:7" x14ac:dyDescent="0.25">
      <c r="A20" s="38" t="s">
        <v>178</v>
      </c>
      <c r="B20" s="36">
        <f>B14+B7-10</f>
        <v>4085.4666666666672</v>
      </c>
      <c r="C20" s="36">
        <f>C14+C7</f>
        <v>47906.433333333334</v>
      </c>
      <c r="D20" s="36">
        <f>D14+D7</f>
        <v>13365894.9</v>
      </c>
      <c r="G20">
        <f>C14/C20</f>
        <v>0.70184936887390903</v>
      </c>
    </row>
    <row r="21" spans="1:7" x14ac:dyDescent="0.25">
      <c r="A21" s="50" t="s">
        <v>179</v>
      </c>
      <c r="B21" s="47"/>
      <c r="C21" s="47"/>
      <c r="D21" s="47"/>
    </row>
    <row r="23" spans="1:7" ht="32.25" customHeight="1" x14ac:dyDescent="0.25">
      <c r="A23" s="63"/>
      <c r="B23" s="79" t="s">
        <v>176</v>
      </c>
      <c r="C23" s="79"/>
      <c r="D23" s="79"/>
    </row>
    <row r="24" spans="1:7" ht="27.6" x14ac:dyDescent="0.25">
      <c r="A24" s="63"/>
      <c r="B24" s="37" t="s">
        <v>134</v>
      </c>
      <c r="C24" s="52" t="s">
        <v>135</v>
      </c>
      <c r="D24" s="65" t="s">
        <v>7</v>
      </c>
    </row>
    <row r="25" spans="1:7" x14ac:dyDescent="0.25">
      <c r="A25" s="64" t="s">
        <v>131</v>
      </c>
      <c r="B25" s="74">
        <f>SUM('Part 73 total'!B3,'Form 754 Total'!B3)</f>
        <v>3882.4666666666667</v>
      </c>
      <c r="C25" s="74">
        <f>SUM('Part 73 total'!C3,'Form 754 Total'!C3)</f>
        <v>37262.1</v>
      </c>
      <c r="D25" s="66">
        <f>C25*279</f>
        <v>10396125.9</v>
      </c>
    </row>
    <row r="26" spans="1:7" x14ac:dyDescent="0.25">
      <c r="A26" s="64" t="s">
        <v>132</v>
      </c>
      <c r="B26" s="74">
        <f>SUM('Part 73 total'!B4,'Form 754 Total'!B4)</f>
        <v>143</v>
      </c>
      <c r="C26" s="74">
        <f>SUM('Part 73 total'!C4,'Form 754 Total'!C4)</f>
        <v>10374.333333333334</v>
      </c>
      <c r="D26" s="66">
        <f t="shared" ref="D26:D28" si="2">C26*279</f>
        <v>2894439</v>
      </c>
    </row>
    <row r="27" spans="1:7" x14ac:dyDescent="0.25">
      <c r="A27" s="64" t="s">
        <v>133</v>
      </c>
      <c r="B27" s="74">
        <f>'Part 73 total'!B5</f>
        <v>60</v>
      </c>
      <c r="C27" s="74">
        <f>'Part 73 total'!C5</f>
        <v>270</v>
      </c>
      <c r="D27" s="66">
        <f t="shared" si="2"/>
        <v>75330</v>
      </c>
    </row>
    <row r="28" spans="1:7" x14ac:dyDescent="0.25">
      <c r="A28" s="64" t="s">
        <v>136</v>
      </c>
      <c r="B28" s="75">
        <f>SUM(B25:B27)</f>
        <v>4085.4666666666667</v>
      </c>
      <c r="C28" s="75">
        <f>SUM(C25:C27)</f>
        <v>47906.433333333334</v>
      </c>
      <c r="D28" s="67">
        <f t="shared" si="2"/>
        <v>13365894.9</v>
      </c>
    </row>
  </sheetData>
  <mergeCells count="1">
    <mergeCell ref="B23:D2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G3"/>
  <sheetViews>
    <sheetView tabSelected="1" workbookViewId="0">
      <selection activeCell="F10" sqref="F10"/>
    </sheetView>
  </sheetViews>
  <sheetFormatPr defaultRowHeight="13.8" x14ac:dyDescent="0.25"/>
  <cols>
    <col min="1" max="1" width="11" customWidth="1"/>
    <col min="2" max="2" width="14.3984375" customWidth="1"/>
    <col min="3" max="3" width="13.19921875" customWidth="1"/>
  </cols>
  <sheetData>
    <row r="1" spans="1:7" ht="66.599999999999994" thickBot="1" x14ac:dyDescent="0.3">
      <c r="A1" s="29" t="s">
        <v>138</v>
      </c>
      <c r="B1" s="2" t="s">
        <v>1</v>
      </c>
      <c r="C1" s="3" t="s">
        <v>146</v>
      </c>
      <c r="D1" s="3" t="s">
        <v>147</v>
      </c>
      <c r="E1" s="3" t="s">
        <v>148</v>
      </c>
      <c r="F1" s="3" t="s">
        <v>139</v>
      </c>
      <c r="G1" s="3" t="s">
        <v>140</v>
      </c>
    </row>
    <row r="2" spans="1:7" ht="40.200000000000003" thickBot="1" x14ac:dyDescent="0.3">
      <c r="A2" s="4" t="s">
        <v>149</v>
      </c>
      <c r="B2" s="5" t="s">
        <v>150</v>
      </c>
      <c r="C2" s="15">
        <v>10</v>
      </c>
      <c r="D2" s="15">
        <v>1</v>
      </c>
      <c r="E2" s="15">
        <v>34</v>
      </c>
      <c r="F2" s="42">
        <f>C2*E2</f>
        <v>340</v>
      </c>
      <c r="G2" s="16">
        <f>F2*279</f>
        <v>94860</v>
      </c>
    </row>
    <row r="3" spans="1:7" ht="14.4" thickBot="1" x14ac:dyDescent="0.3">
      <c r="A3" s="10" t="s">
        <v>69</v>
      </c>
      <c r="B3" s="11"/>
      <c r="C3" s="6">
        <v>10</v>
      </c>
      <c r="D3" s="6"/>
      <c r="E3" s="6"/>
      <c r="F3" s="69">
        <f>F2</f>
        <v>340</v>
      </c>
      <c r="G3" s="13">
        <f>F3*279</f>
        <v>94860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F6"/>
  <sheetViews>
    <sheetView workbookViewId="0">
      <selection activeCell="G29" sqref="G29"/>
    </sheetView>
  </sheetViews>
  <sheetFormatPr defaultRowHeight="13.8" x14ac:dyDescent="0.25"/>
  <cols>
    <col min="1" max="1" width="16.5" customWidth="1"/>
    <col min="2" max="3" width="17.69921875" customWidth="1"/>
  </cols>
  <sheetData>
    <row r="1" spans="1:6" ht="32.25" customHeight="1" x14ac:dyDescent="0.25">
      <c r="B1" s="79" t="s">
        <v>151</v>
      </c>
      <c r="C1" s="79"/>
      <c r="D1" s="79"/>
    </row>
    <row r="2" spans="1:6" ht="26.4" x14ac:dyDescent="0.25">
      <c r="B2" s="37" t="s">
        <v>134</v>
      </c>
      <c r="C2" s="37" t="s">
        <v>135</v>
      </c>
      <c r="D2" s="53" t="s">
        <v>7</v>
      </c>
    </row>
    <row r="3" spans="1:6" x14ac:dyDescent="0.25">
      <c r="A3" s="38" t="s">
        <v>131</v>
      </c>
      <c r="B3" s="76">
        <f>SUM('Form 754 1x reporting'!E5,'Form 754 reporting'!E4)</f>
        <v>1083.3333333333335</v>
      </c>
      <c r="C3" s="76">
        <f>SUM('Form 754 1x reporting'!G5,'Form 754 reporting'!G4)</f>
        <v>2166.666666666667</v>
      </c>
      <c r="D3" s="54">
        <f>C3*279</f>
        <v>604500.00000000012</v>
      </c>
    </row>
    <row r="4" spans="1:6" x14ac:dyDescent="0.25">
      <c r="A4" s="38" t="s">
        <v>132</v>
      </c>
      <c r="B4" s="76">
        <f>'Form 754 rkeeping'!C3</f>
        <v>10</v>
      </c>
      <c r="C4" s="76">
        <f>'Form 754 rkeeping'!F3</f>
        <v>340</v>
      </c>
      <c r="D4" s="54">
        <f t="shared" ref="D4:D5" si="0">C4*279</f>
        <v>94860</v>
      </c>
      <c r="F4">
        <f>C4*0.0004*279</f>
        <v>37.944000000000003</v>
      </c>
    </row>
    <row r="5" spans="1:6" x14ac:dyDescent="0.25">
      <c r="A5" s="38" t="s">
        <v>136</v>
      </c>
      <c r="B5" s="78">
        <f>SUM(B3:B4)</f>
        <v>1093.3333333333335</v>
      </c>
      <c r="C5" s="72">
        <f>SUM(C3:C4)</f>
        <v>2506.666666666667</v>
      </c>
      <c r="D5" s="55">
        <f t="shared" si="0"/>
        <v>699360.00000000012</v>
      </c>
    </row>
    <row r="6" spans="1:6" x14ac:dyDescent="0.25">
      <c r="D6" s="56"/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3:E12"/>
  <sheetViews>
    <sheetView workbookViewId="0">
      <selection activeCell="K14" sqref="K14"/>
    </sheetView>
  </sheetViews>
  <sheetFormatPr defaultRowHeight="13.8" x14ac:dyDescent="0.25"/>
  <cols>
    <col min="1" max="1" width="28.09765625" customWidth="1"/>
    <col min="2" max="2" width="13.09765625" customWidth="1"/>
    <col min="3" max="4" width="11.59765625" customWidth="1"/>
    <col min="5" max="5" width="12.5" customWidth="1"/>
  </cols>
  <sheetData>
    <row r="3" spans="1:5" ht="42" customHeight="1" x14ac:dyDescent="0.25">
      <c r="B3" s="87" t="s">
        <v>171</v>
      </c>
      <c r="C3" s="87"/>
      <c r="D3" s="87" t="s">
        <v>172</v>
      </c>
      <c r="E3" s="87"/>
    </row>
    <row r="4" spans="1:5" x14ac:dyDescent="0.25">
      <c r="B4" s="57" t="s">
        <v>158</v>
      </c>
      <c r="C4" s="58" t="s">
        <v>159</v>
      </c>
      <c r="D4" s="57" t="s">
        <v>158</v>
      </c>
      <c r="E4" s="58" t="s">
        <v>159</v>
      </c>
    </row>
    <row r="5" spans="1:5" ht="41.4" x14ac:dyDescent="0.25">
      <c r="A5" s="59" t="s">
        <v>173</v>
      </c>
      <c r="B5" s="60">
        <v>2624</v>
      </c>
      <c r="C5" s="61">
        <f>B5*279</f>
        <v>732096</v>
      </c>
      <c r="D5" s="35">
        <f>B5*10/82</f>
        <v>320</v>
      </c>
      <c r="E5" s="61">
        <f>D5*279</f>
        <v>89280</v>
      </c>
    </row>
    <row r="6" spans="1:5" ht="27.6" x14ac:dyDescent="0.25">
      <c r="A6" s="59" t="s">
        <v>174</v>
      </c>
      <c r="B6" s="60">
        <v>656</v>
      </c>
      <c r="C6" s="61">
        <f>B6*279</f>
        <v>183024</v>
      </c>
      <c r="D6" s="35">
        <f>B6*10/82</f>
        <v>80</v>
      </c>
      <c r="E6" s="61">
        <f>D6*279</f>
        <v>22320</v>
      </c>
    </row>
    <row r="7" spans="1:5" x14ac:dyDescent="0.25">
      <c r="A7" t="s">
        <v>136</v>
      </c>
      <c r="B7" s="60">
        <f t="shared" ref="B7:C7" si="0">B6+B5</f>
        <v>3280</v>
      </c>
      <c r="C7" s="61">
        <f t="shared" si="0"/>
        <v>915120</v>
      </c>
      <c r="D7" s="35">
        <f>D6+D5</f>
        <v>400</v>
      </c>
      <c r="E7" s="61">
        <f t="shared" ref="E7" si="1">E6+E5</f>
        <v>111600</v>
      </c>
    </row>
    <row r="10" spans="1:5" x14ac:dyDescent="0.25">
      <c r="B10">
        <f>1872346*279/257</f>
        <v>2032624.645914397</v>
      </c>
    </row>
    <row r="12" spans="1:5" x14ac:dyDescent="0.25">
      <c r="B12" s="62">
        <f>B10+C5+C6</f>
        <v>2947744.6459143972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30"/>
  <sheetViews>
    <sheetView workbookViewId="0">
      <pane ySplit="1" topLeftCell="A19" activePane="bottomLeft" state="frozen"/>
      <selection pane="bottomLeft" activeCell="G29" sqref="G29"/>
    </sheetView>
  </sheetViews>
  <sheetFormatPr defaultRowHeight="13.8" x14ac:dyDescent="0.25"/>
  <cols>
    <col min="1" max="1" width="12.8984375" customWidth="1"/>
    <col min="2" max="2" width="34.8984375" customWidth="1"/>
    <col min="8" max="8" width="15.19921875" customWidth="1"/>
  </cols>
  <sheetData>
    <row r="1" spans="1:8" ht="66.599999999999994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7" thickBot="1" x14ac:dyDescent="0.3">
      <c r="A2" s="4" t="s">
        <v>8</v>
      </c>
      <c r="B2" s="5" t="s">
        <v>9</v>
      </c>
      <c r="C2" s="6">
        <v>10</v>
      </c>
      <c r="D2" s="6">
        <v>1</v>
      </c>
      <c r="E2" s="6">
        <f>C2*D2</f>
        <v>10</v>
      </c>
      <c r="F2" s="7">
        <v>1200</v>
      </c>
      <c r="G2" s="6">
        <f>E2*F2</f>
        <v>12000</v>
      </c>
      <c r="H2" s="8">
        <f>G2*279</f>
        <v>3348000</v>
      </c>
    </row>
    <row r="3" spans="1:8" ht="14.4" thickBot="1" x14ac:dyDescent="0.3">
      <c r="A3" s="4" t="s">
        <v>10</v>
      </c>
      <c r="B3" s="5" t="s">
        <v>11</v>
      </c>
      <c r="C3" s="80" t="s">
        <v>12</v>
      </c>
      <c r="D3" s="81"/>
      <c r="E3" s="81"/>
      <c r="F3" s="81"/>
      <c r="G3" s="81"/>
      <c r="H3" s="82"/>
    </row>
    <row r="4" spans="1:8" ht="27" thickBot="1" x14ac:dyDescent="0.3">
      <c r="A4" s="4" t="s">
        <v>13</v>
      </c>
      <c r="B4" s="5" t="s">
        <v>14</v>
      </c>
      <c r="C4" s="80" t="s">
        <v>12</v>
      </c>
      <c r="D4" s="81"/>
      <c r="E4" s="81"/>
      <c r="F4" s="81"/>
      <c r="G4" s="81"/>
      <c r="H4" s="82"/>
    </row>
    <row r="5" spans="1:8" ht="27" thickBot="1" x14ac:dyDescent="0.3">
      <c r="A5" s="4" t="s">
        <v>15</v>
      </c>
      <c r="B5" s="5" t="s">
        <v>16</v>
      </c>
      <c r="C5" s="6">
        <v>10</v>
      </c>
      <c r="D5" s="6">
        <v>1</v>
      </c>
      <c r="E5" s="6">
        <f>C5*D5</f>
        <v>10</v>
      </c>
      <c r="F5" s="6">
        <v>400</v>
      </c>
      <c r="G5" s="6">
        <f>E5*F5</f>
        <v>4000</v>
      </c>
      <c r="H5" s="8">
        <f>G5*279</f>
        <v>1116000</v>
      </c>
    </row>
    <row r="6" spans="1:8" ht="27" thickBot="1" x14ac:dyDescent="0.3">
      <c r="A6" s="4" t="s">
        <v>17</v>
      </c>
      <c r="B6" s="5" t="s">
        <v>18</v>
      </c>
      <c r="C6" s="80" t="s">
        <v>19</v>
      </c>
      <c r="D6" s="81"/>
      <c r="E6" s="81"/>
      <c r="F6" s="81"/>
      <c r="G6" s="81"/>
      <c r="H6" s="82"/>
    </row>
    <row r="7" spans="1:8" ht="40.200000000000003" thickBot="1" x14ac:dyDescent="0.3">
      <c r="A7" s="4" t="s">
        <v>20</v>
      </c>
      <c r="B7" s="5" t="s">
        <v>21</v>
      </c>
      <c r="C7" s="80" t="s">
        <v>19</v>
      </c>
      <c r="D7" s="81"/>
      <c r="E7" s="81"/>
      <c r="F7" s="81"/>
      <c r="G7" s="81"/>
      <c r="H7" s="82"/>
    </row>
    <row r="8" spans="1:8" ht="27" thickBot="1" x14ac:dyDescent="0.3">
      <c r="A8" s="9" t="s">
        <v>22</v>
      </c>
      <c r="B8" s="5" t="s">
        <v>23</v>
      </c>
      <c r="C8" s="80" t="s">
        <v>19</v>
      </c>
      <c r="D8" s="81"/>
      <c r="E8" s="81"/>
      <c r="F8" s="81"/>
      <c r="G8" s="81"/>
      <c r="H8" s="82"/>
    </row>
    <row r="9" spans="1:8" ht="40.200000000000003" thickBot="1" x14ac:dyDescent="0.3">
      <c r="A9" s="4" t="s">
        <v>24</v>
      </c>
      <c r="B9" s="5" t="s">
        <v>25</v>
      </c>
      <c r="C9" s="6">
        <v>10</v>
      </c>
      <c r="D9" s="6">
        <v>1</v>
      </c>
      <c r="E9" s="6">
        <f>C9*D9</f>
        <v>10</v>
      </c>
      <c r="F9" s="6">
        <v>800</v>
      </c>
      <c r="G9" s="6">
        <f>E9*F9</f>
        <v>8000</v>
      </c>
      <c r="H9" s="8">
        <f>G9*279</f>
        <v>2232000</v>
      </c>
    </row>
    <row r="10" spans="1:8" ht="27" thickBot="1" x14ac:dyDescent="0.3">
      <c r="A10" s="4" t="s">
        <v>26</v>
      </c>
      <c r="B10" s="5" t="s">
        <v>27</v>
      </c>
      <c r="C10" s="80" t="s">
        <v>28</v>
      </c>
      <c r="D10" s="81"/>
      <c r="E10" s="81"/>
      <c r="F10" s="81"/>
      <c r="G10" s="81"/>
      <c r="H10" s="82"/>
    </row>
    <row r="11" spans="1:8" ht="27" thickBot="1" x14ac:dyDescent="0.3">
      <c r="A11" s="4" t="s">
        <v>29</v>
      </c>
      <c r="B11" s="5" t="s">
        <v>30</v>
      </c>
      <c r="C11" s="80" t="s">
        <v>28</v>
      </c>
      <c r="D11" s="81"/>
      <c r="E11" s="81"/>
      <c r="F11" s="81"/>
      <c r="G11" s="81"/>
      <c r="H11" s="82"/>
    </row>
    <row r="12" spans="1:8" ht="27" thickBot="1" x14ac:dyDescent="0.3">
      <c r="A12" s="4" t="s">
        <v>31</v>
      </c>
      <c r="B12" s="5" t="s">
        <v>32</v>
      </c>
      <c r="C12" s="80" t="s">
        <v>28</v>
      </c>
      <c r="D12" s="81"/>
      <c r="E12" s="81"/>
      <c r="F12" s="81"/>
      <c r="G12" s="81"/>
      <c r="H12" s="82"/>
    </row>
    <row r="13" spans="1:8" ht="27" thickBot="1" x14ac:dyDescent="0.3">
      <c r="A13" s="4" t="s">
        <v>33</v>
      </c>
      <c r="B13" s="5" t="s">
        <v>34</v>
      </c>
      <c r="C13" s="80" t="s">
        <v>28</v>
      </c>
      <c r="D13" s="81"/>
      <c r="E13" s="81"/>
      <c r="F13" s="81"/>
      <c r="G13" s="81"/>
      <c r="H13" s="82"/>
    </row>
    <row r="14" spans="1:8" ht="40.200000000000003" thickBot="1" x14ac:dyDescent="0.3">
      <c r="A14" s="4" t="s">
        <v>35</v>
      </c>
      <c r="B14" s="5" t="s">
        <v>36</v>
      </c>
      <c r="C14" s="80" t="s">
        <v>28</v>
      </c>
      <c r="D14" s="81"/>
      <c r="E14" s="81"/>
      <c r="F14" s="81"/>
      <c r="G14" s="81"/>
      <c r="H14" s="82"/>
    </row>
    <row r="15" spans="1:8" ht="27" thickBot="1" x14ac:dyDescent="0.3">
      <c r="A15" s="4" t="s">
        <v>39</v>
      </c>
      <c r="B15" s="5" t="s">
        <v>40</v>
      </c>
      <c r="C15" s="6">
        <v>10</v>
      </c>
      <c r="D15" s="6">
        <v>1</v>
      </c>
      <c r="E15" s="6">
        <f>C15*D15</f>
        <v>10</v>
      </c>
      <c r="F15" s="6">
        <v>200</v>
      </c>
      <c r="G15" s="6">
        <f t="shared" ref="G15:G16" si="0">E15*F15</f>
        <v>2000</v>
      </c>
      <c r="H15" s="8">
        <f t="shared" ref="H15:H16" si="1">G15*279</f>
        <v>558000</v>
      </c>
    </row>
    <row r="16" spans="1:8" ht="14.4" thickBot="1" x14ac:dyDescent="0.3">
      <c r="A16" s="4" t="s">
        <v>41</v>
      </c>
      <c r="B16" s="5" t="s">
        <v>42</v>
      </c>
      <c r="C16" s="6">
        <v>10</v>
      </c>
      <c r="D16" s="6">
        <v>250</v>
      </c>
      <c r="E16" s="6">
        <f>C16*D16</f>
        <v>2500</v>
      </c>
      <c r="F16" s="6">
        <v>0.3</v>
      </c>
      <c r="G16" s="6">
        <f t="shared" si="0"/>
        <v>750</v>
      </c>
      <c r="H16" s="8">
        <f t="shared" si="1"/>
        <v>209250</v>
      </c>
    </row>
    <row r="17" spans="1:8" ht="14.4" thickBot="1" x14ac:dyDescent="0.3">
      <c r="A17" s="4" t="s">
        <v>43</v>
      </c>
      <c r="B17" s="5" t="s">
        <v>44</v>
      </c>
      <c r="C17" s="80" t="s">
        <v>45</v>
      </c>
      <c r="D17" s="81"/>
      <c r="E17" s="81"/>
      <c r="F17" s="81"/>
      <c r="G17" s="81"/>
      <c r="H17" s="82"/>
    </row>
    <row r="18" spans="1:8" ht="27" thickBot="1" x14ac:dyDescent="0.3">
      <c r="A18" s="4" t="s">
        <v>46</v>
      </c>
      <c r="B18" s="5" t="s">
        <v>47</v>
      </c>
      <c r="C18" s="80" t="s">
        <v>45</v>
      </c>
      <c r="D18" s="81"/>
      <c r="E18" s="81"/>
      <c r="F18" s="81"/>
      <c r="G18" s="81"/>
      <c r="H18" s="82"/>
    </row>
    <row r="19" spans="1:8" ht="27" thickBot="1" x14ac:dyDescent="0.3">
      <c r="A19" s="4" t="s">
        <v>48</v>
      </c>
      <c r="B19" s="5" t="s">
        <v>49</v>
      </c>
      <c r="C19" s="80" t="s">
        <v>45</v>
      </c>
      <c r="D19" s="81"/>
      <c r="E19" s="81"/>
      <c r="F19" s="81"/>
      <c r="G19" s="81"/>
      <c r="H19" s="82"/>
    </row>
    <row r="20" spans="1:8" ht="14.4" thickBot="1" x14ac:dyDescent="0.3">
      <c r="A20" s="4" t="s">
        <v>50</v>
      </c>
      <c r="B20" s="5" t="s">
        <v>154</v>
      </c>
      <c r="C20" s="6">
        <v>10</v>
      </c>
      <c r="D20" s="6">
        <v>1</v>
      </c>
      <c r="E20" s="6">
        <f>C20*D20</f>
        <v>10</v>
      </c>
      <c r="F20" s="6">
        <v>310</v>
      </c>
      <c r="G20" s="6">
        <f>E20*F20</f>
        <v>3100</v>
      </c>
      <c r="H20" s="8">
        <f>G20*279</f>
        <v>864900</v>
      </c>
    </row>
    <row r="21" spans="1:8" ht="14.4" thickBot="1" x14ac:dyDescent="0.3">
      <c r="A21" s="4" t="s">
        <v>52</v>
      </c>
      <c r="B21" s="5" t="s">
        <v>53</v>
      </c>
      <c r="C21" s="80" t="s">
        <v>45</v>
      </c>
      <c r="D21" s="81"/>
      <c r="E21" s="81"/>
      <c r="F21" s="81"/>
      <c r="G21" s="81"/>
      <c r="H21" s="82"/>
    </row>
    <row r="22" spans="1:8" ht="27" thickBot="1" x14ac:dyDescent="0.3">
      <c r="A22" s="4" t="s">
        <v>54</v>
      </c>
      <c r="B22" s="5" t="s">
        <v>55</v>
      </c>
      <c r="C22" s="80" t="s">
        <v>45</v>
      </c>
      <c r="D22" s="81"/>
      <c r="E22" s="81"/>
      <c r="F22" s="81"/>
      <c r="G22" s="81"/>
      <c r="H22" s="82"/>
    </row>
    <row r="23" spans="1:8" ht="27" thickBot="1" x14ac:dyDescent="0.3">
      <c r="A23" s="4" t="s">
        <v>56</v>
      </c>
      <c r="B23" s="5" t="s">
        <v>57</v>
      </c>
      <c r="C23" s="80" t="s">
        <v>58</v>
      </c>
      <c r="D23" s="81"/>
      <c r="E23" s="81"/>
      <c r="F23" s="81"/>
      <c r="G23" s="81"/>
      <c r="H23" s="82"/>
    </row>
    <row r="24" spans="1:8" ht="27" thickBot="1" x14ac:dyDescent="0.3">
      <c r="A24" s="4" t="s">
        <v>59</v>
      </c>
      <c r="B24" s="5" t="s">
        <v>60</v>
      </c>
      <c r="C24" s="80" t="s">
        <v>45</v>
      </c>
      <c r="D24" s="81"/>
      <c r="E24" s="81"/>
      <c r="F24" s="81"/>
      <c r="G24" s="81"/>
      <c r="H24" s="82"/>
    </row>
    <row r="25" spans="1:8" ht="27" thickBot="1" x14ac:dyDescent="0.3">
      <c r="A25" s="9" t="s">
        <v>61</v>
      </c>
      <c r="B25" s="5" t="s">
        <v>62</v>
      </c>
      <c r="C25" s="80" t="s">
        <v>45</v>
      </c>
      <c r="D25" s="81"/>
      <c r="E25" s="81"/>
      <c r="F25" s="81"/>
      <c r="G25" s="81"/>
      <c r="H25" s="82"/>
    </row>
    <row r="26" spans="1:8" ht="27" thickBot="1" x14ac:dyDescent="0.3">
      <c r="A26" s="9" t="s">
        <v>63</v>
      </c>
      <c r="B26" s="5" t="s">
        <v>64</v>
      </c>
      <c r="C26" s="80" t="s">
        <v>58</v>
      </c>
      <c r="D26" s="81"/>
      <c r="E26" s="81"/>
      <c r="F26" s="81"/>
      <c r="G26" s="81"/>
      <c r="H26" s="82"/>
    </row>
    <row r="27" spans="1:8" ht="40.200000000000003" thickBot="1" x14ac:dyDescent="0.3">
      <c r="A27" s="9" t="s">
        <v>65</v>
      </c>
      <c r="B27" s="5" t="s">
        <v>66</v>
      </c>
      <c r="C27" s="6">
        <v>10</v>
      </c>
      <c r="D27" s="6">
        <v>1</v>
      </c>
      <c r="E27" s="6">
        <f>C27*D27</f>
        <v>10</v>
      </c>
      <c r="F27" s="6">
        <v>400</v>
      </c>
      <c r="G27" s="6">
        <f>E27*F27</f>
        <v>4000</v>
      </c>
      <c r="H27" s="8">
        <f>G27*279</f>
        <v>1116000</v>
      </c>
    </row>
    <row r="28" spans="1:8" ht="64.5" customHeight="1" thickBot="1" x14ac:dyDescent="0.3">
      <c r="A28" s="9" t="s">
        <v>67</v>
      </c>
      <c r="B28" s="5" t="s">
        <v>68</v>
      </c>
      <c r="C28" s="80" t="s">
        <v>153</v>
      </c>
      <c r="D28" s="81"/>
      <c r="E28" s="81"/>
      <c r="F28" s="81"/>
      <c r="G28" s="81"/>
      <c r="H28" s="82"/>
    </row>
    <row r="29" spans="1:8" ht="14.4" thickBot="1" x14ac:dyDescent="0.3">
      <c r="A29" s="10" t="s">
        <v>69</v>
      </c>
      <c r="B29" s="11"/>
      <c r="C29" s="6"/>
      <c r="D29" s="6"/>
      <c r="E29" s="12">
        <f>SUM(E2,E5,E9,E15,E16,E20,E27)</f>
        <v>2560</v>
      </c>
      <c r="F29" s="11"/>
      <c r="G29" s="12">
        <f>SUM(G2,G5,G9,G15:G16,G20,G27)</f>
        <v>33850</v>
      </c>
      <c r="H29" s="13">
        <f t="shared" ref="H29:H30" si="2">G29*279</f>
        <v>9444150</v>
      </c>
    </row>
    <row r="30" spans="1:8" ht="27" thickBot="1" x14ac:dyDescent="0.3">
      <c r="A30" s="10" t="s">
        <v>70</v>
      </c>
      <c r="B30" s="11"/>
      <c r="C30" s="6"/>
      <c r="D30" s="6"/>
      <c r="E30" s="69">
        <f>E29/3</f>
        <v>853.33333333333337</v>
      </c>
      <c r="F30" s="11"/>
      <c r="G30" s="69">
        <f>G29/3</f>
        <v>11283.333333333334</v>
      </c>
      <c r="H30" s="13">
        <f t="shared" si="2"/>
        <v>3148050</v>
      </c>
    </row>
  </sheetData>
  <mergeCells count="20">
    <mergeCell ref="C22:H22"/>
    <mergeCell ref="C23:H23"/>
    <mergeCell ref="C24:H24"/>
    <mergeCell ref="C25:H25"/>
    <mergeCell ref="C28:H28"/>
    <mergeCell ref="C26:H26"/>
    <mergeCell ref="C19:H19"/>
    <mergeCell ref="C21:H21"/>
    <mergeCell ref="C18:H18"/>
    <mergeCell ref="C3:H3"/>
    <mergeCell ref="C4:H4"/>
    <mergeCell ref="C6:H6"/>
    <mergeCell ref="C7:H7"/>
    <mergeCell ref="C8:H8"/>
    <mergeCell ref="C10:H10"/>
    <mergeCell ref="C11:H11"/>
    <mergeCell ref="C12:H12"/>
    <mergeCell ref="C13:H13"/>
    <mergeCell ref="C14:H14"/>
    <mergeCell ref="C17:H1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30"/>
  <sheetViews>
    <sheetView topLeftCell="A23" workbookViewId="0">
      <selection activeCell="G30" sqref="G30"/>
    </sheetView>
  </sheetViews>
  <sheetFormatPr defaultRowHeight="13.8" x14ac:dyDescent="0.25"/>
  <cols>
    <col min="1" max="1" width="19.8984375" customWidth="1"/>
    <col min="2" max="2" width="21.59765625" style="27" customWidth="1"/>
    <col min="3" max="3" width="11" customWidth="1"/>
    <col min="4" max="4" width="10.59765625" customWidth="1"/>
    <col min="8" max="8" width="11.09765625" bestFit="1" customWidth="1"/>
  </cols>
  <sheetData>
    <row r="1" spans="1:8" ht="53.4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7" thickBot="1" x14ac:dyDescent="0.3">
      <c r="A2" s="9" t="s">
        <v>71</v>
      </c>
      <c r="B2" s="24" t="s">
        <v>72</v>
      </c>
      <c r="C2" s="80" t="s">
        <v>73</v>
      </c>
      <c r="D2" s="81"/>
      <c r="E2" s="81"/>
      <c r="F2" s="81"/>
      <c r="G2" s="81"/>
      <c r="H2" s="82"/>
    </row>
    <row r="3" spans="1:8" ht="27" thickBot="1" x14ac:dyDescent="0.3">
      <c r="A3" s="9" t="s">
        <v>74</v>
      </c>
      <c r="B3" s="14" t="s">
        <v>75</v>
      </c>
      <c r="C3" s="80" t="s">
        <v>76</v>
      </c>
      <c r="D3" s="81"/>
      <c r="E3" s="81"/>
      <c r="F3" s="81"/>
      <c r="G3" s="81"/>
      <c r="H3" s="82"/>
    </row>
    <row r="4" spans="1:8" ht="27" thickBot="1" x14ac:dyDescent="0.3">
      <c r="A4" s="9" t="s">
        <v>77</v>
      </c>
      <c r="B4" s="5" t="s">
        <v>78</v>
      </c>
      <c r="C4" s="6">
        <v>10</v>
      </c>
      <c r="D4" s="6">
        <v>0.1</v>
      </c>
      <c r="E4" s="6">
        <f>C4*D4</f>
        <v>1</v>
      </c>
      <c r="F4" s="6">
        <v>2</v>
      </c>
      <c r="G4" s="15">
        <f>E4*F4</f>
        <v>2</v>
      </c>
      <c r="H4" s="16">
        <f>G4*279</f>
        <v>558</v>
      </c>
    </row>
    <row r="5" spans="1:8" ht="53.4" thickBot="1" x14ac:dyDescent="0.3">
      <c r="A5" s="9" t="s">
        <v>79</v>
      </c>
      <c r="B5" s="5" t="s">
        <v>80</v>
      </c>
      <c r="C5" s="83" t="s">
        <v>81</v>
      </c>
      <c r="D5" s="84"/>
      <c r="E5" s="84"/>
      <c r="F5" s="84"/>
      <c r="G5" s="84"/>
      <c r="H5" s="85"/>
    </row>
    <row r="6" spans="1:8" ht="53.4" thickBot="1" x14ac:dyDescent="0.3">
      <c r="A6" s="9" t="s">
        <v>82</v>
      </c>
      <c r="B6" s="5" t="s">
        <v>83</v>
      </c>
      <c r="C6" s="83" t="s">
        <v>81</v>
      </c>
      <c r="D6" s="84"/>
      <c r="E6" s="84"/>
      <c r="F6" s="84"/>
      <c r="G6" s="84"/>
      <c r="H6" s="85"/>
    </row>
    <row r="7" spans="1:8" ht="27" thickBot="1" x14ac:dyDescent="0.3">
      <c r="A7" s="9" t="s">
        <v>41</v>
      </c>
      <c r="B7" s="5" t="s">
        <v>42</v>
      </c>
      <c r="C7" s="6">
        <v>10</v>
      </c>
      <c r="D7" s="6">
        <v>13</v>
      </c>
      <c r="E7" s="6">
        <f>C7*D7</f>
        <v>130</v>
      </c>
      <c r="F7" s="6">
        <v>2</v>
      </c>
      <c r="G7" s="15">
        <f>E7*F7</f>
        <v>260</v>
      </c>
      <c r="H7" s="16">
        <f>G7*279</f>
        <v>72540</v>
      </c>
    </row>
    <row r="8" spans="1:8" ht="40.200000000000003" thickBot="1" x14ac:dyDescent="0.3">
      <c r="A8" s="9" t="s">
        <v>84</v>
      </c>
      <c r="B8" s="5" t="s">
        <v>85</v>
      </c>
      <c r="C8" s="83" t="s">
        <v>45</v>
      </c>
      <c r="D8" s="84"/>
      <c r="E8" s="84"/>
      <c r="F8" s="84"/>
      <c r="G8" s="84"/>
      <c r="H8" s="85"/>
    </row>
    <row r="9" spans="1:8" ht="27" thickBot="1" x14ac:dyDescent="0.3">
      <c r="A9" s="9" t="s">
        <v>86</v>
      </c>
      <c r="B9" s="5" t="s">
        <v>87</v>
      </c>
      <c r="C9" s="83" t="s">
        <v>45</v>
      </c>
      <c r="D9" s="84"/>
      <c r="E9" s="84"/>
      <c r="F9" s="84"/>
      <c r="G9" s="84"/>
      <c r="H9" s="85"/>
    </row>
    <row r="10" spans="1:8" ht="27" thickBot="1" x14ac:dyDescent="0.3">
      <c r="A10" s="9" t="s">
        <v>43</v>
      </c>
      <c r="B10" s="5" t="s">
        <v>44</v>
      </c>
      <c r="C10" s="83" t="s">
        <v>45</v>
      </c>
      <c r="D10" s="84"/>
      <c r="E10" s="84"/>
      <c r="F10" s="84"/>
      <c r="G10" s="84"/>
      <c r="H10" s="85"/>
    </row>
    <row r="11" spans="1:8" ht="27" thickBot="1" x14ac:dyDescent="0.3">
      <c r="A11" s="9" t="s">
        <v>46</v>
      </c>
      <c r="B11" s="5" t="s">
        <v>47</v>
      </c>
      <c r="C11" s="83" t="s">
        <v>45</v>
      </c>
      <c r="D11" s="84"/>
      <c r="E11" s="84"/>
      <c r="F11" s="84"/>
      <c r="G11" s="84"/>
      <c r="H11" s="85"/>
    </row>
    <row r="12" spans="1:8" ht="53.4" thickBot="1" x14ac:dyDescent="0.3">
      <c r="A12" s="9" t="s">
        <v>88</v>
      </c>
      <c r="B12" s="5" t="s">
        <v>89</v>
      </c>
      <c r="C12" s="83" t="s">
        <v>45</v>
      </c>
      <c r="D12" s="84"/>
      <c r="E12" s="84"/>
      <c r="F12" s="84"/>
      <c r="G12" s="84"/>
      <c r="H12" s="85"/>
    </row>
    <row r="13" spans="1:8" ht="27" thickBot="1" x14ac:dyDescent="0.3">
      <c r="A13" s="9" t="s">
        <v>90</v>
      </c>
      <c r="B13" s="5" t="s">
        <v>91</v>
      </c>
      <c r="C13" s="83" t="s">
        <v>45</v>
      </c>
      <c r="D13" s="84"/>
      <c r="E13" s="84"/>
      <c r="F13" s="84"/>
      <c r="G13" s="84"/>
      <c r="H13" s="85"/>
    </row>
    <row r="14" spans="1:8" ht="27" thickBot="1" x14ac:dyDescent="0.3">
      <c r="A14" s="9" t="s">
        <v>50</v>
      </c>
      <c r="B14" s="5" t="s">
        <v>51</v>
      </c>
      <c r="C14" s="6">
        <v>10</v>
      </c>
      <c r="D14" s="6">
        <v>0.1</v>
      </c>
      <c r="E14" s="6">
        <f>C14*D14</f>
        <v>1</v>
      </c>
      <c r="F14" s="6">
        <v>310</v>
      </c>
      <c r="G14" s="15">
        <f>E14*F14</f>
        <v>310</v>
      </c>
      <c r="H14" s="16">
        <f>G14*279</f>
        <v>86490</v>
      </c>
    </row>
    <row r="15" spans="1:8" ht="27" thickBot="1" x14ac:dyDescent="0.3">
      <c r="A15" s="9" t="s">
        <v>52</v>
      </c>
      <c r="B15" s="5" t="s">
        <v>53</v>
      </c>
      <c r="C15" s="83" t="s">
        <v>45</v>
      </c>
      <c r="D15" s="84"/>
      <c r="E15" s="84"/>
      <c r="F15" s="84"/>
      <c r="G15" s="84"/>
      <c r="H15" s="85"/>
    </row>
    <row r="16" spans="1:8" ht="40.200000000000003" thickBot="1" x14ac:dyDescent="0.3">
      <c r="A16" s="9" t="s">
        <v>54</v>
      </c>
      <c r="B16" s="5" t="s">
        <v>55</v>
      </c>
      <c r="C16" s="83" t="s">
        <v>45</v>
      </c>
      <c r="D16" s="84"/>
      <c r="E16" s="84"/>
      <c r="F16" s="84"/>
      <c r="G16" s="84"/>
      <c r="H16" s="85"/>
    </row>
    <row r="17" spans="1:8" ht="40.200000000000003" thickBot="1" x14ac:dyDescent="0.3">
      <c r="A17" s="9" t="s">
        <v>59</v>
      </c>
      <c r="B17" s="24" t="s">
        <v>60</v>
      </c>
      <c r="C17" s="83" t="s">
        <v>45</v>
      </c>
      <c r="D17" s="84"/>
      <c r="E17" s="84"/>
      <c r="F17" s="84"/>
      <c r="G17" s="84"/>
      <c r="H17" s="85"/>
    </row>
    <row r="18" spans="1:8" ht="40.200000000000003" thickBot="1" x14ac:dyDescent="0.3">
      <c r="A18" s="9" t="s">
        <v>61</v>
      </c>
      <c r="B18" s="14" t="s">
        <v>62</v>
      </c>
      <c r="C18" s="83" t="s">
        <v>45</v>
      </c>
      <c r="D18" s="84"/>
      <c r="E18" s="84"/>
      <c r="F18" s="84"/>
      <c r="G18" s="84"/>
      <c r="H18" s="85"/>
    </row>
    <row r="19" spans="1:8" ht="27" thickBot="1" x14ac:dyDescent="0.3">
      <c r="A19" s="9" t="s">
        <v>92</v>
      </c>
      <c r="B19" s="24" t="s">
        <v>93</v>
      </c>
      <c r="C19" s="18">
        <v>133</v>
      </c>
      <c r="D19" s="6">
        <v>0.1</v>
      </c>
      <c r="E19" s="6">
        <f>C19*D19</f>
        <v>13.3</v>
      </c>
      <c r="F19" s="15">
        <v>2</v>
      </c>
      <c r="G19" s="15">
        <f>E19*F19</f>
        <v>26.6</v>
      </c>
      <c r="H19" s="16">
        <f>G19*279</f>
        <v>7421.4000000000005</v>
      </c>
    </row>
    <row r="20" spans="1:8" ht="53.4" thickBot="1" x14ac:dyDescent="0.3">
      <c r="A20" s="9" t="s">
        <v>94</v>
      </c>
      <c r="B20" s="24" t="s">
        <v>95</v>
      </c>
      <c r="C20" s="83" t="s">
        <v>96</v>
      </c>
      <c r="D20" s="84"/>
      <c r="E20" s="84"/>
      <c r="F20" s="84"/>
      <c r="G20" s="84"/>
      <c r="H20" s="85"/>
    </row>
    <row r="21" spans="1:8" ht="27" thickBot="1" x14ac:dyDescent="0.3">
      <c r="A21" s="9" t="s">
        <v>97</v>
      </c>
      <c r="B21" s="14" t="s">
        <v>98</v>
      </c>
      <c r="C21" s="6">
        <v>133</v>
      </c>
      <c r="D21" s="6">
        <v>0.5</v>
      </c>
      <c r="E21" s="6">
        <f>C21*D21</f>
        <v>66.5</v>
      </c>
      <c r="F21" s="15">
        <v>1</v>
      </c>
      <c r="G21" s="15">
        <f>E21*F21</f>
        <v>66.5</v>
      </c>
      <c r="H21" s="16">
        <f>G21*279</f>
        <v>18553.5</v>
      </c>
    </row>
    <row r="22" spans="1:8" ht="66.599999999999994" thickBot="1" x14ac:dyDescent="0.3">
      <c r="A22" s="9" t="s">
        <v>99</v>
      </c>
      <c r="B22" s="25" t="s">
        <v>100</v>
      </c>
      <c r="C22" s="83" t="s">
        <v>101</v>
      </c>
      <c r="D22" s="84"/>
      <c r="E22" s="84"/>
      <c r="F22" s="84"/>
      <c r="G22" s="84"/>
      <c r="H22" s="85"/>
    </row>
    <row r="23" spans="1:8" ht="79.8" thickBot="1" x14ac:dyDescent="0.3">
      <c r="A23" s="9" t="s">
        <v>102</v>
      </c>
      <c r="B23" s="25" t="s">
        <v>103</v>
      </c>
      <c r="C23" s="18">
        <v>133</v>
      </c>
      <c r="D23" s="6">
        <v>5</v>
      </c>
      <c r="E23" s="6">
        <f>C23*D23</f>
        <v>665</v>
      </c>
      <c r="F23" s="15">
        <v>1</v>
      </c>
      <c r="G23" s="15">
        <f>E23*F23</f>
        <v>665</v>
      </c>
      <c r="H23" s="16">
        <f>G23*279</f>
        <v>185535</v>
      </c>
    </row>
    <row r="24" spans="1:8" ht="40.200000000000003" thickBot="1" x14ac:dyDescent="0.3">
      <c r="A24" s="9" t="s">
        <v>104</v>
      </c>
      <c r="B24" s="24" t="s">
        <v>105</v>
      </c>
      <c r="C24" s="18">
        <v>133</v>
      </c>
      <c r="D24" s="6">
        <v>1</v>
      </c>
      <c r="E24" s="6">
        <f t="shared" ref="E24:E25" si="0">C24*D24</f>
        <v>133</v>
      </c>
      <c r="F24" s="15">
        <v>1</v>
      </c>
      <c r="G24" s="15">
        <f t="shared" ref="G24:G25" si="1">E24*F24</f>
        <v>133</v>
      </c>
      <c r="H24" s="16">
        <f t="shared" ref="H24:H25" si="2">G24*279</f>
        <v>37107</v>
      </c>
    </row>
    <row r="25" spans="1:8" ht="27" thickBot="1" x14ac:dyDescent="0.3">
      <c r="A25" s="9" t="s">
        <v>106</v>
      </c>
      <c r="B25" s="14" t="s">
        <v>75</v>
      </c>
      <c r="C25" s="6">
        <v>10</v>
      </c>
      <c r="D25" s="6">
        <v>0.5</v>
      </c>
      <c r="E25" s="6">
        <f t="shared" si="0"/>
        <v>5</v>
      </c>
      <c r="F25" s="15">
        <v>1</v>
      </c>
      <c r="G25" s="15">
        <f t="shared" si="1"/>
        <v>5</v>
      </c>
      <c r="H25" s="16">
        <f t="shared" si="2"/>
        <v>1395</v>
      </c>
    </row>
    <row r="26" spans="1:8" ht="66.599999999999994" thickBot="1" x14ac:dyDescent="0.3">
      <c r="A26" s="9" t="s">
        <v>107</v>
      </c>
      <c r="B26" s="5" t="s">
        <v>108</v>
      </c>
      <c r="C26" s="83" t="s">
        <v>76</v>
      </c>
      <c r="D26" s="84"/>
      <c r="E26" s="84"/>
      <c r="F26" s="84"/>
      <c r="G26" s="84"/>
      <c r="H26" s="85"/>
    </row>
    <row r="27" spans="1:8" ht="66.599999999999994" thickBot="1" x14ac:dyDescent="0.3">
      <c r="A27" s="9" t="s">
        <v>109</v>
      </c>
      <c r="B27" s="5" t="s">
        <v>110</v>
      </c>
      <c r="C27" s="83" t="s">
        <v>111</v>
      </c>
      <c r="D27" s="84"/>
      <c r="E27" s="84"/>
      <c r="F27" s="84"/>
      <c r="G27" s="84"/>
      <c r="H27" s="85"/>
    </row>
    <row r="28" spans="1:8" ht="40.200000000000003" thickBot="1" x14ac:dyDescent="0.3">
      <c r="A28" s="9" t="s">
        <v>112</v>
      </c>
      <c r="B28" s="5" t="s">
        <v>113</v>
      </c>
      <c r="C28" s="83" t="s">
        <v>111</v>
      </c>
      <c r="D28" s="84"/>
      <c r="E28" s="84"/>
      <c r="F28" s="84"/>
      <c r="G28" s="84"/>
      <c r="H28" s="85"/>
    </row>
    <row r="29" spans="1:8" ht="40.200000000000003" thickBot="1" x14ac:dyDescent="0.3">
      <c r="A29" s="9" t="s">
        <v>114</v>
      </c>
      <c r="B29" s="5" t="s">
        <v>115</v>
      </c>
      <c r="C29" s="6">
        <v>133</v>
      </c>
      <c r="D29" s="6">
        <v>7</v>
      </c>
      <c r="E29" s="6">
        <f>C29*D29</f>
        <v>931</v>
      </c>
      <c r="F29" s="15">
        <v>24</v>
      </c>
      <c r="G29" s="15">
        <f>E29*F29</f>
        <v>22344</v>
      </c>
      <c r="H29" s="16">
        <f>G29*279</f>
        <v>6233976</v>
      </c>
    </row>
    <row r="30" spans="1:8" ht="14.4" thickBot="1" x14ac:dyDescent="0.3">
      <c r="A30" s="19" t="s">
        <v>69</v>
      </c>
      <c r="B30" s="26"/>
      <c r="C30" s="20"/>
      <c r="D30" s="20"/>
      <c r="E30" s="68">
        <f>SUM(E4,E7,E14,E19,E21,E23,E24,E25,E29)</f>
        <v>1945.8</v>
      </c>
      <c r="F30" s="21"/>
      <c r="G30" s="68">
        <f t="shared" ref="G30:H30" si="3">SUM(G4,G7,G14,G19,G21,G23,G24,G25,G29)</f>
        <v>23812.1</v>
      </c>
      <c r="H30" s="28">
        <f t="shared" si="3"/>
        <v>6643575.9000000004</v>
      </c>
    </row>
  </sheetData>
  <mergeCells count="19">
    <mergeCell ref="C28:H28"/>
    <mergeCell ref="C17:H17"/>
    <mergeCell ref="C18:H18"/>
    <mergeCell ref="C20:H20"/>
    <mergeCell ref="C22:H22"/>
    <mergeCell ref="C26:H26"/>
    <mergeCell ref="C27:H27"/>
    <mergeCell ref="C16:H16"/>
    <mergeCell ref="C2:H2"/>
    <mergeCell ref="C3:H3"/>
    <mergeCell ref="C5:H5"/>
    <mergeCell ref="C6:H6"/>
    <mergeCell ref="C8:H8"/>
    <mergeCell ref="C9:H9"/>
    <mergeCell ref="C10:H10"/>
    <mergeCell ref="C11:H11"/>
    <mergeCell ref="C12:H12"/>
    <mergeCell ref="C13:H13"/>
    <mergeCell ref="C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4"/>
  <sheetViews>
    <sheetView workbookViewId="0">
      <selection activeCell="E4" sqref="E4"/>
    </sheetView>
  </sheetViews>
  <sheetFormatPr defaultRowHeight="13.8" x14ac:dyDescent="0.25"/>
  <cols>
    <col min="2" max="2" width="10.69921875" customWidth="1"/>
    <col min="4" max="4" width="10.69921875" customWidth="1"/>
  </cols>
  <sheetData>
    <row r="1" spans="1:8" ht="53.4" thickBot="1" x14ac:dyDescent="0.3">
      <c r="A1" s="29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66.599999999999994" thickBot="1" x14ac:dyDescent="0.3">
      <c r="A2" s="18" t="s">
        <v>90</v>
      </c>
      <c r="B2" s="5" t="s">
        <v>91</v>
      </c>
      <c r="C2" s="6">
        <v>10</v>
      </c>
      <c r="D2" s="6">
        <v>3</v>
      </c>
      <c r="E2" s="6">
        <f>C2*D2</f>
        <v>30</v>
      </c>
      <c r="F2" s="6">
        <v>8</v>
      </c>
      <c r="G2" s="7">
        <f>E2*F2</f>
        <v>240</v>
      </c>
      <c r="H2" s="16">
        <f>G2*279</f>
        <v>66960</v>
      </c>
    </row>
    <row r="3" spans="1:8" ht="79.8" thickBot="1" x14ac:dyDescent="0.3">
      <c r="A3" s="18" t="s">
        <v>61</v>
      </c>
      <c r="B3" s="5" t="s">
        <v>62</v>
      </c>
      <c r="C3" s="6">
        <v>10</v>
      </c>
      <c r="D3" s="6">
        <v>3</v>
      </c>
      <c r="E3" s="6">
        <f>C3*D3</f>
        <v>30</v>
      </c>
      <c r="F3" s="6">
        <v>1</v>
      </c>
      <c r="G3" s="7">
        <f>E3*F3</f>
        <v>30</v>
      </c>
      <c r="H3" s="16">
        <f>G3*279</f>
        <v>8370</v>
      </c>
    </row>
    <row r="4" spans="1:8" ht="14.4" thickBot="1" x14ac:dyDescent="0.3">
      <c r="A4" s="30" t="s">
        <v>69</v>
      </c>
      <c r="B4" s="22"/>
      <c r="C4" s="22"/>
      <c r="D4" s="22"/>
      <c r="E4" s="71">
        <f>SUM(E2:E3)</f>
        <v>60</v>
      </c>
      <c r="F4" s="22"/>
      <c r="G4" s="68">
        <f>G3+G2</f>
        <v>270</v>
      </c>
      <c r="H4" s="23">
        <f>H3+H2</f>
        <v>75330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4"/>
  <sheetViews>
    <sheetView workbookViewId="0">
      <selection activeCell="E4" sqref="E4"/>
    </sheetView>
  </sheetViews>
  <sheetFormatPr defaultRowHeight="13.8" x14ac:dyDescent="0.25"/>
  <cols>
    <col min="1" max="1" width="16.59765625" customWidth="1"/>
    <col min="2" max="2" width="14.8984375" customWidth="1"/>
    <col min="6" max="6" width="12.19921875" customWidth="1"/>
  </cols>
  <sheetData>
    <row r="1" spans="1:6" ht="66.599999999999994" thickBot="1" x14ac:dyDescent="0.3">
      <c r="A1" s="1" t="s">
        <v>0</v>
      </c>
      <c r="B1" s="2" t="s">
        <v>1</v>
      </c>
      <c r="C1" s="3" t="s">
        <v>116</v>
      </c>
      <c r="D1" s="3" t="s">
        <v>118</v>
      </c>
      <c r="E1" s="3" t="s">
        <v>6</v>
      </c>
      <c r="F1" s="3" t="s">
        <v>7</v>
      </c>
    </row>
    <row r="2" spans="1:6" ht="119.4" thickBot="1" x14ac:dyDescent="0.3">
      <c r="A2" s="4" t="s">
        <v>37</v>
      </c>
      <c r="B2" s="5" t="s">
        <v>38</v>
      </c>
      <c r="C2" s="6">
        <v>10</v>
      </c>
      <c r="D2" s="15">
        <v>400</v>
      </c>
      <c r="E2" s="17">
        <f>C2*D2</f>
        <v>4000</v>
      </c>
      <c r="F2" s="32">
        <f>E2*279</f>
        <v>1116000</v>
      </c>
    </row>
    <row r="3" spans="1:6" ht="14.4" thickBot="1" x14ac:dyDescent="0.3">
      <c r="A3" s="43" t="s">
        <v>136</v>
      </c>
      <c r="B3" s="43"/>
      <c r="C3" s="43">
        <v>10</v>
      </c>
      <c r="D3" s="43"/>
      <c r="E3" s="43">
        <f>E2</f>
        <v>4000</v>
      </c>
      <c r="F3" s="44">
        <f>F2</f>
        <v>1116000</v>
      </c>
    </row>
    <row r="4" spans="1:6" ht="14.4" thickBot="1" x14ac:dyDescent="0.3">
      <c r="A4" s="43" t="s">
        <v>152</v>
      </c>
      <c r="B4" s="43"/>
      <c r="C4" s="43">
        <v>10</v>
      </c>
      <c r="D4" s="43"/>
      <c r="E4" s="46">
        <f>E3/3</f>
        <v>1333.3333333333333</v>
      </c>
      <c r="F4" s="45">
        <f>F3/3</f>
        <v>372000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8"/>
  <sheetViews>
    <sheetView workbookViewId="0">
      <selection activeCell="F8" sqref="F8"/>
    </sheetView>
  </sheetViews>
  <sheetFormatPr defaultRowHeight="13.8" x14ac:dyDescent="0.25"/>
  <cols>
    <col min="1" max="1" width="11.19921875" customWidth="1"/>
    <col min="2" max="2" width="18.19921875" customWidth="1"/>
    <col min="3" max="3" width="14" customWidth="1"/>
    <col min="4" max="4" width="13.09765625" customWidth="1"/>
    <col min="5" max="5" width="11.8984375" customWidth="1"/>
    <col min="7" max="7" width="10.19921875" customWidth="1"/>
  </cols>
  <sheetData>
    <row r="1" spans="1:7" ht="53.4" thickBot="1" x14ac:dyDescent="0.3">
      <c r="A1" s="1" t="s">
        <v>0</v>
      </c>
      <c r="B1" s="2" t="s">
        <v>1</v>
      </c>
      <c r="C1" s="3" t="s">
        <v>116</v>
      </c>
      <c r="D1" s="3" t="s">
        <v>117</v>
      </c>
      <c r="E1" s="3" t="s">
        <v>118</v>
      </c>
      <c r="F1" s="3" t="s">
        <v>6</v>
      </c>
      <c r="G1" s="3" t="s">
        <v>7</v>
      </c>
    </row>
    <row r="2" spans="1:7" ht="27" thickBot="1" x14ac:dyDescent="0.3">
      <c r="A2" s="31" t="s">
        <v>119</v>
      </c>
      <c r="B2" s="5" t="s">
        <v>120</v>
      </c>
      <c r="C2" s="15">
        <v>10</v>
      </c>
      <c r="D2" s="15">
        <v>12</v>
      </c>
      <c r="E2" s="15">
        <v>112</v>
      </c>
      <c r="F2" s="17">
        <f>C2*E2</f>
        <v>1120</v>
      </c>
      <c r="G2" s="32">
        <f>F2*279</f>
        <v>312480</v>
      </c>
    </row>
    <row r="3" spans="1:7" ht="27" thickBot="1" x14ac:dyDescent="0.3">
      <c r="A3" s="31" t="s">
        <v>121</v>
      </c>
      <c r="B3" s="5" t="s">
        <v>122</v>
      </c>
      <c r="C3" s="83" t="s">
        <v>123</v>
      </c>
      <c r="D3" s="84"/>
      <c r="E3" s="84"/>
      <c r="F3" s="84"/>
      <c r="G3" s="86"/>
    </row>
    <row r="4" spans="1:7" ht="27" thickBot="1" x14ac:dyDescent="0.3">
      <c r="A4" s="31" t="s">
        <v>124</v>
      </c>
      <c r="B4" s="5" t="s">
        <v>125</v>
      </c>
      <c r="C4" s="83" t="s">
        <v>123</v>
      </c>
      <c r="D4" s="84"/>
      <c r="E4" s="84"/>
      <c r="F4" s="84"/>
      <c r="G4" s="86"/>
    </row>
    <row r="5" spans="1:7" ht="53.4" thickBot="1" x14ac:dyDescent="0.3">
      <c r="A5" s="31" t="s">
        <v>126</v>
      </c>
      <c r="B5" s="5" t="s">
        <v>127</v>
      </c>
      <c r="C5" s="83" t="s">
        <v>123</v>
      </c>
      <c r="D5" s="84"/>
      <c r="E5" s="84"/>
      <c r="F5" s="84"/>
      <c r="G5" s="86"/>
    </row>
    <row r="6" spans="1:7" ht="27" thickBot="1" x14ac:dyDescent="0.3">
      <c r="A6" s="31" t="s">
        <v>128</v>
      </c>
      <c r="B6" s="5" t="s">
        <v>129</v>
      </c>
      <c r="C6" s="15">
        <v>133</v>
      </c>
      <c r="D6" s="15">
        <v>150</v>
      </c>
      <c r="E6" s="15">
        <v>50</v>
      </c>
      <c r="F6" s="17">
        <f>C6*E6</f>
        <v>6650</v>
      </c>
      <c r="G6" s="32">
        <f>F6*279</f>
        <v>1855350</v>
      </c>
    </row>
    <row r="7" spans="1:7" ht="53.4" thickBot="1" x14ac:dyDescent="0.3">
      <c r="A7" s="31" t="s">
        <v>130</v>
      </c>
      <c r="B7" s="5" t="s">
        <v>115</v>
      </c>
      <c r="C7" s="15">
        <v>133</v>
      </c>
      <c r="D7" s="15">
        <v>7</v>
      </c>
      <c r="E7" s="15">
        <v>7</v>
      </c>
      <c r="F7" s="17">
        <f>C7*E7</f>
        <v>931</v>
      </c>
      <c r="G7" s="32">
        <f>F7*279</f>
        <v>259749</v>
      </c>
    </row>
    <row r="8" spans="1:7" ht="14.4" thickBot="1" x14ac:dyDescent="0.3">
      <c r="A8" s="19" t="s">
        <v>69</v>
      </c>
      <c r="B8" s="20"/>
      <c r="C8" s="33">
        <v>133</v>
      </c>
      <c r="D8" s="33"/>
      <c r="E8" s="22"/>
      <c r="F8" s="68">
        <f>SUM(F2,F6,F7)</f>
        <v>8701</v>
      </c>
      <c r="G8" s="23">
        <f>SUM(G2,G6,G7)</f>
        <v>2427579</v>
      </c>
    </row>
  </sheetData>
  <mergeCells count="3">
    <mergeCell ref="C3:G3"/>
    <mergeCell ref="C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16"/>
  <sheetViews>
    <sheetView workbookViewId="0">
      <selection activeCell="B6" sqref="B6"/>
    </sheetView>
  </sheetViews>
  <sheetFormatPr defaultRowHeight="13.8" x14ac:dyDescent="0.25"/>
  <cols>
    <col min="1" max="1" width="21" customWidth="1"/>
    <col min="2" max="3" width="13.8984375" customWidth="1"/>
    <col min="4" max="4" width="11.69921875" customWidth="1"/>
  </cols>
  <sheetData>
    <row r="1" spans="1:6" ht="31.5" customHeight="1" x14ac:dyDescent="0.25">
      <c r="A1" s="63"/>
      <c r="B1" s="79" t="s">
        <v>137</v>
      </c>
      <c r="C1" s="79"/>
      <c r="D1" s="79"/>
      <c r="E1" s="27"/>
    </row>
    <row r="2" spans="1:6" ht="27.6" x14ac:dyDescent="0.25">
      <c r="A2" s="63"/>
      <c r="B2" s="37" t="s">
        <v>134</v>
      </c>
      <c r="C2" s="52" t="s">
        <v>135</v>
      </c>
      <c r="D2" s="65" t="s">
        <v>7</v>
      </c>
    </row>
    <row r="3" spans="1:6" x14ac:dyDescent="0.25">
      <c r="A3" s="64" t="s">
        <v>131</v>
      </c>
      <c r="B3" s="74">
        <f>SUM('Pt 73 1x reporting'!E30,'Pt 73 reporting'!E30)</f>
        <v>2799.1333333333332</v>
      </c>
      <c r="C3" s="73">
        <f>SUM('Pt 73 1x reporting'!G30,'Pt 73 reporting'!G30)</f>
        <v>35095.433333333334</v>
      </c>
      <c r="D3" s="66">
        <f>C3*279</f>
        <v>9791625.9000000004</v>
      </c>
    </row>
    <row r="4" spans="1:6" x14ac:dyDescent="0.25">
      <c r="A4" s="64" t="s">
        <v>132</v>
      </c>
      <c r="B4" s="74">
        <f>'Pt 73 rkeeping'!C8</f>
        <v>133</v>
      </c>
      <c r="C4" s="73">
        <f>SUM('Pt 73 1x rkeeping'!E4,'Pt 73 rkeeping'!F8)</f>
        <v>10034.333333333334</v>
      </c>
      <c r="D4" s="66">
        <f t="shared" ref="D4:D6" si="0">C4*279</f>
        <v>2799579</v>
      </c>
      <c r="F4">
        <f>C4*0.0004*279</f>
        <v>1119.8316</v>
      </c>
    </row>
    <row r="5" spans="1:6" x14ac:dyDescent="0.25">
      <c r="A5" s="64" t="s">
        <v>133</v>
      </c>
      <c r="B5" s="74">
        <f>'Pt 73 3rd party'!E4</f>
        <v>60</v>
      </c>
      <c r="C5" s="73">
        <f>'Pt 73 3rd party'!G4</f>
        <v>270</v>
      </c>
      <c r="D5" s="66">
        <f t="shared" si="0"/>
        <v>75330</v>
      </c>
    </row>
    <row r="6" spans="1:6" x14ac:dyDescent="0.25">
      <c r="A6" s="64" t="s">
        <v>136</v>
      </c>
      <c r="B6" s="77">
        <f>SUM(B3:B5)</f>
        <v>2992.1333333333332</v>
      </c>
      <c r="C6" s="70">
        <f>SUM(C3:C5)</f>
        <v>45399.76666666667</v>
      </c>
      <c r="D6" s="67">
        <f t="shared" si="0"/>
        <v>12666534.9</v>
      </c>
    </row>
    <row r="13" spans="1:6" x14ac:dyDescent="0.25">
      <c r="F13">
        <v>1224000</v>
      </c>
    </row>
    <row r="14" spans="1:6" x14ac:dyDescent="0.25">
      <c r="F14">
        <v>89000</v>
      </c>
    </row>
    <row r="15" spans="1:6" x14ac:dyDescent="0.25">
      <c r="F15">
        <v>22000</v>
      </c>
    </row>
    <row r="16" spans="1:6" x14ac:dyDescent="0.25">
      <c r="F16">
        <f>SUM(F13:F15)</f>
        <v>1335000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H5"/>
  <sheetViews>
    <sheetView workbookViewId="0">
      <selection activeCell="I11" sqref="I11"/>
    </sheetView>
  </sheetViews>
  <sheetFormatPr defaultRowHeight="13.8" x14ac:dyDescent="0.25"/>
  <cols>
    <col min="2" max="2" width="17.8984375" customWidth="1"/>
    <col min="8" max="8" width="11.09765625" bestFit="1" customWidth="1"/>
  </cols>
  <sheetData>
    <row r="1" spans="1:8" ht="66.599999999999994" thickBot="1" x14ac:dyDescent="0.3">
      <c r="A1" s="29" t="s">
        <v>138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139</v>
      </c>
      <c r="H1" s="3" t="s">
        <v>140</v>
      </c>
    </row>
    <row r="2" spans="1:8" ht="53.4" thickBot="1" x14ac:dyDescent="0.3">
      <c r="A2" s="4" t="s">
        <v>48</v>
      </c>
      <c r="B2" s="5" t="s">
        <v>141</v>
      </c>
      <c r="C2" s="6">
        <v>10</v>
      </c>
      <c r="D2" s="6">
        <v>250</v>
      </c>
      <c r="E2" s="7">
        <f>C2*D2</f>
        <v>2500</v>
      </c>
      <c r="F2" s="6">
        <v>2</v>
      </c>
      <c r="G2" s="7">
        <f>E2*F2</f>
        <v>5000</v>
      </c>
      <c r="H2" s="8">
        <f>G2*279</f>
        <v>1395000</v>
      </c>
    </row>
    <row r="3" spans="1:8" ht="40.200000000000003" thickBot="1" x14ac:dyDescent="0.3">
      <c r="A3" s="4" t="s">
        <v>142</v>
      </c>
      <c r="B3" s="5" t="s">
        <v>143</v>
      </c>
      <c r="C3" s="80" t="s">
        <v>144</v>
      </c>
      <c r="D3" s="81"/>
      <c r="E3" s="81"/>
      <c r="F3" s="81"/>
      <c r="G3" s="81"/>
      <c r="H3" s="82"/>
    </row>
    <row r="4" spans="1:8" ht="16.2" thickBot="1" x14ac:dyDescent="0.3">
      <c r="A4" s="10" t="s">
        <v>69</v>
      </c>
      <c r="B4" s="11"/>
      <c r="C4" s="6"/>
      <c r="D4" s="39"/>
      <c r="E4" s="12">
        <f>E2</f>
        <v>2500</v>
      </c>
      <c r="F4" s="40"/>
      <c r="G4" s="12">
        <f>G2</f>
        <v>5000</v>
      </c>
      <c r="H4" s="41">
        <f>H2</f>
        <v>1395000</v>
      </c>
    </row>
    <row r="5" spans="1:8" ht="40.200000000000003" thickBot="1" x14ac:dyDescent="0.3">
      <c r="A5" s="10" t="s">
        <v>70</v>
      </c>
      <c r="B5" s="11"/>
      <c r="C5" s="6"/>
      <c r="D5" s="39"/>
      <c r="E5" s="12">
        <f>E4/3</f>
        <v>833.33333333333337</v>
      </c>
      <c r="F5" s="40"/>
      <c r="G5" s="69">
        <f>G4/3</f>
        <v>1666.6666666666667</v>
      </c>
      <c r="H5" s="41">
        <f>H4/3</f>
        <v>465000</v>
      </c>
    </row>
  </sheetData>
  <mergeCells count="1">
    <mergeCell ref="C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H4"/>
  <sheetViews>
    <sheetView workbookViewId="0">
      <selection activeCell="G4" sqref="G4"/>
    </sheetView>
  </sheetViews>
  <sheetFormatPr defaultRowHeight="13.8" x14ac:dyDescent="0.25"/>
  <cols>
    <col min="2" max="2" width="16.8984375" customWidth="1"/>
    <col min="8" max="8" width="12.3984375" customWidth="1"/>
  </cols>
  <sheetData>
    <row r="1" spans="1:8" ht="66.599999999999994" thickBot="1" x14ac:dyDescent="0.3">
      <c r="A1" s="29" t="s">
        <v>138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139</v>
      </c>
      <c r="H1" s="3" t="s">
        <v>140</v>
      </c>
    </row>
    <row r="2" spans="1:8" ht="53.4" thickBot="1" x14ac:dyDescent="0.3">
      <c r="A2" s="4" t="s">
        <v>48</v>
      </c>
      <c r="B2" s="5" t="s">
        <v>145</v>
      </c>
      <c r="C2" s="6">
        <v>10</v>
      </c>
      <c r="D2" s="6">
        <v>25</v>
      </c>
      <c r="E2" s="6">
        <f>C2*D2</f>
        <v>250</v>
      </c>
      <c r="F2" s="6">
        <v>2</v>
      </c>
      <c r="G2" s="7">
        <f>E2*F2</f>
        <v>500</v>
      </c>
      <c r="H2" s="8">
        <f>G2*279</f>
        <v>139500</v>
      </c>
    </row>
    <row r="3" spans="1:8" ht="40.200000000000003" thickBot="1" x14ac:dyDescent="0.3">
      <c r="A3" s="9" t="s">
        <v>142</v>
      </c>
      <c r="B3" s="5" t="s">
        <v>143</v>
      </c>
      <c r="C3" s="80" t="s">
        <v>144</v>
      </c>
      <c r="D3" s="81"/>
      <c r="E3" s="81"/>
      <c r="F3" s="81"/>
      <c r="G3" s="81"/>
      <c r="H3" s="82"/>
    </row>
    <row r="4" spans="1:8" ht="14.4" thickBot="1" x14ac:dyDescent="0.3">
      <c r="A4" s="10" t="s">
        <v>69</v>
      </c>
      <c r="B4" s="11"/>
      <c r="C4" s="6"/>
      <c r="D4" s="6"/>
      <c r="E4" s="12">
        <f>E2</f>
        <v>250</v>
      </c>
      <c r="F4" s="11"/>
      <c r="G4" s="69">
        <f>G2</f>
        <v>500</v>
      </c>
      <c r="H4" s="13">
        <f>H2</f>
        <v>139500</v>
      </c>
    </row>
  </sheetData>
  <mergeCells count="1">
    <mergeCell ref="C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Overall Rule Totals</vt:lpstr>
      <vt:lpstr>Pt 73 1x reporting</vt:lpstr>
      <vt:lpstr>Pt 73 reporting</vt:lpstr>
      <vt:lpstr>Pt 73 3rd party</vt:lpstr>
      <vt:lpstr>Pt 73 1x rkeeping</vt:lpstr>
      <vt:lpstr>Pt 73 rkeeping</vt:lpstr>
      <vt:lpstr>Part 73 total</vt:lpstr>
      <vt:lpstr>Form 754 1x reporting</vt:lpstr>
      <vt:lpstr>Form 754 reporting</vt:lpstr>
      <vt:lpstr>Form 754 rkeeping</vt:lpstr>
      <vt:lpstr>Form 754 Total</vt:lpstr>
      <vt:lpstr>Government Costs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Benney, Kristen</dc:creator>
  <cp:lastModifiedBy>Benney, Kristen</cp:lastModifiedBy>
  <dcterms:created xsi:type="dcterms:W3CDTF">2015-01-26T20:30:40Z</dcterms:created>
  <dcterms:modified xsi:type="dcterms:W3CDTF">2015-10-15T18:37:22Z</dcterms:modified>
</cp:coreProperties>
</file>