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11640"/>
  </bookViews>
  <sheets>
    <sheet name="Baseline Revision" sheetId="1" r:id="rId1"/>
    <sheet name="Current Burden" sheetId="2" r:id="rId2"/>
  </sheets>
  <definedNames>
    <definedName name="_xlnm.Print_Titles" localSheetId="0">'Baseline Revision'!$2:$2</definedName>
  </definedNames>
  <calcPr calcId="145621"/>
</workbook>
</file>

<file path=xl/calcChain.xml><?xml version="1.0" encoding="utf-8"?>
<calcChain xmlns="http://schemas.openxmlformats.org/spreadsheetml/2006/main">
  <c r="G4" i="2" l="1"/>
  <c r="I4" i="2"/>
  <c r="I16" i="2" s="1"/>
  <c r="G5" i="2"/>
  <c r="I5" i="2"/>
  <c r="K79" i="1" s="1"/>
  <c r="G6" i="2"/>
  <c r="I6" i="2"/>
  <c r="K80" i="1" s="1"/>
  <c r="G7" i="2"/>
  <c r="I7" i="2"/>
  <c r="G8" i="2"/>
  <c r="I8" i="2"/>
  <c r="G9" i="2"/>
  <c r="I9" i="2"/>
  <c r="K97" i="1" s="1"/>
  <c r="G10" i="2"/>
  <c r="I10" i="2"/>
  <c r="K98" i="1" s="1"/>
  <c r="G11" i="2"/>
  <c r="I11" i="2"/>
  <c r="G12" i="2"/>
  <c r="I12" i="2"/>
  <c r="G13" i="2"/>
  <c r="I13" i="2"/>
  <c r="K103" i="1" s="1"/>
  <c r="G14" i="2"/>
  <c r="I14" i="2"/>
  <c r="F15" i="2"/>
  <c r="H15" i="2"/>
  <c r="E16" i="2"/>
  <c r="F16" i="2"/>
  <c r="G16" i="2"/>
  <c r="G20" i="2"/>
  <c r="I20" i="2" s="1"/>
  <c r="G21" i="2"/>
  <c r="I21" i="2" s="1"/>
  <c r="K23" i="1" s="1"/>
  <c r="I22" i="2"/>
  <c r="G23" i="2"/>
  <c r="I23" i="2"/>
  <c r="K35" i="1" s="1"/>
  <c r="G24" i="2"/>
  <c r="I24" i="2"/>
  <c r="K36" i="1" s="1"/>
  <c r="G25" i="2"/>
  <c r="I25" i="2"/>
  <c r="G26" i="2"/>
  <c r="I26" i="2"/>
  <c r="K38" i="1" s="1"/>
  <c r="M38" i="1" s="1"/>
  <c r="G27" i="2"/>
  <c r="I27" i="2"/>
  <c r="G28" i="2"/>
  <c r="I28" i="2"/>
  <c r="G29" i="2"/>
  <c r="I29" i="2"/>
  <c r="G30" i="2"/>
  <c r="I30" i="2"/>
  <c r="G31" i="2"/>
  <c r="I31" i="2"/>
  <c r="G32" i="2"/>
  <c r="I32" i="2"/>
  <c r="K46" i="1" s="1"/>
  <c r="G33" i="2"/>
  <c r="I33" i="2"/>
  <c r="K47" i="1" s="1"/>
  <c r="G34" i="2"/>
  <c r="F34" i="2" s="1"/>
  <c r="G38" i="2"/>
  <c r="I38" i="2"/>
  <c r="K51" i="1" s="1"/>
  <c r="G39" i="2"/>
  <c r="I39" i="2"/>
  <c r="K52" i="1" s="1"/>
  <c r="G40" i="2"/>
  <c r="F40" i="2" s="1"/>
  <c r="E43" i="2"/>
  <c r="G43" i="2"/>
  <c r="G56" i="2" s="1"/>
  <c r="E56" i="2"/>
  <c r="L113" i="1"/>
  <c r="D113" i="1"/>
  <c r="D112" i="1"/>
  <c r="D114" i="1" s="1"/>
  <c r="C117" i="1" s="1"/>
  <c r="L106" i="1"/>
  <c r="D106" i="1"/>
  <c r="K104" i="1"/>
  <c r="J104" i="1"/>
  <c r="F104" i="1"/>
  <c r="H104" i="1" s="1"/>
  <c r="M104" i="1" s="1"/>
  <c r="F103" i="1"/>
  <c r="H103" i="1" s="1"/>
  <c r="K102" i="1"/>
  <c r="M102" i="1" s="1"/>
  <c r="F102" i="1"/>
  <c r="H102" i="1" s="1"/>
  <c r="J102" i="1" s="1"/>
  <c r="K101" i="1"/>
  <c r="H101" i="1"/>
  <c r="F101" i="1"/>
  <c r="J98" i="1"/>
  <c r="H98" i="1"/>
  <c r="F98" i="1"/>
  <c r="F97" i="1"/>
  <c r="H97" i="1" s="1"/>
  <c r="K96" i="1"/>
  <c r="M96" i="1" s="1"/>
  <c r="F96" i="1"/>
  <c r="H96" i="1" s="1"/>
  <c r="J96" i="1" s="1"/>
  <c r="K95" i="1"/>
  <c r="H95" i="1"/>
  <c r="F95" i="1"/>
  <c r="H92" i="1"/>
  <c r="F92" i="1"/>
  <c r="D92" i="1"/>
  <c r="J91" i="1"/>
  <c r="D91" i="1"/>
  <c r="F91" i="1" s="1"/>
  <c r="H91" i="1" s="1"/>
  <c r="M91" i="1" s="1"/>
  <c r="D90" i="1"/>
  <c r="F90" i="1" s="1"/>
  <c r="H90" i="1" s="1"/>
  <c r="J90" i="1" s="1"/>
  <c r="F89" i="1"/>
  <c r="H89" i="1" s="1"/>
  <c r="D89" i="1"/>
  <c r="H88" i="1"/>
  <c r="F88" i="1"/>
  <c r="D88" i="1"/>
  <c r="D87" i="1"/>
  <c r="F87" i="1" s="1"/>
  <c r="H87" i="1" s="1"/>
  <c r="M87" i="1" s="1"/>
  <c r="M86" i="1"/>
  <c r="D86" i="1"/>
  <c r="F86" i="1" s="1"/>
  <c r="H86" i="1" s="1"/>
  <c r="J86" i="1" s="1"/>
  <c r="F83" i="1"/>
  <c r="H83" i="1" s="1"/>
  <c r="F82" i="1"/>
  <c r="H82" i="1" s="1"/>
  <c r="G80" i="1"/>
  <c r="E80" i="1"/>
  <c r="D80" i="1"/>
  <c r="F80" i="1" s="1"/>
  <c r="H80" i="1" s="1"/>
  <c r="H79" i="1"/>
  <c r="F79" i="1"/>
  <c r="H77" i="1"/>
  <c r="F77" i="1"/>
  <c r="H76" i="1"/>
  <c r="F76" i="1"/>
  <c r="H75" i="1"/>
  <c r="F75" i="1"/>
  <c r="H74" i="1"/>
  <c r="F74" i="1"/>
  <c r="H73" i="1"/>
  <c r="F73" i="1"/>
  <c r="H72" i="1"/>
  <c r="F72" i="1"/>
  <c r="J71" i="1"/>
  <c r="H71" i="1"/>
  <c r="M71" i="1" s="1"/>
  <c r="F71" i="1"/>
  <c r="H70" i="1"/>
  <c r="M70" i="1" s="1"/>
  <c r="F70" i="1"/>
  <c r="H69" i="1"/>
  <c r="M69" i="1" s="1"/>
  <c r="F69" i="1"/>
  <c r="J68" i="1"/>
  <c r="H68" i="1"/>
  <c r="M68" i="1" s="1"/>
  <c r="F68" i="1"/>
  <c r="J67" i="1"/>
  <c r="H67" i="1"/>
  <c r="M67" i="1" s="1"/>
  <c r="F67" i="1"/>
  <c r="H66" i="1"/>
  <c r="M66" i="1" s="1"/>
  <c r="F66" i="1"/>
  <c r="H65" i="1"/>
  <c r="M65" i="1" s="1"/>
  <c r="F65" i="1"/>
  <c r="K62" i="1"/>
  <c r="J62" i="1"/>
  <c r="H62" i="1"/>
  <c r="M62" i="1" s="1"/>
  <c r="F62" i="1"/>
  <c r="M61" i="1"/>
  <c r="J61" i="1"/>
  <c r="H61" i="1"/>
  <c r="F61" i="1"/>
  <c r="M60" i="1"/>
  <c r="J60" i="1"/>
  <c r="H60" i="1"/>
  <c r="F60" i="1"/>
  <c r="F58" i="1"/>
  <c r="D54" i="1"/>
  <c r="L53" i="1"/>
  <c r="F53" i="1"/>
  <c r="D53" i="1"/>
  <c r="J52" i="1"/>
  <c r="H52" i="1"/>
  <c r="F52" i="1"/>
  <c r="F51" i="1"/>
  <c r="H51" i="1" s="1"/>
  <c r="L49" i="1"/>
  <c r="L112" i="1" s="1"/>
  <c r="L114" i="1" s="1"/>
  <c r="F48" i="1"/>
  <c r="H48" i="1" s="1"/>
  <c r="J48" i="1" s="1"/>
  <c r="F47" i="1"/>
  <c r="H47" i="1" s="1"/>
  <c r="H46" i="1"/>
  <c r="F46" i="1"/>
  <c r="K45" i="1"/>
  <c r="J45" i="1"/>
  <c r="H45" i="1"/>
  <c r="F45" i="1"/>
  <c r="K44" i="1"/>
  <c r="F44" i="1"/>
  <c r="H44" i="1" s="1"/>
  <c r="J44" i="1" s="1"/>
  <c r="K43" i="1"/>
  <c r="F43" i="1"/>
  <c r="H43" i="1" s="1"/>
  <c r="K42" i="1"/>
  <c r="J42" i="1"/>
  <c r="H42" i="1"/>
  <c r="F42" i="1"/>
  <c r="K41" i="1"/>
  <c r="J41" i="1"/>
  <c r="H41" i="1"/>
  <c r="F41" i="1"/>
  <c r="F38" i="1"/>
  <c r="H38" i="1" s="1"/>
  <c r="J38" i="1" s="1"/>
  <c r="K37" i="1"/>
  <c r="M37" i="1" s="1"/>
  <c r="H37" i="1"/>
  <c r="J37" i="1" s="1"/>
  <c r="F37" i="1"/>
  <c r="J36" i="1"/>
  <c r="H36" i="1"/>
  <c r="F36" i="1"/>
  <c r="J35" i="1"/>
  <c r="H35" i="1"/>
  <c r="F35" i="1"/>
  <c r="M33" i="1"/>
  <c r="J33" i="1"/>
  <c r="H33" i="1"/>
  <c r="F33" i="1"/>
  <c r="E33" i="1"/>
  <c r="M32" i="1"/>
  <c r="F32" i="1"/>
  <c r="H32" i="1" s="1"/>
  <c r="J32" i="1" s="1"/>
  <c r="F31" i="1"/>
  <c r="E31" i="1" s="1"/>
  <c r="J30" i="1"/>
  <c r="H30" i="1"/>
  <c r="M30" i="1" s="1"/>
  <c r="F30" i="1"/>
  <c r="E30" i="1" s="1"/>
  <c r="M29" i="1"/>
  <c r="J29" i="1"/>
  <c r="H29" i="1"/>
  <c r="F29" i="1"/>
  <c r="E29" i="1"/>
  <c r="M28" i="1"/>
  <c r="F28" i="1"/>
  <c r="H28" i="1" s="1"/>
  <c r="J28" i="1" s="1"/>
  <c r="E28" i="1"/>
  <c r="H27" i="1"/>
  <c r="F27" i="1"/>
  <c r="E27" i="1" s="1"/>
  <c r="H25" i="1"/>
  <c r="M25" i="1" s="1"/>
  <c r="E25" i="1"/>
  <c r="K24" i="1"/>
  <c r="J24" i="1"/>
  <c r="H24" i="1"/>
  <c r="M24" i="1" s="1"/>
  <c r="J23" i="1"/>
  <c r="H23" i="1"/>
  <c r="E23" i="1"/>
  <c r="M21" i="1"/>
  <c r="J21" i="1"/>
  <c r="H21" i="1"/>
  <c r="F21" i="1"/>
  <c r="M20" i="1"/>
  <c r="J20" i="1"/>
  <c r="H20" i="1"/>
  <c r="F20" i="1"/>
  <c r="M19" i="1"/>
  <c r="J19" i="1"/>
  <c r="H19" i="1"/>
  <c r="E19" i="1"/>
  <c r="M18" i="1"/>
  <c r="J18" i="1"/>
  <c r="H18" i="1"/>
  <c r="F18" i="1"/>
  <c r="M17" i="1"/>
  <c r="J17" i="1"/>
  <c r="H17" i="1"/>
  <c r="F17" i="1"/>
  <c r="M16" i="1"/>
  <c r="J16" i="1"/>
  <c r="H16" i="1"/>
  <c r="F16" i="1"/>
  <c r="M15" i="1"/>
  <c r="J15" i="1"/>
  <c r="H15" i="1"/>
  <c r="F15" i="1"/>
  <c r="M14" i="1"/>
  <c r="J14" i="1"/>
  <c r="H14" i="1"/>
  <c r="E14" i="1"/>
  <c r="M13" i="1"/>
  <c r="J13" i="1"/>
  <c r="H13" i="1"/>
  <c r="F13" i="1"/>
  <c r="M12" i="1"/>
  <c r="J12" i="1"/>
  <c r="H12" i="1"/>
  <c r="E12" i="1"/>
  <c r="M11" i="1"/>
  <c r="J11" i="1"/>
  <c r="H11" i="1"/>
  <c r="E11" i="1"/>
  <c r="M10" i="1"/>
  <c r="J10" i="1"/>
  <c r="H10" i="1"/>
  <c r="E10" i="1"/>
  <c r="M9" i="1"/>
  <c r="J9" i="1"/>
  <c r="H9" i="1"/>
  <c r="E9" i="1"/>
  <c r="M7" i="1"/>
  <c r="J7" i="1"/>
  <c r="H7" i="1"/>
  <c r="E7" i="1"/>
  <c r="J6" i="1"/>
  <c r="H6" i="1"/>
  <c r="E6" i="1"/>
  <c r="I34" i="2" l="1"/>
  <c r="H34" i="2" s="1"/>
  <c r="K6" i="1"/>
  <c r="M6" i="1" s="1"/>
  <c r="K53" i="1"/>
  <c r="I43" i="2"/>
  <c r="I56" i="2" s="1"/>
  <c r="H16" i="2"/>
  <c r="M42" i="1"/>
  <c r="M45" i="1"/>
  <c r="M46" i="1"/>
  <c r="I40" i="2"/>
  <c r="H40" i="2" s="1"/>
  <c r="M36" i="1"/>
  <c r="K58" i="1"/>
  <c r="K106" i="1" s="1"/>
  <c r="M98" i="1"/>
  <c r="J47" i="1"/>
  <c r="M47" i="1"/>
  <c r="M80" i="1"/>
  <c r="J80" i="1"/>
  <c r="J43" i="1"/>
  <c r="M43" i="1"/>
  <c r="K113" i="1"/>
  <c r="M27" i="1"/>
  <c r="J27" i="1"/>
  <c r="M75" i="1"/>
  <c r="J75" i="1"/>
  <c r="M77" i="1"/>
  <c r="J77" i="1"/>
  <c r="M95" i="1"/>
  <c r="J95" i="1"/>
  <c r="M101" i="1"/>
  <c r="J101" i="1"/>
  <c r="M51" i="1"/>
  <c r="H58" i="1"/>
  <c r="F106" i="1"/>
  <c r="E106" i="1" s="1"/>
  <c r="J66" i="1"/>
  <c r="J70" i="1"/>
  <c r="M82" i="1"/>
  <c r="J82" i="1"/>
  <c r="M88" i="1"/>
  <c r="J88" i="1"/>
  <c r="M90" i="1"/>
  <c r="J97" i="1"/>
  <c r="M97" i="1"/>
  <c r="J103" i="1"/>
  <c r="M103" i="1"/>
  <c r="M23" i="1"/>
  <c r="J25" i="1"/>
  <c r="E32" i="1"/>
  <c r="M41" i="1"/>
  <c r="J46" i="1"/>
  <c r="J65" i="1"/>
  <c r="J69" i="1"/>
  <c r="J72" i="1"/>
  <c r="M72" i="1"/>
  <c r="J74" i="1"/>
  <c r="M74" i="1"/>
  <c r="J76" i="1"/>
  <c r="M76" i="1"/>
  <c r="M79" i="1"/>
  <c r="J79" i="1"/>
  <c r="M83" i="1"/>
  <c r="J83" i="1"/>
  <c r="J87" i="1"/>
  <c r="J92" i="1"/>
  <c r="M92" i="1"/>
  <c r="F113" i="1"/>
  <c r="E113" i="1" s="1"/>
  <c r="F54" i="1"/>
  <c r="E54" i="1" s="1"/>
  <c r="M73" i="1"/>
  <c r="J73" i="1"/>
  <c r="F49" i="1"/>
  <c r="H31" i="1"/>
  <c r="M48" i="1"/>
  <c r="K49" i="1"/>
  <c r="K54" i="1" s="1"/>
  <c r="M35" i="1"/>
  <c r="M44" i="1"/>
  <c r="H53" i="1"/>
  <c r="J51" i="1"/>
  <c r="J53" i="1" s="1"/>
  <c r="M52" i="1"/>
  <c r="E53" i="1"/>
  <c r="M89" i="1"/>
  <c r="J89" i="1"/>
  <c r="L54" i="1"/>
  <c r="M31" i="1" l="1"/>
  <c r="M49" i="1" s="1"/>
  <c r="J31" i="1"/>
  <c r="J49" i="1" s="1"/>
  <c r="M53" i="1"/>
  <c r="J113" i="1"/>
  <c r="G53" i="1"/>
  <c r="H113" i="1"/>
  <c r="G113" i="1" s="1"/>
  <c r="K112" i="1"/>
  <c r="K114" i="1" s="1"/>
  <c r="C122" i="1" s="1"/>
  <c r="F112" i="1"/>
  <c r="E49" i="1"/>
  <c r="H49" i="1"/>
  <c r="H54" i="1" s="1"/>
  <c r="G54" i="1" s="1"/>
  <c r="H106" i="1"/>
  <c r="G106" i="1" s="1"/>
  <c r="J58" i="1"/>
  <c r="J106" i="1" s="1"/>
  <c r="M58" i="1"/>
  <c r="M106" i="1" s="1"/>
  <c r="J112" i="1" l="1"/>
  <c r="J114" i="1" s="1"/>
  <c r="J54" i="1"/>
  <c r="E112" i="1"/>
  <c r="F114" i="1"/>
  <c r="M113" i="1"/>
  <c r="M54" i="1"/>
  <c r="G49" i="1"/>
  <c r="H112" i="1"/>
  <c r="M112" i="1"/>
  <c r="M114" i="1" s="1"/>
  <c r="G112" i="1" l="1"/>
  <c r="H114" i="1"/>
  <c r="E114" i="1"/>
  <c r="C118" i="1" s="1"/>
  <c r="C119" i="1"/>
  <c r="C121" i="1" l="1"/>
  <c r="C123" i="1" s="1"/>
  <c r="G114" i="1"/>
  <c r="C120" i="1" s="1"/>
</calcChain>
</file>

<file path=xl/comments1.xml><?xml version="1.0" encoding="utf-8"?>
<comments xmlns="http://schemas.openxmlformats.org/spreadsheetml/2006/main">
  <authors>
    <author>lywilliams</author>
  </authors>
  <commentList>
    <comment ref="C21" authorId="0">
      <text>
        <r>
          <rPr>
            <b/>
            <sz val="8"/>
            <color indexed="81"/>
            <rFont val="Tahoma"/>
            <family val="2"/>
          </rPr>
          <t>lywilliams:</t>
        </r>
        <r>
          <rPr>
            <sz val="8"/>
            <color indexed="81"/>
            <rFont val="Tahoma"/>
            <family val="2"/>
          </rPr>
          <t xml:space="preserve">
(Not mandatory verification, but State agencies determine student compliance with the 20-hour minimum requirement under 273.5(b)(5) to determine SNAP eligibility)</t>
        </r>
      </text>
    </comment>
  </commentList>
</comments>
</file>

<file path=xl/sharedStrings.xml><?xml version="1.0" encoding="utf-8"?>
<sst xmlns="http://schemas.openxmlformats.org/spreadsheetml/2006/main" count="351" uniqueCount="178">
  <si>
    <r>
      <t xml:space="preserve"> </t>
    </r>
    <r>
      <rPr>
        <b/>
        <sz val="11"/>
        <color theme="1"/>
        <rFont val="Arial Narrow"/>
        <family val="2"/>
      </rPr>
      <t xml:space="preserve">                   SNAP PROGRAM REPORTING AND RECORDKEEPING REQUIREMENTS  (OMB #0584-0064)                                            </t>
    </r>
  </si>
  <si>
    <t>CFR</t>
  </si>
  <si>
    <t>Burden Activities</t>
  </si>
  <si>
    <t>Title</t>
  </si>
  <si>
    <t xml:space="preserve"> Estimated Number of Respondents </t>
  </si>
  <si>
    <t>Annual Reports/ Records filed</t>
  </si>
  <si>
    <t>Total Annual Responses</t>
  </si>
  <si>
    <t xml:space="preserve"> Number of Burden Hours per Response </t>
  </si>
  <si>
    <t>Estimated Total Burden Hours</t>
  </si>
  <si>
    <t>Hourly    Cost to Respondent</t>
  </si>
  <si>
    <t>Cost to Respondents</t>
  </si>
  <si>
    <t>Previous Sumbission: Burden Hours</t>
  </si>
  <si>
    <t>Difference Due to Program Changes</t>
  </si>
  <si>
    <t>Difference Due to Adjustments</t>
  </si>
  <si>
    <t>Explanation of Differences</t>
  </si>
  <si>
    <t>Affected Public:  State and Local Agencies</t>
  </si>
  <si>
    <t>STATE AGENCY UPDATED REPORTING BURDEN BASELINE ESTIMATES</t>
  </si>
  <si>
    <t xml:space="preserve">Application to Participate in SNAP </t>
  </si>
  <si>
    <t>1. Application form (19 Minutes)</t>
  </si>
  <si>
    <t>Application form - All initial applications</t>
  </si>
  <si>
    <t>Increase in participation</t>
  </si>
  <si>
    <t>273.2(e)(1)</t>
  </si>
  <si>
    <t>2. Interview (30 Minutes)</t>
  </si>
  <si>
    <t>Interview: Initial interview</t>
  </si>
  <si>
    <t>Interview not previously included in burden estimate</t>
  </si>
  <si>
    <t>273.2(f)(1) &amp; (2)</t>
  </si>
  <si>
    <t>3. Verification (21 Minutes)</t>
  </si>
  <si>
    <t xml:space="preserve">Verification:  </t>
  </si>
  <si>
    <t>Income</t>
  </si>
  <si>
    <t>Verification not previously included in burden estimate</t>
  </si>
  <si>
    <t>Identity</t>
  </si>
  <si>
    <t>Alien Eligibility</t>
  </si>
  <si>
    <t>Social Security Number</t>
  </si>
  <si>
    <t xml:space="preserve">Medical expenses (if claimed and to receive income deduction) </t>
  </si>
  <si>
    <t>Residency</t>
  </si>
  <si>
    <t>Utility expenses (if the State agency does not utilize a standard utility allowance and the applicant wishes to claim expenses)</t>
  </si>
  <si>
    <t>Hours worked (Able-bodied Adults w/out Dependents)</t>
  </si>
  <si>
    <t>Legal obligation to pay child support and actual child support payments</t>
  </si>
  <si>
    <t>Disability</t>
  </si>
  <si>
    <t>Household composition</t>
  </si>
  <si>
    <t xml:space="preserve"> </t>
  </si>
  <si>
    <t>Questionable Information</t>
  </si>
  <si>
    <t xml:space="preserve">Student Work Hours </t>
  </si>
  <si>
    <t xml:space="preserve">Application for Recertification </t>
  </si>
  <si>
    <t>273.14(b)</t>
  </si>
  <si>
    <t>1. Application form (15 Minutes)</t>
  </si>
  <si>
    <t>Application form - All recertification applications</t>
  </si>
  <si>
    <t>4.2 minute reduction in application review time.  Increase in participation.</t>
  </si>
  <si>
    <t xml:space="preserve">Additional Application for Recertification affected by Final Rule 7 CFR 273.12(a)(5), formerly 7 CFR 273.12(a)(1)(vii)  </t>
  </si>
  <si>
    <t xml:space="preserve">A one time burden associated with certain hh that were allowed to be under simplified reporting per the the FSRIA Final Rule. This was a 1 time burden. </t>
  </si>
  <si>
    <t>273.14(b)(3)</t>
  </si>
  <si>
    <t>2. Interview (20 Minutes)</t>
  </si>
  <si>
    <t>Interview: All recertification interviews</t>
  </si>
  <si>
    <t>273.2(f)(8)(i)</t>
  </si>
  <si>
    <t>3. Verification (10 Minutes)</t>
  </si>
  <si>
    <t xml:space="preserve">Verification: </t>
  </si>
  <si>
    <t>Income (if source changed or amount changed by more than $50)</t>
  </si>
  <si>
    <t>Social Security Number (if Social Security number is new)</t>
  </si>
  <si>
    <t>Medical expenses (unreported and reoccurring expenses that have  changed by more than $25)</t>
  </si>
  <si>
    <t>Legal obligation to pay child support (if there were changes in obligation to pay)</t>
  </si>
  <si>
    <t>Utility expenses (if has changed by more than $25)</t>
  </si>
  <si>
    <t>Other information which has changed may be verified</t>
  </si>
  <si>
    <t xml:space="preserve">Periodic Reports </t>
  </si>
  <si>
    <t>MA,MN</t>
  </si>
  <si>
    <t xml:space="preserve">Monthly Reports </t>
  </si>
  <si>
    <t>Decrease in burden time estimate and decrease in number of states with monthly reporting</t>
  </si>
  <si>
    <t>273.12(a)(4)</t>
  </si>
  <si>
    <t>CA</t>
  </si>
  <si>
    <t>Quarterly Report</t>
  </si>
  <si>
    <t>Decrease in burden time estimate and decrease in number of households reporting to state</t>
  </si>
  <si>
    <t>273.12(a)(5)</t>
  </si>
  <si>
    <t>51SA</t>
  </si>
  <si>
    <t>Simplified or Periodic Report</t>
  </si>
  <si>
    <t>Increase in burden time estimate and households reporting to state</t>
  </si>
  <si>
    <t>273.12(a)(1)</t>
  </si>
  <si>
    <t>24 SA</t>
  </si>
  <si>
    <t>Change Report</t>
  </si>
  <si>
    <t>Notices</t>
  </si>
  <si>
    <t>273.10(g)(1)(i) &amp; (ii)</t>
  </si>
  <si>
    <t>All Initial and Recertification Applications</t>
  </si>
  <si>
    <t>Notice of Eligibility or Denial</t>
  </si>
  <si>
    <t>Increase in number of households receiving notice</t>
  </si>
  <si>
    <t>273.12(a)(4) (iii) &amp; 273.12(a)(5) (iii)(D)</t>
  </si>
  <si>
    <t>Notice of Missing or Incomplete Report</t>
  </si>
  <si>
    <t>273.2(h)(1)(i)(D) &amp; 273.14(b)(3)(iii)</t>
  </si>
  <si>
    <t>Notice of Missed Interviews</t>
  </si>
  <si>
    <t>273.14(b)(1)</t>
  </si>
  <si>
    <t>Total Participating Households</t>
  </si>
  <si>
    <t>Notice of Expiration of Certification</t>
  </si>
  <si>
    <t>273.13(a)</t>
  </si>
  <si>
    <t>Notice of Adverse Action (NOAA)</t>
  </si>
  <si>
    <t>273.12(a)(4)(v) &amp; 273.13(b)</t>
  </si>
  <si>
    <t>Adequate Notice</t>
  </si>
  <si>
    <t>273.12(c)(3)(i)</t>
  </si>
  <si>
    <t>Request for Contact</t>
  </si>
  <si>
    <t>Transitional Benefits Notice</t>
  </si>
  <si>
    <t>State Agency Reporting Subtotal</t>
  </si>
  <si>
    <t>STATE AND LOCAL AGENCY UPDATED RECORDKEEPING BURDEN BASELINE ESTIMATES</t>
  </si>
  <si>
    <t>272.1(f)</t>
  </si>
  <si>
    <t>Case Files</t>
  </si>
  <si>
    <t>Rounding</t>
  </si>
  <si>
    <t>272.4(e)</t>
  </si>
  <si>
    <t>Monitoring Duplicate Participation</t>
  </si>
  <si>
    <t>State Agency Recordkeeping Subtotal</t>
  </si>
  <si>
    <t>State Agency Reporting &amp; Recordkeeping Subtotal</t>
  </si>
  <si>
    <t>Affected Public:  Households</t>
  </si>
  <si>
    <t>HOUSEHOLD UPDATED BURDEN BASELINE ESTIMATES</t>
  </si>
  <si>
    <t xml:space="preserve">   </t>
  </si>
  <si>
    <t>Interview - All initial interviews</t>
  </si>
  <si>
    <t xml:space="preserve">Travel Time </t>
  </si>
  <si>
    <t>Travel associated with in office interview - 100% applicant HH</t>
  </si>
  <si>
    <t>Travel time not previously included in burden estimate</t>
  </si>
  <si>
    <t>OMB M-10-29</t>
  </si>
  <si>
    <t>BP Deepwater Horizon Oil Spill Reporting</t>
  </si>
  <si>
    <t>One time burden associated with applications collected during the BP Deepwater Oil spill.</t>
  </si>
  <si>
    <t>3. Verification (29 Minutes)</t>
  </si>
  <si>
    <t>Medical expenses (if claimed and to receive income deduction)</t>
  </si>
  <si>
    <t>Hours worked (Able-bodied Adults w/out Dependents and students)</t>
  </si>
  <si>
    <t>Student Work Hours (Not mandatory verification, but to meet exemption per 273.5(b)(5), household must provide supporting documentation on hours worked.)</t>
  </si>
  <si>
    <t>Application for Recertification of SNAP</t>
  </si>
  <si>
    <t>Interview - All recertification interviews</t>
  </si>
  <si>
    <t>Travel associated with in office interview - 100% recertification HH</t>
  </si>
  <si>
    <t>Legal obligation to pay child support (if there were  changes in obligation to pay)</t>
  </si>
  <si>
    <t>Periodic Reports</t>
  </si>
  <si>
    <t>Monthly Report</t>
  </si>
  <si>
    <t>Increase in number of households receiving notice and time to prepare notice</t>
  </si>
  <si>
    <t>Notice of Adverse Action</t>
  </si>
  <si>
    <t>Household Subtotal - Burden Activities with Adjusted Baseline</t>
  </si>
  <si>
    <t xml:space="preserve">TOTAL REPORTING AND RECORDKEEPING BURDEN </t>
  </si>
  <si>
    <t>Total Cost to Respondents</t>
  </si>
  <si>
    <t>TOTAL REPORTING BURDEN</t>
  </si>
  <si>
    <t>TOTAL RECORDKEEPING BURDEN</t>
  </si>
  <si>
    <t>TOTAL BURDEN REQUESTED FOR OMB NO. 0584-0064</t>
  </si>
  <si>
    <t>SUMMARY OF BURDEN (OMB #0584-0064)</t>
  </si>
  <si>
    <t>TOTAL NO. RESPONDENTS</t>
  </si>
  <si>
    <t>AVERAGE NO. RESPONSES PER RESPONDENT</t>
  </si>
  <si>
    <t>TOTAL ANNUAL RESPONSES</t>
  </si>
  <si>
    <t>AVERAGE HOURS PER RESPONSE</t>
  </si>
  <si>
    <t>TOTAL ANNUAL BURDEN HOURS REQUESTED</t>
  </si>
  <si>
    <t>CURRENT BURDEN INVENTORY</t>
  </si>
  <si>
    <t>DIFFERENCE</t>
  </si>
  <si>
    <t>BURDEN FOR THIS REQUEST</t>
  </si>
  <si>
    <t xml:space="preserve">Total Burden </t>
  </si>
  <si>
    <t xml:space="preserve">Total Annual Responses </t>
  </si>
  <si>
    <t>Tota No. Respondents</t>
  </si>
  <si>
    <t>Merged to 0083</t>
  </si>
  <si>
    <t>BURDEN FOR THIS COLLECTION 0083</t>
  </si>
  <si>
    <t>Merged to 0496</t>
  </si>
  <si>
    <t>BURDEN FOR THIS COLLECTION 0496</t>
  </si>
  <si>
    <t>BURDEN FOR THIS COLLECTION 0064</t>
  </si>
  <si>
    <t>h</t>
  </si>
  <si>
    <t>Recordkeeping</t>
  </si>
  <si>
    <t>State and local agencies</t>
  </si>
  <si>
    <t xml:space="preserve">(d)                                          Total Annual Recordkeeping hours (bxc) </t>
  </si>
  <si>
    <t xml:space="preserve">(c )                                         Annual hours per Recordkeeper </t>
  </si>
  <si>
    <t xml:space="preserve">(b)                                               No. of Recordkeeper                                 </t>
  </si>
  <si>
    <t xml:space="preserve">(a)                                                                   Description of Record keeping Activity </t>
  </si>
  <si>
    <t>Affected Public</t>
  </si>
  <si>
    <t>Reporting</t>
  </si>
  <si>
    <t>Notice of Late Incomplete Report</t>
  </si>
  <si>
    <t>Semiannual or Simplified Report</t>
  </si>
  <si>
    <t>Monthly Reports</t>
  </si>
  <si>
    <t>Application for Recertification</t>
  </si>
  <si>
    <t>Application to participate in the FSP</t>
  </si>
  <si>
    <t>State Agencies</t>
  </si>
  <si>
    <t>Total Individual/Household Burden</t>
  </si>
  <si>
    <t>BP Deepwater Horizon Oil Spill Reporting (Per OMB M-10-29)</t>
  </si>
  <si>
    <t>Semiannual or Simplified Reporting</t>
  </si>
  <si>
    <t>Households</t>
  </si>
  <si>
    <t>Individuals</t>
  </si>
  <si>
    <t>(g)                              Total Burden                                        (exf)</t>
  </si>
  <si>
    <t>(f)                               Hours Per Response</t>
  </si>
  <si>
    <t>(e)                                     Total Annual Responses                                         (cxd)</t>
  </si>
  <si>
    <t>(d)                                                    No. Responses Per Respondent</t>
  </si>
  <si>
    <t>(c )                                         No. Respondents</t>
  </si>
  <si>
    <t>(b)           Form Number</t>
  </si>
  <si>
    <t xml:space="preserve">(a)                                                                                      Description of Collection Activity </t>
  </si>
  <si>
    <t>SUMMARY OF BURDEN - #0584-0064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</si>
</sst>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* #,##0_);_(* \(#,##0\);_(* &quot;-&quot;??_);_(@_)"/>
    <numFmt numFmtId="166" formatCode="0.0000"/>
    <numFmt numFmtId="167" formatCode="#,##0.000"/>
    <numFmt numFmtId="168" formatCode="#,##0.00000000"/>
    <numFmt numFmtId="169" formatCode="0.000000"/>
    <numFmt numFmtId="170" formatCode="#,##0.00000"/>
    <numFmt numFmtId="171" formatCode="#,##0.000000"/>
    <numFmt numFmtId="172" formatCode="#,##0.0000"/>
    <numFmt numFmtId="173" formatCode="0.00000000"/>
    <numFmt numFmtId="174" formatCode="0.000"/>
    <numFmt numFmtId="176" formatCode="0.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Arial Narrow"/>
      <family val="2"/>
    </font>
    <font>
      <b/>
      <sz val="11"/>
      <name val="Arial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b/>
      <sz val="18"/>
      <color rgb="FF0000FF"/>
      <name val="Arial Narrow"/>
      <family val="2"/>
    </font>
    <font>
      <b/>
      <sz val="14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1"/>
      <name val="Arial"/>
      <family val="2"/>
    </font>
    <font>
      <sz val="10"/>
      <name val="Arial Narrow"/>
      <family val="2"/>
    </font>
    <font>
      <i/>
      <sz val="11"/>
      <color theme="1"/>
      <name val="Arial Narrow"/>
      <family val="2"/>
    </font>
    <font>
      <b/>
      <sz val="13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</cellStyleXfs>
  <cellXfs count="276">
    <xf numFmtId="0" fontId="0" fillId="0" borderId="0" xfId="0"/>
    <xf numFmtId="0" fontId="0" fillId="0" borderId="0" xfId="0" applyBorder="1"/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4" fontId="10" fillId="0" borderId="16" xfId="0" applyNumberFormat="1" applyFont="1" applyFill="1" applyBorder="1" applyAlignment="1">
      <alignment wrapText="1"/>
    </xf>
    <xf numFmtId="0" fontId="10" fillId="0" borderId="16" xfId="0" applyFont="1" applyFill="1" applyBorder="1" applyAlignment="1">
      <alignment wrapText="1"/>
    </xf>
    <xf numFmtId="4" fontId="10" fillId="0" borderId="16" xfId="0" applyNumberFormat="1" applyFont="1" applyFill="1" applyBorder="1"/>
    <xf numFmtId="44" fontId="10" fillId="0" borderId="16" xfId="2" applyFont="1" applyFill="1" applyBorder="1"/>
    <xf numFmtId="164" fontId="10" fillId="0" borderId="16" xfId="0" applyNumberFormat="1" applyFont="1" applyFill="1" applyBorder="1"/>
    <xf numFmtId="4" fontId="10" fillId="0" borderId="17" xfId="0" applyNumberFormat="1" applyFont="1" applyFill="1" applyBorder="1" applyAlignment="1">
      <alignment wrapText="1"/>
    </xf>
    <xf numFmtId="44" fontId="10" fillId="0" borderId="16" xfId="2" applyFont="1" applyBorder="1"/>
    <xf numFmtId="164" fontId="10" fillId="0" borderId="16" xfId="0" applyNumberFormat="1" applyFont="1" applyBorder="1"/>
    <xf numFmtId="0" fontId="10" fillId="0" borderId="16" xfId="0" applyFont="1" applyFill="1" applyBorder="1"/>
    <xf numFmtId="0" fontId="10" fillId="0" borderId="17" xfId="0" applyFont="1" applyFill="1" applyBorder="1"/>
    <xf numFmtId="0" fontId="0" fillId="0" borderId="16" xfId="0" applyBorder="1" applyAlignment="1">
      <alignment wrapText="1"/>
    </xf>
    <xf numFmtId="0" fontId="10" fillId="0" borderId="16" xfId="0" applyFont="1" applyBorder="1"/>
    <xf numFmtId="0" fontId="11" fillId="0" borderId="16" xfId="0" applyFont="1" applyBorder="1" applyAlignment="1">
      <alignment wrapText="1"/>
    </xf>
    <xf numFmtId="3" fontId="10" fillId="0" borderId="16" xfId="0" applyNumberFormat="1" applyFont="1" applyFill="1" applyBorder="1" applyAlignment="1">
      <alignment wrapText="1"/>
    </xf>
    <xf numFmtId="165" fontId="10" fillId="0" borderId="16" xfId="1" applyNumberFormat="1" applyFont="1" applyFill="1" applyBorder="1" applyAlignment="1">
      <alignment wrapText="1"/>
    </xf>
    <xf numFmtId="43" fontId="10" fillId="0" borderId="16" xfId="1" applyFont="1" applyFill="1" applyBorder="1" applyAlignment="1">
      <alignment wrapText="1"/>
    </xf>
    <xf numFmtId="0" fontId="12" fillId="0" borderId="16" xfId="0" applyFont="1" applyFill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/>
    <xf numFmtId="4" fontId="10" fillId="0" borderId="16" xfId="0" applyNumberFormat="1" applyFont="1" applyBorder="1"/>
    <xf numFmtId="0" fontId="12" fillId="0" borderId="16" xfId="4" applyFont="1" applyFill="1" applyBorder="1" applyAlignment="1">
      <alignment wrapText="1"/>
    </xf>
    <xf numFmtId="0" fontId="0" fillId="0" borderId="0" xfId="0" applyFill="1" applyBorder="1"/>
    <xf numFmtId="0" fontId="0" fillId="0" borderId="16" xfId="0" applyFill="1" applyBorder="1"/>
    <xf numFmtId="0" fontId="10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wrapText="1"/>
    </xf>
    <xf numFmtId="0" fontId="9" fillId="0" borderId="16" xfId="0" applyFont="1" applyBorder="1" applyAlignment="1">
      <alignment wrapText="1"/>
    </xf>
    <xf numFmtId="4" fontId="10" fillId="0" borderId="17" xfId="0" applyNumberFormat="1" applyFont="1" applyFill="1" applyBorder="1"/>
    <xf numFmtId="0" fontId="9" fillId="5" borderId="18" xfId="0" applyFont="1" applyFill="1" applyBorder="1" applyAlignment="1">
      <alignment horizontal="center" wrapText="1"/>
    </xf>
    <xf numFmtId="0" fontId="9" fillId="5" borderId="19" xfId="0" applyFont="1" applyFill="1" applyBorder="1" applyAlignment="1"/>
    <xf numFmtId="0" fontId="3" fillId="5" borderId="19" xfId="0" applyFont="1" applyFill="1" applyBorder="1" applyAlignment="1"/>
    <xf numFmtId="4" fontId="3" fillId="5" borderId="19" xfId="0" applyNumberFormat="1" applyFont="1" applyFill="1" applyBorder="1" applyAlignment="1"/>
    <xf numFmtId="4" fontId="3" fillId="5" borderId="19" xfId="0" applyNumberFormat="1" applyFont="1" applyFill="1" applyBorder="1"/>
    <xf numFmtId="166" fontId="3" fillId="5" borderId="19" xfId="0" applyNumberFormat="1" applyFont="1" applyFill="1" applyBorder="1" applyAlignment="1"/>
    <xf numFmtId="3" fontId="3" fillId="5" borderId="19" xfId="0" applyNumberFormat="1" applyFont="1" applyFill="1" applyBorder="1"/>
    <xf numFmtId="164" fontId="3" fillId="5" borderId="19" xfId="0" applyNumberFormat="1" applyFont="1" applyFill="1" applyBorder="1"/>
    <xf numFmtId="3" fontId="3" fillId="5" borderId="20" xfId="0" applyNumberFormat="1" applyFont="1" applyFill="1" applyBorder="1"/>
    <xf numFmtId="0" fontId="15" fillId="0" borderId="16" xfId="4" applyFont="1" applyFill="1" applyBorder="1" applyAlignment="1">
      <alignment wrapText="1"/>
    </xf>
    <xf numFmtId="0" fontId="12" fillId="0" borderId="16" xfId="4" applyFont="1" applyFill="1" applyBorder="1"/>
    <xf numFmtId="3" fontId="12" fillId="0" borderId="16" xfId="5" applyNumberFormat="1" applyFont="1" applyFill="1" applyBorder="1"/>
    <xf numFmtId="167" fontId="12" fillId="0" borderId="16" xfId="5" applyNumberFormat="1" applyFont="1" applyFill="1" applyBorder="1"/>
    <xf numFmtId="0" fontId="12" fillId="0" borderId="16" xfId="5" applyFont="1" applyFill="1" applyBorder="1"/>
    <xf numFmtId="4" fontId="16" fillId="0" borderId="16" xfId="4" applyNumberFormat="1" applyFont="1" applyBorder="1"/>
    <xf numFmtId="0" fontId="16" fillId="0" borderId="16" xfId="4" applyFont="1" applyFill="1" applyBorder="1"/>
    <xf numFmtId="0" fontId="16" fillId="0" borderId="17" xfId="4" applyFont="1" applyBorder="1"/>
    <xf numFmtId="0" fontId="13" fillId="0" borderId="0" xfId="4" applyFont="1" applyBorder="1"/>
    <xf numFmtId="0" fontId="15" fillId="0" borderId="21" xfId="4" applyFont="1" applyFill="1" applyBorder="1" applyAlignment="1">
      <alignment wrapText="1"/>
    </xf>
    <xf numFmtId="0" fontId="12" fillId="0" borderId="21" xfId="4" applyFont="1" applyFill="1" applyBorder="1"/>
    <xf numFmtId="3" fontId="12" fillId="0" borderId="21" xfId="5" applyNumberFormat="1" applyFont="1" applyFill="1" applyBorder="1"/>
    <xf numFmtId="167" fontId="12" fillId="0" borderId="21" xfId="5" applyNumberFormat="1" applyFont="1" applyFill="1" applyBorder="1"/>
    <xf numFmtId="168" fontId="12" fillId="0" borderId="21" xfId="5" applyNumberFormat="1" applyFont="1" applyFill="1" applyBorder="1"/>
    <xf numFmtId="4" fontId="16" fillId="0" borderId="21" xfId="4" applyNumberFormat="1" applyFont="1" applyBorder="1"/>
    <xf numFmtId="0" fontId="16" fillId="0" borderId="21" xfId="4" applyFont="1" applyFill="1" applyBorder="1"/>
    <xf numFmtId="4" fontId="10" fillId="0" borderId="21" xfId="0" applyNumberFormat="1" applyFont="1" applyFill="1" applyBorder="1"/>
    <xf numFmtId="0" fontId="16" fillId="0" borderId="22" xfId="4" applyFont="1" applyBorder="1"/>
    <xf numFmtId="0" fontId="9" fillId="6" borderId="23" xfId="0" applyFont="1" applyFill="1" applyBorder="1" applyAlignment="1">
      <alignment horizontal="center" wrapText="1"/>
    </xf>
    <xf numFmtId="0" fontId="9" fillId="6" borderId="24" xfId="0" applyFont="1" applyFill="1" applyBorder="1" applyAlignment="1"/>
    <xf numFmtId="3" fontId="3" fillId="6" borderId="24" xfId="0" applyNumberFormat="1" applyFont="1" applyFill="1" applyBorder="1" applyAlignment="1"/>
    <xf numFmtId="4" fontId="3" fillId="7" borderId="24" xfId="0" applyNumberFormat="1" applyFont="1" applyFill="1" applyBorder="1" applyAlignment="1"/>
    <xf numFmtId="4" fontId="3" fillId="6" borderId="24" xfId="0" applyNumberFormat="1" applyFont="1" applyFill="1" applyBorder="1"/>
    <xf numFmtId="44" fontId="3" fillId="6" borderId="24" xfId="2" applyFont="1" applyFill="1" applyBorder="1"/>
    <xf numFmtId="3" fontId="3" fillId="6" borderId="25" xfId="0" applyNumberFormat="1" applyFont="1" applyFill="1" applyBorder="1"/>
    <xf numFmtId="0" fontId="9" fillId="6" borderId="18" xfId="0" applyFont="1" applyFill="1" applyBorder="1" applyAlignment="1"/>
    <xf numFmtId="0" fontId="9" fillId="6" borderId="19" xfId="0" applyFont="1" applyFill="1" applyBorder="1" applyAlignment="1">
      <alignment wrapText="1"/>
    </xf>
    <xf numFmtId="0" fontId="9" fillId="6" borderId="19" xfId="0" applyFont="1" applyFill="1" applyBorder="1" applyAlignment="1"/>
    <xf numFmtId="3" fontId="3" fillId="6" borderId="19" xfId="0" applyNumberFormat="1" applyFont="1" applyFill="1" applyBorder="1" applyAlignment="1"/>
    <xf numFmtId="3" fontId="3" fillId="6" borderId="19" xfId="0" applyNumberFormat="1" applyFont="1" applyFill="1" applyBorder="1"/>
    <xf numFmtId="4" fontId="3" fillId="6" borderId="19" xfId="0" applyNumberFormat="1" applyFont="1" applyFill="1" applyBorder="1" applyAlignment="1"/>
    <xf numFmtId="4" fontId="3" fillId="6" borderId="19" xfId="0" applyNumberFormat="1" applyFont="1" applyFill="1" applyBorder="1"/>
    <xf numFmtId="44" fontId="3" fillId="6" borderId="19" xfId="2" applyFont="1" applyFill="1" applyBorder="1" applyAlignment="1"/>
    <xf numFmtId="3" fontId="3" fillId="6" borderId="20" xfId="0" applyNumberFormat="1" applyFont="1" applyFill="1" applyBorder="1"/>
    <xf numFmtId="0" fontId="10" fillId="0" borderId="16" xfId="0" applyFont="1" applyBorder="1" applyAlignment="1"/>
    <xf numFmtId="0" fontId="0" fillId="0" borderId="16" xfId="0" applyBorder="1" applyAlignment="1"/>
    <xf numFmtId="0" fontId="10" fillId="0" borderId="16" xfId="0" applyFont="1" applyBorder="1" applyAlignment="1">
      <alignment horizontal="right"/>
    </xf>
    <xf numFmtId="0" fontId="10" fillId="0" borderId="17" xfId="0" applyFont="1" applyBorder="1" applyAlignment="1"/>
    <xf numFmtId="0" fontId="10" fillId="0" borderId="16" xfId="0" applyFont="1" applyBorder="1" applyAlignment="1">
      <alignment vertical="top" wrapText="1"/>
    </xf>
    <xf numFmtId="44" fontId="10" fillId="0" borderId="16" xfId="2" applyFont="1" applyBorder="1" applyAlignment="1"/>
    <xf numFmtId="4" fontId="10" fillId="0" borderId="16" xfId="0" applyNumberFormat="1" applyFont="1" applyBorder="1" applyAlignment="1"/>
    <xf numFmtId="43" fontId="0" fillId="0" borderId="0" xfId="0" applyNumberFormat="1" applyBorder="1"/>
    <xf numFmtId="0" fontId="17" fillId="0" borderId="16" xfId="0" applyFont="1" applyFill="1" applyBorder="1" applyAlignment="1">
      <alignment wrapText="1"/>
    </xf>
    <xf numFmtId="0" fontId="10" fillId="0" borderId="16" xfId="0" applyFont="1" applyFill="1" applyBorder="1" applyAlignment="1"/>
    <xf numFmtId="44" fontId="10" fillId="0" borderId="16" xfId="2" applyFont="1" applyFill="1" applyBorder="1" applyAlignment="1"/>
    <xf numFmtId="43" fontId="0" fillId="0" borderId="0" xfId="1" applyFont="1" applyFill="1" applyBorder="1"/>
    <xf numFmtId="0" fontId="10" fillId="0" borderId="16" xfId="0" applyFont="1" applyFill="1" applyBorder="1" applyAlignment="1">
      <alignment vertical="top" wrapText="1"/>
    </xf>
    <xf numFmtId="169" fontId="10" fillId="0" borderId="16" xfId="0" applyNumberFormat="1" applyFont="1" applyFill="1" applyBorder="1"/>
    <xf numFmtId="0" fontId="10" fillId="0" borderId="15" xfId="0" applyFont="1" applyFill="1" applyBorder="1" applyAlignment="1">
      <alignment horizontal="center" wrapText="1"/>
    </xf>
    <xf numFmtId="3" fontId="10" fillId="0" borderId="16" xfId="0" applyNumberFormat="1" applyFont="1" applyFill="1" applyBorder="1" applyAlignment="1"/>
    <xf numFmtId="0" fontId="10" fillId="0" borderId="17" xfId="0" applyFont="1" applyBorder="1"/>
    <xf numFmtId="170" fontId="10" fillId="0" borderId="16" xfId="0" applyNumberFormat="1" applyFont="1" applyFill="1" applyBorder="1"/>
    <xf numFmtId="0" fontId="10" fillId="0" borderId="15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7" fillId="0" borderId="16" xfId="0" applyFont="1" applyFill="1" applyBorder="1" applyAlignment="1">
      <alignment vertical="top" wrapText="1"/>
    </xf>
    <xf numFmtId="4" fontId="10" fillId="0" borderId="16" xfId="0" applyNumberFormat="1" applyFont="1" applyFill="1" applyBorder="1" applyAlignment="1"/>
    <xf numFmtId="0" fontId="9" fillId="0" borderId="16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0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9" fillId="7" borderId="15" xfId="0" applyFont="1" applyFill="1" applyBorder="1" applyAlignment="1">
      <alignment horizontal="center" wrapText="1"/>
    </xf>
    <xf numFmtId="0" fontId="9" fillId="7" borderId="16" xfId="0" applyFont="1" applyFill="1" applyBorder="1" applyAlignment="1">
      <alignment wrapText="1"/>
    </xf>
    <xf numFmtId="0" fontId="9" fillId="7" borderId="16" xfId="0" applyFont="1" applyFill="1" applyBorder="1" applyAlignment="1"/>
    <xf numFmtId="3" fontId="3" fillId="7" borderId="16" xfId="0" applyNumberFormat="1" applyFont="1" applyFill="1" applyBorder="1" applyAlignment="1"/>
    <xf numFmtId="4" fontId="3" fillId="7" borderId="16" xfId="0" applyNumberFormat="1" applyFont="1" applyFill="1" applyBorder="1" applyAlignment="1"/>
    <xf numFmtId="166" fontId="3" fillId="7" borderId="16" xfId="0" applyNumberFormat="1" applyFont="1" applyFill="1" applyBorder="1"/>
    <xf numFmtId="44" fontId="3" fillId="7" borderId="16" xfId="2" applyFont="1" applyFill="1" applyBorder="1" applyAlignment="1"/>
    <xf numFmtId="4" fontId="3" fillId="7" borderId="17" xfId="0" applyNumberFormat="1" applyFont="1" applyFill="1" applyBorder="1" applyAlignment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10" fillId="0" borderId="0" xfId="0" applyFont="1" applyBorder="1"/>
    <xf numFmtId="0" fontId="8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171" fontId="3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Border="1"/>
    <xf numFmtId="44" fontId="3" fillId="0" borderId="0" xfId="2" applyFont="1" applyBorder="1"/>
    <xf numFmtId="3" fontId="3" fillId="0" borderId="0" xfId="0" applyNumberFormat="1" applyFont="1" applyFill="1" applyBorder="1"/>
    <xf numFmtId="166" fontId="3" fillId="0" borderId="0" xfId="0" applyNumberFormat="1" applyFont="1" applyFill="1" applyBorder="1"/>
    <xf numFmtId="3" fontId="18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44" fontId="0" fillId="0" borderId="0" xfId="2" applyFont="1" applyBorder="1"/>
    <xf numFmtId="0" fontId="0" fillId="0" borderId="0" xfId="0" applyFill="1" applyBorder="1" applyAlignment="1">
      <alignment horizontal="center" wrapText="1"/>
    </xf>
    <xf numFmtId="44" fontId="0" fillId="0" borderId="0" xfId="0" applyNumberFormat="1" applyBorder="1"/>
    <xf numFmtId="0" fontId="20" fillId="0" borderId="0" xfId="0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left" wrapText="1"/>
    </xf>
    <xf numFmtId="3" fontId="19" fillId="0" borderId="17" xfId="0" applyNumberFormat="1" applyFont="1" applyFill="1" applyBorder="1" applyAlignment="1"/>
    <xf numFmtId="43" fontId="0" fillId="0" borderId="0" xfId="1" applyNumberFormat="1" applyFont="1" applyBorder="1"/>
    <xf numFmtId="3" fontId="0" fillId="0" borderId="0" xfId="0" applyNumberFormat="1" applyBorder="1"/>
    <xf numFmtId="4" fontId="19" fillId="0" borderId="17" xfId="0" applyNumberFormat="1" applyFont="1" applyFill="1" applyBorder="1" applyAlignment="1"/>
    <xf numFmtId="166" fontId="19" fillId="0" borderId="17" xfId="0" applyNumberFormat="1" applyFont="1" applyFill="1" applyBorder="1" applyAlignment="1"/>
    <xf numFmtId="0" fontId="0" fillId="0" borderId="0" xfId="0" applyFill="1" applyBorder="1" applyAlignment="1">
      <alignment wrapText="1"/>
    </xf>
    <xf numFmtId="0" fontId="20" fillId="0" borderId="28" xfId="0" applyFont="1" applyFill="1" applyBorder="1" applyAlignment="1">
      <alignment horizontal="left" wrapText="1"/>
    </xf>
    <xf numFmtId="167" fontId="19" fillId="0" borderId="22" xfId="0" applyNumberFormat="1" applyFont="1" applyFill="1" applyBorder="1" applyAlignment="1"/>
    <xf numFmtId="9" fontId="0" fillId="0" borderId="0" xfId="3" applyNumberFormat="1" applyFont="1" applyBorder="1"/>
    <xf numFmtId="0" fontId="13" fillId="0" borderId="0" xfId="4" applyFont="1"/>
    <xf numFmtId="2" fontId="23" fillId="0" borderId="0" xfId="4" applyNumberFormat="1" applyFont="1"/>
    <xf numFmtId="171" fontId="23" fillId="0" borderId="0" xfId="4" applyNumberFormat="1" applyFont="1"/>
    <xf numFmtId="0" fontId="23" fillId="0" borderId="0" xfId="4" applyFont="1"/>
    <xf numFmtId="4" fontId="23" fillId="0" borderId="0" xfId="4" applyNumberFormat="1" applyFont="1"/>
    <xf numFmtId="168" fontId="13" fillId="0" borderId="0" xfId="4" applyNumberFormat="1" applyFont="1"/>
    <xf numFmtId="4" fontId="23" fillId="8" borderId="29" xfId="4" applyNumberFormat="1" applyFont="1" applyFill="1" applyBorder="1"/>
    <xf numFmtId="0" fontId="13" fillId="8" borderId="2" xfId="4" applyFont="1" applyFill="1" applyBorder="1"/>
    <xf numFmtId="3" fontId="23" fillId="8" borderId="29" xfId="4" applyNumberFormat="1" applyFont="1" applyFill="1" applyBorder="1"/>
    <xf numFmtId="0" fontId="23" fillId="8" borderId="2" xfId="4" applyFont="1" applyFill="1" applyBorder="1" applyAlignment="1">
      <alignment horizontal="right" vertical="center"/>
    </xf>
    <xf numFmtId="0" fontId="23" fillId="8" borderId="1" xfId="4" applyFont="1" applyFill="1" applyBorder="1" applyAlignment="1">
      <alignment vertical="center"/>
    </xf>
    <xf numFmtId="0" fontId="16" fillId="0" borderId="30" xfId="4" applyFont="1" applyBorder="1" applyAlignment="1">
      <alignment horizontal="center" vertical="center" wrapText="1"/>
    </xf>
    <xf numFmtId="0" fontId="23" fillId="0" borderId="0" xfId="4" applyFont="1" applyBorder="1" applyAlignment="1">
      <alignment horizontal="right"/>
    </xf>
    <xf numFmtId="4" fontId="23" fillId="8" borderId="29" xfId="4" applyNumberFormat="1" applyFont="1" applyFill="1" applyBorder="1" applyAlignment="1">
      <alignment horizontal="center" vertical="center"/>
    </xf>
    <xf numFmtId="170" fontId="23" fillId="9" borderId="29" xfId="4" applyNumberFormat="1" applyFont="1" applyFill="1" applyBorder="1" applyAlignment="1">
      <alignment vertical="center"/>
    </xf>
    <xf numFmtId="4" fontId="23" fillId="0" borderId="29" xfId="4" applyNumberFormat="1" applyFont="1" applyFill="1" applyBorder="1" applyAlignment="1">
      <alignment vertical="center"/>
    </xf>
    <xf numFmtId="170" fontId="13" fillId="9" borderId="29" xfId="4" applyNumberFormat="1" applyFont="1" applyFill="1" applyBorder="1" applyAlignment="1">
      <alignment vertical="center"/>
    </xf>
    <xf numFmtId="3" fontId="23" fillId="0" borderId="29" xfId="4" applyNumberFormat="1" applyFont="1" applyFill="1" applyBorder="1" applyAlignment="1">
      <alignment vertical="center"/>
    </xf>
    <xf numFmtId="0" fontId="23" fillId="9" borderId="2" xfId="4" applyFont="1" applyFill="1" applyBorder="1" applyAlignment="1">
      <alignment horizontal="right" vertical="center"/>
    </xf>
    <xf numFmtId="0" fontId="23" fillId="9" borderId="1" xfId="4" applyFont="1" applyFill="1" applyBorder="1" applyAlignment="1">
      <alignment vertical="center"/>
    </xf>
    <xf numFmtId="0" fontId="16" fillId="0" borderId="16" xfId="4" applyFont="1" applyBorder="1" applyAlignment="1">
      <alignment horizontal="center" vertical="center" wrapText="1"/>
    </xf>
    <xf numFmtId="170" fontId="13" fillId="0" borderId="0" xfId="4" applyNumberFormat="1" applyFont="1" applyFill="1" applyBorder="1"/>
    <xf numFmtId="0" fontId="13" fillId="0" borderId="0" xfId="4" applyFont="1" applyFill="1" applyBorder="1"/>
    <xf numFmtId="4" fontId="13" fillId="0" borderId="0" xfId="4" applyNumberFormat="1" applyFont="1" applyFill="1" applyBorder="1"/>
    <xf numFmtId="1" fontId="13" fillId="0" borderId="0" xfId="4" applyNumberFormat="1" applyFont="1" applyFill="1" applyBorder="1"/>
    <xf numFmtId="4" fontId="13" fillId="0" borderId="31" xfId="4" applyNumberFormat="1" applyFont="1" applyFill="1" applyBorder="1"/>
    <xf numFmtId="170" fontId="13" fillId="0" borderId="31" xfId="4" applyNumberFormat="1" applyFont="1" applyFill="1" applyBorder="1"/>
    <xf numFmtId="3" fontId="13" fillId="0" borderId="31" xfId="4" applyNumberFormat="1" applyFont="1" applyFill="1" applyBorder="1"/>
    <xf numFmtId="0" fontId="23" fillId="0" borderId="31" xfId="4" applyFont="1" applyFill="1" applyBorder="1" applyAlignment="1">
      <alignment horizontal="right"/>
    </xf>
    <xf numFmtId="0" fontId="23" fillId="0" borderId="31" xfId="4" applyFont="1" applyFill="1" applyBorder="1"/>
    <xf numFmtId="172" fontId="23" fillId="9" borderId="24" xfId="4" applyNumberFormat="1" applyFont="1" applyFill="1" applyBorder="1"/>
    <xf numFmtId="167" fontId="23" fillId="9" borderId="24" xfId="4" applyNumberFormat="1" applyFont="1" applyFill="1" applyBorder="1"/>
    <xf numFmtId="3" fontId="23" fillId="9" borderId="24" xfId="4" applyNumberFormat="1" applyFont="1" applyFill="1" applyBorder="1"/>
    <xf numFmtId="0" fontId="23" fillId="9" borderId="24" xfId="4" applyFont="1" applyFill="1" applyBorder="1" applyAlignment="1">
      <alignment horizontal="right"/>
    </xf>
    <xf numFmtId="0" fontId="23" fillId="9" borderId="32" xfId="4" applyFont="1" applyFill="1" applyBorder="1" applyAlignment="1">
      <alignment horizontal="right"/>
    </xf>
    <xf numFmtId="0" fontId="23" fillId="9" borderId="33" xfId="4" applyFont="1" applyFill="1" applyBorder="1"/>
    <xf numFmtId="4" fontId="13" fillId="0" borderId="21" xfId="4" applyNumberFormat="1" applyFont="1" applyBorder="1"/>
    <xf numFmtId="168" fontId="13" fillId="0" borderId="21" xfId="4" applyNumberFormat="1" applyFont="1" applyBorder="1"/>
    <xf numFmtId="167" fontId="13" fillId="10" borderId="21" xfId="4" applyNumberFormat="1" applyFont="1" applyFill="1" applyBorder="1"/>
    <xf numFmtId="3" fontId="13" fillId="0" borderId="21" xfId="4" applyNumberFormat="1" applyFont="1" applyBorder="1"/>
    <xf numFmtId="0" fontId="13" fillId="10" borderId="21" xfId="4" applyFont="1" applyFill="1" applyBorder="1"/>
    <xf numFmtId="0" fontId="13" fillId="0" borderId="34" xfId="4" applyFont="1" applyBorder="1"/>
    <xf numFmtId="0" fontId="13" fillId="9" borderId="35" xfId="4" applyFont="1" applyFill="1" applyBorder="1"/>
    <xf numFmtId="4" fontId="13" fillId="0" borderId="16" xfId="4" applyNumberFormat="1" applyFont="1" applyBorder="1"/>
    <xf numFmtId="0" fontId="13" fillId="0" borderId="16" xfId="4" applyFont="1" applyBorder="1"/>
    <xf numFmtId="167" fontId="13" fillId="10" borderId="16" xfId="4" applyNumberFormat="1" applyFont="1" applyFill="1" applyBorder="1"/>
    <xf numFmtId="3" fontId="13" fillId="0" borderId="16" xfId="4" applyNumberFormat="1" applyFont="1" applyBorder="1"/>
    <xf numFmtId="0" fontId="13" fillId="10" borderId="16" xfId="4" applyFont="1" applyFill="1" applyBorder="1"/>
    <xf numFmtId="0" fontId="13" fillId="9" borderId="19" xfId="4" applyFont="1" applyFill="1" applyBorder="1" applyAlignment="1">
      <alignment wrapText="1"/>
    </xf>
    <xf numFmtId="4" fontId="13" fillId="0" borderId="36" xfId="4" applyNumberFormat="1" applyFont="1" applyFill="1" applyBorder="1"/>
    <xf numFmtId="0" fontId="23" fillId="0" borderId="0" xfId="4" applyFont="1" applyFill="1" applyBorder="1"/>
    <xf numFmtId="0" fontId="23" fillId="0" borderId="33" xfId="4" applyFont="1" applyBorder="1"/>
    <xf numFmtId="0" fontId="16" fillId="10" borderId="16" xfId="4" applyFont="1" applyFill="1" applyBorder="1" applyAlignment="1">
      <alignment horizontal="center" vertical="center" wrapText="1"/>
    </xf>
    <xf numFmtId="4" fontId="13" fillId="0" borderId="37" xfId="4" applyNumberFormat="1" applyFont="1" applyFill="1" applyBorder="1"/>
    <xf numFmtId="170" fontId="13" fillId="0" borderId="37" xfId="4" applyNumberFormat="1" applyFont="1" applyFill="1" applyBorder="1"/>
    <xf numFmtId="3" fontId="13" fillId="0" borderId="37" xfId="4" applyNumberFormat="1" applyFont="1" applyFill="1" applyBorder="1"/>
    <xf numFmtId="0" fontId="23" fillId="0" borderId="37" xfId="4" applyFont="1" applyFill="1" applyBorder="1" applyAlignment="1">
      <alignment horizontal="right"/>
    </xf>
    <xf numFmtId="0" fontId="13" fillId="0" borderId="37" xfId="4" applyFont="1" applyFill="1" applyBorder="1"/>
    <xf numFmtId="168" fontId="23" fillId="9" borderId="5" xfId="4" applyNumberFormat="1" applyFont="1" applyFill="1" applyBorder="1"/>
    <xf numFmtId="170" fontId="23" fillId="9" borderId="5" xfId="4" applyNumberFormat="1" applyFont="1" applyFill="1" applyBorder="1"/>
    <xf numFmtId="4" fontId="23" fillId="9" borderId="5" xfId="4" applyNumberFormat="1" applyFont="1" applyFill="1" applyBorder="1"/>
    <xf numFmtId="3" fontId="23" fillId="9" borderId="5" xfId="4" applyNumberFormat="1" applyFont="1" applyFill="1" applyBorder="1"/>
    <xf numFmtId="0" fontId="23" fillId="9" borderId="5" xfId="4" applyFont="1" applyFill="1" applyBorder="1" applyAlignment="1">
      <alignment horizontal="right"/>
    </xf>
    <xf numFmtId="0" fontId="23" fillId="9" borderId="38" xfId="4" applyFont="1" applyFill="1" applyBorder="1" applyAlignment="1">
      <alignment horizontal="right"/>
    </xf>
    <xf numFmtId="0" fontId="13" fillId="9" borderId="39" xfId="4" applyFont="1" applyFill="1" applyBorder="1"/>
    <xf numFmtId="4" fontId="13" fillId="0" borderId="21" xfId="4" applyNumberFormat="1" applyFont="1" applyBorder="1" applyAlignment="1">
      <alignment horizontal="right" wrapText="1"/>
    </xf>
    <xf numFmtId="3" fontId="13" fillId="0" borderId="21" xfId="4" applyNumberFormat="1" applyFont="1" applyBorder="1" applyAlignment="1">
      <alignment horizontal="right" wrapText="1"/>
    </xf>
    <xf numFmtId="0" fontId="13" fillId="0" borderId="21" xfId="4" applyFont="1" applyBorder="1"/>
    <xf numFmtId="0" fontId="13" fillId="9" borderId="40" xfId="4" applyFont="1" applyFill="1" applyBorder="1"/>
    <xf numFmtId="4" fontId="13" fillId="0" borderId="19" xfId="4" applyNumberFormat="1" applyFont="1" applyBorder="1"/>
    <xf numFmtId="4" fontId="13" fillId="0" borderId="19" xfId="4" applyNumberFormat="1" applyFont="1" applyBorder="1" applyAlignment="1">
      <alignment horizontal="right" wrapText="1"/>
    </xf>
    <xf numFmtId="3" fontId="13" fillId="0" borderId="19" xfId="4" applyNumberFormat="1" applyFont="1" applyBorder="1" applyAlignment="1">
      <alignment horizontal="right" wrapText="1"/>
    </xf>
    <xf numFmtId="0" fontId="13" fillId="0" borderId="19" xfId="4" applyFont="1" applyBorder="1"/>
    <xf numFmtId="167" fontId="13" fillId="0" borderId="19" xfId="4" applyNumberFormat="1" applyFont="1" applyBorder="1" applyAlignment="1">
      <alignment horizontal="right" wrapText="1"/>
    </xf>
    <xf numFmtId="4" fontId="13" fillId="0" borderId="16" xfId="4" applyNumberFormat="1" applyFont="1" applyBorder="1" applyAlignment="1">
      <alignment horizontal="right" wrapText="1"/>
    </xf>
    <xf numFmtId="4" fontId="13" fillId="8" borderId="16" xfId="4" applyNumberFormat="1" applyFont="1" applyFill="1" applyBorder="1"/>
    <xf numFmtId="172" fontId="13" fillId="0" borderId="19" xfId="4" applyNumberFormat="1" applyFont="1" applyBorder="1" applyAlignment="1">
      <alignment horizontal="right" wrapText="1"/>
    </xf>
    <xf numFmtId="3" fontId="13" fillId="0" borderId="0" xfId="4" applyNumberFormat="1" applyFont="1"/>
    <xf numFmtId="0" fontId="13" fillId="0" borderId="16" xfId="4" applyFont="1" applyBorder="1" applyAlignment="1">
      <alignment wrapText="1"/>
    </xf>
    <xf numFmtId="3" fontId="13" fillId="0" borderId="16" xfId="4" applyNumberFormat="1" applyFont="1" applyBorder="1" applyAlignment="1">
      <alignment horizontal="right" wrapText="1"/>
    </xf>
    <xf numFmtId="0" fontId="13" fillId="9" borderId="19" xfId="4" applyFont="1" applyFill="1" applyBorder="1"/>
    <xf numFmtId="4" fontId="13" fillId="0" borderId="27" xfId="4" applyNumberFormat="1" applyFont="1" applyFill="1" applyBorder="1"/>
    <xf numFmtId="170" fontId="13" fillId="0" borderId="41" xfId="4" applyNumberFormat="1" applyFont="1" applyFill="1" applyBorder="1"/>
    <xf numFmtId="4" fontId="13" fillId="0" borderId="41" xfId="4" applyNumberFormat="1" applyFont="1" applyFill="1" applyBorder="1"/>
    <xf numFmtId="0" fontId="13" fillId="0" borderId="41" xfId="4" applyFont="1" applyFill="1" applyBorder="1"/>
    <xf numFmtId="1" fontId="13" fillId="0" borderId="41" xfId="4" applyNumberFormat="1" applyFont="1" applyFill="1" applyBorder="1"/>
    <xf numFmtId="0" fontId="23" fillId="0" borderId="41" xfId="4" applyFont="1" applyBorder="1" applyAlignment="1">
      <alignment horizontal="right"/>
    </xf>
    <xf numFmtId="0" fontId="23" fillId="0" borderId="26" xfId="4" applyFont="1" applyBorder="1"/>
    <xf numFmtId="170" fontId="23" fillId="9" borderId="24" xfId="4" applyNumberFormat="1" applyFont="1" applyFill="1" applyBorder="1"/>
    <xf numFmtId="173" fontId="23" fillId="9" borderId="24" xfId="4" applyNumberFormat="1" applyFont="1" applyFill="1" applyBorder="1"/>
    <xf numFmtId="0" fontId="13" fillId="9" borderId="24" xfId="4" applyFont="1" applyFill="1" applyBorder="1"/>
    <xf numFmtId="4" fontId="13" fillId="8" borderId="5" xfId="4" applyNumberFormat="1" applyFont="1" applyFill="1" applyBorder="1"/>
    <xf numFmtId="174" fontId="13" fillId="0" borderId="5" xfId="4" applyNumberFormat="1" applyFont="1" applyBorder="1" applyAlignment="1">
      <alignment horizontal="right" wrapText="1"/>
    </xf>
    <xf numFmtId="4" fontId="13" fillId="0" borderId="5" xfId="4" applyNumberFormat="1" applyFont="1" applyBorder="1" applyAlignment="1">
      <alignment horizontal="right" wrapText="1"/>
    </xf>
    <xf numFmtId="0" fontId="13" fillId="0" borderId="5" xfId="4" applyFont="1" applyBorder="1"/>
    <xf numFmtId="0" fontId="13" fillId="0" borderId="5" xfId="4" applyFont="1" applyBorder="1" applyAlignment="1">
      <alignment horizontal="left" wrapText="1"/>
    </xf>
    <xf numFmtId="174" fontId="13" fillId="0" borderId="16" xfId="4" applyNumberFormat="1" applyFont="1" applyBorder="1" applyAlignment="1">
      <alignment horizontal="right" wrapText="1"/>
    </xf>
    <xf numFmtId="174" fontId="13" fillId="0" borderId="19" xfId="4" applyNumberFormat="1" applyFont="1" applyBorder="1" applyAlignment="1">
      <alignment horizontal="right" wrapText="1"/>
    </xf>
    <xf numFmtId="0" fontId="13" fillId="0" borderId="0" xfId="4" applyFont="1" applyBorder="1" applyAlignment="1">
      <alignment horizontal="center"/>
    </xf>
    <xf numFmtId="0" fontId="16" fillId="0" borderId="0" xfId="4" applyFont="1" applyBorder="1" applyAlignment="1">
      <alignment horizontal="center" wrapText="1"/>
    </xf>
    <xf numFmtId="0" fontId="24" fillId="0" borderId="0" xfId="4" applyFont="1"/>
    <xf numFmtId="0" fontId="8" fillId="4" borderId="7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left"/>
    </xf>
    <xf numFmtId="0" fontId="9" fillId="0" borderId="26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8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0" fontId="19" fillId="0" borderId="10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/>
    </xf>
    <xf numFmtId="170" fontId="3" fillId="6" borderId="24" xfId="0" applyNumberFormat="1" applyFont="1" applyFill="1" applyBorder="1"/>
    <xf numFmtId="176" fontId="3" fillId="7" borderId="16" xfId="0" applyNumberFormat="1" applyFont="1" applyFill="1" applyBorder="1" applyAlignment="1"/>
    <xf numFmtId="0" fontId="0" fillId="0" borderId="16" xfId="0" applyFill="1" applyBorder="1" applyAlignment="1"/>
  </cellXfs>
  <cellStyles count="7">
    <cellStyle name="Comma" xfId="1" builtinId="3"/>
    <cellStyle name="Currency" xfId="2" builtinId="4"/>
    <cellStyle name="Normal" xfId="0" builtinId="0"/>
    <cellStyle name="Normal 2" xfId="4"/>
    <cellStyle name="Normal 2 2" xfId="5"/>
    <cellStyle name="Normal 2 2 2" xfId="6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28</xdr:row>
      <xdr:rowOff>0</xdr:rowOff>
    </xdr:from>
    <xdr:to>
      <xdr:col>4</xdr:col>
      <xdr:colOff>542925</xdr:colOff>
      <xdr:row>28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 flipV="1">
          <a:off x="3042285" y="5120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533400</xdr:colOff>
      <xdr:row>28</xdr:row>
      <xdr:rowOff>0</xdr:rowOff>
    </xdr:from>
    <xdr:to>
      <xdr:col>8</xdr:col>
      <xdr:colOff>533400</xdr:colOff>
      <xdr:row>28</xdr:row>
      <xdr:rowOff>0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 flipV="1">
          <a:off x="5532120" y="5120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zoomScale="70" zoomScaleNormal="70" zoomScalePageLayoutView="60" workbookViewId="0">
      <selection activeCell="D18" sqref="D18"/>
    </sheetView>
  </sheetViews>
  <sheetFormatPr defaultColWidth="9.140625" defaultRowHeight="16.5" x14ac:dyDescent="0.3"/>
  <cols>
    <col min="1" max="1" width="9.42578125" style="119" customWidth="1"/>
    <col min="2" max="2" width="22" style="120" customWidth="1"/>
    <col min="3" max="3" width="36" style="1" customWidth="1"/>
    <col min="4" max="4" width="15.42578125" style="1" customWidth="1"/>
    <col min="5" max="5" width="17.7109375" style="1" customWidth="1"/>
    <col min="6" max="6" width="20" style="1" customWidth="1"/>
    <col min="7" max="7" width="16.140625" style="1" bestFit="1" customWidth="1"/>
    <col min="8" max="8" width="20.85546875" style="1" customWidth="1"/>
    <col min="9" max="9" width="12.7109375" style="1" customWidth="1"/>
    <col min="10" max="10" width="25.7109375" style="1" bestFit="1" customWidth="1"/>
    <col min="11" max="11" width="19" style="121" customWidth="1"/>
    <col min="12" max="12" width="13.42578125" style="121" customWidth="1"/>
    <col min="13" max="13" width="22" style="121" bestFit="1" customWidth="1"/>
    <col min="14" max="14" width="22" style="121" customWidth="1"/>
    <col min="15" max="15" width="15" style="1" bestFit="1" customWidth="1"/>
    <col min="16" max="16384" width="9.140625" style="1"/>
  </cols>
  <sheetData>
    <row r="1" spans="1:14" ht="17.25" thickBot="1" x14ac:dyDescent="0.35">
      <c r="A1" s="262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4"/>
    </row>
    <row r="2" spans="1:14" ht="66.75" thickBot="1" x14ac:dyDescent="0.3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6" t="s">
        <v>12</v>
      </c>
      <c r="M2" s="6" t="s">
        <v>13</v>
      </c>
      <c r="N2" s="7" t="s">
        <v>14</v>
      </c>
    </row>
    <row r="3" spans="1:14" ht="24" thickBot="1" x14ac:dyDescent="0.5">
      <c r="A3" s="265" t="s">
        <v>15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7"/>
    </row>
    <row r="4" spans="1:14" ht="18.75" thickBot="1" x14ac:dyDescent="0.3">
      <c r="A4" s="253" t="s">
        <v>16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5"/>
    </row>
    <row r="5" spans="1:14" x14ac:dyDescent="0.3">
      <c r="A5" s="8"/>
      <c r="B5" s="268" t="s">
        <v>17</v>
      </c>
      <c r="C5" s="269"/>
      <c r="D5" s="9"/>
      <c r="E5" s="9"/>
      <c r="F5" s="10"/>
      <c r="G5" s="9"/>
      <c r="H5" s="10"/>
      <c r="I5" s="10"/>
      <c r="J5" s="10"/>
      <c r="K5" s="10"/>
      <c r="L5" s="10"/>
      <c r="M5" s="10"/>
      <c r="N5" s="11"/>
    </row>
    <row r="6" spans="1:14" ht="33" x14ac:dyDescent="0.3">
      <c r="A6" s="12">
        <v>273.2</v>
      </c>
      <c r="B6" s="13" t="s">
        <v>18</v>
      </c>
      <c r="C6" s="13" t="s">
        <v>19</v>
      </c>
      <c r="D6" s="13">
        <v>53</v>
      </c>
      <c r="E6" s="14">
        <f>+F6/D6</f>
        <v>211494.77358490566</v>
      </c>
      <c r="F6" s="16">
        <v>11209223</v>
      </c>
      <c r="G6" s="15">
        <v>0.31730000000000003</v>
      </c>
      <c r="H6" s="16">
        <f>+F6*G6</f>
        <v>3556686.4579000003</v>
      </c>
      <c r="I6" s="17">
        <v>10.15</v>
      </c>
      <c r="J6" s="18">
        <f>+I6*H6</f>
        <v>36100367.547685005</v>
      </c>
      <c r="K6" s="16">
        <f>+'Current Burden'!I20</f>
        <v>3509730.8799952003</v>
      </c>
      <c r="L6" s="16"/>
      <c r="M6" s="16">
        <f>+H6-K6</f>
        <v>46955.577904799953</v>
      </c>
      <c r="N6" s="19" t="s">
        <v>20</v>
      </c>
    </row>
    <row r="7" spans="1:14" ht="49.5" x14ac:dyDescent="0.3">
      <c r="A7" s="12" t="s">
        <v>21</v>
      </c>
      <c r="B7" s="13" t="s">
        <v>22</v>
      </c>
      <c r="C7" s="13" t="s">
        <v>23</v>
      </c>
      <c r="D7" s="13">
        <v>53</v>
      </c>
      <c r="E7" s="14">
        <f>+F7/D7</f>
        <v>211494.77358490566</v>
      </c>
      <c r="F7" s="16">
        <v>11209223</v>
      </c>
      <c r="G7" s="15">
        <v>0.5</v>
      </c>
      <c r="H7" s="16">
        <f t="shared" ref="H7:H20" si="0">+F7*G7</f>
        <v>5604611.5</v>
      </c>
      <c r="I7" s="17">
        <v>10.15</v>
      </c>
      <c r="J7" s="18">
        <f>+I7*H7</f>
        <v>56886806.725000001</v>
      </c>
      <c r="K7" s="16">
        <v>0</v>
      </c>
      <c r="L7" s="16"/>
      <c r="M7" s="16">
        <f>+H7-K7</f>
        <v>5604611.5</v>
      </c>
      <c r="N7" s="19" t="s">
        <v>24</v>
      </c>
    </row>
    <row r="8" spans="1:14" ht="33" x14ac:dyDescent="0.3">
      <c r="A8" s="12" t="s">
        <v>25</v>
      </c>
      <c r="B8" s="13" t="s">
        <v>26</v>
      </c>
      <c r="C8" s="13" t="s">
        <v>27</v>
      </c>
      <c r="D8" s="13"/>
      <c r="E8" s="15"/>
      <c r="F8" s="16"/>
      <c r="G8" s="15"/>
      <c r="H8" s="16"/>
      <c r="I8" s="20"/>
      <c r="J8" s="21"/>
      <c r="K8" s="22"/>
      <c r="L8" s="22"/>
      <c r="M8" s="22"/>
      <c r="N8" s="23"/>
    </row>
    <row r="9" spans="1:14" ht="49.5" x14ac:dyDescent="0.3">
      <c r="A9" s="12"/>
      <c r="B9" s="24"/>
      <c r="C9" s="25" t="s">
        <v>28</v>
      </c>
      <c r="D9" s="13">
        <v>53</v>
      </c>
      <c r="E9" s="14">
        <f t="shared" ref="E9:E12" si="1">+F9/D9</f>
        <v>211494.77358490566</v>
      </c>
      <c r="F9" s="16">
        <v>11209223</v>
      </c>
      <c r="G9" s="15">
        <v>5.0099999999999999E-2</v>
      </c>
      <c r="H9" s="16">
        <f t="shared" si="0"/>
        <v>561582.0723</v>
      </c>
      <c r="I9" s="17">
        <v>10.15</v>
      </c>
      <c r="J9" s="18">
        <f>+I9*H9</f>
        <v>5700058.033845</v>
      </c>
      <c r="K9" s="16">
        <v>0</v>
      </c>
      <c r="L9" s="16"/>
      <c r="M9" s="16">
        <f>+H9-K9</f>
        <v>561582.0723</v>
      </c>
      <c r="N9" s="19" t="s">
        <v>29</v>
      </c>
    </row>
    <row r="10" spans="1:14" ht="49.5" x14ac:dyDescent="0.3">
      <c r="A10" s="12"/>
      <c r="B10" s="26"/>
      <c r="C10" s="25" t="s">
        <v>30</v>
      </c>
      <c r="D10" s="13">
        <v>53</v>
      </c>
      <c r="E10" s="14">
        <f t="shared" si="1"/>
        <v>211494.77358490566</v>
      </c>
      <c r="F10" s="16">
        <v>11209223</v>
      </c>
      <c r="G10" s="15">
        <v>5.0099999999999999E-2</v>
      </c>
      <c r="H10" s="16">
        <f t="shared" si="0"/>
        <v>561582.0723</v>
      </c>
      <c r="I10" s="17">
        <v>10.15</v>
      </c>
      <c r="J10" s="18">
        <f t="shared" ref="J10:J38" si="2">+I10*H10</f>
        <v>5700058.033845</v>
      </c>
      <c r="K10" s="16">
        <v>0</v>
      </c>
      <c r="L10" s="16"/>
      <c r="M10" s="16">
        <f t="shared" ref="M10:M24" si="3">+H10-K10</f>
        <v>561582.0723</v>
      </c>
      <c r="N10" s="19" t="s">
        <v>29</v>
      </c>
    </row>
    <row r="11" spans="1:14" ht="49.5" x14ac:dyDescent="0.3">
      <c r="A11" s="12"/>
      <c r="B11" s="26"/>
      <c r="C11" s="25" t="s">
        <v>31</v>
      </c>
      <c r="D11" s="13">
        <v>53</v>
      </c>
      <c r="E11" s="14">
        <f t="shared" si="1"/>
        <v>211494.77358490566</v>
      </c>
      <c r="F11" s="16">
        <v>11209223</v>
      </c>
      <c r="G11" s="15">
        <v>5.0099999999999999E-2</v>
      </c>
      <c r="H11" s="16">
        <f t="shared" si="0"/>
        <v>561582.0723</v>
      </c>
      <c r="I11" s="17">
        <v>10.15</v>
      </c>
      <c r="J11" s="18">
        <f t="shared" si="2"/>
        <v>5700058.033845</v>
      </c>
      <c r="K11" s="16">
        <v>0</v>
      </c>
      <c r="L11" s="16"/>
      <c r="M11" s="16">
        <f t="shared" si="3"/>
        <v>561582.0723</v>
      </c>
      <c r="N11" s="19" t="s">
        <v>29</v>
      </c>
    </row>
    <row r="12" spans="1:14" ht="49.5" x14ac:dyDescent="0.3">
      <c r="A12" s="12"/>
      <c r="B12" s="26"/>
      <c r="C12" s="25" t="s">
        <v>32</v>
      </c>
      <c r="D12" s="13">
        <v>53</v>
      </c>
      <c r="E12" s="14">
        <f t="shared" si="1"/>
        <v>211494.77358490566</v>
      </c>
      <c r="F12" s="16">
        <v>11209223</v>
      </c>
      <c r="G12" s="15">
        <v>5.0099999999999999E-2</v>
      </c>
      <c r="H12" s="16">
        <f t="shared" si="0"/>
        <v>561582.0723</v>
      </c>
      <c r="I12" s="17">
        <v>10.15</v>
      </c>
      <c r="J12" s="18">
        <f t="shared" si="2"/>
        <v>5700058.033845</v>
      </c>
      <c r="K12" s="16">
        <v>0</v>
      </c>
      <c r="L12" s="16"/>
      <c r="M12" s="16">
        <f t="shared" si="3"/>
        <v>561582.0723</v>
      </c>
      <c r="N12" s="19" t="s">
        <v>29</v>
      </c>
    </row>
    <row r="13" spans="1:14" ht="49.5" x14ac:dyDescent="0.3">
      <c r="A13" s="12"/>
      <c r="B13" s="26"/>
      <c r="C13" s="13" t="s">
        <v>33</v>
      </c>
      <c r="D13" s="13">
        <v>53</v>
      </c>
      <c r="E13" s="14">
        <v>13132.08</v>
      </c>
      <c r="F13" s="16">
        <f t="shared" ref="F13:F20" si="4">+D13*E13</f>
        <v>696000.24</v>
      </c>
      <c r="G13" s="15">
        <v>5.0099999999999999E-2</v>
      </c>
      <c r="H13" s="16">
        <f t="shared" si="0"/>
        <v>34869.612024000002</v>
      </c>
      <c r="I13" s="17">
        <v>10.15</v>
      </c>
      <c r="J13" s="18">
        <f t="shared" si="2"/>
        <v>353926.56204360002</v>
      </c>
      <c r="K13" s="16">
        <v>0</v>
      </c>
      <c r="L13" s="16"/>
      <c r="M13" s="16">
        <f t="shared" si="3"/>
        <v>34869.612024000002</v>
      </c>
      <c r="N13" s="19" t="s">
        <v>29</v>
      </c>
    </row>
    <row r="14" spans="1:14" ht="49.5" x14ac:dyDescent="0.3">
      <c r="A14" s="12"/>
      <c r="B14" s="26"/>
      <c r="C14" s="25" t="s">
        <v>34</v>
      </c>
      <c r="D14" s="13">
        <v>53</v>
      </c>
      <c r="E14" s="14">
        <f t="shared" ref="E14" si="5">+F14/D14</f>
        <v>211494.77358490566</v>
      </c>
      <c r="F14" s="16">
        <v>11209223</v>
      </c>
      <c r="G14" s="15">
        <v>5.0099999999999999E-2</v>
      </c>
      <c r="H14" s="16">
        <f t="shared" si="0"/>
        <v>561582.0723</v>
      </c>
      <c r="I14" s="17">
        <v>10.15</v>
      </c>
      <c r="J14" s="18">
        <f t="shared" si="2"/>
        <v>5700058.033845</v>
      </c>
      <c r="K14" s="16">
        <v>0</v>
      </c>
      <c r="L14" s="16"/>
      <c r="M14" s="16">
        <f t="shared" si="3"/>
        <v>561582.0723</v>
      </c>
      <c r="N14" s="19" t="s">
        <v>29</v>
      </c>
    </row>
    <row r="15" spans="1:14" ht="49.5" x14ac:dyDescent="0.3">
      <c r="A15" s="12"/>
      <c r="B15" s="26"/>
      <c r="C15" s="13" t="s">
        <v>35</v>
      </c>
      <c r="D15" s="13">
        <v>53</v>
      </c>
      <c r="E15" s="14">
        <v>244509.43400000001</v>
      </c>
      <c r="F15" s="16">
        <f t="shared" si="4"/>
        <v>12959000.002</v>
      </c>
      <c r="G15" s="15">
        <v>5.0099999999999999E-2</v>
      </c>
      <c r="H15" s="16">
        <f t="shared" si="0"/>
        <v>649245.90010019997</v>
      </c>
      <c r="I15" s="17">
        <v>10.15</v>
      </c>
      <c r="J15" s="18">
        <f t="shared" si="2"/>
        <v>6589845.8860170301</v>
      </c>
      <c r="K15" s="16">
        <v>0</v>
      </c>
      <c r="L15" s="16"/>
      <c r="M15" s="16">
        <f t="shared" si="3"/>
        <v>649245.90010019997</v>
      </c>
      <c r="N15" s="19" t="s">
        <v>29</v>
      </c>
    </row>
    <row r="16" spans="1:14" ht="49.5" x14ac:dyDescent="0.3">
      <c r="A16" s="12"/>
      <c r="B16" s="26"/>
      <c r="C16" s="13" t="s">
        <v>36</v>
      </c>
      <c r="D16" s="15">
        <v>53</v>
      </c>
      <c r="E16" s="14">
        <v>69890.42</v>
      </c>
      <c r="F16" s="16">
        <f t="shared" si="4"/>
        <v>3704192.26</v>
      </c>
      <c r="G16" s="15">
        <v>5.0099999999999999E-2</v>
      </c>
      <c r="H16" s="16">
        <f t="shared" si="0"/>
        <v>185580.03222599998</v>
      </c>
      <c r="I16" s="17">
        <v>10.15</v>
      </c>
      <c r="J16" s="18">
        <f t="shared" si="2"/>
        <v>1883637.3270938999</v>
      </c>
      <c r="K16" s="16">
        <v>0</v>
      </c>
      <c r="L16" s="22"/>
      <c r="M16" s="16">
        <f t="shared" si="3"/>
        <v>185580.03222599998</v>
      </c>
      <c r="N16" s="19" t="s">
        <v>29</v>
      </c>
    </row>
    <row r="17" spans="1:14" ht="49.5" x14ac:dyDescent="0.3">
      <c r="A17" s="12"/>
      <c r="B17" s="26"/>
      <c r="C17" s="13" t="s">
        <v>37</v>
      </c>
      <c r="D17" s="13">
        <v>53</v>
      </c>
      <c r="E17" s="14">
        <v>6867.9245300000002</v>
      </c>
      <c r="F17" s="16">
        <f t="shared" si="4"/>
        <v>364000.00008999999</v>
      </c>
      <c r="G17" s="15">
        <v>5.0099999999999999E-2</v>
      </c>
      <c r="H17" s="16">
        <f t="shared" si="0"/>
        <v>18236.400004509</v>
      </c>
      <c r="I17" s="17">
        <v>10.15</v>
      </c>
      <c r="J17" s="18">
        <f t="shared" si="2"/>
        <v>185099.46004576635</v>
      </c>
      <c r="K17" s="16">
        <v>0</v>
      </c>
      <c r="L17" s="16"/>
      <c r="M17" s="16">
        <f t="shared" si="3"/>
        <v>18236.400004509</v>
      </c>
      <c r="N17" s="19" t="s">
        <v>29</v>
      </c>
    </row>
    <row r="18" spans="1:14" ht="49.5" x14ac:dyDescent="0.3">
      <c r="A18" s="12"/>
      <c r="B18" s="26"/>
      <c r="C18" s="25" t="s">
        <v>38</v>
      </c>
      <c r="D18" s="13">
        <v>53</v>
      </c>
      <c r="E18" s="14">
        <v>68547.17</v>
      </c>
      <c r="F18" s="16">
        <f t="shared" si="4"/>
        <v>3633000.01</v>
      </c>
      <c r="G18" s="15">
        <v>5.0099999999999999E-2</v>
      </c>
      <c r="H18" s="16">
        <f t="shared" si="0"/>
        <v>182013.30050099999</v>
      </c>
      <c r="I18" s="17">
        <v>10.15</v>
      </c>
      <c r="J18" s="18">
        <f t="shared" si="2"/>
        <v>1847435.0000851499</v>
      </c>
      <c r="K18" s="16">
        <v>0</v>
      </c>
      <c r="L18" s="16"/>
      <c r="M18" s="16">
        <f t="shared" si="3"/>
        <v>182013.30050099999</v>
      </c>
      <c r="N18" s="19" t="s">
        <v>29</v>
      </c>
    </row>
    <row r="19" spans="1:14" ht="49.5" x14ac:dyDescent="0.3">
      <c r="A19" s="12"/>
      <c r="B19" s="26"/>
      <c r="C19" s="25" t="s">
        <v>39</v>
      </c>
      <c r="D19" s="13">
        <v>53</v>
      </c>
      <c r="E19" s="14">
        <f t="shared" ref="E19" si="6">+F19/D19</f>
        <v>211494.77358490566</v>
      </c>
      <c r="F19" s="16">
        <v>11209223</v>
      </c>
      <c r="G19" s="15">
        <v>5.0099999999999999E-2</v>
      </c>
      <c r="H19" s="16">
        <f t="shared" si="0"/>
        <v>561582.0723</v>
      </c>
      <c r="I19" s="17">
        <v>10.15</v>
      </c>
      <c r="J19" s="18">
        <f t="shared" si="2"/>
        <v>5700058.033845</v>
      </c>
      <c r="K19" s="16">
        <v>0</v>
      </c>
      <c r="L19" s="16"/>
      <c r="M19" s="16">
        <f t="shared" si="3"/>
        <v>561582.0723</v>
      </c>
      <c r="N19" s="19" t="s">
        <v>29</v>
      </c>
    </row>
    <row r="20" spans="1:14" ht="49.5" x14ac:dyDescent="0.3">
      <c r="A20" s="12" t="s">
        <v>40</v>
      </c>
      <c r="B20" s="26"/>
      <c r="C20" s="25" t="s">
        <v>41</v>
      </c>
      <c r="D20" s="13">
        <v>53</v>
      </c>
      <c r="E20" s="27">
        <v>11035.3207</v>
      </c>
      <c r="F20" s="16">
        <f t="shared" si="4"/>
        <v>584871.99710000004</v>
      </c>
      <c r="G20" s="15">
        <v>5.0099999999999999E-2</v>
      </c>
      <c r="H20" s="16">
        <f t="shared" si="0"/>
        <v>29302.087054710002</v>
      </c>
      <c r="I20" s="17">
        <v>10.15</v>
      </c>
      <c r="J20" s="18">
        <f t="shared" si="2"/>
        <v>297416.18360530655</v>
      </c>
      <c r="K20" s="16">
        <v>0</v>
      </c>
      <c r="L20" s="16"/>
      <c r="M20" s="16">
        <f t="shared" si="3"/>
        <v>29302.087054710002</v>
      </c>
      <c r="N20" s="19" t="s">
        <v>29</v>
      </c>
    </row>
    <row r="21" spans="1:14" ht="49.5" x14ac:dyDescent="0.3">
      <c r="A21" s="12"/>
      <c r="B21" s="26"/>
      <c r="C21" s="15" t="s">
        <v>42</v>
      </c>
      <c r="D21" s="28">
        <v>53</v>
      </c>
      <c r="E21" s="29">
        <v>2296</v>
      </c>
      <c r="F21" s="29">
        <f>D21*E21</f>
        <v>121688</v>
      </c>
      <c r="G21" s="30">
        <v>5.0099999999999999E-2</v>
      </c>
      <c r="H21" s="29">
        <f>F21*G21</f>
        <v>6096.5688</v>
      </c>
      <c r="I21" s="17">
        <v>10.15</v>
      </c>
      <c r="J21" s="18">
        <f t="shared" ref="J21" si="7">+H21*I21</f>
        <v>61880.173320000002</v>
      </c>
      <c r="K21" s="16">
        <v>0</v>
      </c>
      <c r="L21" s="16"/>
      <c r="M21" s="16">
        <f t="shared" si="3"/>
        <v>6096.5688</v>
      </c>
      <c r="N21" s="19" t="s">
        <v>29</v>
      </c>
    </row>
    <row r="22" spans="1:14" x14ac:dyDescent="0.3">
      <c r="A22" s="31"/>
      <c r="B22" s="32" t="s">
        <v>43</v>
      </c>
      <c r="C22" s="13"/>
      <c r="D22" s="13"/>
      <c r="E22" s="13"/>
      <c r="F22" s="16"/>
      <c r="G22" s="13"/>
      <c r="H22" s="33"/>
      <c r="I22" s="17"/>
      <c r="J22" s="21"/>
      <c r="K22" s="22"/>
      <c r="L22" s="22"/>
      <c r="M22" s="22"/>
      <c r="N22" s="23"/>
    </row>
    <row r="23" spans="1:14" ht="49.5" x14ac:dyDescent="0.3">
      <c r="A23" s="12" t="s">
        <v>44</v>
      </c>
      <c r="B23" s="13" t="s">
        <v>45</v>
      </c>
      <c r="C23" s="13" t="s">
        <v>46</v>
      </c>
      <c r="D23" s="13">
        <v>53</v>
      </c>
      <c r="E23" s="14">
        <f>+F23/D23</f>
        <v>275842.30188679247</v>
      </c>
      <c r="F23" s="16">
        <v>14619642</v>
      </c>
      <c r="G23" s="15">
        <v>0.25</v>
      </c>
      <c r="H23" s="16">
        <f>+F23*G23</f>
        <v>3654910.5</v>
      </c>
      <c r="I23" s="17">
        <v>10.15</v>
      </c>
      <c r="J23" s="18">
        <f t="shared" si="2"/>
        <v>37097341.575000003</v>
      </c>
      <c r="K23" s="16">
        <f>+'Current Burden'!I21</f>
        <v>3238956.4799971199</v>
      </c>
      <c r="L23" s="16"/>
      <c r="M23" s="16">
        <f t="shared" si="3"/>
        <v>415954.02000288013</v>
      </c>
      <c r="N23" s="19" t="s">
        <v>47</v>
      </c>
    </row>
    <row r="24" spans="1:14" s="35" customFormat="1" ht="115.5" x14ac:dyDescent="0.3">
      <c r="A24" s="12"/>
      <c r="B24" s="15"/>
      <c r="C24" s="34" t="s">
        <v>48</v>
      </c>
      <c r="D24" s="27">
        <v>0</v>
      </c>
      <c r="E24" s="14">
        <v>0</v>
      </c>
      <c r="F24" s="14">
        <v>0</v>
      </c>
      <c r="G24" s="14">
        <v>0</v>
      </c>
      <c r="H24" s="16">
        <f t="shared" ref="H24:H38" si="8">+F24*G24</f>
        <v>0</v>
      </c>
      <c r="I24" s="17">
        <v>10.15</v>
      </c>
      <c r="J24" s="18">
        <f t="shared" si="2"/>
        <v>0</v>
      </c>
      <c r="K24" s="16">
        <f>+'Current Burden'!I22</f>
        <v>724154.00007599033</v>
      </c>
      <c r="L24" s="16"/>
      <c r="M24" s="16">
        <f t="shared" si="3"/>
        <v>-724154.00007599033</v>
      </c>
      <c r="N24" s="19" t="s">
        <v>49</v>
      </c>
    </row>
    <row r="25" spans="1:14" ht="49.5" x14ac:dyDescent="0.3">
      <c r="A25" s="12" t="s">
        <v>50</v>
      </c>
      <c r="B25" s="13" t="s">
        <v>51</v>
      </c>
      <c r="C25" s="13" t="s">
        <v>52</v>
      </c>
      <c r="D25" s="13">
        <v>53</v>
      </c>
      <c r="E25" s="14">
        <f>+F25/D25</f>
        <v>275842.30188679247</v>
      </c>
      <c r="F25" s="16">
        <v>14619642</v>
      </c>
      <c r="G25" s="15">
        <v>0.33400000000000002</v>
      </c>
      <c r="H25" s="16">
        <f t="shared" si="8"/>
        <v>4882960.4280000003</v>
      </c>
      <c r="I25" s="17">
        <v>10.15</v>
      </c>
      <c r="J25" s="18">
        <f t="shared" si="2"/>
        <v>49562048.344200008</v>
      </c>
      <c r="K25" s="16">
        <v>0</v>
      </c>
      <c r="L25" s="16"/>
      <c r="M25" s="16">
        <f>+H25-K25</f>
        <v>4882960.4280000003</v>
      </c>
      <c r="N25" s="19" t="s">
        <v>24</v>
      </c>
    </row>
    <row r="26" spans="1:14" ht="33" x14ac:dyDescent="0.3">
      <c r="A26" s="12" t="s">
        <v>53</v>
      </c>
      <c r="B26" s="13" t="s">
        <v>54</v>
      </c>
      <c r="C26" s="13" t="s">
        <v>55</v>
      </c>
      <c r="D26" s="13" t="s">
        <v>40</v>
      </c>
      <c r="E26" s="15" t="s">
        <v>40</v>
      </c>
      <c r="F26" s="36"/>
      <c r="G26" s="15"/>
      <c r="H26" s="22"/>
      <c r="I26" s="17"/>
      <c r="J26" s="21"/>
      <c r="K26" s="22"/>
      <c r="L26" s="22"/>
      <c r="M26" s="22"/>
      <c r="N26" s="23"/>
    </row>
    <row r="27" spans="1:14" ht="49.5" x14ac:dyDescent="0.3">
      <c r="A27" s="12"/>
      <c r="B27" s="37"/>
      <c r="C27" s="13" t="s">
        <v>56</v>
      </c>
      <c r="D27" s="15">
        <v>53</v>
      </c>
      <c r="E27" s="14">
        <f t="shared" ref="E27:E33" si="9">+F27/D27</f>
        <v>137921.15094339623</v>
      </c>
      <c r="F27" s="16">
        <f>14619642/2</f>
        <v>7309821</v>
      </c>
      <c r="G27" s="15">
        <v>0.1002</v>
      </c>
      <c r="H27" s="16">
        <f t="shared" si="8"/>
        <v>732444.06420000002</v>
      </c>
      <c r="I27" s="17">
        <v>10.15</v>
      </c>
      <c r="J27" s="18">
        <f t="shared" si="2"/>
        <v>7434307.2516300008</v>
      </c>
      <c r="K27" s="16">
        <v>0</v>
      </c>
      <c r="L27" s="16"/>
      <c r="M27" s="16">
        <f t="shared" ref="M27:M48" si="10">+H27-K27</f>
        <v>732444.06420000002</v>
      </c>
      <c r="N27" s="19" t="s">
        <v>29</v>
      </c>
    </row>
    <row r="28" spans="1:14" ht="49.5" x14ac:dyDescent="0.3">
      <c r="A28" s="12"/>
      <c r="B28" s="37"/>
      <c r="C28" s="13" t="s">
        <v>57</v>
      </c>
      <c r="D28" s="15">
        <v>53</v>
      </c>
      <c r="E28" s="14">
        <f t="shared" si="9"/>
        <v>2758.4230188679248</v>
      </c>
      <c r="F28" s="16">
        <f>14619642*0.01</f>
        <v>146196.42000000001</v>
      </c>
      <c r="G28" s="15">
        <v>0.1002</v>
      </c>
      <c r="H28" s="16">
        <f t="shared" si="8"/>
        <v>14648.881284000001</v>
      </c>
      <c r="I28" s="17">
        <v>10.15</v>
      </c>
      <c r="J28" s="18">
        <f t="shared" si="2"/>
        <v>148686.1450326</v>
      </c>
      <c r="K28" s="16">
        <v>0</v>
      </c>
      <c r="L28" s="16"/>
      <c r="M28" s="16">
        <f t="shared" si="10"/>
        <v>14648.881284000001</v>
      </c>
      <c r="N28" s="19" t="s">
        <v>29</v>
      </c>
    </row>
    <row r="29" spans="1:14" ht="49.5" x14ac:dyDescent="0.3">
      <c r="A29" s="12"/>
      <c r="B29" s="37"/>
      <c r="C29" s="13" t="s">
        <v>58</v>
      </c>
      <c r="D29" s="15">
        <v>53</v>
      </c>
      <c r="E29" s="14">
        <f t="shared" si="9"/>
        <v>5516.8460377358497</v>
      </c>
      <c r="F29" s="16">
        <f>14619642*0.02</f>
        <v>292392.84000000003</v>
      </c>
      <c r="G29" s="15">
        <v>0.1002</v>
      </c>
      <c r="H29" s="16">
        <f t="shared" si="8"/>
        <v>29297.762568000002</v>
      </c>
      <c r="I29" s="17">
        <v>10.15</v>
      </c>
      <c r="J29" s="18">
        <f t="shared" si="2"/>
        <v>297372.29006520001</v>
      </c>
      <c r="K29" s="16">
        <v>0</v>
      </c>
      <c r="L29" s="16"/>
      <c r="M29" s="16">
        <f t="shared" si="10"/>
        <v>29297.762568000002</v>
      </c>
      <c r="N29" s="19" t="s">
        <v>29</v>
      </c>
    </row>
    <row r="30" spans="1:14" ht="49.5" x14ac:dyDescent="0.3">
      <c r="A30" s="12"/>
      <c r="B30" s="37"/>
      <c r="C30" s="13" t="s">
        <v>59</v>
      </c>
      <c r="D30" s="15">
        <v>53</v>
      </c>
      <c r="E30" s="14">
        <f t="shared" si="9"/>
        <v>13792.115094339624</v>
      </c>
      <c r="F30" s="16">
        <f>14619642*0.05</f>
        <v>730982.10000000009</v>
      </c>
      <c r="G30" s="15">
        <v>0.1002</v>
      </c>
      <c r="H30" s="16">
        <f t="shared" si="8"/>
        <v>73244.406420000014</v>
      </c>
      <c r="I30" s="17">
        <v>10.15</v>
      </c>
      <c r="J30" s="18">
        <f t="shared" si="2"/>
        <v>743430.72516300017</v>
      </c>
      <c r="K30" s="16">
        <v>0</v>
      </c>
      <c r="L30" s="16"/>
      <c r="M30" s="16">
        <f t="shared" si="10"/>
        <v>73244.406420000014</v>
      </c>
      <c r="N30" s="19" t="s">
        <v>29</v>
      </c>
    </row>
    <row r="31" spans="1:14" ht="49.5" x14ac:dyDescent="0.3">
      <c r="A31" s="12"/>
      <c r="B31" s="37"/>
      <c r="C31" s="13" t="s">
        <v>60</v>
      </c>
      <c r="D31" s="15">
        <v>53</v>
      </c>
      <c r="E31" s="14">
        <f t="shared" si="9"/>
        <v>13792.115094339624</v>
      </c>
      <c r="F31" s="16">
        <f>14619642*0.05</f>
        <v>730982.10000000009</v>
      </c>
      <c r="G31" s="15">
        <v>0.1002</v>
      </c>
      <c r="H31" s="16">
        <f t="shared" si="8"/>
        <v>73244.406420000014</v>
      </c>
      <c r="I31" s="17">
        <v>10.15</v>
      </c>
      <c r="J31" s="18">
        <f t="shared" si="2"/>
        <v>743430.72516300017</v>
      </c>
      <c r="K31" s="16">
        <v>0</v>
      </c>
      <c r="L31" s="16"/>
      <c r="M31" s="16">
        <f t="shared" si="10"/>
        <v>73244.406420000014</v>
      </c>
      <c r="N31" s="19" t="s">
        <v>29</v>
      </c>
    </row>
    <row r="32" spans="1:14" ht="49.5" x14ac:dyDescent="0.3">
      <c r="A32" s="12"/>
      <c r="B32" s="37"/>
      <c r="C32" s="13" t="s">
        <v>36</v>
      </c>
      <c r="D32" s="15">
        <v>53</v>
      </c>
      <c r="E32" s="14">
        <f t="shared" si="9"/>
        <v>137921.15094339623</v>
      </c>
      <c r="F32" s="16">
        <f>14619642/2</f>
        <v>7309821</v>
      </c>
      <c r="G32" s="15">
        <v>0.1002</v>
      </c>
      <c r="H32" s="16">
        <f t="shared" si="8"/>
        <v>732444.06420000002</v>
      </c>
      <c r="I32" s="17">
        <v>10.15</v>
      </c>
      <c r="J32" s="18">
        <f t="shared" si="2"/>
        <v>7434307.2516300008</v>
      </c>
      <c r="K32" s="16">
        <v>0</v>
      </c>
      <c r="L32" s="16"/>
      <c r="M32" s="16">
        <f t="shared" si="10"/>
        <v>732444.06420000002</v>
      </c>
      <c r="N32" s="19" t="s">
        <v>29</v>
      </c>
    </row>
    <row r="33" spans="1:14" ht="49.5" x14ac:dyDescent="0.3">
      <c r="A33" s="12"/>
      <c r="B33" s="38"/>
      <c r="C33" s="13" t="s">
        <v>61</v>
      </c>
      <c r="D33" s="15">
        <v>53</v>
      </c>
      <c r="E33" s="14">
        <f t="shared" si="9"/>
        <v>137921.15094339623</v>
      </c>
      <c r="F33" s="16">
        <f>14619642/2</f>
        <v>7309821</v>
      </c>
      <c r="G33" s="15">
        <v>0.1002</v>
      </c>
      <c r="H33" s="16">
        <f t="shared" si="8"/>
        <v>732444.06420000002</v>
      </c>
      <c r="I33" s="17">
        <v>10.15</v>
      </c>
      <c r="J33" s="18">
        <f t="shared" si="2"/>
        <v>7434307.2516300008</v>
      </c>
      <c r="K33" s="16">
        <v>0</v>
      </c>
      <c r="L33" s="16"/>
      <c r="M33" s="16">
        <f t="shared" si="10"/>
        <v>732444.06420000002</v>
      </c>
      <c r="N33" s="19" t="s">
        <v>29</v>
      </c>
    </row>
    <row r="34" spans="1:14" x14ac:dyDescent="0.3">
      <c r="A34" s="31"/>
      <c r="B34" s="39" t="s">
        <v>62</v>
      </c>
      <c r="C34" s="13"/>
      <c r="D34" s="13"/>
      <c r="E34" s="14"/>
      <c r="F34" s="14"/>
      <c r="G34" s="14"/>
      <c r="H34" s="14"/>
      <c r="I34" s="17"/>
      <c r="J34" s="21"/>
      <c r="K34" s="22"/>
      <c r="L34" s="22"/>
      <c r="M34" s="22"/>
      <c r="N34" s="23"/>
    </row>
    <row r="35" spans="1:14" ht="66" x14ac:dyDescent="0.3">
      <c r="A35" s="12">
        <v>273.20999999999998</v>
      </c>
      <c r="B35" s="13" t="s">
        <v>63</v>
      </c>
      <c r="C35" s="13" t="s">
        <v>64</v>
      </c>
      <c r="D35" s="15">
        <v>2</v>
      </c>
      <c r="E35" s="14">
        <v>364434</v>
      </c>
      <c r="F35" s="16">
        <f>+D35*E35</f>
        <v>728868</v>
      </c>
      <c r="G35" s="15">
        <v>0.1169</v>
      </c>
      <c r="H35" s="16">
        <f t="shared" si="8"/>
        <v>85204.669200000004</v>
      </c>
      <c r="I35" s="17">
        <v>10.15</v>
      </c>
      <c r="J35" s="18">
        <f t="shared" si="2"/>
        <v>864827.39238000009</v>
      </c>
      <c r="K35" s="16">
        <f>+'Current Burden'!I23</f>
        <v>282161.87999874004</v>
      </c>
      <c r="L35" s="16"/>
      <c r="M35" s="16">
        <f t="shared" si="10"/>
        <v>-196957.21079874004</v>
      </c>
      <c r="N35" s="19" t="s">
        <v>65</v>
      </c>
    </row>
    <row r="36" spans="1:14" ht="66" x14ac:dyDescent="0.3">
      <c r="A36" s="12" t="s">
        <v>66</v>
      </c>
      <c r="B36" s="13" t="s">
        <v>67</v>
      </c>
      <c r="C36" s="13" t="s">
        <v>68</v>
      </c>
      <c r="D36" s="13">
        <v>1</v>
      </c>
      <c r="E36" s="14">
        <v>1733336</v>
      </c>
      <c r="F36" s="16">
        <f>+D36*E36</f>
        <v>1733336</v>
      </c>
      <c r="G36" s="15">
        <v>0.1336</v>
      </c>
      <c r="H36" s="16">
        <f t="shared" si="8"/>
        <v>231573.68959999998</v>
      </c>
      <c r="I36" s="17">
        <v>10.15</v>
      </c>
      <c r="J36" s="18">
        <f t="shared" si="2"/>
        <v>2350472.9494400001</v>
      </c>
      <c r="K36" s="16">
        <f>+'Current Burden'!I24</f>
        <v>479681.4</v>
      </c>
      <c r="L36" s="16"/>
      <c r="M36" s="16">
        <f t="shared" si="10"/>
        <v>-248107.71040000004</v>
      </c>
      <c r="N36" s="19" t="s">
        <v>69</v>
      </c>
    </row>
    <row r="37" spans="1:14" ht="49.5" x14ac:dyDescent="0.3">
      <c r="A37" s="12" t="s">
        <v>70</v>
      </c>
      <c r="B37" s="13" t="s">
        <v>71</v>
      </c>
      <c r="C37" s="13" t="s">
        <v>72</v>
      </c>
      <c r="D37" s="13">
        <v>51</v>
      </c>
      <c r="E37" s="14">
        <v>369638.35</v>
      </c>
      <c r="F37" s="16">
        <f>+D37*E37</f>
        <v>18851555.849999998</v>
      </c>
      <c r="G37" s="15">
        <v>0.1837</v>
      </c>
      <c r="H37" s="16">
        <f t="shared" si="8"/>
        <v>3463030.8096449994</v>
      </c>
      <c r="I37" s="17">
        <v>10.15</v>
      </c>
      <c r="J37" s="18">
        <f t="shared" si="2"/>
        <v>35149762.717896745</v>
      </c>
      <c r="K37" s="16">
        <f>+'Current Burden'!I25</f>
        <v>1941962.93999568</v>
      </c>
      <c r="L37" s="16"/>
      <c r="M37" s="16">
        <f t="shared" si="10"/>
        <v>1521067.8696493194</v>
      </c>
      <c r="N37" s="19" t="s">
        <v>73</v>
      </c>
    </row>
    <row r="38" spans="1:14" ht="49.5" x14ac:dyDescent="0.3">
      <c r="A38" s="12" t="s">
        <v>74</v>
      </c>
      <c r="B38" s="13" t="s">
        <v>75</v>
      </c>
      <c r="C38" s="13" t="s">
        <v>76</v>
      </c>
      <c r="D38" s="13">
        <v>24</v>
      </c>
      <c r="E38" s="14">
        <v>134810.67000000001</v>
      </c>
      <c r="F38" s="16">
        <f>+D38*E38</f>
        <v>3235456.08</v>
      </c>
      <c r="G38" s="15">
        <v>0.1837</v>
      </c>
      <c r="H38" s="16">
        <f t="shared" si="8"/>
        <v>594353.28189600003</v>
      </c>
      <c r="I38" s="17">
        <v>10.15</v>
      </c>
      <c r="J38" s="18">
        <f t="shared" si="2"/>
        <v>6032685.8112444002</v>
      </c>
      <c r="K38" s="16">
        <f>+'Current Burden'!I26</f>
        <v>299671.73999550001</v>
      </c>
      <c r="L38" s="16"/>
      <c r="M38" s="16">
        <f t="shared" si="10"/>
        <v>294681.54190050001</v>
      </c>
      <c r="N38" s="19" t="s">
        <v>73</v>
      </c>
    </row>
    <row r="39" spans="1:14" x14ac:dyDescent="0.3">
      <c r="A39" s="12"/>
      <c r="B39" s="13"/>
      <c r="C39" s="13"/>
      <c r="D39" s="13"/>
      <c r="E39" s="13"/>
      <c r="F39" s="22"/>
      <c r="G39" s="13"/>
      <c r="H39" s="25"/>
      <c r="I39" s="17"/>
      <c r="J39" s="21"/>
      <c r="K39" s="22"/>
      <c r="L39" s="22"/>
      <c r="M39" s="16"/>
      <c r="N39" s="23"/>
    </row>
    <row r="40" spans="1:14" x14ac:dyDescent="0.3">
      <c r="A40" s="31"/>
      <c r="B40" s="39" t="s">
        <v>77</v>
      </c>
      <c r="C40" s="13"/>
      <c r="D40" s="13"/>
      <c r="E40" s="13"/>
      <c r="F40" s="22"/>
      <c r="G40" s="13"/>
      <c r="H40" s="25"/>
      <c r="I40" s="17"/>
      <c r="J40" s="21"/>
      <c r="K40" s="22"/>
      <c r="L40" s="22"/>
      <c r="M40" s="16"/>
      <c r="N40" s="23"/>
    </row>
    <row r="41" spans="1:14" ht="49.5" x14ac:dyDescent="0.3">
      <c r="A41" s="12" t="s">
        <v>78</v>
      </c>
      <c r="B41" s="13" t="s">
        <v>79</v>
      </c>
      <c r="C41" s="13" t="s">
        <v>80</v>
      </c>
      <c r="D41" s="13">
        <v>53</v>
      </c>
      <c r="E41" s="14">
        <v>712253.57</v>
      </c>
      <c r="F41" s="16">
        <f t="shared" ref="F41:F48" si="11">+D41*E41</f>
        <v>37749439.210000001</v>
      </c>
      <c r="G41" s="15">
        <v>3.3399999999999999E-2</v>
      </c>
      <c r="H41" s="16">
        <f t="shared" ref="H41:H48" si="12">+F41*G41</f>
        <v>1260831.2696140001</v>
      </c>
      <c r="I41" s="17">
        <v>10.15</v>
      </c>
      <c r="J41" s="18">
        <f t="shared" ref="J41:J48" si="13">+I41*H41</f>
        <v>12797437.386582101</v>
      </c>
      <c r="K41" s="16">
        <f>+'Current Burden'!I27</f>
        <v>632689.73999888997</v>
      </c>
      <c r="L41" s="16"/>
      <c r="M41" s="16">
        <f t="shared" si="10"/>
        <v>628141.52961511014</v>
      </c>
      <c r="N41" s="19" t="s">
        <v>81</v>
      </c>
    </row>
    <row r="42" spans="1:14" ht="66" x14ac:dyDescent="0.3">
      <c r="A42" s="12" t="s">
        <v>82</v>
      </c>
      <c r="B42" s="13"/>
      <c r="C42" s="13" t="s">
        <v>83</v>
      </c>
      <c r="D42" s="13">
        <v>53</v>
      </c>
      <c r="E42" s="14">
        <v>1149.8499999999999</v>
      </c>
      <c r="F42" s="16">
        <f t="shared" si="11"/>
        <v>60942.049999999996</v>
      </c>
      <c r="G42" s="15">
        <v>3.3399999999999999E-2</v>
      </c>
      <c r="H42" s="16">
        <f t="shared" si="12"/>
        <v>2035.4644699999999</v>
      </c>
      <c r="I42" s="17">
        <v>10.15</v>
      </c>
      <c r="J42" s="18">
        <f t="shared" si="13"/>
        <v>20659.964370499998</v>
      </c>
      <c r="K42" s="16">
        <f>+'Current Burden'!I28</f>
        <v>1053.74999991</v>
      </c>
      <c r="L42" s="16"/>
      <c r="M42" s="16">
        <f t="shared" si="10"/>
        <v>981.71447008999985</v>
      </c>
      <c r="N42" s="19" t="s">
        <v>81</v>
      </c>
    </row>
    <row r="43" spans="1:14" ht="66" x14ac:dyDescent="0.3">
      <c r="A43" s="12" t="s">
        <v>84</v>
      </c>
      <c r="B43" s="13"/>
      <c r="C43" s="13" t="s">
        <v>85</v>
      </c>
      <c r="D43" s="13">
        <v>53</v>
      </c>
      <c r="E43" s="14">
        <v>44514.17</v>
      </c>
      <c r="F43" s="16">
        <f t="shared" si="11"/>
        <v>2359251.0099999998</v>
      </c>
      <c r="G43" s="15">
        <v>1.67E-2</v>
      </c>
      <c r="H43" s="16">
        <f t="shared" si="12"/>
        <v>39399.491866999997</v>
      </c>
      <c r="I43" s="17">
        <v>10.15</v>
      </c>
      <c r="J43" s="18">
        <f t="shared" si="13"/>
        <v>399904.84245005</v>
      </c>
      <c r="K43" s="16">
        <f>+'Current Burden'!I29</f>
        <v>37627.599999939994</v>
      </c>
      <c r="L43" s="16"/>
      <c r="M43" s="16">
        <f t="shared" si="10"/>
        <v>1771.8918670600033</v>
      </c>
      <c r="N43" s="19" t="s">
        <v>81</v>
      </c>
    </row>
    <row r="44" spans="1:14" ht="49.5" x14ac:dyDescent="0.3">
      <c r="A44" s="12" t="s">
        <v>86</v>
      </c>
      <c r="B44" s="13" t="s">
        <v>87</v>
      </c>
      <c r="C44" s="13" t="s">
        <v>88</v>
      </c>
      <c r="D44" s="13">
        <v>53</v>
      </c>
      <c r="E44" s="14">
        <v>416736.06</v>
      </c>
      <c r="F44" s="16">
        <f t="shared" si="11"/>
        <v>22087011.18</v>
      </c>
      <c r="G44" s="15">
        <v>3.3399999999999999E-2</v>
      </c>
      <c r="H44" s="16">
        <f t="shared" si="12"/>
        <v>737706.17341199995</v>
      </c>
      <c r="I44" s="17">
        <v>10.15</v>
      </c>
      <c r="J44" s="18">
        <f t="shared" si="13"/>
        <v>7487717.6601318</v>
      </c>
      <c r="K44" s="16">
        <f>+'Current Burden'!I30</f>
        <v>303652.16999972996</v>
      </c>
      <c r="L44" s="16"/>
      <c r="M44" s="16">
        <f t="shared" si="10"/>
        <v>434054.00341226999</v>
      </c>
      <c r="N44" s="19" t="s">
        <v>81</v>
      </c>
    </row>
    <row r="45" spans="1:14" ht="49.5" x14ac:dyDescent="0.3">
      <c r="A45" s="12" t="s">
        <v>89</v>
      </c>
      <c r="B45" s="13"/>
      <c r="C45" s="13" t="s">
        <v>90</v>
      </c>
      <c r="D45" s="13">
        <v>53</v>
      </c>
      <c r="E45" s="14">
        <v>31227.23</v>
      </c>
      <c r="F45" s="16">
        <f t="shared" si="11"/>
        <v>1655043.19</v>
      </c>
      <c r="G45" s="15">
        <v>3.3399999999999999E-2</v>
      </c>
      <c r="H45" s="16">
        <f t="shared" si="12"/>
        <v>55278.442545999998</v>
      </c>
      <c r="I45" s="17">
        <v>10.15</v>
      </c>
      <c r="J45" s="18">
        <f t="shared" si="13"/>
        <v>561076.1918419</v>
      </c>
      <c r="K45" s="16">
        <f>+'Current Burden'!I31</f>
        <v>28617.449999340002</v>
      </c>
      <c r="L45" s="16"/>
      <c r="M45" s="16">
        <f t="shared" si="10"/>
        <v>26660.992546659996</v>
      </c>
      <c r="N45" s="19" t="s">
        <v>81</v>
      </c>
    </row>
    <row r="46" spans="1:14" ht="49.5" x14ac:dyDescent="0.3">
      <c r="A46" s="12" t="s">
        <v>91</v>
      </c>
      <c r="B46" s="13"/>
      <c r="C46" s="13" t="s">
        <v>92</v>
      </c>
      <c r="D46" s="13">
        <v>53</v>
      </c>
      <c r="E46" s="14">
        <v>6899.15</v>
      </c>
      <c r="F46" s="16">
        <f t="shared" si="11"/>
        <v>365654.94999999995</v>
      </c>
      <c r="G46" s="15">
        <v>3.3399999999999999E-2</v>
      </c>
      <c r="H46" s="16">
        <f t="shared" si="12"/>
        <v>12212.875329999999</v>
      </c>
      <c r="I46" s="17">
        <v>10.15</v>
      </c>
      <c r="J46" s="18">
        <f t="shared" si="13"/>
        <v>123960.68459949999</v>
      </c>
      <c r="K46" s="16">
        <f>+'Current Burden'!I32</f>
        <v>6322.5599996999999</v>
      </c>
      <c r="L46" s="16"/>
      <c r="M46" s="16">
        <f t="shared" si="10"/>
        <v>5890.315330299999</v>
      </c>
      <c r="N46" s="19" t="s">
        <v>81</v>
      </c>
    </row>
    <row r="47" spans="1:14" ht="49.5" x14ac:dyDescent="0.3">
      <c r="A47" s="12" t="s">
        <v>93</v>
      </c>
      <c r="B47" s="13"/>
      <c r="C47" s="13" t="s">
        <v>94</v>
      </c>
      <c r="D47" s="13">
        <v>53</v>
      </c>
      <c r="E47" s="14">
        <v>31227.23</v>
      </c>
      <c r="F47" s="16">
        <f t="shared" si="11"/>
        <v>1655043.19</v>
      </c>
      <c r="G47" s="15">
        <v>3.3399999999999999E-2</v>
      </c>
      <c r="H47" s="16">
        <f t="shared" si="12"/>
        <v>55278.442545999998</v>
      </c>
      <c r="I47" s="17">
        <v>10.15</v>
      </c>
      <c r="J47" s="18">
        <f t="shared" si="13"/>
        <v>561076.1918419</v>
      </c>
      <c r="K47" s="16">
        <f>+'Current Burden'!I33</f>
        <v>28617.449999340002</v>
      </c>
      <c r="L47" s="16"/>
      <c r="M47" s="16">
        <f t="shared" si="10"/>
        <v>26660.992546659996</v>
      </c>
      <c r="N47" s="19" t="s">
        <v>81</v>
      </c>
    </row>
    <row r="48" spans="1:14" x14ac:dyDescent="0.3">
      <c r="A48" s="12">
        <v>273.29000000000002</v>
      </c>
      <c r="B48" s="13"/>
      <c r="C48" s="25" t="s">
        <v>95</v>
      </c>
      <c r="D48" s="13">
        <v>0</v>
      </c>
      <c r="E48" s="13">
        <v>0</v>
      </c>
      <c r="F48" s="16">
        <f t="shared" si="11"/>
        <v>0</v>
      </c>
      <c r="G48" s="13">
        <v>0</v>
      </c>
      <c r="H48" s="16">
        <f t="shared" si="12"/>
        <v>0</v>
      </c>
      <c r="I48" s="17">
        <v>10.15</v>
      </c>
      <c r="J48" s="18">
        <f t="shared" si="13"/>
        <v>0</v>
      </c>
      <c r="K48" s="16">
        <v>0</v>
      </c>
      <c r="L48" s="16"/>
      <c r="M48" s="16">
        <f t="shared" si="10"/>
        <v>0</v>
      </c>
      <c r="N48" s="40"/>
    </row>
    <row r="49" spans="1:15" ht="17.25" thickBot="1" x14ac:dyDescent="0.35">
      <c r="A49" s="41"/>
      <c r="B49" s="42" t="s">
        <v>96</v>
      </c>
      <c r="C49" s="42"/>
      <c r="D49" s="43">
        <v>53</v>
      </c>
      <c r="E49" s="44">
        <f>+F49/D49</f>
        <v>4816744.1071545286</v>
      </c>
      <c r="F49" s="45">
        <f>SUM(F6:F48)</f>
        <v>255287437.67919001</v>
      </c>
      <c r="G49" s="46">
        <f>+H49/F49</f>
        <v>0.1218182835886697</v>
      </c>
      <c r="H49" s="45">
        <f>SUM(H6:H48)</f>
        <v>31098677.47982841</v>
      </c>
      <c r="I49" s="47"/>
      <c r="J49" s="48">
        <f>SUM(J6:J48)</f>
        <v>315651576.42025858</v>
      </c>
      <c r="K49" s="45">
        <f>SUM(K6:K48)</f>
        <v>11514900.040055081</v>
      </c>
      <c r="L49" s="47">
        <f>SUM(L6:L48)</f>
        <v>0</v>
      </c>
      <c r="M49" s="47">
        <f>SUM(M6:M48)</f>
        <v>19583777.439773344</v>
      </c>
      <c r="N49" s="49"/>
    </row>
    <row r="50" spans="1:15" ht="18" x14ac:dyDescent="0.25">
      <c r="A50" s="270" t="s">
        <v>97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2"/>
    </row>
    <row r="51" spans="1:15" s="58" customFormat="1" x14ac:dyDescent="0.3">
      <c r="A51" s="12" t="s">
        <v>98</v>
      </c>
      <c r="B51" s="50"/>
      <c r="C51" s="51" t="s">
        <v>99</v>
      </c>
      <c r="D51" s="52">
        <v>2724</v>
      </c>
      <c r="E51" s="53">
        <v>46693.21</v>
      </c>
      <c r="F51" s="16">
        <f>+D51*E51</f>
        <v>127192304.03999999</v>
      </c>
      <c r="G51" s="54">
        <v>0.03</v>
      </c>
      <c r="H51" s="16">
        <f t="shared" ref="H51:H52" si="14">+F51*G51</f>
        <v>3815769.1211999995</v>
      </c>
      <c r="I51" s="17">
        <v>10.15</v>
      </c>
      <c r="J51" s="18">
        <f t="shared" ref="J51:J52" si="15">+I51*H51</f>
        <v>38730056.580179997</v>
      </c>
      <c r="K51" s="55">
        <f>+'Current Burden'!I38</f>
        <v>3815769.2111999998</v>
      </c>
      <c r="L51" s="56"/>
      <c r="M51" s="16">
        <f t="shared" ref="M51:M52" si="16">+H51-K51</f>
        <v>-9.0000000316649675E-2</v>
      </c>
      <c r="N51" s="57" t="s">
        <v>100</v>
      </c>
    </row>
    <row r="52" spans="1:15" s="58" customFormat="1" ht="17.25" thickBot="1" x14ac:dyDescent="0.35">
      <c r="A52" s="12" t="s">
        <v>101</v>
      </c>
      <c r="B52" s="59"/>
      <c r="C52" s="60" t="s">
        <v>102</v>
      </c>
      <c r="D52" s="61">
        <v>2724</v>
      </c>
      <c r="E52" s="62">
        <v>17098.413</v>
      </c>
      <c r="F52" s="16">
        <f>+D52*E52</f>
        <v>46576077.012000002</v>
      </c>
      <c r="G52" s="63">
        <v>4.16666E-3</v>
      </c>
      <c r="H52" s="16">
        <f t="shared" si="14"/>
        <v>194066.67704281994</v>
      </c>
      <c r="I52" s="17">
        <v>10.15</v>
      </c>
      <c r="J52" s="18">
        <f t="shared" si="15"/>
        <v>1969776.7719846223</v>
      </c>
      <c r="K52" s="64">
        <f>+'Current Burden'!I39</f>
        <v>194066.67704281994</v>
      </c>
      <c r="L52" s="65"/>
      <c r="M52" s="66">
        <f t="shared" si="16"/>
        <v>0</v>
      </c>
      <c r="N52" s="67"/>
    </row>
    <row r="53" spans="1:15" x14ac:dyDescent="0.3">
      <c r="A53" s="68"/>
      <c r="B53" s="69" t="s">
        <v>103</v>
      </c>
      <c r="C53" s="69"/>
      <c r="D53" s="70">
        <f>+D52</f>
        <v>2724</v>
      </c>
      <c r="E53" s="71">
        <f>+F53/D53</f>
        <v>63791.622999999992</v>
      </c>
      <c r="F53" s="72">
        <f>SUM(F51:F52)</f>
        <v>173768381.05199999</v>
      </c>
      <c r="G53" s="71">
        <f>+H53/F53</f>
        <v>2.3075750455676287E-2</v>
      </c>
      <c r="H53" s="273">
        <f>SUM(H51:H52)</f>
        <v>4009835.7982428195</v>
      </c>
      <c r="I53" s="72"/>
      <c r="J53" s="73">
        <f>SUM(J51:J52)</f>
        <v>40699833.352164619</v>
      </c>
      <c r="K53" s="72">
        <f>SUM(K51:K52)</f>
        <v>4009835.8882428198</v>
      </c>
      <c r="L53" s="72">
        <f>SUM(L51:L52)</f>
        <v>0</v>
      </c>
      <c r="M53" s="72">
        <f>SUM(M51:M52)</f>
        <v>-9.0000000316649675E-2</v>
      </c>
      <c r="N53" s="74"/>
    </row>
    <row r="54" spans="1:15" ht="17.25" thickBot="1" x14ac:dyDescent="0.35">
      <c r="A54" s="75" t="s">
        <v>104</v>
      </c>
      <c r="B54" s="76"/>
      <c r="C54" s="77"/>
      <c r="D54" s="78">
        <f>+D53+D49</f>
        <v>2777</v>
      </c>
      <c r="E54" s="79">
        <f>+F54/D54</f>
        <v>154503.35568281959</v>
      </c>
      <c r="F54" s="80">
        <f>+F53+F49</f>
        <v>429055818.73118997</v>
      </c>
      <c r="G54" s="81">
        <f>+H54/F54</f>
        <v>8.182737943490577E-2</v>
      </c>
      <c r="H54" s="80">
        <f>+H53+H49</f>
        <v>35108513.278071232</v>
      </c>
      <c r="I54" s="78"/>
      <c r="J54" s="82">
        <f>+J53+J49</f>
        <v>356351409.77242321</v>
      </c>
      <c r="K54" s="80">
        <f>+K53+K49</f>
        <v>15524735.928297902</v>
      </c>
      <c r="L54" s="78">
        <f>+L53+L49</f>
        <v>0</v>
      </c>
      <c r="M54" s="78">
        <f>+M53+M49</f>
        <v>19583777.349773344</v>
      </c>
      <c r="N54" s="83"/>
    </row>
    <row r="55" spans="1:15" ht="24" thickBot="1" x14ac:dyDescent="0.4">
      <c r="A55" s="265" t="s">
        <v>105</v>
      </c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7"/>
    </row>
    <row r="56" spans="1:15" ht="18.75" thickBot="1" x14ac:dyDescent="0.3">
      <c r="A56" s="253" t="s">
        <v>106</v>
      </c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5"/>
    </row>
    <row r="57" spans="1:15" x14ac:dyDescent="0.3">
      <c r="A57" s="31"/>
      <c r="B57" s="32" t="s">
        <v>17</v>
      </c>
      <c r="C57" s="13"/>
      <c r="D57" s="84" t="s">
        <v>107</v>
      </c>
      <c r="E57" s="85"/>
      <c r="F57" s="84" t="s">
        <v>40</v>
      </c>
      <c r="G57" s="86" t="s">
        <v>107</v>
      </c>
      <c r="H57" s="84" t="s">
        <v>40</v>
      </c>
      <c r="I57" s="84"/>
      <c r="J57" s="84"/>
      <c r="K57" s="84"/>
      <c r="L57" s="84"/>
      <c r="M57" s="84"/>
      <c r="N57" s="87"/>
    </row>
    <row r="58" spans="1:15" ht="33" x14ac:dyDescent="0.3">
      <c r="A58" s="12">
        <v>273.2</v>
      </c>
      <c r="B58" s="88" t="s">
        <v>18</v>
      </c>
      <c r="C58" s="13" t="s">
        <v>19</v>
      </c>
      <c r="D58" s="99">
        <v>11209223</v>
      </c>
      <c r="E58" s="84">
        <v>1</v>
      </c>
      <c r="F58" s="16">
        <f>+D58*E58</f>
        <v>11209223</v>
      </c>
      <c r="G58" s="25">
        <v>0.31730000000000003</v>
      </c>
      <c r="H58" s="16">
        <f t="shared" ref="H58" si="17">+F58*G58</f>
        <v>3556686.4579000003</v>
      </c>
      <c r="I58" s="89">
        <v>7.25</v>
      </c>
      <c r="J58" s="89">
        <f>+H58*I58</f>
        <v>25785976.819775</v>
      </c>
      <c r="K58" s="90">
        <f>+'Current Burden'!I4</f>
        <v>3509730.88</v>
      </c>
      <c r="L58" s="90"/>
      <c r="M58" s="16">
        <f>+H58-K58</f>
        <v>46955.577900000382</v>
      </c>
      <c r="N58" s="40" t="s">
        <v>20</v>
      </c>
    </row>
    <row r="59" spans="1:15" x14ac:dyDescent="0.3">
      <c r="A59" s="12"/>
      <c r="B59" s="88" t="s">
        <v>40</v>
      </c>
      <c r="C59" s="13"/>
      <c r="D59" s="275"/>
      <c r="E59" s="85"/>
      <c r="F59" s="84"/>
      <c r="G59" s="25"/>
      <c r="H59" s="84"/>
      <c r="I59" s="84"/>
      <c r="J59" s="84"/>
      <c r="K59" s="84"/>
      <c r="L59" s="84"/>
      <c r="M59" s="84"/>
      <c r="N59" s="87"/>
    </row>
    <row r="60" spans="1:15" ht="49.5" x14ac:dyDescent="0.3">
      <c r="A60" s="12" t="s">
        <v>21</v>
      </c>
      <c r="B60" s="13" t="s">
        <v>22</v>
      </c>
      <c r="C60" s="13" t="s">
        <v>108</v>
      </c>
      <c r="D60" s="99">
        <v>11209223</v>
      </c>
      <c r="E60" s="84">
        <v>1</v>
      </c>
      <c r="F60" s="16">
        <f>+D60*E60</f>
        <v>11209223</v>
      </c>
      <c r="G60" s="25">
        <v>0.5</v>
      </c>
      <c r="H60" s="16">
        <f t="shared" ref="H60:H62" si="18">+F60*G60</f>
        <v>5604611.5</v>
      </c>
      <c r="I60" s="89">
        <v>7.25</v>
      </c>
      <c r="J60" s="89">
        <f>+H60*I60</f>
        <v>40633433.375</v>
      </c>
      <c r="K60" s="16">
        <v>0</v>
      </c>
      <c r="L60" s="16"/>
      <c r="M60" s="16">
        <f>+H60-K60</f>
        <v>5604611.5</v>
      </c>
      <c r="N60" s="19" t="s">
        <v>24</v>
      </c>
      <c r="O60" s="91"/>
    </row>
    <row r="61" spans="1:15" s="35" customFormat="1" ht="49.5" x14ac:dyDescent="0.3">
      <c r="A61" s="12"/>
      <c r="B61" s="92" t="s">
        <v>109</v>
      </c>
      <c r="C61" s="15" t="s">
        <v>110</v>
      </c>
      <c r="D61" s="99">
        <v>11209223</v>
      </c>
      <c r="E61" s="93">
        <v>1</v>
      </c>
      <c r="F61" s="16">
        <f>+D61*E61</f>
        <v>11209223</v>
      </c>
      <c r="G61" s="22">
        <v>2</v>
      </c>
      <c r="H61" s="16">
        <f t="shared" si="18"/>
        <v>22418446</v>
      </c>
      <c r="I61" s="94">
        <v>7.25</v>
      </c>
      <c r="J61" s="94">
        <f>+H61*I61</f>
        <v>162533733.5</v>
      </c>
      <c r="K61" s="16">
        <v>0</v>
      </c>
      <c r="L61" s="16"/>
      <c r="M61" s="16">
        <f>+H61-K61</f>
        <v>22418446</v>
      </c>
      <c r="N61" s="19" t="s">
        <v>111</v>
      </c>
      <c r="O61" s="95"/>
    </row>
    <row r="62" spans="1:15" ht="82.5" x14ac:dyDescent="0.3">
      <c r="A62" s="12" t="s">
        <v>112</v>
      </c>
      <c r="B62" s="96"/>
      <c r="C62" s="15" t="s">
        <v>113</v>
      </c>
      <c r="D62" s="99">
        <v>11209223</v>
      </c>
      <c r="E62" s="93">
        <v>0</v>
      </c>
      <c r="F62" s="16">
        <f>+D62*E62</f>
        <v>0</v>
      </c>
      <c r="G62" s="97">
        <v>0</v>
      </c>
      <c r="H62" s="16">
        <f t="shared" si="18"/>
        <v>0</v>
      </c>
      <c r="I62" s="94">
        <v>7.25</v>
      </c>
      <c r="J62" s="94">
        <f>+H62*I62</f>
        <v>0</v>
      </c>
      <c r="K62" s="16">
        <f>+'Current Burden'!I15</f>
        <v>4600</v>
      </c>
      <c r="L62" s="22"/>
      <c r="M62" s="16">
        <f>+H62-K62</f>
        <v>-4600</v>
      </c>
      <c r="N62" s="19" t="s">
        <v>114</v>
      </c>
    </row>
    <row r="63" spans="1:15" x14ac:dyDescent="0.3">
      <c r="A63" s="98"/>
      <c r="B63" s="96"/>
      <c r="C63" s="15"/>
      <c r="D63" s="99"/>
      <c r="E63" s="93"/>
      <c r="F63" s="93"/>
      <c r="G63" s="97"/>
      <c r="H63" s="93"/>
      <c r="I63" s="94"/>
      <c r="J63" s="94"/>
      <c r="K63" s="16"/>
      <c r="L63" s="22"/>
      <c r="M63" s="16"/>
      <c r="N63" s="19"/>
    </row>
    <row r="64" spans="1:15" ht="33" x14ac:dyDescent="0.3">
      <c r="A64" s="12" t="s">
        <v>25</v>
      </c>
      <c r="B64" s="88" t="s">
        <v>115</v>
      </c>
      <c r="C64" s="13"/>
      <c r="D64" s="275"/>
      <c r="E64" s="85"/>
      <c r="F64" s="84"/>
      <c r="G64" s="25"/>
      <c r="H64" s="84"/>
      <c r="I64" s="84"/>
      <c r="J64" s="84"/>
      <c r="K64" s="25"/>
      <c r="L64" s="25"/>
      <c r="M64" s="25"/>
      <c r="N64" s="100"/>
    </row>
    <row r="65" spans="1:14" ht="49.5" x14ac:dyDescent="0.3">
      <c r="A65" s="12"/>
      <c r="B65" s="13"/>
      <c r="C65" s="25" t="s">
        <v>28</v>
      </c>
      <c r="D65" s="99">
        <v>11209223</v>
      </c>
      <c r="E65" s="84">
        <v>1</v>
      </c>
      <c r="F65" s="16">
        <f t="shared" ref="F65:F76" si="19">+D65*E65</f>
        <v>11209223</v>
      </c>
      <c r="G65" s="25">
        <v>6.6799999999999998E-2</v>
      </c>
      <c r="H65" s="16">
        <f t="shared" ref="H65:H76" si="20">+F65*G65</f>
        <v>748776.09640000004</v>
      </c>
      <c r="I65" s="89">
        <v>7.25</v>
      </c>
      <c r="J65" s="89">
        <f t="shared" ref="J65:J77" si="21">+H65*I65</f>
        <v>5428626.6989000002</v>
      </c>
      <c r="K65" s="16">
        <v>0</v>
      </c>
      <c r="L65" s="101"/>
      <c r="M65" s="16">
        <f>+H65-K65</f>
        <v>748776.09640000004</v>
      </c>
      <c r="N65" s="19" t="s">
        <v>29</v>
      </c>
    </row>
    <row r="66" spans="1:14" ht="49.5" x14ac:dyDescent="0.3">
      <c r="A66" s="12"/>
      <c r="B66" s="13"/>
      <c r="C66" s="25" t="s">
        <v>30</v>
      </c>
      <c r="D66" s="99">
        <v>11209223</v>
      </c>
      <c r="E66" s="84">
        <v>1</v>
      </c>
      <c r="F66" s="16">
        <f t="shared" si="19"/>
        <v>11209223</v>
      </c>
      <c r="G66" s="25">
        <v>6.6799999999999998E-2</v>
      </c>
      <c r="H66" s="16">
        <f t="shared" si="20"/>
        <v>748776.09640000004</v>
      </c>
      <c r="I66" s="89">
        <v>7.25</v>
      </c>
      <c r="J66" s="89">
        <f t="shared" si="21"/>
        <v>5428626.6989000002</v>
      </c>
      <c r="K66" s="16">
        <v>0</v>
      </c>
      <c r="L66" s="16"/>
      <c r="M66" s="16">
        <f t="shared" ref="M66:M77" si="22">+H66-K66</f>
        <v>748776.09640000004</v>
      </c>
      <c r="N66" s="19" t="s">
        <v>29</v>
      </c>
    </row>
    <row r="67" spans="1:14" ht="49.5" x14ac:dyDescent="0.3">
      <c r="A67" s="12"/>
      <c r="B67" s="13"/>
      <c r="C67" s="25" t="s">
        <v>31</v>
      </c>
      <c r="D67" s="99">
        <v>11209223</v>
      </c>
      <c r="E67" s="84">
        <v>1</v>
      </c>
      <c r="F67" s="16">
        <f t="shared" si="19"/>
        <v>11209223</v>
      </c>
      <c r="G67" s="25">
        <v>6.6799999999999998E-2</v>
      </c>
      <c r="H67" s="16">
        <f t="shared" si="20"/>
        <v>748776.09640000004</v>
      </c>
      <c r="I67" s="89">
        <v>7.25</v>
      </c>
      <c r="J67" s="89">
        <f t="shared" si="21"/>
        <v>5428626.6989000002</v>
      </c>
      <c r="K67" s="16">
        <v>0</v>
      </c>
      <c r="L67" s="16"/>
      <c r="M67" s="16">
        <f t="shared" si="22"/>
        <v>748776.09640000004</v>
      </c>
      <c r="N67" s="19" t="s">
        <v>29</v>
      </c>
    </row>
    <row r="68" spans="1:14" ht="49.5" x14ac:dyDescent="0.3">
      <c r="A68" s="12"/>
      <c r="B68" s="13"/>
      <c r="C68" s="25" t="s">
        <v>32</v>
      </c>
      <c r="D68" s="99">
        <v>11209223</v>
      </c>
      <c r="E68" s="84">
        <v>1</v>
      </c>
      <c r="F68" s="16">
        <f t="shared" si="19"/>
        <v>11209223</v>
      </c>
      <c r="G68" s="25">
        <v>6.6799999999999998E-2</v>
      </c>
      <c r="H68" s="16">
        <f t="shared" si="20"/>
        <v>748776.09640000004</v>
      </c>
      <c r="I68" s="89">
        <v>7.25</v>
      </c>
      <c r="J68" s="89">
        <f t="shared" si="21"/>
        <v>5428626.6989000002</v>
      </c>
      <c r="K68" s="16">
        <v>0</v>
      </c>
      <c r="L68" s="16"/>
      <c r="M68" s="16">
        <f t="shared" si="22"/>
        <v>748776.09640000004</v>
      </c>
      <c r="N68" s="19" t="s">
        <v>29</v>
      </c>
    </row>
    <row r="69" spans="1:14" ht="49.5" x14ac:dyDescent="0.3">
      <c r="A69" s="12"/>
      <c r="B69" s="13"/>
      <c r="C69" s="13" t="s">
        <v>116</v>
      </c>
      <c r="D69" s="99">
        <v>696000</v>
      </c>
      <c r="E69" s="84">
        <v>1</v>
      </c>
      <c r="F69" s="16">
        <f t="shared" si="19"/>
        <v>696000</v>
      </c>
      <c r="G69" s="25">
        <v>6.6799999999999998E-2</v>
      </c>
      <c r="H69" s="16">
        <f t="shared" si="20"/>
        <v>46492.799999999996</v>
      </c>
      <c r="I69" s="89">
        <v>7.25</v>
      </c>
      <c r="J69" s="89">
        <f t="shared" si="21"/>
        <v>337072.8</v>
      </c>
      <c r="K69" s="16">
        <v>0</v>
      </c>
      <c r="L69" s="16"/>
      <c r="M69" s="16">
        <f t="shared" si="22"/>
        <v>46492.799999999996</v>
      </c>
      <c r="N69" s="19" t="s">
        <v>29</v>
      </c>
    </row>
    <row r="70" spans="1:14" ht="49.5" x14ac:dyDescent="0.3">
      <c r="A70" s="12"/>
      <c r="B70" s="13"/>
      <c r="C70" s="25" t="s">
        <v>34</v>
      </c>
      <c r="D70" s="99">
        <v>11209223</v>
      </c>
      <c r="E70" s="84">
        <v>1</v>
      </c>
      <c r="F70" s="16">
        <f t="shared" si="19"/>
        <v>11209223</v>
      </c>
      <c r="G70" s="25">
        <v>6.6799999999999998E-2</v>
      </c>
      <c r="H70" s="16">
        <f t="shared" si="20"/>
        <v>748776.09640000004</v>
      </c>
      <c r="I70" s="89">
        <v>7.25</v>
      </c>
      <c r="J70" s="89">
        <f t="shared" si="21"/>
        <v>5428626.6989000002</v>
      </c>
      <c r="K70" s="16">
        <v>0</v>
      </c>
      <c r="L70" s="16"/>
      <c r="M70" s="16">
        <f t="shared" si="22"/>
        <v>748776.09640000004</v>
      </c>
      <c r="N70" s="19" t="s">
        <v>29</v>
      </c>
    </row>
    <row r="71" spans="1:14" ht="49.5" x14ac:dyDescent="0.3">
      <c r="A71" s="12"/>
      <c r="B71" s="13"/>
      <c r="C71" s="13" t="s">
        <v>35</v>
      </c>
      <c r="D71" s="99">
        <v>12959000</v>
      </c>
      <c r="E71" s="84">
        <v>1</v>
      </c>
      <c r="F71" s="16">
        <f t="shared" si="19"/>
        <v>12959000</v>
      </c>
      <c r="G71" s="25">
        <v>6.6799999999999998E-2</v>
      </c>
      <c r="H71" s="16">
        <f t="shared" si="20"/>
        <v>865661.2</v>
      </c>
      <c r="I71" s="89">
        <v>7.25</v>
      </c>
      <c r="J71" s="89">
        <f t="shared" si="21"/>
        <v>6276043.6999999993</v>
      </c>
      <c r="K71" s="16">
        <v>0</v>
      </c>
      <c r="L71" s="16"/>
      <c r="M71" s="16">
        <f t="shared" si="22"/>
        <v>865661.2</v>
      </c>
      <c r="N71" s="19" t="s">
        <v>29</v>
      </c>
    </row>
    <row r="72" spans="1:14" ht="49.5" x14ac:dyDescent="0.3">
      <c r="A72" s="12"/>
      <c r="B72" s="13"/>
      <c r="C72" s="13" t="s">
        <v>117</v>
      </c>
      <c r="D72" s="99">
        <v>3704192</v>
      </c>
      <c r="E72" s="93">
        <v>1</v>
      </c>
      <c r="F72" s="16">
        <f t="shared" si="19"/>
        <v>3704192</v>
      </c>
      <c r="G72" s="22">
        <v>6.6799999999999998E-2</v>
      </c>
      <c r="H72" s="16">
        <f t="shared" si="20"/>
        <v>247440.02559999999</v>
      </c>
      <c r="I72" s="89">
        <v>7.25</v>
      </c>
      <c r="J72" s="89">
        <f t="shared" si="21"/>
        <v>1793940.1856</v>
      </c>
      <c r="K72" s="16">
        <v>0</v>
      </c>
      <c r="L72" s="16"/>
      <c r="M72" s="16">
        <f t="shared" si="22"/>
        <v>247440.02559999999</v>
      </c>
      <c r="N72" s="19" t="s">
        <v>29</v>
      </c>
    </row>
    <row r="73" spans="1:14" ht="49.5" x14ac:dyDescent="0.3">
      <c r="A73" s="12"/>
      <c r="B73" s="13"/>
      <c r="C73" s="13" t="s">
        <v>37</v>
      </c>
      <c r="D73" s="99">
        <v>364000</v>
      </c>
      <c r="E73" s="84">
        <v>1</v>
      </c>
      <c r="F73" s="16">
        <f t="shared" si="19"/>
        <v>364000</v>
      </c>
      <c r="G73" s="25">
        <v>6.6799999999999998E-2</v>
      </c>
      <c r="H73" s="16">
        <f t="shared" si="20"/>
        <v>24315.200000000001</v>
      </c>
      <c r="I73" s="89">
        <v>7.25</v>
      </c>
      <c r="J73" s="89">
        <f t="shared" si="21"/>
        <v>176285.2</v>
      </c>
      <c r="K73" s="16">
        <v>0</v>
      </c>
      <c r="L73" s="16"/>
      <c r="M73" s="16">
        <f t="shared" si="22"/>
        <v>24315.200000000001</v>
      </c>
      <c r="N73" s="19" t="s">
        <v>29</v>
      </c>
    </row>
    <row r="74" spans="1:14" ht="49.5" x14ac:dyDescent="0.3">
      <c r="A74" s="12"/>
      <c r="B74" s="13"/>
      <c r="C74" s="25" t="s">
        <v>38</v>
      </c>
      <c r="D74" s="99">
        <v>3633000</v>
      </c>
      <c r="E74" s="84">
        <v>1</v>
      </c>
      <c r="F74" s="16">
        <f t="shared" si="19"/>
        <v>3633000</v>
      </c>
      <c r="G74" s="25">
        <v>6.6799999999999998E-2</v>
      </c>
      <c r="H74" s="16">
        <f t="shared" si="20"/>
        <v>242684.4</v>
      </c>
      <c r="I74" s="89">
        <v>7.25</v>
      </c>
      <c r="J74" s="89">
        <f t="shared" si="21"/>
        <v>1759461.9</v>
      </c>
      <c r="K74" s="16">
        <v>0</v>
      </c>
      <c r="L74" s="16"/>
      <c r="M74" s="16">
        <f t="shared" si="22"/>
        <v>242684.4</v>
      </c>
      <c r="N74" s="19" t="s">
        <v>29</v>
      </c>
    </row>
    <row r="75" spans="1:14" ht="49.5" x14ac:dyDescent="0.3">
      <c r="A75" s="12"/>
      <c r="B75" s="13"/>
      <c r="C75" s="25" t="s">
        <v>39</v>
      </c>
      <c r="D75" s="99">
        <v>11209223</v>
      </c>
      <c r="E75" s="84">
        <v>1</v>
      </c>
      <c r="F75" s="16">
        <f t="shared" si="19"/>
        <v>11209223</v>
      </c>
      <c r="G75" s="25">
        <v>6.6799999999999998E-2</v>
      </c>
      <c r="H75" s="16">
        <f t="shared" si="20"/>
        <v>748776.09640000004</v>
      </c>
      <c r="I75" s="89">
        <v>7.25</v>
      </c>
      <c r="J75" s="89">
        <f t="shared" si="21"/>
        <v>5428626.6989000002</v>
      </c>
      <c r="K75" s="16">
        <v>0</v>
      </c>
      <c r="L75" s="16"/>
      <c r="M75" s="16">
        <f t="shared" si="22"/>
        <v>748776.09640000004</v>
      </c>
      <c r="N75" s="19" t="s">
        <v>29</v>
      </c>
    </row>
    <row r="76" spans="1:14" ht="49.5" x14ac:dyDescent="0.3">
      <c r="A76" s="12"/>
      <c r="B76" s="13"/>
      <c r="C76" s="25" t="s">
        <v>41</v>
      </c>
      <c r="D76" s="99">
        <v>584872</v>
      </c>
      <c r="E76" s="84">
        <v>1</v>
      </c>
      <c r="F76" s="16">
        <f t="shared" si="19"/>
        <v>584872</v>
      </c>
      <c r="G76" s="25">
        <v>6.6799999999999998E-2</v>
      </c>
      <c r="H76" s="16">
        <f t="shared" si="20"/>
        <v>39069.4496</v>
      </c>
      <c r="I76" s="89">
        <v>7.25</v>
      </c>
      <c r="J76" s="89">
        <f t="shared" si="21"/>
        <v>283253.50959999999</v>
      </c>
      <c r="K76" s="16">
        <v>0</v>
      </c>
      <c r="L76" s="16"/>
      <c r="M76" s="16">
        <f t="shared" si="22"/>
        <v>39069.4496</v>
      </c>
      <c r="N76" s="19" t="s">
        <v>29</v>
      </c>
    </row>
    <row r="77" spans="1:14" ht="82.5" x14ac:dyDescent="0.3">
      <c r="A77" s="102"/>
      <c r="B77" s="88"/>
      <c r="C77" s="15" t="s">
        <v>118</v>
      </c>
      <c r="D77" s="28">
        <v>121688</v>
      </c>
      <c r="E77" s="93">
        <v>1</v>
      </c>
      <c r="F77" s="29">
        <f>D77*E77</f>
        <v>121688</v>
      </c>
      <c r="G77" s="22">
        <v>6.6799999999999998E-2</v>
      </c>
      <c r="H77" s="29">
        <f>F77*G77</f>
        <v>8128.7583999999997</v>
      </c>
      <c r="I77" s="89">
        <v>7.25</v>
      </c>
      <c r="J77" s="18">
        <f t="shared" si="21"/>
        <v>58933.498399999997</v>
      </c>
      <c r="K77" s="16">
        <v>0</v>
      </c>
      <c r="L77" s="93"/>
      <c r="M77" s="16">
        <f t="shared" si="22"/>
        <v>8128.7583999999997</v>
      </c>
      <c r="N77" s="19" t="s">
        <v>29</v>
      </c>
    </row>
    <row r="78" spans="1:14" x14ac:dyDescent="0.3">
      <c r="A78" s="103"/>
      <c r="B78" s="256" t="s">
        <v>119</v>
      </c>
      <c r="C78" s="257"/>
      <c r="D78" s="275"/>
      <c r="E78" s="85"/>
      <c r="F78" s="90"/>
      <c r="G78" s="86"/>
      <c r="H78" s="90"/>
      <c r="I78" s="84"/>
      <c r="J78" s="89"/>
      <c r="K78" s="84"/>
      <c r="L78" s="84"/>
      <c r="M78" s="84"/>
      <c r="N78" s="87"/>
    </row>
    <row r="79" spans="1:14" ht="49.5" x14ac:dyDescent="0.3">
      <c r="A79" s="12" t="s">
        <v>44</v>
      </c>
      <c r="B79" s="13" t="s">
        <v>45</v>
      </c>
      <c r="C79" s="13" t="s">
        <v>46</v>
      </c>
      <c r="D79" s="99">
        <v>14619642</v>
      </c>
      <c r="E79" s="84">
        <v>1</v>
      </c>
      <c r="F79" s="90">
        <f>+D79*E79</f>
        <v>14619642</v>
      </c>
      <c r="G79" s="25">
        <v>0.25</v>
      </c>
      <c r="H79" s="90">
        <f>+F79*G79</f>
        <v>3654910.5</v>
      </c>
      <c r="I79" s="89">
        <v>7.25</v>
      </c>
      <c r="J79" s="89">
        <f t="shared" ref="J79" si="23">+H79*I79</f>
        <v>26498101.125</v>
      </c>
      <c r="K79" s="90">
        <f>+'Current Burden'!I5</f>
        <v>3238956.48</v>
      </c>
      <c r="L79" s="90"/>
      <c r="M79" s="16">
        <f t="shared" ref="M79:M80" si="24">+H79-K79</f>
        <v>415954.02</v>
      </c>
      <c r="N79" s="19" t="s">
        <v>47</v>
      </c>
    </row>
    <row r="80" spans="1:14" s="35" customFormat="1" ht="115.5" x14ac:dyDescent="0.3">
      <c r="A80" s="12"/>
      <c r="B80" s="96"/>
      <c r="C80" s="34" t="s">
        <v>48</v>
      </c>
      <c r="D80" s="27">
        <f>+'Current Burden'!E78</f>
        <v>0</v>
      </c>
      <c r="E80" s="14">
        <f>+'Current Burden'!F78</f>
        <v>0</v>
      </c>
      <c r="F80" s="90">
        <f>+D80*E80</f>
        <v>0</v>
      </c>
      <c r="G80" s="14">
        <f>+'Current Burden'!H78</f>
        <v>0</v>
      </c>
      <c r="H80" s="90">
        <f>+F80*G80</f>
        <v>0</v>
      </c>
      <c r="I80" s="89">
        <v>7.25</v>
      </c>
      <c r="J80" s="18">
        <f t="shared" ref="J80" si="25">+I80*H80</f>
        <v>0</v>
      </c>
      <c r="K80" s="16">
        <f>+'Current Burden'!I6</f>
        <v>526425.01520000002</v>
      </c>
      <c r="L80" s="16"/>
      <c r="M80" s="16">
        <f t="shared" si="24"/>
        <v>-526425.01520000002</v>
      </c>
      <c r="N80" s="19" t="s">
        <v>49</v>
      </c>
    </row>
    <row r="81" spans="1:15" x14ac:dyDescent="0.3">
      <c r="A81" s="12"/>
      <c r="B81" s="88" t="s">
        <v>40</v>
      </c>
      <c r="C81" s="13"/>
      <c r="D81" s="275"/>
      <c r="E81" s="85"/>
      <c r="F81" s="84"/>
      <c r="G81" s="86"/>
      <c r="H81" s="84"/>
      <c r="I81" s="84"/>
      <c r="J81" s="89"/>
      <c r="K81" s="84"/>
      <c r="L81" s="84"/>
      <c r="M81" s="84"/>
      <c r="N81" s="87"/>
    </row>
    <row r="82" spans="1:15" ht="49.5" x14ac:dyDescent="0.3">
      <c r="A82" s="12" t="s">
        <v>50</v>
      </c>
      <c r="B82" s="13" t="s">
        <v>51</v>
      </c>
      <c r="C82" s="13" t="s">
        <v>120</v>
      </c>
      <c r="D82" s="99">
        <v>14619642</v>
      </c>
      <c r="E82" s="93">
        <v>1</v>
      </c>
      <c r="F82" s="90">
        <f>+D82*E82</f>
        <v>14619642</v>
      </c>
      <c r="G82" s="22">
        <v>0.33400000000000002</v>
      </c>
      <c r="H82" s="90">
        <f>+F82*G82</f>
        <v>4882960.4280000003</v>
      </c>
      <c r="I82" s="89">
        <v>7.25</v>
      </c>
      <c r="J82" s="89">
        <f t="shared" ref="J82" si="26">+H82*I82</f>
        <v>35401463.103</v>
      </c>
      <c r="K82" s="16">
        <v>0</v>
      </c>
      <c r="L82" s="16"/>
      <c r="M82" s="16">
        <f t="shared" ref="M82" si="27">+H82-K82</f>
        <v>4882960.4280000003</v>
      </c>
      <c r="N82" s="19" t="s">
        <v>24</v>
      </c>
    </row>
    <row r="83" spans="1:15" s="35" customFormat="1" ht="49.5" x14ac:dyDescent="0.3">
      <c r="A83" s="12"/>
      <c r="B83" s="104" t="s">
        <v>109</v>
      </c>
      <c r="C83" s="15" t="s">
        <v>121</v>
      </c>
      <c r="D83" s="99">
        <v>14619642</v>
      </c>
      <c r="E83" s="93">
        <v>1</v>
      </c>
      <c r="F83" s="90">
        <f>+D83*E83</f>
        <v>14619642</v>
      </c>
      <c r="G83" s="22">
        <v>2</v>
      </c>
      <c r="H83" s="90">
        <f>+F83*G83</f>
        <v>29239284</v>
      </c>
      <c r="I83" s="94">
        <v>7.25</v>
      </c>
      <c r="J83" s="94">
        <f>+H83*I83</f>
        <v>211984809</v>
      </c>
      <c r="K83" s="16">
        <v>0</v>
      </c>
      <c r="L83" s="16"/>
      <c r="M83" s="16">
        <f>+H83-K83</f>
        <v>29239284</v>
      </c>
      <c r="N83" s="19" t="s">
        <v>111</v>
      </c>
      <c r="O83" s="95"/>
    </row>
    <row r="84" spans="1:15" x14ac:dyDescent="0.3">
      <c r="A84" s="102"/>
      <c r="B84" s="88"/>
      <c r="C84" s="13"/>
      <c r="D84" s="275"/>
      <c r="E84" s="85"/>
      <c r="F84" s="84"/>
      <c r="G84" s="86"/>
      <c r="H84" s="84"/>
      <c r="I84" s="84"/>
      <c r="J84" s="89"/>
      <c r="K84" s="84"/>
      <c r="L84" s="84"/>
      <c r="M84" s="84"/>
      <c r="N84" s="87"/>
    </row>
    <row r="85" spans="1:15" ht="33" x14ac:dyDescent="0.3">
      <c r="A85" s="12" t="s">
        <v>53</v>
      </c>
      <c r="B85" s="88" t="s">
        <v>54</v>
      </c>
      <c r="C85" s="13"/>
      <c r="D85" s="275"/>
      <c r="E85" s="85"/>
      <c r="F85" s="84"/>
      <c r="G85" s="86"/>
      <c r="H85" s="84"/>
      <c r="I85" s="84"/>
      <c r="J85" s="89"/>
      <c r="K85" s="84"/>
      <c r="L85" s="84"/>
      <c r="M85" s="84"/>
      <c r="N85" s="87"/>
    </row>
    <row r="86" spans="1:15" ht="49.5" x14ac:dyDescent="0.3">
      <c r="A86" s="12"/>
      <c r="B86" s="13"/>
      <c r="C86" s="13" t="s">
        <v>56</v>
      </c>
      <c r="D86" s="99">
        <f>14619642*0.5</f>
        <v>7309821</v>
      </c>
      <c r="E86" s="93">
        <v>1</v>
      </c>
      <c r="F86" s="90">
        <f t="shared" ref="F86:F92" si="28">+D86*E86</f>
        <v>7309821</v>
      </c>
      <c r="G86" s="22">
        <v>0.1002</v>
      </c>
      <c r="H86" s="90">
        <f>+F86*G86</f>
        <v>732444.06420000002</v>
      </c>
      <c r="I86" s="89">
        <v>7.25</v>
      </c>
      <c r="J86" s="89">
        <f t="shared" ref="J86:J92" si="29">+H86*I86</f>
        <v>5310219.46545</v>
      </c>
      <c r="K86" s="105">
        <v>0</v>
      </c>
      <c r="L86" s="105"/>
      <c r="M86" s="105">
        <f>+H86-K86</f>
        <v>732444.06420000002</v>
      </c>
      <c r="N86" s="19" t="s">
        <v>29</v>
      </c>
    </row>
    <row r="87" spans="1:15" ht="49.5" x14ac:dyDescent="0.3">
      <c r="A87" s="12"/>
      <c r="B87" s="13"/>
      <c r="C87" s="13" t="s">
        <v>57</v>
      </c>
      <c r="D87" s="99">
        <f>14619642*0.01</f>
        <v>146196.42000000001</v>
      </c>
      <c r="E87" s="93">
        <v>1</v>
      </c>
      <c r="F87" s="90">
        <f t="shared" si="28"/>
        <v>146196.42000000001</v>
      </c>
      <c r="G87" s="22">
        <v>0.1002</v>
      </c>
      <c r="H87" s="90">
        <f t="shared" ref="H87:H92" si="30">+F87*G87</f>
        <v>14648.881284000001</v>
      </c>
      <c r="I87" s="89">
        <v>7.25</v>
      </c>
      <c r="J87" s="89">
        <f t="shared" si="29"/>
        <v>106204.38930900001</v>
      </c>
      <c r="K87" s="105">
        <v>0</v>
      </c>
      <c r="L87" s="105"/>
      <c r="M87" s="105">
        <f t="shared" ref="M87:M92" si="31">+H87-K87</f>
        <v>14648.881284000001</v>
      </c>
      <c r="N87" s="19" t="s">
        <v>29</v>
      </c>
    </row>
    <row r="88" spans="1:15" ht="49.5" x14ac:dyDescent="0.3">
      <c r="A88" s="12"/>
      <c r="B88" s="13"/>
      <c r="C88" s="13" t="s">
        <v>58</v>
      </c>
      <c r="D88" s="99">
        <f>14619642*0.02</f>
        <v>292392.84000000003</v>
      </c>
      <c r="E88" s="93">
        <v>1</v>
      </c>
      <c r="F88" s="90">
        <f t="shared" si="28"/>
        <v>292392.84000000003</v>
      </c>
      <c r="G88" s="22">
        <v>0.1002</v>
      </c>
      <c r="H88" s="90">
        <f t="shared" si="30"/>
        <v>29297.762568000002</v>
      </c>
      <c r="I88" s="89">
        <v>7.25</v>
      </c>
      <c r="J88" s="89">
        <f t="shared" si="29"/>
        <v>212408.77861800001</v>
      </c>
      <c r="K88" s="105">
        <v>0</v>
      </c>
      <c r="L88" s="105"/>
      <c r="M88" s="105">
        <f t="shared" si="31"/>
        <v>29297.762568000002</v>
      </c>
      <c r="N88" s="19" t="s">
        <v>29</v>
      </c>
    </row>
    <row r="89" spans="1:15" ht="49.5" x14ac:dyDescent="0.3">
      <c r="A89" s="12"/>
      <c r="B89" s="13"/>
      <c r="C89" s="13" t="s">
        <v>122</v>
      </c>
      <c r="D89" s="99">
        <f>14619642*0.05</f>
        <v>730982.10000000009</v>
      </c>
      <c r="E89" s="93">
        <v>1</v>
      </c>
      <c r="F89" s="90">
        <f t="shared" si="28"/>
        <v>730982.10000000009</v>
      </c>
      <c r="G89" s="22">
        <v>0.1002</v>
      </c>
      <c r="H89" s="90">
        <f t="shared" si="30"/>
        <v>73244.406420000014</v>
      </c>
      <c r="I89" s="89">
        <v>7.25</v>
      </c>
      <c r="J89" s="89">
        <f t="shared" si="29"/>
        <v>531021.94654500007</v>
      </c>
      <c r="K89" s="105">
        <v>0</v>
      </c>
      <c r="L89" s="105"/>
      <c r="M89" s="105">
        <f t="shared" si="31"/>
        <v>73244.406420000014</v>
      </c>
      <c r="N89" s="19" t="s">
        <v>29</v>
      </c>
    </row>
    <row r="90" spans="1:15" ht="49.5" x14ac:dyDescent="0.3">
      <c r="A90" s="12"/>
      <c r="B90" s="13"/>
      <c r="C90" s="13" t="s">
        <v>60</v>
      </c>
      <c r="D90" s="99">
        <f>14619642*0.05</f>
        <v>730982.10000000009</v>
      </c>
      <c r="E90" s="93">
        <v>1</v>
      </c>
      <c r="F90" s="90">
        <f t="shared" si="28"/>
        <v>730982.10000000009</v>
      </c>
      <c r="G90" s="22">
        <v>0.1002</v>
      </c>
      <c r="H90" s="90">
        <f t="shared" si="30"/>
        <v>73244.406420000014</v>
      </c>
      <c r="I90" s="89">
        <v>7.25</v>
      </c>
      <c r="J90" s="89">
        <f t="shared" si="29"/>
        <v>531021.94654500007</v>
      </c>
      <c r="K90" s="105">
        <v>0</v>
      </c>
      <c r="L90" s="105"/>
      <c r="M90" s="105">
        <f t="shared" si="31"/>
        <v>73244.406420000014</v>
      </c>
      <c r="N90" s="19" t="s">
        <v>29</v>
      </c>
    </row>
    <row r="91" spans="1:15" ht="49.5" x14ac:dyDescent="0.3">
      <c r="A91" s="12"/>
      <c r="B91" s="13"/>
      <c r="C91" s="13" t="s">
        <v>36</v>
      </c>
      <c r="D91" s="99">
        <f t="shared" ref="D91:D92" si="32">14619642*0.5</f>
        <v>7309821</v>
      </c>
      <c r="E91" s="93">
        <v>1</v>
      </c>
      <c r="F91" s="90">
        <f t="shared" si="28"/>
        <v>7309821</v>
      </c>
      <c r="G91" s="22">
        <v>0.1002</v>
      </c>
      <c r="H91" s="90">
        <f t="shared" si="30"/>
        <v>732444.06420000002</v>
      </c>
      <c r="I91" s="89">
        <v>7.25</v>
      </c>
      <c r="J91" s="89">
        <f t="shared" si="29"/>
        <v>5310219.46545</v>
      </c>
      <c r="K91" s="105">
        <v>0</v>
      </c>
      <c r="L91" s="105"/>
      <c r="M91" s="105">
        <f t="shared" si="31"/>
        <v>732444.06420000002</v>
      </c>
      <c r="N91" s="19" t="s">
        <v>29</v>
      </c>
    </row>
    <row r="92" spans="1:15" ht="49.5" x14ac:dyDescent="0.3">
      <c r="A92" s="12"/>
      <c r="B92" s="13"/>
      <c r="C92" s="13" t="s">
        <v>61</v>
      </c>
      <c r="D92" s="99">
        <f t="shared" si="32"/>
        <v>7309821</v>
      </c>
      <c r="E92" s="93">
        <v>1</v>
      </c>
      <c r="F92" s="90">
        <f t="shared" si="28"/>
        <v>7309821</v>
      </c>
      <c r="G92" s="22">
        <v>0.1002</v>
      </c>
      <c r="H92" s="90">
        <f t="shared" si="30"/>
        <v>732444.06420000002</v>
      </c>
      <c r="I92" s="89">
        <v>7.25</v>
      </c>
      <c r="J92" s="89">
        <f t="shared" si="29"/>
        <v>5310219.46545</v>
      </c>
      <c r="K92" s="105">
        <v>0</v>
      </c>
      <c r="L92" s="105"/>
      <c r="M92" s="105">
        <f t="shared" si="31"/>
        <v>732444.06420000002</v>
      </c>
      <c r="N92" s="19" t="s">
        <v>29</v>
      </c>
    </row>
    <row r="93" spans="1:15" x14ac:dyDescent="0.3">
      <c r="A93" s="103"/>
      <c r="B93" s="106"/>
      <c r="C93" s="13"/>
      <c r="D93" s="105"/>
      <c r="E93" s="85"/>
      <c r="F93" s="90"/>
      <c r="G93" s="85"/>
      <c r="H93" s="90"/>
      <c r="I93" s="84"/>
      <c r="J93" s="90"/>
      <c r="K93" s="84"/>
      <c r="L93" s="84"/>
      <c r="M93" s="84"/>
      <c r="N93" s="87"/>
    </row>
    <row r="94" spans="1:15" x14ac:dyDescent="0.3">
      <c r="A94" s="103"/>
      <c r="B94" s="106" t="s">
        <v>123</v>
      </c>
      <c r="C94" s="13"/>
      <c r="D94" s="275"/>
      <c r="E94" s="85"/>
      <c r="F94" s="84"/>
      <c r="G94" s="86"/>
      <c r="H94" s="84"/>
      <c r="I94" s="84"/>
      <c r="J94" s="89"/>
      <c r="K94" s="84"/>
      <c r="L94" s="84"/>
      <c r="M94" s="84"/>
      <c r="N94" s="87"/>
    </row>
    <row r="95" spans="1:15" ht="49.5" x14ac:dyDescent="0.3">
      <c r="A95" s="12">
        <v>273.20999999999998</v>
      </c>
      <c r="B95" s="13" t="s">
        <v>63</v>
      </c>
      <c r="C95" s="13" t="s">
        <v>124</v>
      </c>
      <c r="D95" s="99">
        <v>728868</v>
      </c>
      <c r="E95" s="84">
        <v>11</v>
      </c>
      <c r="F95" s="90">
        <f>+D95*E95</f>
        <v>8017548</v>
      </c>
      <c r="G95" s="25">
        <v>0.1169</v>
      </c>
      <c r="H95" s="90">
        <f t="shared" ref="H95:H104" si="33">+F95*G95</f>
        <v>937251.36120000004</v>
      </c>
      <c r="I95" s="89">
        <v>7.25</v>
      </c>
      <c r="J95" s="89">
        <f t="shared" ref="J95:J98" si="34">+H95*I95</f>
        <v>6795072.3687000005</v>
      </c>
      <c r="K95" s="105">
        <f>+'Current Burden'!I7</f>
        <v>188107.91999999998</v>
      </c>
      <c r="L95" s="105"/>
      <c r="M95" s="16">
        <f t="shared" ref="M95:M104" si="35">+H95-K95</f>
        <v>749143.4412</v>
      </c>
      <c r="N95" s="19" t="s">
        <v>81</v>
      </c>
    </row>
    <row r="96" spans="1:15" ht="49.5" x14ac:dyDescent="0.3">
      <c r="A96" s="12" t="s">
        <v>66</v>
      </c>
      <c r="B96" s="13" t="s">
        <v>67</v>
      </c>
      <c r="C96" s="13" t="s">
        <v>68</v>
      </c>
      <c r="D96" s="99">
        <v>1733336</v>
      </c>
      <c r="E96" s="84">
        <v>3</v>
      </c>
      <c r="F96" s="90">
        <f>+D96*E96</f>
        <v>5200008</v>
      </c>
      <c r="G96" s="25">
        <v>0.1336</v>
      </c>
      <c r="H96" s="90">
        <f t="shared" si="33"/>
        <v>694721.06880000001</v>
      </c>
      <c r="I96" s="89">
        <v>7.25</v>
      </c>
      <c r="J96" s="89">
        <f t="shared" si="34"/>
        <v>5036727.7488000002</v>
      </c>
      <c r="K96" s="105">
        <f>+'Current Burden'!I8</f>
        <v>311792.91000000003</v>
      </c>
      <c r="L96" s="105"/>
      <c r="M96" s="16">
        <f t="shared" si="35"/>
        <v>382928.15879999998</v>
      </c>
      <c r="N96" s="19" t="s">
        <v>81</v>
      </c>
    </row>
    <row r="97" spans="1:14" ht="66" x14ac:dyDescent="0.3">
      <c r="A97" s="12" t="s">
        <v>70</v>
      </c>
      <c r="B97" s="13" t="s">
        <v>71</v>
      </c>
      <c r="C97" s="13" t="s">
        <v>72</v>
      </c>
      <c r="D97" s="99">
        <v>18851556</v>
      </c>
      <c r="E97" s="84">
        <v>1</v>
      </c>
      <c r="F97" s="90">
        <f>+D97*E97</f>
        <v>18851556</v>
      </c>
      <c r="G97" s="25">
        <v>0.16700000000000001</v>
      </c>
      <c r="H97" s="90">
        <f t="shared" si="33"/>
        <v>3148209.852</v>
      </c>
      <c r="I97" s="89">
        <v>7.25</v>
      </c>
      <c r="J97" s="89">
        <f t="shared" si="34"/>
        <v>22824521.427000001</v>
      </c>
      <c r="K97" s="105">
        <f>+'Current Burden'!I9</f>
        <v>1402528.79</v>
      </c>
      <c r="L97" s="105"/>
      <c r="M97" s="16">
        <f t="shared" si="35"/>
        <v>1745681.0619999999</v>
      </c>
      <c r="N97" s="19" t="s">
        <v>125</v>
      </c>
    </row>
    <row r="98" spans="1:14" ht="66" x14ac:dyDescent="0.3">
      <c r="A98" s="12" t="s">
        <v>74</v>
      </c>
      <c r="B98" s="13" t="s">
        <v>75</v>
      </c>
      <c r="C98" s="13" t="s">
        <v>76</v>
      </c>
      <c r="D98" s="99">
        <v>3235456</v>
      </c>
      <c r="E98" s="84">
        <v>1</v>
      </c>
      <c r="F98" s="90">
        <f>+D98*E98</f>
        <v>3235456</v>
      </c>
      <c r="G98" s="25">
        <v>0.16700000000000001</v>
      </c>
      <c r="H98" s="90">
        <f t="shared" si="33"/>
        <v>540321.152</v>
      </c>
      <c r="I98" s="89">
        <v>7.25</v>
      </c>
      <c r="J98" s="89">
        <f t="shared" si="34"/>
        <v>3917328.352</v>
      </c>
      <c r="K98" s="105">
        <f>+'Current Burden'!I10</f>
        <v>133187.44</v>
      </c>
      <c r="L98" s="105"/>
      <c r="M98" s="16">
        <f t="shared" si="35"/>
        <v>407133.712</v>
      </c>
      <c r="N98" s="19" t="s">
        <v>125</v>
      </c>
    </row>
    <row r="99" spans="1:14" x14ac:dyDescent="0.3">
      <c r="A99" s="103"/>
      <c r="B99" s="106"/>
      <c r="C99" s="13"/>
      <c r="D99" s="275"/>
      <c r="E99" s="85"/>
      <c r="F99" s="84"/>
      <c r="G99" s="86"/>
      <c r="H99" s="84"/>
      <c r="I99" s="84"/>
      <c r="J99" s="84"/>
      <c r="K99" s="84"/>
      <c r="L99" s="84"/>
      <c r="M99" s="16"/>
      <c r="N99" s="19"/>
    </row>
    <row r="100" spans="1:14" x14ac:dyDescent="0.3">
      <c r="A100" s="103"/>
      <c r="B100" s="106" t="s">
        <v>77</v>
      </c>
      <c r="C100" s="13"/>
      <c r="D100" s="275"/>
      <c r="E100" s="85"/>
      <c r="F100" s="84"/>
      <c r="G100" s="86"/>
      <c r="H100" s="84"/>
      <c r="I100" s="84"/>
      <c r="J100" s="84"/>
      <c r="K100" s="84"/>
      <c r="L100" s="84"/>
      <c r="M100" s="16"/>
      <c r="N100" s="19"/>
    </row>
    <row r="101" spans="1:14" ht="66" x14ac:dyDescent="0.3">
      <c r="A101" s="12" t="s">
        <v>84</v>
      </c>
      <c r="B101" s="106"/>
      <c r="C101" s="13" t="s">
        <v>85</v>
      </c>
      <c r="D101" s="99">
        <v>2123326</v>
      </c>
      <c r="E101" s="84">
        <v>1</v>
      </c>
      <c r="F101" s="90">
        <f>+D101*E101</f>
        <v>2123326</v>
      </c>
      <c r="G101" s="25">
        <v>1.67E-2</v>
      </c>
      <c r="H101" s="90">
        <f t="shared" si="33"/>
        <v>35459.544199999997</v>
      </c>
      <c r="I101" s="89">
        <v>7.25</v>
      </c>
      <c r="J101" s="89">
        <f t="shared" ref="J101:J104" si="36">+H101*I101</f>
        <v>257081.69544999997</v>
      </c>
      <c r="K101" s="105">
        <f>+'Current Burden'!I11</f>
        <v>33864.840000000004</v>
      </c>
      <c r="L101" s="105"/>
      <c r="M101" s="16">
        <f t="shared" si="35"/>
        <v>1594.7041999999929</v>
      </c>
      <c r="N101" s="19" t="s">
        <v>81</v>
      </c>
    </row>
    <row r="102" spans="1:14" ht="49.5" x14ac:dyDescent="0.3">
      <c r="A102" s="12" t="s">
        <v>89</v>
      </c>
      <c r="B102" s="107"/>
      <c r="C102" s="13" t="s">
        <v>126</v>
      </c>
      <c r="D102" s="99">
        <v>82753</v>
      </c>
      <c r="E102" s="84">
        <v>1</v>
      </c>
      <c r="F102" s="90">
        <f>+D102*E102</f>
        <v>82753</v>
      </c>
      <c r="G102" s="25">
        <v>1.67E-2</v>
      </c>
      <c r="H102" s="90">
        <f t="shared" si="33"/>
        <v>1381.9750999999999</v>
      </c>
      <c r="I102" s="89">
        <v>7.25</v>
      </c>
      <c r="J102" s="89">
        <f t="shared" si="36"/>
        <v>10019.319474999998</v>
      </c>
      <c r="K102" s="105">
        <f>+'Current Burden'!I12</f>
        <v>953.91499999999996</v>
      </c>
      <c r="L102" s="105"/>
      <c r="M102" s="16">
        <f t="shared" si="35"/>
        <v>428.06009999999992</v>
      </c>
      <c r="N102" s="19" t="s">
        <v>81</v>
      </c>
    </row>
    <row r="103" spans="1:14" ht="49.5" x14ac:dyDescent="0.3">
      <c r="A103" s="12" t="s">
        <v>91</v>
      </c>
      <c r="B103" s="107"/>
      <c r="C103" s="13" t="s">
        <v>92</v>
      </c>
      <c r="D103" s="99">
        <v>14626</v>
      </c>
      <c r="E103" s="84">
        <v>1</v>
      </c>
      <c r="F103" s="90">
        <f>+D103*E103</f>
        <v>14626</v>
      </c>
      <c r="G103" s="25">
        <v>1.67E-2</v>
      </c>
      <c r="H103" s="90">
        <f t="shared" si="33"/>
        <v>244.2542</v>
      </c>
      <c r="I103" s="89">
        <v>7.25</v>
      </c>
      <c r="J103" s="89">
        <f t="shared" si="36"/>
        <v>1770.84295</v>
      </c>
      <c r="K103" s="105">
        <f>+'Current Burden'!I13</f>
        <v>168.6</v>
      </c>
      <c r="L103" s="105"/>
      <c r="M103" s="16">
        <f t="shared" si="35"/>
        <v>75.654200000000003</v>
      </c>
      <c r="N103" s="19" t="s">
        <v>81</v>
      </c>
    </row>
    <row r="104" spans="1:14" ht="49.5" x14ac:dyDescent="0.3">
      <c r="A104" s="12" t="s">
        <v>93</v>
      </c>
      <c r="B104" s="108" t="s">
        <v>40</v>
      </c>
      <c r="C104" s="13" t="s">
        <v>94</v>
      </c>
      <c r="D104" s="99">
        <v>1324034</v>
      </c>
      <c r="E104" s="84">
        <v>1</v>
      </c>
      <c r="F104" s="90">
        <f>+D104*E104</f>
        <v>1324034</v>
      </c>
      <c r="G104" s="25">
        <v>3.3399999999999999E-2</v>
      </c>
      <c r="H104" s="90">
        <f t="shared" si="33"/>
        <v>44222.7356</v>
      </c>
      <c r="I104" s="89">
        <v>7.25</v>
      </c>
      <c r="J104" s="89">
        <f t="shared" si="36"/>
        <v>320614.83309999999</v>
      </c>
      <c r="K104" s="105">
        <f>+'Current Burden'!I14</f>
        <v>22893.96</v>
      </c>
      <c r="L104" s="105"/>
      <c r="M104" s="16">
        <f t="shared" si="35"/>
        <v>21328.775600000001</v>
      </c>
      <c r="N104" s="19" t="s">
        <v>81</v>
      </c>
    </row>
    <row r="105" spans="1:14" x14ac:dyDescent="0.3">
      <c r="A105" s="109"/>
      <c r="B105" s="110"/>
      <c r="C105" s="13"/>
      <c r="D105" s="85"/>
      <c r="E105" s="85"/>
      <c r="F105" s="84"/>
      <c r="G105" s="86"/>
      <c r="H105" s="84"/>
      <c r="I105" s="84"/>
      <c r="J105" s="84"/>
      <c r="K105" s="84"/>
      <c r="L105" s="84"/>
      <c r="M105" s="84"/>
      <c r="N105" s="87"/>
    </row>
    <row r="106" spans="1:14" ht="49.5" x14ac:dyDescent="0.3">
      <c r="A106" s="111"/>
      <c r="B106" s="112" t="s">
        <v>127</v>
      </c>
      <c r="C106" s="113"/>
      <c r="D106" s="114">
        <f>+D82</f>
        <v>14619642</v>
      </c>
      <c r="E106" s="274">
        <f>+F106/D106</f>
        <v>15.696964977664978</v>
      </c>
      <c r="F106" s="115">
        <f>SUM(F58:F104)</f>
        <v>229484008.45999998</v>
      </c>
      <c r="G106" s="116">
        <f>+H106/F106</f>
        <v>0.36217306577499037</v>
      </c>
      <c r="H106" s="115">
        <f>SUM(H58:H104)</f>
        <v>83112926.890292019</v>
      </c>
      <c r="I106" s="115"/>
      <c r="J106" s="117">
        <f>SUM(J58:J104)</f>
        <v>602568719.95461726</v>
      </c>
      <c r="K106" s="115">
        <f>SUM(K58:K104)</f>
        <v>9373210.7501999997</v>
      </c>
      <c r="L106" s="115">
        <f>SUM(L58:L104)</f>
        <v>0</v>
      </c>
      <c r="M106" s="115">
        <f>SUM(M58:M104)</f>
        <v>73739716.140092045</v>
      </c>
      <c r="N106" s="118"/>
    </row>
    <row r="110" spans="1:14" ht="18" x14ac:dyDescent="0.25">
      <c r="B110" s="258" t="s">
        <v>128</v>
      </c>
      <c r="C110" s="258"/>
      <c r="D110" s="258"/>
      <c r="E110" s="258"/>
      <c r="F110" s="258"/>
      <c r="G110" s="258"/>
      <c r="H110" s="258"/>
      <c r="I110" s="122"/>
      <c r="J110" s="122"/>
      <c r="K110" s="122"/>
      <c r="L110" s="122"/>
      <c r="M110" s="122"/>
      <c r="N110" s="122"/>
    </row>
    <row r="111" spans="1:14" ht="66" x14ac:dyDescent="0.25">
      <c r="A111" s="123"/>
      <c r="B111" s="124"/>
      <c r="C111" s="124"/>
      <c r="D111" s="124" t="s">
        <v>4</v>
      </c>
      <c r="E111" s="124" t="s">
        <v>5</v>
      </c>
      <c r="F111" s="124" t="s">
        <v>6</v>
      </c>
      <c r="G111" s="124" t="s">
        <v>7</v>
      </c>
      <c r="H111" s="124" t="s">
        <v>8</v>
      </c>
      <c r="I111" s="124"/>
      <c r="J111" s="124" t="s">
        <v>129</v>
      </c>
      <c r="K111" s="125" t="s">
        <v>11</v>
      </c>
      <c r="L111" s="126" t="s">
        <v>12</v>
      </c>
      <c r="M111" s="126" t="s">
        <v>13</v>
      </c>
      <c r="N111" s="124"/>
    </row>
    <row r="112" spans="1:14" ht="33" x14ac:dyDescent="0.3">
      <c r="A112" s="123"/>
      <c r="B112" s="124" t="s">
        <v>130</v>
      </c>
      <c r="C112" s="127"/>
      <c r="D112" s="128">
        <f>+D49+D106</f>
        <v>14619695</v>
      </c>
      <c r="E112" s="129">
        <f>+F112/D112</f>
        <v>33.158793404321358</v>
      </c>
      <c r="F112" s="130">
        <f>+F49+F106</f>
        <v>484771446.13918996</v>
      </c>
      <c r="G112" s="129">
        <f>+H112/F112</f>
        <v>0.23559886886845938</v>
      </c>
      <c r="H112" s="131">
        <f>+H49+H106</f>
        <v>114211604.37012044</v>
      </c>
      <c r="I112" s="131"/>
      <c r="J112" s="132">
        <f>+J49+J106</f>
        <v>918220296.37487578</v>
      </c>
      <c r="K112" s="131">
        <f>+K49+K106</f>
        <v>20888110.790255081</v>
      </c>
      <c r="L112" s="131">
        <f>+L49+L106</f>
        <v>0</v>
      </c>
      <c r="M112" s="131">
        <f>+M49+M106</f>
        <v>93323493.579865396</v>
      </c>
      <c r="N112" s="130"/>
    </row>
    <row r="113" spans="1:14" ht="49.5" x14ac:dyDescent="0.3">
      <c r="A113" s="123"/>
      <c r="B113" s="124" t="s">
        <v>131</v>
      </c>
      <c r="C113" s="127"/>
      <c r="D113" s="128">
        <f>+D53</f>
        <v>2724</v>
      </c>
      <c r="E113" s="130">
        <f>+F113/D113</f>
        <v>63791.622999999992</v>
      </c>
      <c r="F113" s="133">
        <f>+F53</f>
        <v>173768381.05199999</v>
      </c>
      <c r="G113" s="129">
        <f>+H113/F113</f>
        <v>2.3075750455676287E-2</v>
      </c>
      <c r="H113" s="128">
        <f>+H53</f>
        <v>4009835.7982428195</v>
      </c>
      <c r="I113" s="128"/>
      <c r="J113" s="132">
        <f>+J53</f>
        <v>40699833.352164619</v>
      </c>
      <c r="K113" s="131">
        <f>+K53</f>
        <v>4009835.8882428198</v>
      </c>
      <c r="L113" s="131">
        <f>+L53</f>
        <v>0</v>
      </c>
      <c r="M113" s="131">
        <f>+M53</f>
        <v>-9.0000000316649675E-2</v>
      </c>
      <c r="N113" s="127"/>
    </row>
    <row r="114" spans="1:14" ht="17.25" x14ac:dyDescent="0.3">
      <c r="B114" s="259" t="s">
        <v>132</v>
      </c>
      <c r="C114" s="259"/>
      <c r="D114" s="128">
        <f>SUM(D112:D113)</f>
        <v>14622419</v>
      </c>
      <c r="E114" s="130">
        <f>+F114/D114</f>
        <v>45.03631219917785</v>
      </c>
      <c r="F114" s="133">
        <f>SUM(F112:F113)</f>
        <v>658539827.19119</v>
      </c>
      <c r="G114" s="134">
        <f>+H114/F114</f>
        <v>0.17952056244282508</v>
      </c>
      <c r="H114" s="128">
        <f>SUM(H112:H113)</f>
        <v>118221440.16836326</v>
      </c>
      <c r="I114" s="128"/>
      <c r="J114" s="132">
        <f>SUM(J112:J113)</f>
        <v>958920129.72704041</v>
      </c>
      <c r="K114" s="128">
        <f>SUM(K112:K113)</f>
        <v>24897946.678497899</v>
      </c>
      <c r="L114" s="128">
        <f>SUM(L112:L113)</f>
        <v>0</v>
      </c>
      <c r="M114" s="128">
        <f>SUM(M112:M113)</f>
        <v>93323493.489865392</v>
      </c>
      <c r="N114" s="135"/>
    </row>
    <row r="115" spans="1:14" ht="17.25" thickBot="1" x14ac:dyDescent="0.35">
      <c r="A115" s="136"/>
      <c r="B115" s="137"/>
      <c r="J115" s="138"/>
    </row>
    <row r="116" spans="1:14" x14ac:dyDescent="0.3">
      <c r="A116" s="139"/>
      <c r="B116" s="260" t="s">
        <v>133</v>
      </c>
      <c r="C116" s="261"/>
      <c r="J116" s="140"/>
    </row>
    <row r="117" spans="1:14" x14ac:dyDescent="0.3">
      <c r="A117" s="141"/>
      <c r="B117" s="142" t="s">
        <v>134</v>
      </c>
      <c r="C117" s="143">
        <f>+D114</f>
        <v>14622419</v>
      </c>
      <c r="D117" s="120"/>
      <c r="E117" s="144"/>
      <c r="H117" s="145"/>
    </row>
    <row r="118" spans="1:14" ht="27" x14ac:dyDescent="0.3">
      <c r="A118" s="141"/>
      <c r="B118" s="142" t="s">
        <v>135</v>
      </c>
      <c r="C118" s="146">
        <f>+E114</f>
        <v>45.03631219917785</v>
      </c>
      <c r="E118" s="144"/>
    </row>
    <row r="119" spans="1:14" ht="27" x14ac:dyDescent="0.3">
      <c r="A119" s="141"/>
      <c r="B119" s="142" t="s">
        <v>136</v>
      </c>
      <c r="C119" s="143">
        <f>+F114</f>
        <v>658539827.19119</v>
      </c>
      <c r="D119" s="145"/>
      <c r="E119" s="144"/>
    </row>
    <row r="120" spans="1:14" ht="27" x14ac:dyDescent="0.3">
      <c r="A120" s="141"/>
      <c r="B120" s="142" t="s">
        <v>137</v>
      </c>
      <c r="C120" s="147">
        <f>+G114</f>
        <v>0.17952056244282508</v>
      </c>
      <c r="E120" s="144"/>
    </row>
    <row r="121" spans="1:14" ht="27" x14ac:dyDescent="0.3">
      <c r="A121" s="141"/>
      <c r="B121" s="142" t="s">
        <v>138</v>
      </c>
      <c r="C121" s="143">
        <f>+H114</f>
        <v>118221440.16836326</v>
      </c>
      <c r="E121" s="144"/>
    </row>
    <row r="122" spans="1:14" ht="27" x14ac:dyDescent="0.3">
      <c r="A122" s="141"/>
      <c r="B122" s="142" t="s">
        <v>139</v>
      </c>
      <c r="C122" s="143">
        <f>+K114</f>
        <v>24897946.678497899</v>
      </c>
      <c r="D122" s="148"/>
      <c r="E122" s="144"/>
    </row>
    <row r="123" spans="1:14" ht="17.25" thickBot="1" x14ac:dyDescent="0.35">
      <c r="A123" s="141"/>
      <c r="B123" s="149" t="s">
        <v>140</v>
      </c>
      <c r="C123" s="150">
        <f>+C121-C122</f>
        <v>93323493.489865363</v>
      </c>
      <c r="D123" s="151"/>
      <c r="E123" s="144"/>
      <c r="F123" s="91"/>
    </row>
    <row r="124" spans="1:14" x14ac:dyDescent="0.3">
      <c r="A124" s="139"/>
      <c r="B124" s="148"/>
      <c r="E124" s="144"/>
    </row>
  </sheetData>
  <mergeCells count="11">
    <mergeCell ref="A55:N55"/>
    <mergeCell ref="A1:N1"/>
    <mergeCell ref="A3:N3"/>
    <mergeCell ref="A4:N4"/>
    <mergeCell ref="B5:C5"/>
    <mergeCell ref="A50:N50"/>
    <mergeCell ref="A56:N56"/>
    <mergeCell ref="B78:C78"/>
    <mergeCell ref="B110:H110"/>
    <mergeCell ref="B114:C114"/>
    <mergeCell ref="B116:C116"/>
  </mergeCells>
  <printOptions gridLines="1"/>
  <pageMargins left="0.25" right="0.25" top="0.5" bottom="0.25" header="0.3" footer="0.3"/>
  <pageSetup scale="51" fitToHeight="0" orientation="landscape" r:id="rId1"/>
  <headerFooter>
    <oddHeader>&amp;C&amp;A&amp;R&amp;P of &amp;N</oddHeader>
  </headerFooter>
  <rowBreaks count="4" manualBreakCount="4">
    <brk id="33" max="16383" man="1"/>
    <brk id="54" max="16383" man="1"/>
    <brk id="77" max="16383" man="1"/>
    <brk id="10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2"/>
  <sheetViews>
    <sheetView workbookViewId="0">
      <selection activeCell="C12" sqref="C12"/>
    </sheetView>
  </sheetViews>
  <sheetFormatPr defaultColWidth="9.140625" defaultRowHeight="12.75" x14ac:dyDescent="0.2"/>
  <cols>
    <col min="1" max="1" width="1.5703125" style="152" customWidth="1"/>
    <col min="2" max="2" width="15.85546875" style="152" customWidth="1"/>
    <col min="3" max="3" width="31" style="152" customWidth="1"/>
    <col min="4" max="4" width="7.7109375" style="152" customWidth="1"/>
    <col min="5" max="5" width="16" style="152" customWidth="1"/>
    <col min="6" max="6" width="15.85546875" style="152" customWidth="1"/>
    <col min="7" max="7" width="19" style="152" bestFit="1" customWidth="1"/>
    <col min="8" max="8" width="11.5703125" style="152" customWidth="1"/>
    <col min="9" max="9" width="21.7109375" style="152" customWidth="1"/>
    <col min="10" max="16384" width="9.140625" style="152"/>
  </cols>
  <sheetData>
    <row r="1" spans="2:9" ht="17.45" x14ac:dyDescent="0.3">
      <c r="B1" s="252" t="s">
        <v>177</v>
      </c>
    </row>
    <row r="2" spans="2:9" ht="41.45" x14ac:dyDescent="0.25">
      <c r="B2" s="172" t="s">
        <v>157</v>
      </c>
      <c r="C2" s="172" t="s">
        <v>176</v>
      </c>
      <c r="D2" s="172" t="s">
        <v>175</v>
      </c>
      <c r="E2" s="172" t="s">
        <v>174</v>
      </c>
      <c r="F2" s="172" t="s">
        <v>173</v>
      </c>
      <c r="G2" s="172" t="s">
        <v>172</v>
      </c>
      <c r="H2" s="172" t="s">
        <v>171</v>
      </c>
      <c r="I2" s="172" t="s">
        <v>170</v>
      </c>
    </row>
    <row r="3" spans="2:9" ht="13.9" x14ac:dyDescent="0.3">
      <c r="B3" s="239" t="s">
        <v>158</v>
      </c>
      <c r="D3" s="155"/>
      <c r="E3" s="251"/>
      <c r="F3" s="251"/>
      <c r="G3" s="251"/>
      <c r="H3" s="251"/>
      <c r="I3" s="250"/>
    </row>
    <row r="4" spans="2:9" ht="15.95" customHeight="1" x14ac:dyDescent="0.25">
      <c r="B4" s="232" t="s">
        <v>169</v>
      </c>
      <c r="C4" s="196" t="s">
        <v>163</v>
      </c>
      <c r="D4" s="196" t="s">
        <v>40</v>
      </c>
      <c r="E4" s="231">
        <v>10967909</v>
      </c>
      <c r="F4" s="226">
        <v>1</v>
      </c>
      <c r="G4" s="226">
        <f t="shared" ref="G4:G14" si="0">SUM(E4*F4)</f>
        <v>10967909</v>
      </c>
      <c r="H4" s="248">
        <v>0.32</v>
      </c>
      <c r="I4" s="195">
        <f t="shared" ref="I4:I14" si="1">SUM(G4*H4)</f>
        <v>3509730.88</v>
      </c>
    </row>
    <row r="5" spans="2:9" ht="15.95" customHeight="1" x14ac:dyDescent="0.25">
      <c r="B5" s="220" t="s">
        <v>168</v>
      </c>
      <c r="C5" s="196" t="s">
        <v>162</v>
      </c>
      <c r="D5" s="196" t="s">
        <v>40</v>
      </c>
      <c r="E5" s="231">
        <v>10121739</v>
      </c>
      <c r="F5" s="226">
        <v>1</v>
      </c>
      <c r="G5" s="226">
        <f t="shared" si="0"/>
        <v>10121739</v>
      </c>
      <c r="H5" s="248">
        <v>0.32</v>
      </c>
      <c r="I5" s="195">
        <f t="shared" si="1"/>
        <v>3238956.48</v>
      </c>
    </row>
    <row r="6" spans="2:9" ht="57" customHeight="1" x14ac:dyDescent="0.25">
      <c r="B6" s="220"/>
      <c r="C6" s="230" t="s">
        <v>48</v>
      </c>
      <c r="D6" s="224"/>
      <c r="E6" s="229">
        <v>3940307</v>
      </c>
      <c r="F6" s="222">
        <v>1</v>
      </c>
      <c r="G6" s="226">
        <f t="shared" si="0"/>
        <v>3940307</v>
      </c>
      <c r="H6" s="152">
        <v>0.1336</v>
      </c>
      <c r="I6" s="227">
        <f t="shared" si="1"/>
        <v>526425.01520000002</v>
      </c>
    </row>
    <row r="7" spans="2:9" ht="15.95" customHeight="1" x14ac:dyDescent="0.25">
      <c r="B7" s="220"/>
      <c r="C7" s="224" t="s">
        <v>124</v>
      </c>
      <c r="D7" s="224"/>
      <c r="E7" s="223">
        <v>142506</v>
      </c>
      <c r="F7" s="222">
        <v>11</v>
      </c>
      <c r="G7" s="226">
        <f t="shared" si="0"/>
        <v>1567566</v>
      </c>
      <c r="H7" s="249">
        <v>0.12</v>
      </c>
      <c r="I7" s="195">
        <f t="shared" si="1"/>
        <v>188107.91999999998</v>
      </c>
    </row>
    <row r="8" spans="2:9" ht="15.95" customHeight="1" x14ac:dyDescent="0.25">
      <c r="B8" s="220"/>
      <c r="C8" s="224" t="s">
        <v>68</v>
      </c>
      <c r="D8" s="224"/>
      <c r="E8" s="223">
        <v>799469</v>
      </c>
      <c r="F8" s="222">
        <v>3</v>
      </c>
      <c r="G8" s="226">
        <f t="shared" si="0"/>
        <v>2398407</v>
      </c>
      <c r="H8" s="249">
        <v>0.13</v>
      </c>
      <c r="I8" s="195">
        <f t="shared" si="1"/>
        <v>311792.91000000003</v>
      </c>
    </row>
    <row r="9" spans="2:9" ht="15.95" customHeight="1" x14ac:dyDescent="0.25">
      <c r="B9" s="220"/>
      <c r="C9" s="224" t="s">
        <v>167</v>
      </c>
      <c r="D9" s="224"/>
      <c r="E9" s="223">
        <v>10788683</v>
      </c>
      <c r="F9" s="222">
        <v>1</v>
      </c>
      <c r="G9" s="222">
        <f t="shared" si="0"/>
        <v>10788683</v>
      </c>
      <c r="H9" s="249">
        <v>0.13</v>
      </c>
      <c r="I9" s="221">
        <f t="shared" si="1"/>
        <v>1402528.79</v>
      </c>
    </row>
    <row r="10" spans="2:9" ht="15.95" customHeight="1" x14ac:dyDescent="0.25">
      <c r="B10" s="220"/>
      <c r="C10" s="224" t="s">
        <v>76</v>
      </c>
      <c r="D10" s="224"/>
      <c r="E10" s="223">
        <v>1664843</v>
      </c>
      <c r="F10" s="222">
        <v>1</v>
      </c>
      <c r="G10" s="222">
        <f t="shared" si="0"/>
        <v>1664843</v>
      </c>
      <c r="H10" s="249">
        <v>0.08</v>
      </c>
      <c r="I10" s="221">
        <f t="shared" si="1"/>
        <v>133187.44</v>
      </c>
    </row>
    <row r="11" spans="2:9" ht="15.95" customHeight="1" x14ac:dyDescent="0.25">
      <c r="B11" s="220"/>
      <c r="C11" s="224" t="s">
        <v>85</v>
      </c>
      <c r="D11" s="224"/>
      <c r="E11" s="223">
        <v>1693242</v>
      </c>
      <c r="F11" s="222">
        <v>1</v>
      </c>
      <c r="G11" s="222">
        <f t="shared" si="0"/>
        <v>1693242</v>
      </c>
      <c r="H11" s="249">
        <v>0.02</v>
      </c>
      <c r="I11" s="221">
        <f t="shared" si="1"/>
        <v>33864.840000000004</v>
      </c>
    </row>
    <row r="12" spans="2:9" ht="15.95" customHeight="1" x14ac:dyDescent="0.25">
      <c r="B12" s="220"/>
      <c r="C12" s="224" t="s">
        <v>90</v>
      </c>
      <c r="D12" s="224"/>
      <c r="E12" s="223">
        <v>47695.75</v>
      </c>
      <c r="F12" s="222">
        <v>1</v>
      </c>
      <c r="G12" s="222">
        <f t="shared" si="0"/>
        <v>47695.75</v>
      </c>
      <c r="H12" s="249">
        <v>0.02</v>
      </c>
      <c r="I12" s="221">
        <f t="shared" si="1"/>
        <v>953.91499999999996</v>
      </c>
    </row>
    <row r="13" spans="2:9" ht="15.95" customHeight="1" x14ac:dyDescent="0.25">
      <c r="B13" s="220"/>
      <c r="C13" s="224" t="s">
        <v>92</v>
      </c>
      <c r="D13" s="224"/>
      <c r="E13" s="223">
        <v>8430</v>
      </c>
      <c r="F13" s="222">
        <v>1</v>
      </c>
      <c r="G13" s="222">
        <f t="shared" si="0"/>
        <v>8430</v>
      </c>
      <c r="H13" s="249">
        <v>0.02</v>
      </c>
      <c r="I13" s="221">
        <f t="shared" si="1"/>
        <v>168.6</v>
      </c>
    </row>
    <row r="14" spans="2:9" ht="15.95" customHeight="1" x14ac:dyDescent="0.25">
      <c r="B14" s="220"/>
      <c r="C14" s="196" t="s">
        <v>94</v>
      </c>
      <c r="D14" s="196"/>
      <c r="E14" s="231">
        <v>763132</v>
      </c>
      <c r="F14" s="226">
        <v>1</v>
      </c>
      <c r="G14" s="226">
        <f t="shared" si="0"/>
        <v>763132</v>
      </c>
      <c r="H14" s="248">
        <v>0.03</v>
      </c>
      <c r="I14" s="195">
        <f t="shared" si="1"/>
        <v>22893.96</v>
      </c>
    </row>
    <row r="15" spans="2:9" ht="27" thickBot="1" x14ac:dyDescent="0.3">
      <c r="B15" s="220"/>
      <c r="C15" s="247" t="s">
        <v>166</v>
      </c>
      <c r="D15" s="246"/>
      <c r="E15" s="231">
        <v>10967909</v>
      </c>
      <c r="F15" s="245">
        <f>+G15/E15</f>
        <v>0</v>
      </c>
      <c r="G15" s="245">
        <v>0</v>
      </c>
      <c r="H15" s="244">
        <f>0.25/60</f>
        <v>4.1666666666666666E-3</v>
      </c>
      <c r="I15" s="243">
        <v>4600</v>
      </c>
    </row>
    <row r="16" spans="2:9" ht="15.95" customHeight="1" x14ac:dyDescent="0.25">
      <c r="B16" s="242"/>
      <c r="C16" s="185" t="s">
        <v>165</v>
      </c>
      <c r="D16" s="185"/>
      <c r="E16" s="184">
        <f>SUM(E4+E6)</f>
        <v>14908216</v>
      </c>
      <c r="F16" s="241">
        <f>SUM(G16/E16)</f>
        <v>2.9488406761748021</v>
      </c>
      <c r="G16" s="240">
        <f>SUM(G4:G15)</f>
        <v>43961953.75</v>
      </c>
      <c r="H16" s="240">
        <f>SUM(I16/G16)</f>
        <v>0.21321187869636024</v>
      </c>
      <c r="I16" s="240">
        <f>SUM(I4:I15)</f>
        <v>9373210.7501999997</v>
      </c>
    </row>
    <row r="17" spans="2:9" ht="15.95" customHeight="1" x14ac:dyDescent="0.25">
      <c r="C17" s="164"/>
      <c r="D17" s="164"/>
      <c r="E17" s="176"/>
      <c r="F17" s="174"/>
      <c r="G17" s="175" t="s">
        <v>40</v>
      </c>
      <c r="H17" s="173"/>
      <c r="I17" s="175"/>
    </row>
    <row r="18" spans="2:9" ht="15.95" customHeight="1" x14ac:dyDescent="0.25">
      <c r="B18" s="181"/>
      <c r="C18" s="180"/>
      <c r="D18" s="180"/>
      <c r="E18" s="179"/>
      <c r="F18" s="178"/>
      <c r="G18" s="177"/>
      <c r="H18" s="177"/>
      <c r="I18" s="177"/>
    </row>
    <row r="19" spans="2:9" ht="35.1" customHeight="1" x14ac:dyDescent="0.25">
      <c r="B19" s="239" t="s">
        <v>158</v>
      </c>
      <c r="C19" s="238"/>
      <c r="D19" s="238"/>
      <c r="E19" s="237"/>
      <c r="F19" s="236"/>
      <c r="G19" s="235"/>
      <c r="H19" s="234"/>
      <c r="I19" s="233"/>
    </row>
    <row r="20" spans="2:9" ht="20.100000000000001" customHeight="1" x14ac:dyDescent="0.25">
      <c r="B20" s="232" t="s">
        <v>164</v>
      </c>
      <c r="C20" s="196" t="s">
        <v>163</v>
      </c>
      <c r="D20" s="196" t="s">
        <v>40</v>
      </c>
      <c r="E20" s="231">
        <v>53</v>
      </c>
      <c r="F20" s="222">
        <v>206941.67924500001</v>
      </c>
      <c r="G20" s="226">
        <f>SUM(E20*F20)</f>
        <v>10967908.999985</v>
      </c>
      <c r="H20" s="222">
        <v>0.32</v>
      </c>
      <c r="I20" s="195">
        <f t="shared" ref="I20:I33" si="2">SUM(G20*H20)</f>
        <v>3509730.8799952003</v>
      </c>
    </row>
    <row r="21" spans="2:9" ht="20.100000000000001" customHeight="1" x14ac:dyDescent="0.25">
      <c r="B21" s="220" t="s">
        <v>40</v>
      </c>
      <c r="C21" s="196" t="s">
        <v>162</v>
      </c>
      <c r="D21" s="196" t="s">
        <v>40</v>
      </c>
      <c r="E21" s="231">
        <v>53</v>
      </c>
      <c r="F21" s="226">
        <v>190976.207547</v>
      </c>
      <c r="G21" s="226">
        <f>SUM(E21*F21)</f>
        <v>10121738.999991</v>
      </c>
      <c r="H21" s="226">
        <v>0.32</v>
      </c>
      <c r="I21" s="195">
        <f t="shared" si="2"/>
        <v>3238956.4799971199</v>
      </c>
    </row>
    <row r="22" spans="2:9" ht="52.9" x14ac:dyDescent="0.25">
      <c r="B22" s="220"/>
      <c r="C22" s="230" t="s">
        <v>48</v>
      </c>
      <c r="D22" s="224"/>
      <c r="E22" s="223">
        <v>50</v>
      </c>
      <c r="F22" s="229">
        <v>78809.460000000006</v>
      </c>
      <c r="G22" s="195">
        <v>3940323</v>
      </c>
      <c r="H22" s="228">
        <v>0.18378036523300001</v>
      </c>
      <c r="I22" s="227">
        <f t="shared" si="2"/>
        <v>724154.00007599033</v>
      </c>
    </row>
    <row r="23" spans="2:9" ht="20.100000000000001" customHeight="1" x14ac:dyDescent="0.25">
      <c r="B23" s="220"/>
      <c r="C23" s="224" t="s">
        <v>161</v>
      </c>
      <c r="D23" s="224"/>
      <c r="E23" s="223">
        <v>53</v>
      </c>
      <c r="F23" s="222">
        <v>29576.716981000001</v>
      </c>
      <c r="G23" s="226">
        <f t="shared" ref="G23:G33" si="3">SUM(E23*F23)</f>
        <v>1567565.9999930002</v>
      </c>
      <c r="H23" s="222">
        <v>0.18</v>
      </c>
      <c r="I23" s="195">
        <f t="shared" si="2"/>
        <v>282161.87999874004</v>
      </c>
    </row>
    <row r="24" spans="2:9" ht="13.15" x14ac:dyDescent="0.25">
      <c r="B24" s="220"/>
      <c r="C24" s="224" t="s">
        <v>68</v>
      </c>
      <c r="D24" s="224"/>
      <c r="E24" s="223">
        <v>1</v>
      </c>
      <c r="F24" s="222">
        <v>2398407</v>
      </c>
      <c r="G24" s="226">
        <f t="shared" si="3"/>
        <v>2398407</v>
      </c>
      <c r="H24" s="222">
        <v>0.2</v>
      </c>
      <c r="I24" s="195">
        <f t="shared" si="2"/>
        <v>479681.4</v>
      </c>
    </row>
    <row r="25" spans="2:9" ht="13.15" x14ac:dyDescent="0.25">
      <c r="B25" s="220"/>
      <c r="C25" s="224" t="s">
        <v>160</v>
      </c>
      <c r="D25" s="224"/>
      <c r="E25" s="223">
        <v>47</v>
      </c>
      <c r="F25" s="222">
        <v>229546.44680800001</v>
      </c>
      <c r="G25" s="222">
        <f t="shared" si="3"/>
        <v>10788682.999976</v>
      </c>
      <c r="H25" s="222">
        <v>0.18</v>
      </c>
      <c r="I25" s="221">
        <f t="shared" si="2"/>
        <v>1941962.93999568</v>
      </c>
    </row>
    <row r="26" spans="2:9" ht="20.100000000000001" customHeight="1" x14ac:dyDescent="0.25">
      <c r="B26" s="220"/>
      <c r="C26" s="224" t="s">
        <v>76</v>
      </c>
      <c r="D26" s="224"/>
      <c r="E26" s="223">
        <v>53</v>
      </c>
      <c r="F26" s="222">
        <v>31412.132075000001</v>
      </c>
      <c r="G26" s="222">
        <f t="shared" si="3"/>
        <v>1664842.999975</v>
      </c>
      <c r="H26" s="222">
        <v>0.18</v>
      </c>
      <c r="I26" s="221">
        <f t="shared" si="2"/>
        <v>299671.73999550001</v>
      </c>
    </row>
    <row r="27" spans="2:9" ht="15" customHeight="1" x14ac:dyDescent="0.2">
      <c r="B27" s="220"/>
      <c r="C27" s="224" t="s">
        <v>80</v>
      </c>
      <c r="D27" s="224"/>
      <c r="E27" s="223">
        <v>53</v>
      </c>
      <c r="F27" s="222">
        <v>397918.07547099999</v>
      </c>
      <c r="G27" s="222">
        <f t="shared" si="3"/>
        <v>21089657.999963</v>
      </c>
      <c r="H27" s="222">
        <v>0.03</v>
      </c>
      <c r="I27" s="221">
        <f t="shared" si="2"/>
        <v>632689.73999888997</v>
      </c>
    </row>
    <row r="28" spans="2:9" ht="20.100000000000001" customHeight="1" x14ac:dyDescent="0.2">
      <c r="B28" s="220"/>
      <c r="C28" s="224" t="s">
        <v>159</v>
      </c>
      <c r="D28" s="224"/>
      <c r="E28" s="223">
        <v>53</v>
      </c>
      <c r="F28" s="222">
        <v>662.73584900000003</v>
      </c>
      <c r="G28" s="222">
        <f t="shared" si="3"/>
        <v>35124.999996999999</v>
      </c>
      <c r="H28" s="222">
        <v>0.03</v>
      </c>
      <c r="I28" s="221">
        <f t="shared" si="2"/>
        <v>1053.74999991</v>
      </c>
    </row>
    <row r="29" spans="2:9" x14ac:dyDescent="0.2">
      <c r="B29" s="220"/>
      <c r="C29" s="224" t="s">
        <v>85</v>
      </c>
      <c r="D29" s="224"/>
      <c r="E29" s="223">
        <v>53</v>
      </c>
      <c r="F29" s="222">
        <v>35497.735848999997</v>
      </c>
      <c r="G29" s="222">
        <f t="shared" si="3"/>
        <v>1881379.9999969997</v>
      </c>
      <c r="H29" s="225">
        <v>0.02</v>
      </c>
      <c r="I29" s="221">
        <f t="shared" si="2"/>
        <v>37627.599999939994</v>
      </c>
    </row>
    <row r="30" spans="2:9" x14ac:dyDescent="0.2">
      <c r="B30" s="220"/>
      <c r="C30" s="224" t="s">
        <v>88</v>
      </c>
      <c r="D30" s="224"/>
      <c r="E30" s="223">
        <v>53</v>
      </c>
      <c r="F30" s="222">
        <v>190976.207547</v>
      </c>
      <c r="G30" s="222">
        <f t="shared" si="3"/>
        <v>10121738.999991</v>
      </c>
      <c r="H30" s="225">
        <v>0.03</v>
      </c>
      <c r="I30" s="221">
        <f t="shared" si="2"/>
        <v>303652.16999972996</v>
      </c>
    </row>
    <row r="31" spans="2:9" x14ac:dyDescent="0.2">
      <c r="B31" s="220"/>
      <c r="C31" s="224" t="s">
        <v>90</v>
      </c>
      <c r="D31" s="224"/>
      <c r="E31" s="223">
        <v>53</v>
      </c>
      <c r="F31" s="222">
        <v>17998.396226000001</v>
      </c>
      <c r="G31" s="222">
        <f t="shared" si="3"/>
        <v>953914.99997800007</v>
      </c>
      <c r="H31" s="225">
        <v>0.03</v>
      </c>
      <c r="I31" s="221">
        <f t="shared" si="2"/>
        <v>28617.449999340002</v>
      </c>
    </row>
    <row r="32" spans="2:9" x14ac:dyDescent="0.2">
      <c r="B32" s="220"/>
      <c r="C32" s="224" t="s">
        <v>92</v>
      </c>
      <c r="D32" s="224"/>
      <c r="E32" s="223">
        <v>53</v>
      </c>
      <c r="F32" s="222">
        <v>3976.4528300000002</v>
      </c>
      <c r="G32" s="222">
        <f t="shared" si="3"/>
        <v>210751.99999000001</v>
      </c>
      <c r="H32" s="222">
        <v>0.03</v>
      </c>
      <c r="I32" s="221">
        <f t="shared" si="2"/>
        <v>6322.5599996999999</v>
      </c>
    </row>
    <row r="33" spans="2:9" ht="13.5" thickBot="1" x14ac:dyDescent="0.25">
      <c r="B33" s="220"/>
      <c r="C33" s="219" t="s">
        <v>94</v>
      </c>
      <c r="D33" s="219"/>
      <c r="E33" s="218">
        <v>53</v>
      </c>
      <c r="F33" s="217">
        <v>17998.396226000001</v>
      </c>
      <c r="G33" s="217">
        <f t="shared" si="3"/>
        <v>953914.99997800007</v>
      </c>
      <c r="H33" s="217">
        <v>0.03</v>
      </c>
      <c r="I33" s="188">
        <f t="shared" si="2"/>
        <v>28617.449999340002</v>
      </c>
    </row>
    <row r="34" spans="2:9" ht="13.5" thickBot="1" x14ac:dyDescent="0.25">
      <c r="B34" s="216"/>
      <c r="C34" s="215" t="s">
        <v>158</v>
      </c>
      <c r="D34" s="214"/>
      <c r="E34" s="213">
        <v>53</v>
      </c>
      <c r="F34" s="211">
        <f>SUM(G34/E34)</f>
        <v>1447093.471694604</v>
      </c>
      <c r="G34" s="212">
        <f>SUM(G20:G33)</f>
        <v>76695953.999814019</v>
      </c>
      <c r="H34" s="211">
        <f>SUM(I34/G34)</f>
        <v>0.15013699471138992</v>
      </c>
      <c r="I34" s="210">
        <f>SUM(I20:I33)</f>
        <v>11514900.040055081</v>
      </c>
    </row>
    <row r="35" spans="2:9" x14ac:dyDescent="0.2">
      <c r="B35" s="209"/>
      <c r="C35" s="208"/>
      <c r="D35" s="208"/>
      <c r="E35" s="207"/>
      <c r="F35" s="206"/>
      <c r="G35" s="205"/>
      <c r="H35" s="206"/>
      <c r="I35" s="205"/>
    </row>
    <row r="36" spans="2:9" ht="51" x14ac:dyDescent="0.2">
      <c r="B36" s="172" t="s">
        <v>157</v>
      </c>
      <c r="C36" s="172" t="s">
        <v>156</v>
      </c>
      <c r="D36" s="204"/>
      <c r="E36" s="172" t="s">
        <v>155</v>
      </c>
      <c r="F36" s="204"/>
      <c r="G36" s="204" t="s">
        <v>40</v>
      </c>
      <c r="H36" s="172" t="s">
        <v>154</v>
      </c>
      <c r="I36" s="172" t="s">
        <v>153</v>
      </c>
    </row>
    <row r="37" spans="2:9" x14ac:dyDescent="0.2">
      <c r="B37" s="203" t="s">
        <v>151</v>
      </c>
      <c r="D37" s="202"/>
      <c r="E37" s="176"/>
      <c r="F37" s="174"/>
      <c r="G37" s="175"/>
      <c r="H37" s="175"/>
      <c r="I37" s="201"/>
    </row>
    <row r="38" spans="2:9" ht="25.5" x14ac:dyDescent="0.2">
      <c r="B38" s="200" t="s">
        <v>152</v>
      </c>
      <c r="C38" s="196" t="s">
        <v>99</v>
      </c>
      <c r="D38" s="199"/>
      <c r="E38" s="198">
        <v>2724</v>
      </c>
      <c r="F38" s="197">
        <v>46693.21</v>
      </c>
      <c r="G38" s="197">
        <f>SUM(E38*F38)+3</f>
        <v>127192307.03999999</v>
      </c>
      <c r="H38" s="196">
        <v>0.03</v>
      </c>
      <c r="I38" s="195">
        <f>SUM(G38*H38)</f>
        <v>3815769.2111999998</v>
      </c>
    </row>
    <row r="39" spans="2:9" ht="13.5" thickBot="1" x14ac:dyDescent="0.25">
      <c r="B39" s="194"/>
      <c r="C39" s="193" t="s">
        <v>102</v>
      </c>
      <c r="D39" s="192"/>
      <c r="E39" s="191">
        <v>2724</v>
      </c>
      <c r="F39" s="190">
        <v>17098.413</v>
      </c>
      <c r="G39" s="190">
        <f>SUM(E39*F39)</f>
        <v>46576077.012000002</v>
      </c>
      <c r="H39" s="189">
        <v>4.16666E-3</v>
      </c>
      <c r="I39" s="188">
        <f>SUM(G39*H39)</f>
        <v>194066.67704281994</v>
      </c>
    </row>
    <row r="40" spans="2:9" x14ac:dyDescent="0.2">
      <c r="B40" s="187"/>
      <c r="C40" s="186" t="s">
        <v>151</v>
      </c>
      <c r="D40" s="185"/>
      <c r="E40" s="184">
        <v>2724</v>
      </c>
      <c r="F40" s="183">
        <f>SUM(G40/E40)</f>
        <v>63791.624101321584</v>
      </c>
      <c r="G40" s="183">
        <f>SUM(G38:G39)</f>
        <v>173768384.05199999</v>
      </c>
      <c r="H40" s="183">
        <f>SUM(I40/G40)</f>
        <v>2.3075750575219028E-2</v>
      </c>
      <c r="I40" s="182">
        <f>SUM(I38:I39)</f>
        <v>4009835.8882428198</v>
      </c>
    </row>
    <row r="41" spans="2:9" x14ac:dyDescent="0.2">
      <c r="B41" s="181"/>
      <c r="C41" s="180"/>
      <c r="D41" s="180"/>
      <c r="E41" s="179"/>
      <c r="F41" s="178"/>
      <c r="G41" s="177"/>
      <c r="H41" s="177"/>
      <c r="I41" s="177"/>
    </row>
    <row r="42" spans="2:9" ht="26.25" thickBot="1" x14ac:dyDescent="0.25">
      <c r="C42" s="164" t="s">
        <v>150</v>
      </c>
      <c r="D42" s="164"/>
      <c r="E42" s="172" t="s">
        <v>144</v>
      </c>
      <c r="F42" s="174"/>
      <c r="G42" s="172" t="s">
        <v>143</v>
      </c>
      <c r="H42" s="173"/>
      <c r="I42" s="172" t="s">
        <v>142</v>
      </c>
    </row>
    <row r="43" spans="2:9" ht="13.5" thickBot="1" x14ac:dyDescent="0.25">
      <c r="B43" s="171" t="s">
        <v>149</v>
      </c>
      <c r="C43" s="170"/>
      <c r="D43" s="170"/>
      <c r="E43" s="169">
        <f>SUM(E16+E34+E40)</f>
        <v>14910993</v>
      </c>
      <c r="F43" s="168" t="s">
        <v>40</v>
      </c>
      <c r="G43" s="167">
        <f>SUM(G16+G34+G40)</f>
        <v>294426291.80181402</v>
      </c>
      <c r="H43" s="166" t="s">
        <v>40</v>
      </c>
      <c r="I43" s="167">
        <f>(I16+I34+I40)</f>
        <v>24897946.678497899</v>
      </c>
    </row>
    <row r="44" spans="2:9" x14ac:dyDescent="0.2">
      <c r="C44" s="164"/>
      <c r="D44" s="164"/>
      <c r="E44" s="176"/>
      <c r="F44" s="174"/>
      <c r="G44" s="175"/>
      <c r="H44" s="173"/>
      <c r="I44" s="175"/>
    </row>
    <row r="46" spans="2:9" ht="26.25" thickBot="1" x14ac:dyDescent="0.25">
      <c r="C46" s="164"/>
      <c r="D46" s="164"/>
      <c r="E46" s="172" t="s">
        <v>144</v>
      </c>
      <c r="F46" s="174"/>
      <c r="G46" s="172" t="s">
        <v>143</v>
      </c>
      <c r="H46" s="173"/>
      <c r="I46" s="172" t="s">
        <v>142</v>
      </c>
    </row>
    <row r="47" spans="2:9" ht="13.5" thickBot="1" x14ac:dyDescent="0.25">
      <c r="B47" s="171" t="s">
        <v>148</v>
      </c>
      <c r="C47" s="170"/>
      <c r="D47" s="170"/>
      <c r="E47" s="169"/>
      <c r="F47" s="168" t="s">
        <v>40</v>
      </c>
      <c r="G47" s="167"/>
      <c r="H47" s="166" t="s">
        <v>40</v>
      </c>
      <c r="I47" s="165" t="s">
        <v>147</v>
      </c>
    </row>
    <row r="50" spans="2:9" ht="26.25" thickBot="1" x14ac:dyDescent="0.25">
      <c r="C50" s="164"/>
      <c r="D50" s="164"/>
      <c r="E50" s="172" t="s">
        <v>144</v>
      </c>
      <c r="F50" s="174"/>
      <c r="G50" s="172" t="s">
        <v>143</v>
      </c>
      <c r="H50" s="173"/>
      <c r="I50" s="172" t="s">
        <v>142</v>
      </c>
    </row>
    <row r="51" spans="2:9" ht="13.5" thickBot="1" x14ac:dyDescent="0.25">
      <c r="B51" s="171" t="s">
        <v>146</v>
      </c>
      <c r="C51" s="170"/>
      <c r="D51" s="170"/>
      <c r="E51" s="169"/>
      <c r="F51" s="168" t="s">
        <v>40</v>
      </c>
      <c r="G51" s="167"/>
      <c r="H51" s="166" t="s">
        <v>40</v>
      </c>
      <c r="I51" s="165" t="s">
        <v>145</v>
      </c>
    </row>
    <row r="54" spans="2:9" ht="13.5" thickBot="1" x14ac:dyDescent="0.25"/>
    <row r="55" spans="2:9" ht="26.25" thickBot="1" x14ac:dyDescent="0.25">
      <c r="C55" s="164"/>
      <c r="D55" s="164"/>
      <c r="E55" s="163" t="s">
        <v>144</v>
      </c>
      <c r="G55" s="163" t="s">
        <v>143</v>
      </c>
      <c r="I55" s="163" t="s">
        <v>142</v>
      </c>
    </row>
    <row r="56" spans="2:9" ht="24.75" customHeight="1" thickBot="1" x14ac:dyDescent="0.25">
      <c r="B56" s="162" t="s">
        <v>141</v>
      </c>
      <c r="C56" s="161"/>
      <c r="D56" s="161"/>
      <c r="E56" s="160">
        <f>+E43</f>
        <v>14910993</v>
      </c>
      <c r="F56" s="159"/>
      <c r="G56" s="158">
        <f>+G43</f>
        <v>294426291.80181402</v>
      </c>
      <c r="H56" s="159"/>
      <c r="I56" s="158">
        <f>+I43</f>
        <v>24897946.678497899</v>
      </c>
    </row>
    <row r="60" spans="2:9" x14ac:dyDescent="0.2">
      <c r="B60" s="155"/>
      <c r="C60" s="155"/>
      <c r="D60" s="155"/>
      <c r="E60" s="155"/>
      <c r="F60" s="153"/>
      <c r="G60" s="157"/>
      <c r="H60" s="153"/>
      <c r="I60" s="157"/>
    </row>
    <row r="61" spans="2:9" x14ac:dyDescent="0.2">
      <c r="C61" s="155"/>
      <c r="D61" s="153"/>
      <c r="E61" s="155"/>
      <c r="F61" s="153"/>
      <c r="G61" s="156"/>
      <c r="H61" s="153"/>
    </row>
    <row r="62" spans="2:9" x14ac:dyDescent="0.2">
      <c r="C62" s="155"/>
      <c r="D62" s="155"/>
      <c r="E62" s="155"/>
      <c r="F62" s="153"/>
      <c r="G62" s="154"/>
      <c r="H62" s="153"/>
    </row>
  </sheetData>
  <pageMargins left="0.5" right="0.15" top="0.24" bottom="0.28000000000000003" header="0.5" footer="0.5"/>
  <pageSetup scale="68" orientation="portrait" r:id="rId1"/>
  <headerFooter alignWithMargins="0">
    <oddHeader>&amp;A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Baseline Revision</vt:lpstr>
      <vt:lpstr>Current Burden</vt:lpstr>
      <vt:lpstr>'Baseline Revision'!Print_Titles</vt:lpstr>
    </vt:vector>
  </TitlesOfParts>
  <Company>USDA-FNS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Kriviski, Eliot - FNS</dc:creator>
  <cp:lastModifiedBy>Lynnette Thomas</cp:lastModifiedBy>
  <cp:lastPrinted>2015-10-22T16:18:37Z</cp:lastPrinted>
  <dcterms:created xsi:type="dcterms:W3CDTF">2015-10-22T16:15:58Z</dcterms:created>
  <dcterms:modified xsi:type="dcterms:W3CDTF">2015-11-19T20:14:15Z</dcterms:modified>
</cp:coreProperties>
</file>