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45" yWindow="-195" windowWidth="14430" windowHeight="11745"/>
  </bookViews>
  <sheets>
    <sheet name="Age 5 Extension Burden Table" sheetId="1" r:id="rId1"/>
    <sheet name="Sheet2" sheetId="2" state="hidden" r:id="rId2"/>
    <sheet name="Sheet1" sheetId="3" r:id="rId3"/>
  </sheets>
  <definedNames>
    <definedName name="OLE_LINK3" localSheetId="0">'Age 5 Extension Burden Table'!#REF!</definedName>
    <definedName name="_xlnm.Print_Area" localSheetId="0">'Age 5 Extension Burden Table'!$A$1:$T$80</definedName>
    <definedName name="_xlnm.Print_Titles" localSheetId="0">'Age 5 Extension Burden Table'!$3:$3</definedName>
  </definedNames>
  <calcPr calcId="145621"/>
</workbook>
</file>

<file path=xl/calcChain.xml><?xml version="1.0" encoding="utf-8"?>
<calcChain xmlns="http://schemas.openxmlformats.org/spreadsheetml/2006/main">
  <c r="T53" i="1" l="1"/>
  <c r="P36" i="1" l="1"/>
  <c r="N36" i="1"/>
  <c r="P21" i="1"/>
  <c r="N21" i="1"/>
  <c r="H5" i="1" l="1"/>
  <c r="M5" i="1" s="1"/>
  <c r="O5" i="1" s="1"/>
  <c r="H4" i="1"/>
  <c r="P5" i="1"/>
  <c r="J5" i="1" l="1"/>
  <c r="L5" i="1" s="1"/>
  <c r="Q5" i="1"/>
  <c r="R5" i="1" l="1"/>
  <c r="T5" i="1" s="1"/>
  <c r="P6" i="1"/>
  <c r="H6" i="1"/>
  <c r="J6" i="1" s="1"/>
  <c r="L6" i="1" s="1"/>
  <c r="M6" i="1" l="1"/>
  <c r="O6" i="1" s="1"/>
  <c r="Q6" i="1" s="1"/>
  <c r="R6" i="1" s="1"/>
  <c r="T6" i="1" s="1"/>
  <c r="K35" i="1"/>
  <c r="K26" i="1"/>
  <c r="H11" i="1"/>
  <c r="P11" i="1"/>
  <c r="N11" i="1"/>
  <c r="U11" i="1" l="1"/>
  <c r="J11" i="1"/>
  <c r="L11" i="1" s="1"/>
  <c r="M11" i="1"/>
  <c r="O11" i="1" s="1"/>
  <c r="Q11" i="1" s="1"/>
  <c r="R11" i="1" l="1"/>
  <c r="T11" i="1" s="1"/>
  <c r="G15" i="1"/>
  <c r="H15" i="1" s="1"/>
  <c r="J15" i="1" s="1"/>
  <c r="L15" i="1" s="1"/>
  <c r="N15" i="1"/>
  <c r="M15" i="1" l="1"/>
  <c r="O15" i="1" s="1"/>
  <c r="Q15" i="1" s="1"/>
  <c r="R15" i="1" s="1"/>
  <c r="T15" i="1" s="1"/>
  <c r="U15" i="1"/>
  <c r="P4" i="1" l="1"/>
  <c r="J4" i="1"/>
  <c r="L4" i="1" s="1"/>
  <c r="U4" i="1" l="1"/>
  <c r="M4" i="1"/>
  <c r="O4" i="1" s="1"/>
  <c r="Q4" i="1" s="1"/>
  <c r="R4" i="1" s="1"/>
  <c r="T4" i="1" s="1"/>
  <c r="G29" i="1"/>
  <c r="G24" i="1"/>
  <c r="G26" i="1" s="1"/>
  <c r="G28" i="1"/>
  <c r="G23" i="1"/>
  <c r="G13" i="1"/>
  <c r="G14" i="1"/>
  <c r="G7" i="1"/>
  <c r="G30" i="1"/>
  <c r="H30" i="1" s="1"/>
  <c r="G25" i="1"/>
  <c r="H25" i="1" s="1"/>
  <c r="G9" i="1"/>
  <c r="H9" i="1" s="1"/>
  <c r="G8" i="1"/>
  <c r="G10" i="1" s="1"/>
  <c r="H42" i="1"/>
  <c r="G35" i="1" l="1"/>
  <c r="G36" i="1"/>
  <c r="G20" i="1"/>
  <c r="G21" i="1"/>
  <c r="P27" i="1"/>
  <c r="N27" i="1"/>
  <c r="H36" i="1" l="1"/>
  <c r="J36" i="1" s="1"/>
  <c r="L36" i="1" s="1"/>
  <c r="M36" i="1"/>
  <c r="O36" i="1" s="1"/>
  <c r="Q36" i="1" s="1"/>
  <c r="R36" i="1" s="1"/>
  <c r="T36" i="1" s="1"/>
  <c r="H21" i="1"/>
  <c r="J21" i="1" s="1"/>
  <c r="L21" i="1" s="1"/>
  <c r="P41" i="1"/>
  <c r="P40" i="1"/>
  <c r="P39" i="1"/>
  <c r="P38" i="1"/>
  <c r="P37" i="1"/>
  <c r="P35" i="1"/>
  <c r="P32" i="1"/>
  <c r="P29" i="1"/>
  <c r="P28" i="1"/>
  <c r="P26" i="1"/>
  <c r="P24" i="1"/>
  <c r="P23" i="1"/>
  <c r="P22" i="1"/>
  <c r="P20" i="1"/>
  <c r="P19" i="1"/>
  <c r="P17" i="1"/>
  <c r="P14" i="1"/>
  <c r="P13" i="1"/>
  <c r="P12" i="1"/>
  <c r="P10" i="1"/>
  <c r="P8" i="1"/>
  <c r="P7" i="1"/>
  <c r="M21" i="1" l="1"/>
  <c r="O21" i="1" s="1"/>
  <c r="Q21" i="1" s="1"/>
  <c r="R21" i="1" s="1"/>
  <c r="T21" i="1" s="1"/>
  <c r="H47" i="1"/>
  <c r="G53" i="1"/>
  <c r="G47" i="1"/>
  <c r="G54" i="1" l="1"/>
  <c r="I47" i="1"/>
  <c r="N47" i="1" s="1"/>
  <c r="H49" i="1"/>
  <c r="U49" i="1" s="1"/>
  <c r="H50" i="1"/>
  <c r="P49" i="1"/>
  <c r="N49" i="1"/>
  <c r="H48" i="1"/>
  <c r="P48" i="1"/>
  <c r="N48" i="1"/>
  <c r="U46" i="1"/>
  <c r="P46" i="1"/>
  <c r="N46" i="1"/>
  <c r="M46" i="1"/>
  <c r="J46" i="1"/>
  <c r="L46" i="1" s="1"/>
  <c r="U44" i="1"/>
  <c r="P44" i="1"/>
  <c r="N44" i="1"/>
  <c r="M44" i="1"/>
  <c r="J44" i="1"/>
  <c r="L44" i="1" s="1"/>
  <c r="U43" i="1"/>
  <c r="P43" i="1"/>
  <c r="N43" i="1"/>
  <c r="M43" i="1"/>
  <c r="J43" i="1"/>
  <c r="L43" i="1" s="1"/>
  <c r="O43" i="1" l="1"/>
  <c r="Q43" i="1" s="1"/>
  <c r="R43" i="1" s="1"/>
  <c r="T43" i="1" s="1"/>
  <c r="O44" i="1"/>
  <c r="Q44" i="1" s="1"/>
  <c r="R44" i="1" s="1"/>
  <c r="T44" i="1" s="1"/>
  <c r="M49" i="1"/>
  <c r="J49" i="1"/>
  <c r="L49" i="1" s="1"/>
  <c r="O46" i="1"/>
  <c r="Q46" i="1" s="1"/>
  <c r="R46" i="1" s="1"/>
  <c r="T46" i="1" s="1"/>
  <c r="O49" i="1" l="1"/>
  <c r="Q49" i="1" s="1"/>
  <c r="R49" i="1" s="1"/>
  <c r="T49" i="1" s="1"/>
  <c r="H7" i="1" l="1"/>
  <c r="N20" i="1" l="1"/>
  <c r="N35" i="1"/>
  <c r="N34" i="1"/>
  <c r="G42" i="1" l="1"/>
  <c r="N19" i="1"/>
  <c r="N39" i="1"/>
  <c r="N40" i="1"/>
  <c r="N38" i="1"/>
  <c r="N37" i="1" l="1"/>
  <c r="N33" i="1"/>
  <c r="N32" i="1"/>
  <c r="N31" i="1"/>
  <c r="N18" i="1"/>
  <c r="N17" i="1"/>
  <c r="N16" i="1"/>
  <c r="N22" i="1" l="1"/>
  <c r="G12" i="1"/>
  <c r="N12" i="1"/>
  <c r="H12" i="1" l="1"/>
  <c r="N30" i="1"/>
  <c r="N29" i="1"/>
  <c r="N28" i="1"/>
  <c r="N23" i="1"/>
  <c r="N26" i="1"/>
  <c r="N25" i="1"/>
  <c r="N24" i="1"/>
  <c r="M12" i="1" l="1"/>
  <c r="J12" i="1"/>
  <c r="L12" i="1" s="1"/>
  <c r="U12" i="1"/>
  <c r="O12" i="1" l="1"/>
  <c r="Q12" i="1" s="1"/>
  <c r="R12" i="1" s="1"/>
  <c r="T12" i="1" s="1"/>
  <c r="U53" i="1" l="1"/>
  <c r="U52" i="1"/>
  <c r="U51" i="1"/>
  <c r="U50" i="1"/>
  <c r="U45" i="1"/>
  <c r="U7" i="1"/>
  <c r="J50" i="1"/>
  <c r="K50" i="1"/>
  <c r="N50" i="1"/>
  <c r="O50" i="1" s="1"/>
  <c r="J51" i="1"/>
  <c r="L51" i="1" s="1"/>
  <c r="M51" i="1"/>
  <c r="N51" i="1"/>
  <c r="P51" i="1"/>
  <c r="J52" i="1"/>
  <c r="L52" i="1" s="1"/>
  <c r="M52" i="1"/>
  <c r="N52" i="1"/>
  <c r="P52" i="1"/>
  <c r="J45" i="1"/>
  <c r="J47" i="1" s="1"/>
  <c r="O45" i="1"/>
  <c r="N55" i="1"/>
  <c r="P55" i="1"/>
  <c r="N7" i="1"/>
  <c r="N8" i="1"/>
  <c r="N9" i="1"/>
  <c r="N10" i="1"/>
  <c r="N13" i="1"/>
  <c r="N14" i="1"/>
  <c r="N41" i="1"/>
  <c r="J9" i="1"/>
  <c r="L9" i="1" s="1"/>
  <c r="H54" i="1"/>
  <c r="M53" i="1"/>
  <c r="D8" i="2"/>
  <c r="C17" i="2"/>
  <c r="D16" i="2"/>
  <c r="C6" i="2"/>
  <c r="C3" i="2"/>
  <c r="C5" i="2"/>
  <c r="C12" i="2"/>
  <c r="C14" i="2"/>
  <c r="C13" i="2"/>
  <c r="C10" i="2"/>
  <c r="C7" i="2"/>
  <c r="C11" i="2"/>
  <c r="P45" i="1" l="1"/>
  <c r="Q45" i="1" s="1"/>
  <c r="O52" i="1"/>
  <c r="Q52" i="1" s="1"/>
  <c r="R52" i="1" s="1"/>
  <c r="T52" i="1" s="1"/>
  <c r="O47" i="1"/>
  <c r="L45" i="1"/>
  <c r="L47" i="1" s="1"/>
  <c r="M54" i="1"/>
  <c r="C4" i="2"/>
  <c r="O51" i="1"/>
  <c r="P50" i="1"/>
  <c r="Q50" i="1" s="1"/>
  <c r="L50" i="1"/>
  <c r="U54" i="1"/>
  <c r="U47" i="1"/>
  <c r="M47" i="1"/>
  <c r="H10" i="1"/>
  <c r="M10" i="1" s="1"/>
  <c r="O10" i="1" s="1"/>
  <c r="Q10" i="1" s="1"/>
  <c r="J7" i="1"/>
  <c r="L7" i="1" s="1"/>
  <c r="M7" i="1"/>
  <c r="O7" i="1" s="1"/>
  <c r="Q7" i="1" s="1"/>
  <c r="H8" i="1"/>
  <c r="O53" i="1" l="1"/>
  <c r="G39" i="1"/>
  <c r="G38" i="1"/>
  <c r="R45" i="1"/>
  <c r="T45" i="1" s="1"/>
  <c r="T47" i="1" s="1"/>
  <c r="H20" i="1"/>
  <c r="Q51" i="1"/>
  <c r="R51" i="1" s="1"/>
  <c r="T51" i="1" s="1"/>
  <c r="R50" i="1"/>
  <c r="T50" i="1" s="1"/>
  <c r="O54" i="1"/>
  <c r="H14" i="1"/>
  <c r="H13" i="1"/>
  <c r="Q47" i="1"/>
  <c r="U9" i="1"/>
  <c r="M9" i="1"/>
  <c r="R7" i="1"/>
  <c r="T7" i="1" s="1"/>
  <c r="U8" i="1"/>
  <c r="M8" i="1"/>
  <c r="O8" i="1" s="1"/>
  <c r="J8" i="1"/>
  <c r="J10" i="1"/>
  <c r="L10" i="1" s="1"/>
  <c r="R10" i="1" s="1"/>
  <c r="T10" i="1" s="1"/>
  <c r="U10" i="1"/>
  <c r="G19" i="1" l="1"/>
  <c r="H19" i="1" s="1"/>
  <c r="M19" i="1" s="1"/>
  <c r="O19" i="1" s="1"/>
  <c r="Q19" i="1" s="1"/>
  <c r="H38" i="1"/>
  <c r="M38" i="1" s="1"/>
  <c r="M39" i="1"/>
  <c r="O39" i="1" s="1"/>
  <c r="Q39" i="1" s="1"/>
  <c r="U39" i="1"/>
  <c r="J39" i="1"/>
  <c r="L39" i="1" s="1"/>
  <c r="Q53" i="1"/>
  <c r="Q54" i="1" s="1"/>
  <c r="J20" i="1"/>
  <c r="L20" i="1" s="1"/>
  <c r="U20" i="1"/>
  <c r="M20" i="1"/>
  <c r="O20" i="1" s="1"/>
  <c r="Q20" i="1" s="1"/>
  <c r="R47" i="1"/>
  <c r="U13" i="1"/>
  <c r="J13" i="1"/>
  <c r="L13" i="1" s="1"/>
  <c r="J14" i="1"/>
  <c r="L14" i="1" s="1"/>
  <c r="U14" i="1"/>
  <c r="H23" i="1"/>
  <c r="M23" i="1" s="1"/>
  <c r="O23" i="1" s="1"/>
  <c r="Q23" i="1" s="1"/>
  <c r="M14" i="1"/>
  <c r="G18" i="1"/>
  <c r="G16" i="1"/>
  <c r="G22" i="1"/>
  <c r="M13" i="1"/>
  <c r="O13" i="1" s="1"/>
  <c r="Q13" i="1" s="1"/>
  <c r="H24" i="1"/>
  <c r="M24" i="1" s="1"/>
  <c r="O24" i="1" s="1"/>
  <c r="Q24" i="1" s="1"/>
  <c r="O9" i="1"/>
  <c r="Q9" i="1" s="1"/>
  <c r="R9" i="1" s="1"/>
  <c r="T9" i="1" s="1"/>
  <c r="L8" i="1"/>
  <c r="Q8" i="1"/>
  <c r="G17" i="1" l="1"/>
  <c r="O38" i="1"/>
  <c r="Q38" i="1" s="1"/>
  <c r="H35" i="1"/>
  <c r="G41" i="1"/>
  <c r="H41" i="1" s="1"/>
  <c r="G40" i="1"/>
  <c r="H40" i="1" s="1"/>
  <c r="M40" i="1" s="1"/>
  <c r="O40" i="1" s="1"/>
  <c r="Q40" i="1" s="1"/>
  <c r="R39" i="1"/>
  <c r="T39" i="1" s="1"/>
  <c r="J38" i="1"/>
  <c r="L38" i="1" s="1"/>
  <c r="U38" i="1"/>
  <c r="R20" i="1"/>
  <c r="T20" i="1" s="1"/>
  <c r="J19" i="1"/>
  <c r="L19" i="1" s="1"/>
  <c r="R19" i="1" s="1"/>
  <c r="T19" i="1" s="1"/>
  <c r="U19" i="1"/>
  <c r="R13" i="1"/>
  <c r="T13" i="1" s="1"/>
  <c r="U24" i="1"/>
  <c r="J24" i="1"/>
  <c r="L24" i="1" s="1"/>
  <c r="R24" i="1" s="1"/>
  <c r="T24" i="1" s="1"/>
  <c r="H18" i="1"/>
  <c r="M18" i="1" s="1"/>
  <c r="O18" i="1" s="1"/>
  <c r="Q18" i="1" s="1"/>
  <c r="H29" i="1"/>
  <c r="H26" i="1"/>
  <c r="H28" i="1"/>
  <c r="M28" i="1" s="1"/>
  <c r="O28" i="1" s="1"/>
  <c r="Q28" i="1" s="1"/>
  <c r="H16" i="1"/>
  <c r="O14" i="1"/>
  <c r="Q14" i="1" s="1"/>
  <c r="R14" i="1" s="1"/>
  <c r="T14" i="1" s="1"/>
  <c r="J23" i="1"/>
  <c r="L23" i="1" s="1"/>
  <c r="R23" i="1" s="1"/>
  <c r="T23" i="1" s="1"/>
  <c r="U23" i="1"/>
  <c r="H22" i="1"/>
  <c r="M25" i="1"/>
  <c r="O25" i="1" s="1"/>
  <c r="Q25" i="1" s="1"/>
  <c r="H17" i="1"/>
  <c r="R8" i="1"/>
  <c r="T8" i="1" s="1"/>
  <c r="R38" i="1" l="1"/>
  <c r="T38" i="1" s="1"/>
  <c r="M22" i="1"/>
  <c r="O22" i="1" s="1"/>
  <c r="Q22" i="1" s="1"/>
  <c r="G27" i="1"/>
  <c r="M17" i="1"/>
  <c r="O17" i="1" s="1"/>
  <c r="Q17" i="1" s="1"/>
  <c r="U35" i="1"/>
  <c r="J35" i="1"/>
  <c r="L35" i="1" s="1"/>
  <c r="M35" i="1"/>
  <c r="O35" i="1" s="1"/>
  <c r="Q35" i="1" s="1"/>
  <c r="U41" i="1"/>
  <c r="M41" i="1"/>
  <c r="U40" i="1"/>
  <c r="J40" i="1"/>
  <c r="L40" i="1" s="1"/>
  <c r="R40" i="1" s="1"/>
  <c r="T40" i="1" s="1"/>
  <c r="J16" i="1"/>
  <c r="L16" i="1" s="1"/>
  <c r="U16" i="1"/>
  <c r="U26" i="1"/>
  <c r="J26" i="1"/>
  <c r="L26" i="1" s="1"/>
  <c r="U18" i="1"/>
  <c r="J18" i="1"/>
  <c r="L18" i="1" s="1"/>
  <c r="R18" i="1" s="1"/>
  <c r="T18" i="1" s="1"/>
  <c r="U25" i="1"/>
  <c r="J25" i="1"/>
  <c r="L25" i="1" s="1"/>
  <c r="R25" i="1" s="1"/>
  <c r="T25" i="1" s="1"/>
  <c r="J17" i="1"/>
  <c r="L17" i="1" s="1"/>
  <c r="U17" i="1"/>
  <c r="J28" i="1"/>
  <c r="L28" i="1" s="1"/>
  <c r="R28" i="1" s="1"/>
  <c r="T28" i="1" s="1"/>
  <c r="U28" i="1"/>
  <c r="M29" i="1"/>
  <c r="O29" i="1" s="1"/>
  <c r="Q29" i="1" s="1"/>
  <c r="J29" i="1"/>
  <c r="L29" i="1" s="1"/>
  <c r="U29" i="1"/>
  <c r="U22" i="1"/>
  <c r="J22" i="1"/>
  <c r="L22" i="1" s="1"/>
  <c r="M16" i="1"/>
  <c r="M26" i="1"/>
  <c r="O26" i="1" s="1"/>
  <c r="Q26" i="1" s="1"/>
  <c r="R22" i="1" l="1"/>
  <c r="T22" i="1" s="1"/>
  <c r="H27" i="1"/>
  <c r="M27" i="1" s="1"/>
  <c r="O27" i="1" s="1"/>
  <c r="Q27" i="1" s="1"/>
  <c r="L41" i="1"/>
  <c r="R35" i="1"/>
  <c r="T35" i="1" s="1"/>
  <c r="O41" i="1"/>
  <c r="Q41" i="1" s="1"/>
  <c r="G34" i="1"/>
  <c r="G31" i="1"/>
  <c r="G32" i="1"/>
  <c r="G33" i="1"/>
  <c r="G37" i="1"/>
  <c r="U42" i="1"/>
  <c r="O16" i="1"/>
  <c r="R26" i="1"/>
  <c r="T26" i="1" s="1"/>
  <c r="J30" i="1"/>
  <c r="L30" i="1" s="1"/>
  <c r="U30" i="1"/>
  <c r="M30" i="1"/>
  <c r="O30" i="1" s="1"/>
  <c r="Q30" i="1" s="1"/>
  <c r="R29" i="1"/>
  <c r="T29" i="1" s="1"/>
  <c r="R17" i="1"/>
  <c r="T17" i="1" s="1"/>
  <c r="R41" i="1" l="1"/>
  <c r="T41" i="1" s="1"/>
  <c r="U27" i="1"/>
  <c r="J27" i="1"/>
  <c r="L27" i="1" s="1"/>
  <c r="R27" i="1" s="1"/>
  <c r="T27" i="1" s="1"/>
  <c r="H31" i="1"/>
  <c r="M31" i="1" s="1"/>
  <c r="O31" i="1" s="1"/>
  <c r="Q31" i="1" s="1"/>
  <c r="H37" i="1"/>
  <c r="H34" i="1"/>
  <c r="M34" i="1" s="1"/>
  <c r="O34" i="1" s="1"/>
  <c r="H33" i="1"/>
  <c r="M33" i="1" s="1"/>
  <c r="O33" i="1" s="1"/>
  <c r="Q33" i="1" s="1"/>
  <c r="H32" i="1"/>
  <c r="R30" i="1"/>
  <c r="T30" i="1" s="1"/>
  <c r="Q16" i="1"/>
  <c r="M32" i="1" l="1"/>
  <c r="O32" i="1" s="1"/>
  <c r="Q32" i="1" s="1"/>
  <c r="G55" i="1"/>
  <c r="Q34" i="1"/>
  <c r="J31" i="1"/>
  <c r="U31" i="1"/>
  <c r="U37" i="1"/>
  <c r="J37" i="1"/>
  <c r="L37" i="1" s="1"/>
  <c r="J34" i="1"/>
  <c r="L34" i="1" s="1"/>
  <c r="U34" i="1"/>
  <c r="U32" i="1"/>
  <c r="J32" i="1"/>
  <c r="L32" i="1" s="1"/>
  <c r="R32" i="1" s="1"/>
  <c r="T32" i="1" s="1"/>
  <c r="J33" i="1"/>
  <c r="L33" i="1" s="1"/>
  <c r="R33" i="1" s="1"/>
  <c r="T33" i="1" s="1"/>
  <c r="U33" i="1"/>
  <c r="M37" i="1"/>
  <c r="O37" i="1" s="1"/>
  <c r="R16" i="1"/>
  <c r="T16" i="1" s="1"/>
  <c r="Q37" i="1" l="1"/>
  <c r="Q42" i="1" s="1"/>
  <c r="O42" i="1"/>
  <c r="J42" i="1"/>
  <c r="H55" i="1"/>
  <c r="M55" i="1" s="1"/>
  <c r="G56" i="1"/>
  <c r="G57" i="1" s="1"/>
  <c r="R34" i="1"/>
  <c r="T34" i="1" s="1"/>
  <c r="L31" i="1"/>
  <c r="L42" i="1" s="1"/>
  <c r="R37" i="1" l="1"/>
  <c r="T37" i="1" s="1"/>
  <c r="O55" i="1"/>
  <c r="M56" i="1"/>
  <c r="M57" i="1" s="1"/>
  <c r="J55" i="1"/>
  <c r="H56" i="1"/>
  <c r="U55" i="1"/>
  <c r="R31" i="1"/>
  <c r="T31" i="1" s="1"/>
  <c r="T42" i="1" s="1"/>
  <c r="H57" i="1" l="1"/>
  <c r="U56" i="1"/>
  <c r="O56" i="1"/>
  <c r="O57" i="1" s="1"/>
  <c r="Q55" i="1"/>
  <c r="Q56" i="1" s="1"/>
  <c r="Q57" i="1" s="1"/>
  <c r="L55" i="1"/>
  <c r="C15" i="2"/>
  <c r="J56" i="1"/>
  <c r="R42" i="1"/>
  <c r="L56" i="1" l="1"/>
  <c r="R55" i="1"/>
  <c r="R56" i="1" s="1"/>
  <c r="M48" i="1"/>
  <c r="O48" i="1" s="1"/>
  <c r="Q48" i="1" s="1"/>
  <c r="U48" i="1"/>
  <c r="J48" i="1"/>
  <c r="L48" i="1" l="1"/>
  <c r="L53" i="1" s="1"/>
  <c r="J53" i="1"/>
  <c r="J54" i="1" s="1"/>
  <c r="J57" i="1" s="1"/>
  <c r="T55" i="1"/>
  <c r="T56" i="1" s="1"/>
  <c r="R48" i="1"/>
  <c r="T48" i="1" s="1"/>
  <c r="T54" i="1" s="1"/>
  <c r="T57" i="1" l="1"/>
  <c r="L54" i="1"/>
  <c r="R53" i="1"/>
  <c r="R54" i="1" l="1"/>
  <c r="L57" i="1"/>
  <c r="R57" i="1" l="1"/>
</calcChain>
</file>

<file path=xl/sharedStrings.xml><?xml version="1.0" encoding="utf-8"?>
<sst xmlns="http://schemas.openxmlformats.org/spreadsheetml/2006/main" count="203" uniqueCount="181">
  <si>
    <t>Type of Survey Instrument</t>
  </si>
  <si>
    <t>Frequency of Response (annual)</t>
  </si>
  <si>
    <t>Total Annual Responses</t>
  </si>
  <si>
    <t>Average Hours per Response</t>
  </si>
  <si>
    <t>Average Hours per response</t>
  </si>
  <si>
    <t>Total Burden Hours</t>
  </si>
  <si>
    <t>Subtotal</t>
  </si>
  <si>
    <t>Hospital record data manager</t>
  </si>
  <si>
    <t>Respondent Description</t>
  </si>
  <si>
    <t>State &amp; Local Government</t>
  </si>
  <si>
    <t>Table A.3.1. Paper and electronic instruments by annual responses</t>
  </si>
  <si>
    <t>Paper Instruments</t>
  </si>
  <si>
    <t>Completed by</t>
  </si>
  <si>
    <t xml:space="preserve">Appendix C:  Participant Referral Form </t>
  </si>
  <si>
    <t>WIC Participant</t>
  </si>
  <si>
    <t>WIC Service Site staff</t>
  </si>
  <si>
    <t>Appendix FF:  State/local Key Informant Interview</t>
  </si>
  <si>
    <t>State/Local WIC personnel</t>
  </si>
  <si>
    <t xml:space="preserve">Appendix V:  Note sheet </t>
  </si>
  <si>
    <t>Daycare providers</t>
  </si>
  <si>
    <t>Appendix BB:  Home Health Care Provider Length/Weight</t>
  </si>
  <si>
    <t>Home health care providers (Westat staff)</t>
  </si>
  <si>
    <t>Subtotal paper instruments</t>
  </si>
  <si>
    <t>Electronic Instruments</t>
  </si>
  <si>
    <t>Appendices E:  Screening &amp; Enrollment Participant Interviews</t>
  </si>
  <si>
    <t>Westat recruiters</t>
  </si>
  <si>
    <t>Appendices I-S:  Participant Interviews</t>
  </si>
  <si>
    <t>Westat interviewers</t>
  </si>
  <si>
    <t>Appendix EE:  Local WIC Staff Online Survey</t>
  </si>
  <si>
    <t>Appendix Y:  WIC Administrative Data Request</t>
  </si>
  <si>
    <t>State/local WIC personnel</t>
  </si>
  <si>
    <t>Appendix Z:  Hospital Data Request</t>
  </si>
  <si>
    <t xml:space="preserve">Appendix AA:  Provider Data Request </t>
  </si>
  <si>
    <t>Health care provider data manager</t>
  </si>
  <si>
    <t>Subtotal electronic instruments</t>
  </si>
  <si>
    <t>Total</t>
  </si>
  <si>
    <t>Respondent Type</t>
  </si>
  <si>
    <t>Provider data manager</t>
  </si>
  <si>
    <t>WIC site staff</t>
  </si>
  <si>
    <t>Sub- Annual Burden</t>
  </si>
  <si>
    <t>Sub-Total Annual Burden</t>
  </si>
  <si>
    <t>Hourly Rate</t>
  </si>
  <si>
    <t>Total Annualized Cost</t>
  </si>
  <si>
    <t xml:space="preserve"> </t>
  </si>
  <si>
    <t xml:space="preserve">Profit/Non-Profit Business </t>
  </si>
  <si>
    <t>State/Local Government Subtotal</t>
  </si>
  <si>
    <t>Profit/Non-Profit Business Subtotal</t>
  </si>
  <si>
    <t>GRAND TOTAL</t>
  </si>
  <si>
    <t>Sample size (a)</t>
  </si>
  <si>
    <t>Appendices</t>
  </si>
  <si>
    <t>%</t>
  </si>
  <si>
    <t>State WIC data manager or POC</t>
  </si>
  <si>
    <t>Individuals and Households</t>
  </si>
  <si>
    <t>WIC Participants</t>
  </si>
  <si>
    <t xml:space="preserve">A </t>
  </si>
  <si>
    <t>B</t>
  </si>
  <si>
    <t>C</t>
  </si>
  <si>
    <t>D</t>
  </si>
  <si>
    <t>N</t>
  </si>
  <si>
    <t>M</t>
  </si>
  <si>
    <t>P</t>
  </si>
  <si>
    <t>(h) Assume 70% of respondents to the 48-mo or 60-mo interview will go to the WIC site or their provider for H/W measurement.  Assume 1 hour for reading letter, travel to/from WIC site or provider, and measuring child.</t>
  </si>
  <si>
    <t>(i) Assume 20% of those who complete interview will not agree to go to WIC/provider but will agree to sign HIPAA form and 50% of these will return form.</t>
  </si>
  <si>
    <t>(j) Assume 20% of those who complete the interview will not agree to go to WIC/provider but will agree to send in provider measures and 25% will do so.</t>
  </si>
  <si>
    <t>(k) Assume 3 will use HHA for measurement.</t>
  </si>
  <si>
    <t>(m) Assume 80% of cohort will read birthday cards.  Mother and child will both read child card.</t>
  </si>
  <si>
    <t xml:space="preserve">(n) Assume study extension webinar attended by all 27 states and 2 reps from each site. </t>
  </si>
  <si>
    <t>(o) Assumes 1 conf. call with state and 1 conf. call with state and site with 2 representatives per site.</t>
  </si>
  <si>
    <t>(q) Assume administrative H/W records will be provided by State WIC office 2 times for those enrolled in WIC who do not return H/W card.</t>
  </si>
  <si>
    <t xml:space="preserve">(r) Assume will request participant contact information from WIC sites about once a month over data collection period. </t>
  </si>
  <si>
    <t>(t) Assume H/W data for participants who returned HIPAA form will be provided by 80% of providers.</t>
  </si>
  <si>
    <r>
      <rPr>
        <sz val="8"/>
        <rFont val="Calibri"/>
        <family val="2"/>
        <scheme val="minor"/>
      </rPr>
      <t xml:space="preserve">(a) 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>4046 = base study total live birth cohort</t>
    </r>
  </si>
  <si>
    <t>K</t>
  </si>
  <si>
    <t>O</t>
  </si>
  <si>
    <t>Q</t>
  </si>
  <si>
    <t>S</t>
  </si>
  <si>
    <t>T1</t>
  </si>
  <si>
    <t>T2</t>
  </si>
  <si>
    <t>(b) Of base study total live birth cohort -- assume about 60% will complete 36-month survey, 57% will complete 42-month survey, 54% will complete 48-month survey; 51% will complete 54-month survey, 49% will complete 60-month survey</t>
  </si>
  <si>
    <t>(c ) Assume study attrition from base study enrolled of 10% per year (e.g., 4,046*.9*.9*.9 = 2,950 for year 3).  Assume 70% will complete contact information form.</t>
  </si>
  <si>
    <t xml:space="preserve">(d)  Assume 85% will read the advance letter. </t>
  </si>
  <si>
    <t>(f) Assume 250 study refusals will be sent letter inviting them to re-enroll in the study and 50% will have a valid address to receive the letter.</t>
  </si>
  <si>
    <t>(l) Potential respondents for  48-mo and 60-mo interviews and HT/WT measures will get 1 or more of the 10 reminders in Appendix E1-E10.  Total burden for these reminders = 11.75 minutes (E1=1 min, E2=1 min, E3=3 min, E4=3 min,  E5=.5 min, E6=.5 min, E7=1 min, E8=.25 min, E9=1 min, E10=.5 min) and average length of time for these reminders is 1.1 minutes (11.25/10).  Assume respondents will get an average of 5 reminders each.</t>
  </si>
  <si>
    <t>(p) Total time burden to is 13 minutes to read correspondence about extension and includes U1 (3 min) or U2 (3 min), V1 (7 min) and V2 (3 min).</t>
  </si>
  <si>
    <t>(s) Assume 60% of participants who return measurement cards will be measured at WIC with about 22 children weighed and measured per site (((1540+1386)*.60)/80=22). Assume 10 minutes for measurements per child.</t>
  </si>
  <si>
    <t>(g) Assume 80% of respondents will have a valid email/text/mail address to receive thank you.</t>
  </si>
  <si>
    <t>(e) Potential respondents for  42-mo and 54-mo interviews may get 1 or more of the 9 reminders in Appendix E1-E9.  Total burden for these reminders = 11.25 minutes (E1=1 min, E2=1 min, E3=3 min, E4=3 min,  
E5=.5 min, E6=.5 min, E7=1 min, E8=.25 min, E9=1 min.) and average length of time for these reminders is 1.25 minutes (11.25/9).  Assume respondents will get an average of 3 reminders each.</t>
  </si>
  <si>
    <t>Study extension flyer (b)</t>
  </si>
  <si>
    <t>Study extension consent form age 2.5 to 5 (b)</t>
  </si>
  <si>
    <t xml:space="preserve">36-mo survey: contact information module (c) </t>
  </si>
  <si>
    <t>39-mo contact information form (d)</t>
  </si>
  <si>
    <t>42-mo advance letter (e)</t>
  </si>
  <si>
    <t>42-mo telephone survey (c )</t>
  </si>
  <si>
    <t>Reminders 42-mo interview (f)</t>
  </si>
  <si>
    <t>Letter to study refusals (g)</t>
  </si>
  <si>
    <t>42-mo thank you (h)</t>
  </si>
  <si>
    <t>45-mo contact information form (d )</t>
  </si>
  <si>
    <t>48-mo advance letter (e)</t>
  </si>
  <si>
    <t>48-mo telephone survey (c)</t>
  </si>
  <si>
    <t>48-mo H/W measurement letter and card (i)</t>
  </si>
  <si>
    <t>HIPAA form 48-mo measurement (j)</t>
  </si>
  <si>
    <t>48-mo Home health agency measurement (l)</t>
  </si>
  <si>
    <t>48-mo thank you  (h)</t>
  </si>
  <si>
    <t>51-mo contact information form (d)</t>
  </si>
  <si>
    <t>54-mo advance letter (e)</t>
  </si>
  <si>
    <t>54-mo telephone survey (c)</t>
  </si>
  <si>
    <t>54-mo thank you (h)</t>
  </si>
  <si>
    <t>57-mo contact information form (d)</t>
  </si>
  <si>
    <t>60-mo advance letter (e)</t>
  </si>
  <si>
    <t>60-mo telephone survey (c)</t>
  </si>
  <si>
    <t>60- mo H/W measurement letter and card (i)</t>
  </si>
  <si>
    <t>HIPAA form 60-mo measurement (j)</t>
  </si>
  <si>
    <t>60-mo text or mail provider measures (k)</t>
  </si>
  <si>
    <t>60-mo home health agency measurement (l)</t>
  </si>
  <si>
    <t>60-mo thank you (h)</t>
  </si>
  <si>
    <t>Birthday card respondent year 4 (n)</t>
  </si>
  <si>
    <t>Birthday card child age 4 (n)</t>
  </si>
  <si>
    <t>Birthday card respondent year 5 (n)</t>
  </si>
  <si>
    <t>E</t>
  </si>
  <si>
    <t>F</t>
  </si>
  <si>
    <t>G1-G9</t>
  </si>
  <si>
    <t>G11</t>
  </si>
  <si>
    <t>H1</t>
  </si>
  <si>
    <t>I</t>
  </si>
  <si>
    <t>J</t>
  </si>
  <si>
    <t>K, L</t>
  </si>
  <si>
    <t>H2</t>
  </si>
  <si>
    <t>H3</t>
  </si>
  <si>
    <t>R</t>
  </si>
  <si>
    <t>H4</t>
  </si>
  <si>
    <t>T3</t>
  </si>
  <si>
    <t>T4</t>
  </si>
  <si>
    <t>Z</t>
  </si>
  <si>
    <t>48-mo Text or email provider measures (k)</t>
  </si>
  <si>
    <t>(c) Of base study total live birth cohort -- assume about 60% will complete 36-month survey, 57% will complete 42-month survey, 54% will complete 48-month survey; 51% will complete 54-month survey, 49% will complete 60-month survey</t>
  </si>
  <si>
    <t>(d Assume study attrition from base study enrolled of 10% per year (e.g., 4,046*.9*.9*.9 = 2,950 for year 3).  Assume 70% will complete contact information form.</t>
  </si>
  <si>
    <t xml:space="preserve">(e)  Assume 85% will read the advance letter. </t>
  </si>
  <si>
    <t>(g) Assume 250 study refusals will be sent letter inviting them to re-enroll in the study and 50% will have a valid address to receive the letter.</t>
  </si>
  <si>
    <t>(h) Assume 80% of respondents will have a valid email/text/mail address to receive thank you.</t>
  </si>
  <si>
    <t>(i) Assume 70% of respondents to the 48-mo or 60-mo interview will go to the WIC site or their provider for H/W measurement.  Assume 1 hour for reading letter, travel to/from WIC site or provider, and measuring child.</t>
  </si>
  <si>
    <t>(j) Assume 20% of those who complete interview will not agree to go to WIC/provider but will agree to sign HIPAA form and 50% of these will return form.</t>
  </si>
  <si>
    <t>(k) Assume 20% of those who complete the interview will not agree to go to WIC/provider but will agree to send in provider measures and 25% will do so.</t>
  </si>
  <si>
    <t>(l) Assume 3 will use HHA for measurement.</t>
  </si>
  <si>
    <t>(n) Assume 80% of cohort will read birthday cards.  Mother and child will both read child card.</t>
  </si>
  <si>
    <t>(b)  Assume study attrition from base enrolled of 10% per year (e.g., 4046*.9*.9* = 3,277) so 3,277 will get flyer and consent for extension.</t>
  </si>
  <si>
    <t>G10</t>
  </si>
  <si>
    <t>(f) Potential respondents for  42-, 48-, 54, and 60-mo interviews may get 1 or more of the 9 reminders in Appendix G1-G9.  Total burden for these reminders = 11.25 minutes (G1=1 min, G2=1 min, G3=3 min, G4=3 min,  
G5=0.5 min, G6=0.5 min, G7=1 min, G8=0.25 min, G9=1 min.) and average length of time for these reminders is 1.25 minutes (11.25/9).  Assume respondents will get an average of 3 reminders each.</t>
  </si>
  <si>
    <t>Height and weight reminders (m)</t>
  </si>
  <si>
    <t>(m) Assume potential respondents for  48-mo and 60-mo HT/WT measures will get an average of 2 reminders to go to WIC or their doctor's office to have their child measured.</t>
  </si>
  <si>
    <t>Reminders 48-mo interview (f)</t>
  </si>
  <si>
    <t>Reminders 54-mo interview (f)</t>
  </si>
  <si>
    <t>Reminders 60-mo interview (f)</t>
  </si>
  <si>
    <t>Individuals and Households Subtotal (o)</t>
  </si>
  <si>
    <t xml:space="preserve">(o) Total respondents + nonrespondents is larger than sample size as some study participants may respond to some data collection activities and be non-respondents for others. </t>
  </si>
  <si>
    <t xml:space="preserve">(p) Assume study extension webinar attended by all 27 states and 2 reps from each site. </t>
  </si>
  <si>
    <t>(q) Assumes 1 conf. call with state and 1 conf. call with state and site with 2 representatives per site.</t>
  </si>
  <si>
    <t>(s) Assume administrative H/W records will be provided by State WIC office 2 times for those enrolled in WIC who do not return H/W card.</t>
  </si>
  <si>
    <t xml:space="preserve">(t) Assume will request participant contact information from WIC sites about once a month over data collection period. </t>
  </si>
  <si>
    <t>(u) Assume 60% of participants who return measurement cards will be measured at WIC with about 22 children weighed and measured per site (((1540+1386)*.60)/80=22). Assume 10 minutes of staff time for measurements per child.</t>
  </si>
  <si>
    <t>(v) Assume H/W data for participants who returned HIPAA form will be provided by 80% of providers.</t>
  </si>
  <si>
    <t>Study extension webinar (p)</t>
  </si>
  <si>
    <t>Conference calls on extension (q)</t>
  </si>
  <si>
    <t>Communication materials (r)</t>
  </si>
  <si>
    <t>HT/WT Admin data form (s)</t>
  </si>
  <si>
    <t>Conference call on extension (q)</t>
  </si>
  <si>
    <t>Request for contact information (t)</t>
  </si>
  <si>
    <t>HT/WT measurement (u)</t>
  </si>
  <si>
    <t>Provider Data Request Form (v)</t>
  </si>
  <si>
    <t>Appendix U
Burden Table</t>
  </si>
  <si>
    <r>
      <rPr>
        <sz val="8"/>
        <rFont val="Calibri"/>
        <family val="2"/>
        <scheme val="minor"/>
      </rPr>
      <t xml:space="preserve">(a) 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>4046 = base study total live birth cohort, out of 4367 enrolled initially.</t>
    </r>
  </si>
  <si>
    <t>Number of Respondents (o)</t>
  </si>
  <si>
    <t>Number of non -respondents (o)</t>
  </si>
  <si>
    <t>(r) Total time burden is 16 minutes to read correspondence about extension and includes W1 (3 min) or W2 (3 min), X1 (7 min) , X2 (3 min), along with a short phone call after the webinar and conference call to answer any questions (3 min).</t>
  </si>
  <si>
    <t>Birthday card child age 5 (n)</t>
  </si>
  <si>
    <t>V</t>
  </si>
  <si>
    <t>W1</t>
  </si>
  <si>
    <t xml:space="preserve"> X1, X2, Y1, Y2</t>
  </si>
  <si>
    <t>Y3</t>
  </si>
  <si>
    <t>W2</t>
  </si>
  <si>
    <t>X1, X2, Y1, Y2</t>
  </si>
  <si>
    <t>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</si>
</sst>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_(* #,##0_);_(* \(#,##0\);_(* &quot;-&quot;??_);_(@_)"/>
    <numFmt numFmtId="166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sz val="8"/>
      <name val="Calibri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000000"/>
      <name val="Calibri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FBED7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5">
    <xf numFmtId="0" fontId="0" fillId="0" borderId="0" xfId="0"/>
    <xf numFmtId="0" fontId="0" fillId="0" borderId="4" xfId="0" applyBorder="1"/>
    <xf numFmtId="0" fontId="4" fillId="0" borderId="0" xfId="0" applyFont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3" fontId="6" fillId="4" borderId="8" xfId="0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right" vertical="center" wrapText="1"/>
    </xf>
    <xf numFmtId="0" fontId="6" fillId="4" borderId="2" xfId="0" applyFont="1" applyFill="1" applyBorder="1" applyAlignment="1">
      <alignment horizontal="justify" vertical="center"/>
    </xf>
    <xf numFmtId="0" fontId="7" fillId="4" borderId="2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right" vertical="center"/>
    </xf>
    <xf numFmtId="0" fontId="7" fillId="4" borderId="10" xfId="0" applyFont="1" applyFill="1" applyBorder="1" applyAlignment="1">
      <alignment vertical="center"/>
    </xf>
    <xf numFmtId="0" fontId="7" fillId="4" borderId="1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vertical="center"/>
    </xf>
    <xf numFmtId="3" fontId="7" fillId="4" borderId="0" xfId="0" applyNumberFormat="1" applyFont="1" applyFill="1" applyBorder="1" applyAlignment="1">
      <alignment vertical="center"/>
    </xf>
    <xf numFmtId="3" fontId="3" fillId="0" borderId="6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9" fontId="7" fillId="4" borderId="1" xfId="1" applyFont="1" applyFill="1" applyBorder="1" applyAlignment="1">
      <alignment horizontal="center" vertical="center" wrapText="1"/>
    </xf>
    <xf numFmtId="9" fontId="7" fillId="4" borderId="11" xfId="1" applyFont="1" applyFill="1" applyBorder="1" applyAlignment="1">
      <alignment horizontal="center" vertical="center" wrapText="1"/>
    </xf>
    <xf numFmtId="4" fontId="6" fillId="4" borderId="8" xfId="0" applyNumberFormat="1" applyFont="1" applyFill="1" applyBorder="1" applyAlignment="1">
      <alignment horizontal="right" vertical="center"/>
    </xf>
    <xf numFmtId="4" fontId="7" fillId="4" borderId="8" xfId="0" applyNumberFormat="1" applyFont="1" applyFill="1" applyBorder="1" applyAlignment="1">
      <alignment horizontal="right" vertical="center"/>
    </xf>
    <xf numFmtId="1" fontId="2" fillId="0" borderId="4" xfId="0" applyNumberFormat="1" applyFont="1" applyFill="1" applyBorder="1" applyAlignment="1">
      <alignment horizontal="right" vertical="center"/>
    </xf>
    <xf numFmtId="1" fontId="2" fillId="0" borderId="4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11" fillId="0" borderId="0" xfId="0" applyFont="1"/>
    <xf numFmtId="0" fontId="2" fillId="0" borderId="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164" fontId="11" fillId="0" borderId="0" xfId="0" applyNumberFormat="1" applyFont="1"/>
    <xf numFmtId="164" fontId="2" fillId="0" borderId="4" xfId="0" applyNumberFormat="1" applyFont="1" applyFill="1" applyBorder="1" applyAlignment="1">
      <alignment horizontal="right" vertical="center"/>
    </xf>
    <xf numFmtId="0" fontId="13" fillId="2" borderId="0" xfId="0" applyFont="1" applyFill="1" applyBorder="1" applyAlignment="1">
      <alignment horizontal="center" textRotation="90" wrapText="1"/>
    </xf>
    <xf numFmtId="9" fontId="12" fillId="0" borderId="0" xfId="1" applyFont="1"/>
    <xf numFmtId="3" fontId="0" fillId="0" borderId="0" xfId="0" applyNumberFormat="1"/>
    <xf numFmtId="0" fontId="12" fillId="0" borderId="0" xfId="0" applyFont="1"/>
    <xf numFmtId="9" fontId="12" fillId="0" borderId="0" xfId="1" applyFont="1" applyFill="1"/>
    <xf numFmtId="3" fontId="0" fillId="0" borderId="0" xfId="0" applyNumberFormat="1" applyFill="1"/>
    <xf numFmtId="0" fontId="0" fillId="0" borderId="0" xfId="0" applyFill="1"/>
    <xf numFmtId="164" fontId="2" fillId="0" borderId="4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vertical="center"/>
    </xf>
    <xf numFmtId="1" fontId="8" fillId="0" borderId="4" xfId="0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0" fontId="14" fillId="0" borderId="0" xfId="0" applyFont="1"/>
    <xf numFmtId="2" fontId="2" fillId="0" borderId="4" xfId="0" applyNumberFormat="1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right" vertical="center" wrapText="1"/>
    </xf>
    <xf numFmtId="3" fontId="2" fillId="0" borderId="4" xfId="0" applyNumberFormat="1" applyFont="1" applyFill="1" applyBorder="1" applyAlignment="1">
      <alignment horizontal="right" vertical="center"/>
    </xf>
    <xf numFmtId="2" fontId="2" fillId="0" borderId="4" xfId="0" applyNumberFormat="1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right" vertical="center" wrapText="1"/>
    </xf>
    <xf numFmtId="0" fontId="9" fillId="0" borderId="4" xfId="0" applyFont="1" applyFill="1" applyBorder="1" applyAlignment="1">
      <alignment horizontal="center" wrapText="1"/>
    </xf>
    <xf numFmtId="166" fontId="2" fillId="0" borderId="4" xfId="3" applyNumberFormat="1" applyFont="1" applyFill="1" applyBorder="1" applyAlignment="1">
      <alignment horizontal="center" vertical="center" wrapText="1"/>
    </xf>
    <xf numFmtId="166" fontId="2" fillId="0" borderId="4" xfId="3" applyNumberFormat="1" applyFont="1" applyFill="1" applyBorder="1" applyAlignment="1">
      <alignment horizontal="right" vertical="center" wrapText="1"/>
    </xf>
    <xf numFmtId="0" fontId="2" fillId="0" borderId="14" xfId="0" applyFont="1" applyBorder="1" applyAlignment="1">
      <alignment horizontal="center" wrapText="1"/>
    </xf>
    <xf numFmtId="0" fontId="8" fillId="2" borderId="3" xfId="0" applyFont="1" applyFill="1" applyBorder="1" applyAlignment="1">
      <alignment horizontal="center" textRotation="90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vertical="center" wrapText="1"/>
    </xf>
    <xf numFmtId="3" fontId="2" fillId="0" borderId="14" xfId="0" applyNumberFormat="1" applyFont="1" applyFill="1" applyBorder="1" applyAlignment="1">
      <alignment horizontal="right" vertical="center" wrapText="1"/>
    </xf>
    <xf numFmtId="0" fontId="2" fillId="0" borderId="14" xfId="0" applyFont="1" applyFill="1" applyBorder="1" applyAlignment="1">
      <alignment horizontal="right" vertical="center" wrapText="1"/>
    </xf>
    <xf numFmtId="1" fontId="2" fillId="0" borderId="14" xfId="0" applyNumberFormat="1" applyFont="1" applyFill="1" applyBorder="1" applyAlignment="1">
      <alignment horizontal="right" vertical="center"/>
    </xf>
    <xf numFmtId="1" fontId="2" fillId="0" borderId="14" xfId="0" applyNumberFormat="1" applyFont="1" applyFill="1" applyBorder="1" applyAlignment="1">
      <alignment horizontal="right" vertical="center" wrapText="1"/>
    </xf>
    <xf numFmtId="164" fontId="2" fillId="0" borderId="14" xfId="0" applyNumberFormat="1" applyFont="1" applyFill="1" applyBorder="1" applyAlignment="1">
      <alignment horizontal="right" vertical="center"/>
    </xf>
    <xf numFmtId="164" fontId="2" fillId="0" borderId="14" xfId="0" applyNumberFormat="1" applyFont="1" applyFill="1" applyBorder="1" applyAlignment="1">
      <alignment horizontal="right" vertical="center" wrapText="1"/>
    </xf>
    <xf numFmtId="2" fontId="2" fillId="0" borderId="14" xfId="0" applyNumberFormat="1" applyFont="1" applyFill="1" applyBorder="1" applyAlignment="1">
      <alignment horizontal="right" vertical="center" wrapText="1"/>
    </xf>
    <xf numFmtId="166" fontId="2" fillId="0" borderId="14" xfId="3" applyNumberFormat="1" applyFont="1" applyFill="1" applyBorder="1" applyAlignment="1">
      <alignment horizontal="center" vertical="center" wrapText="1"/>
    </xf>
    <xf numFmtId="166" fontId="2" fillId="0" borderId="14" xfId="3" applyNumberFormat="1" applyFont="1" applyFill="1" applyBorder="1" applyAlignment="1">
      <alignment horizontal="right" vertical="center" wrapText="1"/>
    </xf>
    <xf numFmtId="165" fontId="2" fillId="0" borderId="4" xfId="2" applyNumberFormat="1" applyFont="1" applyFill="1" applyBorder="1" applyAlignment="1">
      <alignment horizontal="right" vertical="center"/>
    </xf>
    <xf numFmtId="165" fontId="2" fillId="0" borderId="4" xfId="2" applyNumberFormat="1" applyFont="1" applyFill="1" applyBorder="1" applyAlignment="1">
      <alignment horizontal="right" vertical="center" wrapText="1"/>
    </xf>
    <xf numFmtId="3" fontId="2" fillId="0" borderId="13" xfId="0" applyNumberFormat="1" applyFont="1" applyFill="1" applyBorder="1" applyAlignment="1">
      <alignment horizontal="right" vertical="center" wrapText="1"/>
    </xf>
    <xf numFmtId="3" fontId="2" fillId="0" borderId="13" xfId="0" applyNumberFormat="1" applyFont="1" applyFill="1" applyBorder="1" applyAlignment="1">
      <alignment horizontal="right" vertical="center"/>
    </xf>
    <xf numFmtId="1" fontId="2" fillId="0" borderId="13" xfId="0" applyNumberFormat="1" applyFont="1" applyFill="1" applyBorder="1" applyAlignment="1">
      <alignment horizontal="right" vertical="center"/>
    </xf>
    <xf numFmtId="165" fontId="2" fillId="0" borderId="13" xfId="2" applyNumberFormat="1" applyFont="1" applyFill="1" applyBorder="1" applyAlignment="1">
      <alignment horizontal="right" vertical="center"/>
    </xf>
    <xf numFmtId="164" fontId="2" fillId="0" borderId="13" xfId="0" applyNumberFormat="1" applyFont="1" applyFill="1" applyBorder="1" applyAlignment="1">
      <alignment horizontal="right" vertical="center"/>
    </xf>
    <xf numFmtId="164" fontId="2" fillId="0" borderId="13" xfId="0" applyNumberFormat="1" applyFont="1" applyFill="1" applyBorder="1" applyAlignment="1">
      <alignment horizontal="right" vertical="center" wrapText="1"/>
    </xf>
    <xf numFmtId="2" fontId="2" fillId="0" borderId="13" xfId="0" applyNumberFormat="1" applyFont="1" applyFill="1" applyBorder="1" applyAlignment="1">
      <alignment horizontal="right" vertical="center" wrapText="1"/>
    </xf>
    <xf numFmtId="166" fontId="2" fillId="0" borderId="13" xfId="3" applyNumberFormat="1" applyFont="1" applyFill="1" applyBorder="1" applyAlignment="1">
      <alignment horizontal="center" vertical="center" wrapText="1"/>
    </xf>
    <xf numFmtId="166" fontId="2" fillId="0" borderId="13" xfId="3" applyNumberFormat="1" applyFont="1" applyFill="1" applyBorder="1" applyAlignment="1">
      <alignment horizontal="right" vertical="center" wrapText="1"/>
    </xf>
    <xf numFmtId="1" fontId="8" fillId="0" borderId="4" xfId="0" applyNumberFormat="1" applyFont="1" applyFill="1" applyBorder="1" applyAlignment="1">
      <alignment horizontal="right" vertical="center"/>
    </xf>
    <xf numFmtId="164" fontId="8" fillId="0" borderId="4" xfId="0" applyNumberFormat="1" applyFont="1" applyFill="1" applyBorder="1" applyAlignment="1">
      <alignment horizontal="right" vertical="center"/>
    </xf>
    <xf numFmtId="164" fontId="8" fillId="0" borderId="4" xfId="0" applyNumberFormat="1" applyFont="1" applyFill="1" applyBorder="1" applyAlignment="1">
      <alignment horizontal="right" vertical="center" wrapText="1"/>
    </xf>
    <xf numFmtId="2" fontId="8" fillId="0" borderId="4" xfId="0" applyNumberFormat="1" applyFont="1" applyFill="1" applyBorder="1" applyAlignment="1">
      <alignment horizontal="right" vertical="center" wrapText="1"/>
    </xf>
    <xf numFmtId="0" fontId="8" fillId="0" borderId="13" xfId="0" applyFont="1" applyFill="1" applyBorder="1" applyAlignment="1">
      <alignment horizontal="center" wrapText="1"/>
    </xf>
    <xf numFmtId="3" fontId="8" fillId="0" borderId="13" xfId="0" applyNumberFormat="1" applyFont="1" applyFill="1" applyBorder="1" applyAlignment="1">
      <alignment horizontal="right" vertical="center" wrapText="1"/>
    </xf>
    <xf numFmtId="0" fontId="8" fillId="0" borderId="13" xfId="0" applyFont="1" applyFill="1" applyBorder="1" applyAlignment="1">
      <alignment horizontal="right" vertical="center" wrapText="1"/>
    </xf>
    <xf numFmtId="1" fontId="8" fillId="0" borderId="13" xfId="0" applyNumberFormat="1" applyFont="1" applyFill="1" applyBorder="1" applyAlignment="1">
      <alignment horizontal="right" vertical="center"/>
    </xf>
    <xf numFmtId="165" fontId="8" fillId="0" borderId="13" xfId="2" applyNumberFormat="1" applyFont="1" applyFill="1" applyBorder="1" applyAlignment="1">
      <alignment horizontal="right" vertical="center" wrapText="1"/>
    </xf>
    <xf numFmtId="164" fontId="8" fillId="0" borderId="13" xfId="0" applyNumberFormat="1" applyFont="1" applyFill="1" applyBorder="1" applyAlignment="1">
      <alignment horizontal="right" vertical="center"/>
    </xf>
    <xf numFmtId="1" fontId="8" fillId="0" borderId="13" xfId="0" applyNumberFormat="1" applyFont="1" applyFill="1" applyBorder="1" applyAlignment="1">
      <alignment horizontal="right" vertical="center" wrapText="1"/>
    </xf>
    <xf numFmtId="164" fontId="8" fillId="0" borderId="13" xfId="0" applyNumberFormat="1" applyFont="1" applyFill="1" applyBorder="1" applyAlignment="1">
      <alignment horizontal="right" vertical="center" wrapText="1"/>
    </xf>
    <xf numFmtId="2" fontId="8" fillId="0" borderId="13" xfId="0" applyNumberFormat="1" applyFont="1" applyFill="1" applyBorder="1" applyAlignment="1">
      <alignment horizontal="right" vertical="center" wrapText="1"/>
    </xf>
    <xf numFmtId="166" fontId="8" fillId="0" borderId="13" xfId="3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wrapText="1"/>
    </xf>
    <xf numFmtId="3" fontId="8" fillId="0" borderId="15" xfId="0" applyNumberFormat="1" applyFont="1" applyFill="1" applyBorder="1" applyAlignment="1">
      <alignment horizontal="right" vertical="center" wrapText="1"/>
    </xf>
    <xf numFmtId="1" fontId="10" fillId="0" borderId="15" xfId="0" applyNumberFormat="1" applyFont="1" applyFill="1" applyBorder="1" applyAlignment="1">
      <alignment horizontal="right" vertical="center"/>
    </xf>
    <xf numFmtId="165" fontId="8" fillId="0" borderId="15" xfId="2" applyNumberFormat="1" applyFont="1" applyFill="1" applyBorder="1" applyAlignment="1">
      <alignment horizontal="right" vertical="center" wrapText="1"/>
    </xf>
    <xf numFmtId="164" fontId="10" fillId="0" borderId="15" xfId="0" applyNumberFormat="1" applyFont="1" applyFill="1" applyBorder="1" applyAlignment="1">
      <alignment horizontal="right" vertical="center"/>
    </xf>
    <xf numFmtId="2" fontId="8" fillId="0" borderId="15" xfId="0" applyNumberFormat="1" applyFont="1" applyFill="1" applyBorder="1" applyAlignment="1">
      <alignment horizontal="right" vertical="center" wrapText="1"/>
    </xf>
    <xf numFmtId="1" fontId="8" fillId="0" borderId="15" xfId="0" applyNumberFormat="1" applyFont="1" applyFill="1" applyBorder="1" applyAlignment="1">
      <alignment horizontal="right" vertical="center" wrapText="1"/>
    </xf>
    <xf numFmtId="166" fontId="2" fillId="0" borderId="15" xfId="3" applyNumberFormat="1" applyFont="1" applyFill="1" applyBorder="1" applyAlignment="1">
      <alignment horizontal="center" vertical="center" wrapText="1"/>
    </xf>
    <xf numFmtId="166" fontId="8" fillId="0" borderId="15" xfId="3" applyNumberFormat="1" applyFont="1" applyFill="1" applyBorder="1" applyAlignment="1">
      <alignment horizontal="right" vertical="center" wrapText="1"/>
    </xf>
    <xf numFmtId="0" fontId="9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wrapText="1"/>
    </xf>
    <xf numFmtId="0" fontId="2" fillId="0" borderId="16" xfId="0" applyFont="1" applyBorder="1" applyAlignment="1">
      <alignment horizontal="center" vertical="center" wrapText="1"/>
    </xf>
    <xf numFmtId="3" fontId="2" fillId="0" borderId="16" xfId="0" applyNumberFormat="1" applyFont="1" applyFill="1" applyBorder="1" applyAlignment="1">
      <alignment horizontal="right" vertical="center" wrapText="1"/>
    </xf>
    <xf numFmtId="1" fontId="2" fillId="0" borderId="16" xfId="0" applyNumberFormat="1" applyFont="1" applyFill="1" applyBorder="1" applyAlignment="1">
      <alignment horizontal="right" vertical="center" wrapText="1"/>
    </xf>
    <xf numFmtId="1" fontId="2" fillId="0" borderId="16" xfId="0" applyNumberFormat="1" applyFont="1" applyBorder="1" applyAlignment="1">
      <alignment horizontal="right" vertical="center"/>
    </xf>
    <xf numFmtId="165" fontId="2" fillId="0" borderId="16" xfId="2" applyNumberFormat="1" applyFont="1" applyBorder="1" applyAlignment="1">
      <alignment horizontal="right" vertical="center" wrapText="1"/>
    </xf>
    <xf numFmtId="164" fontId="2" fillId="0" borderId="16" xfId="0" applyNumberFormat="1" applyFont="1" applyBorder="1" applyAlignment="1">
      <alignment horizontal="right" vertical="center"/>
    </xf>
    <xf numFmtId="1" fontId="2" fillId="0" borderId="16" xfId="0" applyNumberFormat="1" applyFont="1" applyBorder="1" applyAlignment="1">
      <alignment horizontal="right" vertical="center" wrapText="1"/>
    </xf>
    <xf numFmtId="164" fontId="2" fillId="0" borderId="16" xfId="0" applyNumberFormat="1" applyFont="1" applyBorder="1" applyAlignment="1">
      <alignment horizontal="right" vertical="center" wrapText="1"/>
    </xf>
    <xf numFmtId="2" fontId="2" fillId="0" borderId="16" xfId="0" applyNumberFormat="1" applyFont="1" applyFill="1" applyBorder="1" applyAlignment="1">
      <alignment horizontal="right" vertical="center" wrapText="1"/>
    </xf>
    <xf numFmtId="166" fontId="2" fillId="0" borderId="16" xfId="3" applyNumberFormat="1" applyFont="1" applyFill="1" applyBorder="1" applyAlignment="1">
      <alignment horizontal="center" vertical="center" wrapText="1"/>
    </xf>
    <xf numFmtId="166" fontId="2" fillId="0" borderId="16" xfId="3" applyNumberFormat="1" applyFont="1" applyFill="1" applyBorder="1" applyAlignment="1">
      <alignment horizontal="right" vertical="center" wrapText="1"/>
    </xf>
    <xf numFmtId="164" fontId="8" fillId="0" borderId="15" xfId="0" applyNumberFormat="1" applyFont="1" applyFill="1" applyBorder="1" applyAlignment="1">
      <alignment horizontal="right" vertical="center" wrapText="1"/>
    </xf>
    <xf numFmtId="166" fontId="8" fillId="0" borderId="15" xfId="3" applyNumberFormat="1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wrapText="1"/>
    </xf>
    <xf numFmtId="3" fontId="8" fillId="5" borderId="15" xfId="0" applyNumberFormat="1" applyFont="1" applyFill="1" applyBorder="1" applyAlignment="1">
      <alignment horizontal="right" vertical="center" wrapText="1"/>
    </xf>
    <xf numFmtId="1" fontId="8" fillId="5" borderId="15" xfId="0" applyNumberFormat="1" applyFont="1" applyFill="1" applyBorder="1" applyAlignment="1">
      <alignment horizontal="right" vertical="center" wrapText="1"/>
    </xf>
    <xf numFmtId="165" fontId="8" fillId="5" borderId="15" xfId="2" applyNumberFormat="1" applyFont="1" applyFill="1" applyBorder="1" applyAlignment="1">
      <alignment horizontal="right" vertical="center" wrapText="1"/>
    </xf>
    <xf numFmtId="164" fontId="8" fillId="5" borderId="15" xfId="0" applyNumberFormat="1" applyFont="1" applyFill="1" applyBorder="1" applyAlignment="1">
      <alignment horizontal="right" vertical="center" wrapText="1"/>
    </xf>
    <xf numFmtId="3" fontId="8" fillId="5" borderId="15" xfId="2" applyNumberFormat="1" applyFont="1" applyFill="1" applyBorder="1" applyAlignment="1">
      <alignment horizontal="right" vertical="center" wrapText="1"/>
    </xf>
    <xf numFmtId="2" fontId="8" fillId="5" borderId="15" xfId="0" applyNumberFormat="1" applyFont="1" applyFill="1" applyBorder="1" applyAlignment="1">
      <alignment horizontal="right" vertical="center" wrapText="1"/>
    </xf>
    <xf numFmtId="166" fontId="8" fillId="5" borderId="15" xfId="3" applyNumberFormat="1" applyFont="1" applyFill="1" applyBorder="1" applyAlignment="1">
      <alignment horizontal="center" vertical="center" wrapText="1"/>
    </xf>
    <xf numFmtId="166" fontId="8" fillId="5" borderId="15" xfId="3" applyNumberFormat="1" applyFont="1" applyFill="1" applyBorder="1" applyAlignment="1">
      <alignment horizontal="right" vertical="center" wrapText="1"/>
    </xf>
    <xf numFmtId="9" fontId="12" fillId="0" borderId="0" xfId="1" applyFont="1" applyFill="1" applyBorder="1"/>
    <xf numFmtId="3" fontId="0" fillId="0" borderId="0" xfId="0" applyNumberFormat="1" applyFill="1" applyBorder="1"/>
    <xf numFmtId="0" fontId="0" fillId="0" borderId="0" xfId="0" applyFill="1" applyBorder="1"/>
    <xf numFmtId="0" fontId="8" fillId="0" borderId="15" xfId="0" applyFont="1" applyFill="1" applyBorder="1" applyAlignment="1">
      <alignment horizontal="center" vertical="center" wrapText="1"/>
    </xf>
    <xf numFmtId="1" fontId="8" fillId="0" borderId="15" xfId="0" applyNumberFormat="1" applyFont="1" applyFill="1" applyBorder="1" applyAlignment="1">
      <alignment horizontal="right" vertical="center"/>
    </xf>
    <xf numFmtId="165" fontId="8" fillId="0" borderId="15" xfId="2" applyNumberFormat="1" applyFont="1" applyFill="1" applyBorder="1" applyAlignment="1">
      <alignment horizontal="right" vertical="center"/>
    </xf>
    <xf numFmtId="164" fontId="8" fillId="0" borderId="15" xfId="2" applyNumberFormat="1" applyFont="1" applyFill="1" applyBorder="1" applyAlignment="1">
      <alignment horizontal="right" vertical="center"/>
    </xf>
    <xf numFmtId="2" fontId="8" fillId="0" borderId="15" xfId="2" applyNumberFormat="1" applyFont="1" applyFill="1" applyBorder="1" applyAlignment="1">
      <alignment horizontal="right" vertical="center"/>
    </xf>
    <xf numFmtId="43" fontId="8" fillId="0" borderId="15" xfId="2" applyFont="1" applyFill="1" applyBorder="1" applyAlignment="1">
      <alignment horizontal="right" vertical="center"/>
    </xf>
    <xf numFmtId="166" fontId="2" fillId="0" borderId="15" xfId="3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center" wrapText="1"/>
    </xf>
    <xf numFmtId="164" fontId="8" fillId="2" borderId="3" xfId="0" applyNumberFormat="1" applyFont="1" applyFill="1" applyBorder="1" applyAlignment="1">
      <alignment horizontal="center" textRotation="90" wrapText="1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4" fontId="2" fillId="0" borderId="4" xfId="0" applyNumberFormat="1" applyFont="1" applyFill="1" applyBorder="1" applyAlignment="1">
      <alignment horizontal="right" vertical="center"/>
    </xf>
    <xf numFmtId="4" fontId="2" fillId="0" borderId="4" xfId="2" applyNumberFormat="1" applyFont="1" applyFill="1" applyBorder="1" applyAlignment="1">
      <alignment horizontal="right" vertical="center"/>
    </xf>
    <xf numFmtId="4" fontId="2" fillId="0" borderId="13" xfId="0" applyNumberFormat="1" applyFont="1" applyFill="1" applyBorder="1" applyAlignment="1">
      <alignment horizontal="right" vertical="center"/>
    </xf>
    <xf numFmtId="4" fontId="8" fillId="0" borderId="15" xfId="2" applyNumberFormat="1" applyFont="1" applyFill="1" applyBorder="1" applyAlignment="1">
      <alignment horizontal="right" vertical="center"/>
    </xf>
    <xf numFmtId="4" fontId="2" fillId="0" borderId="14" xfId="0" applyNumberFormat="1" applyFont="1" applyFill="1" applyBorder="1" applyAlignment="1">
      <alignment horizontal="right" vertical="center"/>
    </xf>
    <xf numFmtId="4" fontId="8" fillId="0" borderId="4" xfId="0" applyNumberFormat="1" applyFont="1" applyFill="1" applyBorder="1" applyAlignment="1">
      <alignment horizontal="right" vertical="center"/>
    </xf>
    <xf numFmtId="4" fontId="8" fillId="0" borderId="13" xfId="0" applyNumberFormat="1" applyFont="1" applyFill="1" applyBorder="1" applyAlignment="1">
      <alignment horizontal="right" vertical="center"/>
    </xf>
    <xf numFmtId="4" fontId="8" fillId="0" borderId="15" xfId="0" applyNumberFormat="1" applyFont="1" applyFill="1" applyBorder="1" applyAlignment="1">
      <alignment horizontal="right" vertical="center" wrapText="1"/>
    </xf>
    <xf numFmtId="4" fontId="2" fillId="0" borderId="16" xfId="0" applyNumberFormat="1" applyFont="1" applyBorder="1" applyAlignment="1">
      <alignment horizontal="right" vertical="center"/>
    </xf>
    <xf numFmtId="4" fontId="8" fillId="5" borderId="15" xfId="2" applyNumberFormat="1" applyFont="1" applyFill="1" applyBorder="1" applyAlignment="1">
      <alignment horizontal="right" vertical="center" wrapText="1"/>
    </xf>
    <xf numFmtId="4" fontId="2" fillId="0" borderId="4" xfId="0" applyNumberFormat="1" applyFont="1" applyFill="1" applyBorder="1" applyAlignment="1">
      <alignment horizontal="right" vertical="center" wrapText="1"/>
    </xf>
    <xf numFmtId="4" fontId="2" fillId="0" borderId="13" xfId="0" applyNumberFormat="1" applyFont="1" applyFill="1" applyBorder="1" applyAlignment="1">
      <alignment horizontal="right" vertical="center" wrapText="1"/>
    </xf>
    <xf numFmtId="4" fontId="8" fillId="0" borderId="15" xfId="2" applyNumberFormat="1" applyFont="1" applyFill="1" applyBorder="1" applyAlignment="1">
      <alignment horizontal="right" vertical="center" wrapText="1"/>
    </xf>
    <xf numFmtId="4" fontId="2" fillId="0" borderId="14" xfId="0" applyNumberFormat="1" applyFont="1" applyFill="1" applyBorder="1" applyAlignment="1">
      <alignment horizontal="right" vertical="center" wrapText="1"/>
    </xf>
    <xf numFmtId="4" fontId="8" fillId="0" borderId="4" xfId="0" applyNumberFormat="1" applyFont="1" applyFill="1" applyBorder="1" applyAlignment="1">
      <alignment horizontal="right" vertical="center" wrapText="1"/>
    </xf>
    <xf numFmtId="4" fontId="8" fillId="0" borderId="13" xfId="0" applyNumberFormat="1" applyFont="1" applyFill="1" applyBorder="1" applyAlignment="1">
      <alignment horizontal="right" vertical="center" wrapText="1"/>
    </xf>
    <xf numFmtId="4" fontId="2" fillId="0" borderId="16" xfId="0" applyNumberFormat="1" applyFont="1" applyFill="1" applyBorder="1" applyAlignment="1">
      <alignment horizontal="right" vertical="center" wrapText="1"/>
    </xf>
    <xf numFmtId="0" fontId="3" fillId="0" borderId="0" xfId="0" applyFont="1"/>
    <xf numFmtId="164" fontId="15" fillId="0" borderId="0" xfId="0" applyNumberFormat="1" applyFont="1"/>
    <xf numFmtId="0" fontId="15" fillId="0" borderId="0" xfId="0" applyFont="1"/>
    <xf numFmtId="3" fontId="8" fillId="2" borderId="3" xfId="0" applyNumberFormat="1" applyFont="1" applyFill="1" applyBorder="1" applyAlignment="1">
      <alignment horizontal="center" textRotation="90" wrapText="1"/>
    </xf>
    <xf numFmtId="3" fontId="2" fillId="0" borderId="4" xfId="2" applyNumberFormat="1" applyFont="1" applyFill="1" applyBorder="1" applyAlignment="1">
      <alignment horizontal="right" vertical="center" wrapText="1"/>
    </xf>
    <xf numFmtId="3" fontId="8" fillId="0" borderId="15" xfId="2" applyNumberFormat="1" applyFont="1" applyFill="1" applyBorder="1" applyAlignment="1">
      <alignment horizontal="right" vertical="center"/>
    </xf>
    <xf numFmtId="3" fontId="8" fillId="0" borderId="4" xfId="0" applyNumberFormat="1" applyFont="1" applyFill="1" applyBorder="1" applyAlignment="1">
      <alignment horizontal="right" vertical="center" wrapText="1"/>
    </xf>
    <xf numFmtId="3" fontId="2" fillId="0" borderId="16" xfId="0" applyNumberFormat="1" applyFont="1" applyBorder="1" applyAlignment="1">
      <alignment horizontal="right" vertical="center" wrapText="1"/>
    </xf>
    <xf numFmtId="3" fontId="11" fillId="0" borderId="0" xfId="0" applyNumberFormat="1" applyFont="1"/>
    <xf numFmtId="0" fontId="8" fillId="2" borderId="17" xfId="0" applyFont="1" applyFill="1" applyBorder="1" applyAlignment="1">
      <alignment horizontal="center" wrapText="1"/>
    </xf>
    <xf numFmtId="0" fontId="0" fillId="0" borderId="19" xfId="0" applyFill="1" applyBorder="1"/>
    <xf numFmtId="166" fontId="8" fillId="0" borderId="13" xfId="3" applyNumberFormat="1" applyFont="1" applyFill="1" applyBorder="1" applyAlignment="1">
      <alignment horizontal="right" vertical="center" wrapText="1"/>
    </xf>
    <xf numFmtId="0" fontId="11" fillId="6" borderId="0" xfId="0" applyFont="1" applyFill="1" applyAlignment="1">
      <alignment horizontal="center" wrapText="1"/>
    </xf>
    <xf numFmtId="0" fontId="11" fillId="6" borderId="0" xfId="0" applyFont="1" applyFill="1" applyAlignment="1">
      <alignment horizontal="center"/>
    </xf>
    <xf numFmtId="0" fontId="11" fillId="6" borderId="8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2" fontId="2" fillId="0" borderId="4" xfId="0" applyNumberFormat="1" applyFont="1" applyBorder="1" applyAlignment="1">
      <alignment horizontal="center" vertical="center" textRotation="90" wrapText="1"/>
    </xf>
    <xf numFmtId="2" fontId="2" fillId="0" borderId="13" xfId="0" applyNumberFormat="1" applyFont="1" applyBorder="1" applyAlignment="1">
      <alignment horizontal="center" vertical="center" textRotation="90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8" fillId="5" borderId="15" xfId="0" applyFont="1" applyFill="1" applyBorder="1" applyAlignment="1">
      <alignment horizontal="left" wrapText="1"/>
    </xf>
    <xf numFmtId="0" fontId="2" fillId="0" borderId="16" xfId="0" applyFont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left" wrapText="1"/>
    </xf>
    <xf numFmtId="0" fontId="8" fillId="0" borderId="13" xfId="0" applyFont="1" applyFill="1" applyBorder="1" applyAlignment="1">
      <alignment horizontal="center" wrapText="1"/>
    </xf>
    <xf numFmtId="0" fontId="9" fillId="0" borderId="20" xfId="0" applyFont="1" applyFill="1" applyBorder="1" applyAlignment="1">
      <alignment horizontal="center" vertical="center" textRotation="90" wrapText="1"/>
    </xf>
    <xf numFmtId="0" fontId="9" fillId="0" borderId="4" xfId="0" applyFont="1" applyFill="1" applyBorder="1" applyAlignment="1">
      <alignment horizontal="center" vertical="center" textRotation="90" wrapText="1"/>
    </xf>
    <xf numFmtId="0" fontId="9" fillId="0" borderId="21" xfId="0" applyFont="1" applyFill="1" applyBorder="1" applyAlignment="1">
      <alignment horizontal="center" vertical="center" textRotation="90" wrapText="1"/>
    </xf>
    <xf numFmtId="0" fontId="2" fillId="0" borderId="20" xfId="0" applyFont="1" applyFill="1" applyBorder="1" applyAlignment="1">
      <alignment horizontal="center" vertical="center" textRotation="90" wrapText="1"/>
    </xf>
    <xf numFmtId="0" fontId="2" fillId="0" borderId="4" xfId="0" applyFont="1" applyFill="1" applyBorder="1" applyAlignment="1">
      <alignment horizontal="center" vertical="center" textRotation="90" wrapText="1"/>
    </xf>
    <xf numFmtId="0" fontId="2" fillId="0" borderId="21" xfId="0" applyFont="1" applyFill="1" applyBorder="1" applyAlignment="1">
      <alignment horizontal="center" vertical="center" textRotation="90" wrapText="1"/>
    </xf>
    <xf numFmtId="0" fontId="8" fillId="0" borderId="15" xfId="0" applyFont="1" applyFill="1" applyBorder="1" applyAlignment="1">
      <alignment horizontal="left" wrapText="1"/>
    </xf>
    <xf numFmtId="0" fontId="8" fillId="0" borderId="18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wrapText="1"/>
    </xf>
    <xf numFmtId="0" fontId="9" fillId="0" borderId="4" xfId="0" applyFont="1" applyBorder="1" applyAlignment="1">
      <alignment horizontal="center" vertical="center" textRotation="90" wrapText="1"/>
    </xf>
    <xf numFmtId="0" fontId="9" fillId="0" borderId="1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5" fillId="3" borderId="9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11" fillId="0" borderId="0" xfId="0" applyFont="1" applyFill="1"/>
    <xf numFmtId="0" fontId="11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5" fillId="0" borderId="0" xfId="0" applyFont="1" applyFill="1"/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"/>
  <sheetViews>
    <sheetView tabSelected="1" zoomScale="140" zoomScaleNormal="140" zoomScaleSheetLayoutView="140" workbookViewId="0">
      <pane ySplit="3" topLeftCell="A4" activePane="bottomLeft" state="frozen"/>
      <selection pane="bottomLeft" activeCell="A83" sqref="A83:J88"/>
    </sheetView>
  </sheetViews>
  <sheetFormatPr defaultRowHeight="15" x14ac:dyDescent="0.25"/>
  <cols>
    <col min="1" max="1" width="9.140625" style="28" customWidth="1"/>
    <col min="2" max="2" width="8.85546875" style="30" customWidth="1"/>
    <col min="3" max="3" width="12.28515625" style="28" customWidth="1"/>
    <col min="4" max="4" width="9.42578125" style="28" hidden="1" customWidth="1"/>
    <col min="5" max="5" width="19.140625" style="28" customWidth="1"/>
    <col min="6" max="6" width="4.85546875" style="30" customWidth="1"/>
    <col min="7" max="7" width="7.85546875" style="28" customWidth="1"/>
    <col min="8" max="8" width="5.140625" style="28" customWidth="1"/>
    <col min="9" max="9" width="4.7109375" style="28" customWidth="1"/>
    <col min="10" max="10" width="8.28515625" style="28" customWidth="1"/>
    <col min="11" max="11" width="5.7109375" style="31" customWidth="1"/>
    <col min="12" max="12" width="7.85546875" style="28" customWidth="1"/>
    <col min="13" max="13" width="7" style="169" customWidth="1"/>
    <col min="14" max="14" width="5.85546875" style="28" customWidth="1"/>
    <col min="15" max="15" width="6.42578125" style="169" customWidth="1"/>
    <col min="16" max="16" width="5.7109375" style="31" customWidth="1"/>
    <col min="17" max="17" width="5.7109375" style="28" customWidth="1"/>
    <col min="18" max="18" width="8.140625" style="28" customWidth="1"/>
    <col min="19" max="19" width="5.42578125" style="28" customWidth="1"/>
    <col min="20" max="20" width="8.85546875" style="28" customWidth="1"/>
    <col min="21" max="21" width="0" style="28" hidden="1" customWidth="1"/>
  </cols>
  <sheetData>
    <row r="1" spans="1:23" x14ac:dyDescent="0.25">
      <c r="A1" s="173" t="s">
        <v>168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</row>
    <row r="2" spans="1:23" ht="15.75" thickBot="1" x14ac:dyDescent="0.3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</row>
    <row r="3" spans="1:23" ht="66.75" customHeight="1" thickBot="1" x14ac:dyDescent="0.3">
      <c r="A3" s="170" t="s">
        <v>36</v>
      </c>
      <c r="B3" s="170" t="s">
        <v>8</v>
      </c>
      <c r="C3" s="176" t="s">
        <v>0</v>
      </c>
      <c r="D3" s="176"/>
      <c r="E3" s="176"/>
      <c r="F3" s="59" t="s">
        <v>49</v>
      </c>
      <c r="G3" s="59" t="s">
        <v>48</v>
      </c>
      <c r="H3" s="59" t="s">
        <v>170</v>
      </c>
      <c r="I3" s="59" t="s">
        <v>1</v>
      </c>
      <c r="J3" s="59" t="s">
        <v>2</v>
      </c>
      <c r="K3" s="140" t="s">
        <v>3</v>
      </c>
      <c r="L3" s="59" t="s">
        <v>39</v>
      </c>
      <c r="M3" s="164" t="s">
        <v>171</v>
      </c>
      <c r="N3" s="59" t="s">
        <v>1</v>
      </c>
      <c r="O3" s="164" t="s">
        <v>2</v>
      </c>
      <c r="P3" s="140" t="s">
        <v>4</v>
      </c>
      <c r="Q3" s="59" t="s">
        <v>40</v>
      </c>
      <c r="R3" s="139" t="s">
        <v>5</v>
      </c>
      <c r="S3" s="139" t="s">
        <v>41</v>
      </c>
      <c r="T3" s="139" t="s">
        <v>42</v>
      </c>
      <c r="U3" s="33" t="s">
        <v>50</v>
      </c>
    </row>
    <row r="4" spans="1:23" ht="15" customHeight="1" x14ac:dyDescent="0.25">
      <c r="A4" s="199" t="s">
        <v>52</v>
      </c>
      <c r="B4" s="180" t="s">
        <v>53</v>
      </c>
      <c r="C4" s="201" t="s">
        <v>87</v>
      </c>
      <c r="D4" s="201"/>
      <c r="E4" s="201"/>
      <c r="F4" s="58" t="s">
        <v>54</v>
      </c>
      <c r="G4" s="50">
        <v>4046</v>
      </c>
      <c r="H4" s="51">
        <f>G4*0.9*0.9</f>
        <v>3277.26</v>
      </c>
      <c r="I4" s="25">
        <v>1</v>
      </c>
      <c r="J4" s="71">
        <f>+I4*H4</f>
        <v>3277.26</v>
      </c>
      <c r="K4" s="32">
        <v>2.5000000000000001E-2</v>
      </c>
      <c r="L4" s="144">
        <f>(J4*K4)</f>
        <v>81.931500000000014</v>
      </c>
      <c r="M4" s="165">
        <f>(G4-H4)</f>
        <v>768.73999999999978</v>
      </c>
      <c r="N4" s="25">
        <v>1</v>
      </c>
      <c r="O4" s="165">
        <f>+M4*N4</f>
        <v>768.73999999999978</v>
      </c>
      <c r="P4" s="40">
        <f>K4</f>
        <v>2.5000000000000001E-2</v>
      </c>
      <c r="Q4" s="45">
        <f>+P4*O4</f>
        <v>19.218499999999995</v>
      </c>
      <c r="R4" s="154">
        <f>(L4+Q4)</f>
        <v>101.15</v>
      </c>
      <c r="S4" s="56">
        <v>7.25</v>
      </c>
      <c r="T4" s="57">
        <f t="shared" ref="T4" si="0">(R4*S4)</f>
        <v>733.33750000000009</v>
      </c>
      <c r="U4" s="34">
        <f t="shared" ref="U4:U38" si="1">H4/G4</f>
        <v>0.81</v>
      </c>
      <c r="V4" s="35"/>
      <c r="W4" s="28"/>
    </row>
    <row r="5" spans="1:23" ht="15" customHeight="1" x14ac:dyDescent="0.25">
      <c r="A5" s="199"/>
      <c r="B5" s="180"/>
      <c r="C5" s="202" t="s">
        <v>88</v>
      </c>
      <c r="D5" s="203"/>
      <c r="E5" s="204"/>
      <c r="F5" s="58" t="s">
        <v>55</v>
      </c>
      <c r="G5" s="50">
        <v>4046</v>
      </c>
      <c r="H5" s="51">
        <f>G5*0.9*0.9</f>
        <v>3277.26</v>
      </c>
      <c r="I5" s="25">
        <v>1</v>
      </c>
      <c r="J5" s="71">
        <f>+I5*H5</f>
        <v>3277.26</v>
      </c>
      <c r="K5" s="32">
        <v>3.3300000000000003E-2</v>
      </c>
      <c r="L5" s="144">
        <f>(J5*K5)</f>
        <v>109.13275800000002</v>
      </c>
      <c r="M5" s="165">
        <f>(G5-H5)</f>
        <v>768.73999999999978</v>
      </c>
      <c r="N5" s="25">
        <v>1</v>
      </c>
      <c r="O5" s="165">
        <f>+M5*N5</f>
        <v>768.73999999999978</v>
      </c>
      <c r="P5" s="40">
        <f>K5</f>
        <v>3.3300000000000003E-2</v>
      </c>
      <c r="Q5" s="45">
        <f>+P5*O5</f>
        <v>25.599041999999994</v>
      </c>
      <c r="R5" s="154">
        <f>(L5+Q5)</f>
        <v>134.73180000000002</v>
      </c>
      <c r="S5" s="56">
        <v>7.25</v>
      </c>
      <c r="T5" s="57">
        <f t="shared" ref="T5" si="2">(R5*S5)</f>
        <v>976.80555000000015</v>
      </c>
      <c r="U5" s="34"/>
      <c r="V5" s="35"/>
      <c r="W5" s="28"/>
    </row>
    <row r="6" spans="1:23" ht="15" customHeight="1" x14ac:dyDescent="0.25">
      <c r="A6" s="199"/>
      <c r="B6" s="180"/>
      <c r="C6" s="201" t="s">
        <v>89</v>
      </c>
      <c r="D6" s="201"/>
      <c r="E6" s="201"/>
      <c r="F6" s="58" t="s">
        <v>56</v>
      </c>
      <c r="G6" s="50">
        <v>4046</v>
      </c>
      <c r="H6" s="51">
        <f>G6*0.604</f>
        <v>2443.7840000000001</v>
      </c>
      <c r="I6" s="25">
        <v>1</v>
      </c>
      <c r="J6" s="71">
        <f>+I6*H6</f>
        <v>2443.7840000000001</v>
      </c>
      <c r="K6" s="32">
        <v>8.3299999999999999E-2</v>
      </c>
      <c r="L6" s="144">
        <f>(J6*K6)</f>
        <v>203.56720720000001</v>
      </c>
      <c r="M6" s="165">
        <f>(G6-H6)</f>
        <v>1602.2159999999999</v>
      </c>
      <c r="N6" s="25">
        <v>1</v>
      </c>
      <c r="O6" s="165">
        <f>+M6*N6</f>
        <v>1602.2159999999999</v>
      </c>
      <c r="P6" s="40">
        <f>K6</f>
        <v>8.3299999999999999E-2</v>
      </c>
      <c r="Q6" s="45">
        <f>+P6*O6</f>
        <v>133.46459279999999</v>
      </c>
      <c r="R6" s="154">
        <f>(L6+Q6)</f>
        <v>337.03179999999998</v>
      </c>
      <c r="S6" s="56">
        <v>7.25</v>
      </c>
      <c r="T6" s="57">
        <f t="shared" ref="T6" si="3">(R6*S6)</f>
        <v>2443.4805499999998</v>
      </c>
      <c r="U6" s="34"/>
      <c r="V6" s="35"/>
      <c r="W6" s="28"/>
    </row>
    <row r="7" spans="1:23" x14ac:dyDescent="0.25">
      <c r="A7" s="199"/>
      <c r="B7" s="180"/>
      <c r="C7" s="201" t="s">
        <v>90</v>
      </c>
      <c r="D7" s="201"/>
      <c r="E7" s="201"/>
      <c r="F7" s="29" t="s">
        <v>57</v>
      </c>
      <c r="G7" s="50">
        <f>4046*0.9*0.9*0.9</f>
        <v>2949.5340000000001</v>
      </c>
      <c r="H7" s="51">
        <f>G7*0.7</f>
        <v>2064.6738</v>
      </c>
      <c r="I7" s="25">
        <v>1</v>
      </c>
      <c r="J7" s="71">
        <f>+I7*H7</f>
        <v>2064.6738</v>
      </c>
      <c r="K7" s="32">
        <v>0.1</v>
      </c>
      <c r="L7" s="144">
        <f>(J7*K7)</f>
        <v>206.46738000000002</v>
      </c>
      <c r="M7" s="165">
        <f>(G7-H7)</f>
        <v>884.86020000000008</v>
      </c>
      <c r="N7" s="25">
        <f>(I7)</f>
        <v>1</v>
      </c>
      <c r="O7" s="165">
        <f>+M7*N7</f>
        <v>884.86020000000008</v>
      </c>
      <c r="P7" s="40">
        <f>K7</f>
        <v>0.1</v>
      </c>
      <c r="Q7" s="45">
        <f>+P7*O7</f>
        <v>88.486020000000011</v>
      </c>
      <c r="R7" s="154">
        <f>(L7+Q7)</f>
        <v>294.95340000000004</v>
      </c>
      <c r="S7" s="56">
        <v>7.25</v>
      </c>
      <c r="T7" s="57">
        <f>(R7*S7)</f>
        <v>2138.4121500000001</v>
      </c>
      <c r="U7" s="34">
        <f t="shared" si="1"/>
        <v>0.7</v>
      </c>
      <c r="V7" s="35"/>
      <c r="W7" s="28"/>
    </row>
    <row r="8" spans="1:23" x14ac:dyDescent="0.25">
      <c r="A8" s="199"/>
      <c r="B8" s="180"/>
      <c r="C8" s="177" t="s">
        <v>91</v>
      </c>
      <c r="D8" s="178"/>
      <c r="E8" s="179"/>
      <c r="F8" s="46" t="s">
        <v>118</v>
      </c>
      <c r="G8" s="50">
        <f>4046*0.9*0.9*0.9</f>
        <v>2949.5340000000001</v>
      </c>
      <c r="H8" s="51">
        <f>G8*0.85</f>
        <v>2507.1039000000001</v>
      </c>
      <c r="I8" s="25">
        <v>1</v>
      </c>
      <c r="J8" s="71">
        <f>+I8*H8</f>
        <v>2507.1039000000001</v>
      </c>
      <c r="K8" s="32">
        <v>3.3300000000000003E-2</v>
      </c>
      <c r="L8" s="144">
        <f t="shared" ref="L8:L41" si="4">(J8*K8)</f>
        <v>83.486559870000008</v>
      </c>
      <c r="M8" s="50">
        <f t="shared" ref="M8:M13" si="5">G8-H8</f>
        <v>442.43010000000004</v>
      </c>
      <c r="N8" s="25">
        <f t="shared" ref="N8:N41" si="6">(I8)</f>
        <v>1</v>
      </c>
      <c r="O8" s="50">
        <f t="shared" ref="O8:O41" si="7">+M8*N8</f>
        <v>442.43010000000004</v>
      </c>
      <c r="P8" s="40">
        <f>K8</f>
        <v>3.3300000000000003E-2</v>
      </c>
      <c r="Q8" s="45">
        <f t="shared" ref="Q8:Q41" si="8">+O8*P8</f>
        <v>14.732922330000003</v>
      </c>
      <c r="R8" s="154">
        <f>L8+Q8</f>
        <v>98.219482200000016</v>
      </c>
      <c r="S8" s="56">
        <v>7.25</v>
      </c>
      <c r="T8" s="57">
        <f t="shared" ref="T8:T55" si="9">(R8*S8)</f>
        <v>712.09124595000014</v>
      </c>
      <c r="U8" s="34">
        <f t="shared" si="1"/>
        <v>0.85</v>
      </c>
      <c r="V8" s="35"/>
      <c r="W8" s="44"/>
    </row>
    <row r="9" spans="1:23" x14ac:dyDescent="0.25">
      <c r="A9" s="199"/>
      <c r="B9" s="180"/>
      <c r="C9" s="182" t="s">
        <v>92</v>
      </c>
      <c r="D9" s="182"/>
      <c r="E9" s="182"/>
      <c r="F9" s="47" t="s">
        <v>119</v>
      </c>
      <c r="G9" s="50">
        <f>G4</f>
        <v>4046</v>
      </c>
      <c r="H9" s="51">
        <f>G9*0.5731</f>
        <v>2318.7626</v>
      </c>
      <c r="I9" s="25">
        <v>1</v>
      </c>
      <c r="J9" s="71">
        <f t="shared" ref="J9:J40" si="10">+H9*I9</f>
        <v>2318.7626</v>
      </c>
      <c r="K9" s="32">
        <v>0.5</v>
      </c>
      <c r="L9" s="145">
        <f t="shared" si="4"/>
        <v>1159.3813</v>
      </c>
      <c r="M9" s="50">
        <f t="shared" si="5"/>
        <v>1727.2374</v>
      </c>
      <c r="N9" s="25">
        <f t="shared" si="6"/>
        <v>1</v>
      </c>
      <c r="O9" s="50">
        <f>+M9*N9</f>
        <v>1727.2374</v>
      </c>
      <c r="P9" s="40">
        <v>0</v>
      </c>
      <c r="Q9" s="45">
        <f>+O9*P9</f>
        <v>0</v>
      </c>
      <c r="R9" s="154">
        <f>(L9+Q9)</f>
        <v>1159.3813</v>
      </c>
      <c r="S9" s="56">
        <v>7.25</v>
      </c>
      <c r="T9" s="57">
        <f t="shared" si="9"/>
        <v>8405.5144249999994</v>
      </c>
      <c r="U9" s="34">
        <f t="shared" si="1"/>
        <v>0.57310000000000005</v>
      </c>
      <c r="V9" s="35"/>
      <c r="W9" s="28"/>
    </row>
    <row r="10" spans="1:23" ht="22.5" x14ac:dyDescent="0.25">
      <c r="A10" s="199"/>
      <c r="B10" s="180"/>
      <c r="C10" s="182" t="s">
        <v>93</v>
      </c>
      <c r="D10" s="182"/>
      <c r="E10" s="182"/>
      <c r="F10" s="47" t="s">
        <v>120</v>
      </c>
      <c r="G10" s="50">
        <f>G8</f>
        <v>2949.5340000000001</v>
      </c>
      <c r="H10" s="51">
        <f>(G10)</f>
        <v>2949.5340000000001</v>
      </c>
      <c r="I10" s="25">
        <v>3</v>
      </c>
      <c r="J10" s="71">
        <f t="shared" si="10"/>
        <v>8848.6020000000008</v>
      </c>
      <c r="K10" s="32">
        <v>2.0799999999999999E-2</v>
      </c>
      <c r="L10" s="144">
        <f t="shared" si="4"/>
        <v>184.05092160000001</v>
      </c>
      <c r="M10" s="50">
        <f t="shared" si="5"/>
        <v>0</v>
      </c>
      <c r="N10" s="25">
        <f t="shared" si="6"/>
        <v>3</v>
      </c>
      <c r="O10" s="50">
        <f t="shared" ref="O10:O13" si="11">+M10*N10</f>
        <v>0</v>
      </c>
      <c r="P10" s="40">
        <f>K10</f>
        <v>2.0799999999999999E-2</v>
      </c>
      <c r="Q10" s="45">
        <f t="shared" ref="Q10:Q13" si="12">+O10*P10</f>
        <v>0</v>
      </c>
      <c r="R10" s="154">
        <f>(L10+Q10)</f>
        <v>184.05092160000001</v>
      </c>
      <c r="S10" s="56">
        <v>7.25</v>
      </c>
      <c r="T10" s="57">
        <f t="shared" si="9"/>
        <v>1334.3691816</v>
      </c>
      <c r="U10" s="34">
        <f t="shared" si="1"/>
        <v>1</v>
      </c>
      <c r="V10" s="35"/>
      <c r="W10" s="28"/>
    </row>
    <row r="11" spans="1:23" x14ac:dyDescent="0.25">
      <c r="A11" s="199"/>
      <c r="B11" s="180"/>
      <c r="C11" s="182" t="s">
        <v>94</v>
      </c>
      <c r="D11" s="182"/>
      <c r="E11" s="182"/>
      <c r="F11" s="47" t="s">
        <v>145</v>
      </c>
      <c r="G11" s="50">
        <v>250</v>
      </c>
      <c r="H11" s="51">
        <f>(G11)/2</f>
        <v>125</v>
      </c>
      <c r="I11" s="25">
        <v>1</v>
      </c>
      <c r="J11" s="71">
        <f t="shared" ref="J11" si="13">+H11*I11</f>
        <v>125</v>
      </c>
      <c r="K11" s="32">
        <v>0.05</v>
      </c>
      <c r="L11" s="144">
        <f t="shared" ref="L11" si="14">(J11*K11)</f>
        <v>6.25</v>
      </c>
      <c r="M11" s="50">
        <f t="shared" si="5"/>
        <v>125</v>
      </c>
      <c r="N11" s="25">
        <f t="shared" ref="N11" si="15">(I11)</f>
        <v>1</v>
      </c>
      <c r="O11" s="50">
        <f t="shared" ref="O11" si="16">+M11*N11</f>
        <v>125</v>
      </c>
      <c r="P11" s="40">
        <f>K11</f>
        <v>0.05</v>
      </c>
      <c r="Q11" s="45">
        <f t="shared" ref="Q11" si="17">+O11*P11</f>
        <v>6.25</v>
      </c>
      <c r="R11" s="154">
        <f>(L11+Q11)</f>
        <v>12.5</v>
      </c>
      <c r="S11" s="56">
        <v>7.25</v>
      </c>
      <c r="T11" s="57">
        <f t="shared" ref="T11" si="18">(R11*S11)</f>
        <v>90.625</v>
      </c>
      <c r="U11" s="34">
        <f t="shared" ref="U11" si="19">H11/G11</f>
        <v>0.5</v>
      </c>
      <c r="V11" s="35"/>
      <c r="W11" s="28"/>
    </row>
    <row r="12" spans="1:23" x14ac:dyDescent="0.25">
      <c r="A12" s="199"/>
      <c r="B12" s="180"/>
      <c r="C12" s="182" t="s">
        <v>95</v>
      </c>
      <c r="D12" s="182"/>
      <c r="E12" s="182"/>
      <c r="F12" s="47" t="s">
        <v>122</v>
      </c>
      <c r="G12" s="50">
        <f>H9</f>
        <v>2318.7626</v>
      </c>
      <c r="H12" s="51">
        <f>G12*0.8</f>
        <v>1855.01008</v>
      </c>
      <c r="I12" s="25">
        <v>1</v>
      </c>
      <c r="J12" s="71">
        <f t="shared" si="10"/>
        <v>1855.01008</v>
      </c>
      <c r="K12" s="32">
        <v>4.1999999999999997E-3</v>
      </c>
      <c r="L12" s="145">
        <f t="shared" ref="L12" si="20">(J12*K12)</f>
        <v>7.7910423359999994</v>
      </c>
      <c r="M12" s="50">
        <f t="shared" si="5"/>
        <v>463.75252</v>
      </c>
      <c r="N12" s="25">
        <f t="shared" ref="N12" si="21">(I12)</f>
        <v>1</v>
      </c>
      <c r="O12" s="50">
        <f>+M12*N12</f>
        <v>463.75252</v>
      </c>
      <c r="P12" s="40">
        <f>K12</f>
        <v>4.1999999999999997E-3</v>
      </c>
      <c r="Q12" s="45">
        <f>+O12*P12</f>
        <v>1.9477605839999999</v>
      </c>
      <c r="R12" s="154">
        <f>(L12+Q12)</f>
        <v>9.7388029199999995</v>
      </c>
      <c r="S12" s="56">
        <v>7.25</v>
      </c>
      <c r="T12" s="57">
        <f t="shared" ref="T12" si="22">(R12*S12)</f>
        <v>70.606321170000001</v>
      </c>
      <c r="U12" s="34">
        <f t="shared" si="1"/>
        <v>0.8</v>
      </c>
      <c r="V12" s="35"/>
      <c r="W12" s="44"/>
    </row>
    <row r="13" spans="1:23" x14ac:dyDescent="0.25">
      <c r="A13" s="199"/>
      <c r="B13" s="180"/>
      <c r="C13" s="182" t="s">
        <v>96</v>
      </c>
      <c r="D13" s="182"/>
      <c r="E13" s="182"/>
      <c r="F13" s="47" t="s">
        <v>57</v>
      </c>
      <c r="G13" s="50">
        <f>4046*0.9*0.9*0.9*0.95</f>
        <v>2802.0572999999999</v>
      </c>
      <c r="H13" s="51">
        <f>G13*0.7</f>
        <v>1961.4401099999998</v>
      </c>
      <c r="I13" s="25">
        <v>1</v>
      </c>
      <c r="J13" s="71">
        <f t="shared" si="10"/>
        <v>1961.4401099999998</v>
      </c>
      <c r="K13" s="32">
        <v>0.1</v>
      </c>
      <c r="L13" s="144">
        <f t="shared" si="4"/>
        <v>196.14401099999998</v>
      </c>
      <c r="M13" s="165">
        <f t="shared" si="5"/>
        <v>840.61719000000016</v>
      </c>
      <c r="N13" s="25">
        <f t="shared" si="6"/>
        <v>1</v>
      </c>
      <c r="O13" s="165">
        <f t="shared" si="11"/>
        <v>840.61719000000016</v>
      </c>
      <c r="P13" s="40">
        <f>K13</f>
        <v>0.1</v>
      </c>
      <c r="Q13" s="45">
        <f t="shared" si="12"/>
        <v>84.061719000000025</v>
      </c>
      <c r="R13" s="154">
        <f t="shared" ref="R13:R55" si="23">(L13+Q13)</f>
        <v>280.20573000000002</v>
      </c>
      <c r="S13" s="56">
        <v>7.25</v>
      </c>
      <c r="T13" s="57">
        <f t="shared" si="9"/>
        <v>2031.4915425000002</v>
      </c>
      <c r="U13" s="37">
        <f t="shared" si="1"/>
        <v>0.7</v>
      </c>
      <c r="V13" s="35"/>
      <c r="W13" s="28"/>
    </row>
    <row r="14" spans="1:23" x14ac:dyDescent="0.25">
      <c r="A14" s="199"/>
      <c r="B14" s="180"/>
      <c r="C14" s="182" t="s">
        <v>97</v>
      </c>
      <c r="D14" s="182"/>
      <c r="E14" s="182"/>
      <c r="F14" s="48" t="s">
        <v>123</v>
      </c>
      <c r="G14" s="50">
        <f>4046*0.9*0.9*0.9*0.95</f>
        <v>2802.0572999999999</v>
      </c>
      <c r="H14" s="51">
        <f>G14*0.85</f>
        <v>2381.748705</v>
      </c>
      <c r="I14" s="25">
        <v>1</v>
      </c>
      <c r="J14" s="71">
        <f t="shared" si="10"/>
        <v>2381.748705</v>
      </c>
      <c r="K14" s="32">
        <v>0.05</v>
      </c>
      <c r="L14" s="144">
        <f t="shared" si="4"/>
        <v>119.08743525</v>
      </c>
      <c r="M14" s="50">
        <f>(G14-H14)</f>
        <v>420.30859499999997</v>
      </c>
      <c r="N14" s="25">
        <f t="shared" si="6"/>
        <v>1</v>
      </c>
      <c r="O14" s="50">
        <f t="shared" si="7"/>
        <v>420.30859499999997</v>
      </c>
      <c r="P14" s="40">
        <f>K14</f>
        <v>0.05</v>
      </c>
      <c r="Q14" s="45">
        <f t="shared" si="8"/>
        <v>21.015429749999999</v>
      </c>
      <c r="R14" s="154">
        <f t="shared" si="23"/>
        <v>140.10286500000001</v>
      </c>
      <c r="S14" s="56">
        <v>7.25</v>
      </c>
      <c r="T14" s="57">
        <f t="shared" si="9"/>
        <v>1015.7457712500001</v>
      </c>
      <c r="U14" s="37">
        <f t="shared" si="1"/>
        <v>0.85</v>
      </c>
      <c r="V14" s="35"/>
      <c r="W14" s="28"/>
    </row>
    <row r="15" spans="1:23" x14ac:dyDescent="0.25">
      <c r="A15" s="199"/>
      <c r="B15" s="180"/>
      <c r="C15" s="182" t="s">
        <v>98</v>
      </c>
      <c r="D15" s="182"/>
      <c r="E15" s="182"/>
      <c r="F15" s="47" t="s">
        <v>124</v>
      </c>
      <c r="G15" s="50">
        <f>G4</f>
        <v>4046</v>
      </c>
      <c r="H15" s="51">
        <f>G15*0.5437</f>
        <v>2199.8101999999999</v>
      </c>
      <c r="I15" s="25">
        <v>1</v>
      </c>
      <c r="J15" s="71">
        <f t="shared" si="10"/>
        <v>2199.8101999999999</v>
      </c>
      <c r="K15" s="32">
        <v>0.5</v>
      </c>
      <c r="L15" s="145">
        <f t="shared" ref="L15:L24" si="24">(J15*K15)</f>
        <v>1099.9050999999999</v>
      </c>
      <c r="M15" s="50">
        <f t="shared" ref="M15:M23" si="25">G15-H15</f>
        <v>1846.1898000000001</v>
      </c>
      <c r="N15" s="25">
        <f t="shared" ref="N15:N24" si="26">(I15)</f>
        <v>1</v>
      </c>
      <c r="O15" s="50">
        <f>+M15*N15</f>
        <v>1846.1898000000001</v>
      </c>
      <c r="P15" s="40">
        <v>0</v>
      </c>
      <c r="Q15" s="45">
        <f>+O15*P15</f>
        <v>0</v>
      </c>
      <c r="R15" s="154">
        <f>(L15+Q15)</f>
        <v>1099.9050999999999</v>
      </c>
      <c r="S15" s="56">
        <v>7.25</v>
      </c>
      <c r="T15" s="57">
        <f t="shared" ref="T15:T24" si="27">(R15*S15)</f>
        <v>7974.3119749999996</v>
      </c>
      <c r="U15" s="37">
        <f t="shared" si="1"/>
        <v>0.54369999999999996</v>
      </c>
      <c r="V15" s="35"/>
      <c r="W15" s="28"/>
    </row>
    <row r="16" spans="1:23" x14ac:dyDescent="0.25">
      <c r="A16" s="199"/>
      <c r="B16" s="180"/>
      <c r="C16" s="184" t="s">
        <v>99</v>
      </c>
      <c r="D16" s="184"/>
      <c r="E16" s="184"/>
      <c r="F16" s="49" t="s">
        <v>125</v>
      </c>
      <c r="G16" s="50">
        <f>H15</f>
        <v>2199.8101999999999</v>
      </c>
      <c r="H16" s="51">
        <f>G16*0.7</f>
        <v>1539.8671399999998</v>
      </c>
      <c r="I16" s="25">
        <v>1</v>
      </c>
      <c r="J16" s="25">
        <f t="shared" si="10"/>
        <v>1539.8671399999998</v>
      </c>
      <c r="K16" s="32">
        <v>1</v>
      </c>
      <c r="L16" s="144">
        <f t="shared" si="24"/>
        <v>1539.8671399999998</v>
      </c>
      <c r="M16" s="50">
        <f t="shared" si="25"/>
        <v>659.94306000000006</v>
      </c>
      <c r="N16" s="25">
        <f t="shared" si="26"/>
        <v>1</v>
      </c>
      <c r="O16" s="50">
        <f t="shared" ref="O16:O24" si="28">+M16*N16</f>
        <v>659.94306000000006</v>
      </c>
      <c r="P16" s="40">
        <v>0</v>
      </c>
      <c r="Q16" s="45">
        <f t="shared" ref="Q16:Q24" si="29">+O16*P16</f>
        <v>0</v>
      </c>
      <c r="R16" s="154">
        <f t="shared" ref="R16:R17" si="30">(L16+Q16)</f>
        <v>1539.8671399999998</v>
      </c>
      <c r="S16" s="56">
        <v>7.25</v>
      </c>
      <c r="T16" s="57">
        <f t="shared" si="27"/>
        <v>11164.036764999999</v>
      </c>
      <c r="U16" s="37">
        <f t="shared" si="1"/>
        <v>0.7</v>
      </c>
      <c r="V16" s="35"/>
    </row>
    <row r="17" spans="1:23" x14ac:dyDescent="0.25">
      <c r="A17" s="199"/>
      <c r="B17" s="180"/>
      <c r="C17" s="182" t="s">
        <v>100</v>
      </c>
      <c r="D17" s="182"/>
      <c r="E17" s="182"/>
      <c r="F17" s="48" t="s">
        <v>59</v>
      </c>
      <c r="G17" s="50">
        <f>H15*0.2</f>
        <v>439.96204</v>
      </c>
      <c r="H17" s="51">
        <f>G17*0.5</f>
        <v>219.98102</v>
      </c>
      <c r="I17" s="25">
        <v>1</v>
      </c>
      <c r="J17" s="25">
        <f t="shared" si="10"/>
        <v>219.98102</v>
      </c>
      <c r="K17" s="32">
        <v>0.05</v>
      </c>
      <c r="L17" s="144">
        <f t="shared" si="24"/>
        <v>10.999051000000001</v>
      </c>
      <c r="M17" s="50">
        <f t="shared" si="25"/>
        <v>219.98102</v>
      </c>
      <c r="N17" s="25">
        <f t="shared" si="26"/>
        <v>1</v>
      </c>
      <c r="O17" s="50">
        <f t="shared" si="28"/>
        <v>219.98102</v>
      </c>
      <c r="P17" s="40">
        <f>K17</f>
        <v>0.05</v>
      </c>
      <c r="Q17" s="45">
        <f t="shared" si="29"/>
        <v>10.999051000000001</v>
      </c>
      <c r="R17" s="154">
        <f t="shared" si="30"/>
        <v>21.998102000000003</v>
      </c>
      <c r="S17" s="56">
        <v>7.25</v>
      </c>
      <c r="T17" s="57">
        <f t="shared" si="27"/>
        <v>159.48623950000001</v>
      </c>
      <c r="U17" s="37">
        <f t="shared" si="1"/>
        <v>0.5</v>
      </c>
      <c r="V17" s="35"/>
    </row>
    <row r="18" spans="1:23" x14ac:dyDescent="0.25">
      <c r="A18" s="199"/>
      <c r="B18" s="180"/>
      <c r="C18" s="182" t="s">
        <v>133</v>
      </c>
      <c r="D18" s="182"/>
      <c r="E18" s="182"/>
      <c r="F18" s="48" t="s">
        <v>58</v>
      </c>
      <c r="G18" s="50">
        <f>H15*0.2</f>
        <v>439.96204</v>
      </c>
      <c r="H18" s="51">
        <f>G18*0.25</f>
        <v>109.99051</v>
      </c>
      <c r="I18" s="25">
        <v>1</v>
      </c>
      <c r="J18" s="25">
        <f t="shared" si="10"/>
        <v>109.99051</v>
      </c>
      <c r="K18" s="32">
        <v>0.05</v>
      </c>
      <c r="L18" s="144">
        <f t="shared" ref="L18" si="31">(J18*K18)</f>
        <v>5.4995255000000007</v>
      </c>
      <c r="M18" s="50">
        <f t="shared" si="25"/>
        <v>329.97153000000003</v>
      </c>
      <c r="N18" s="25">
        <f t="shared" ref="N18" si="32">(I18)</f>
        <v>1</v>
      </c>
      <c r="O18" s="50">
        <f t="shared" ref="O18" si="33">+M18*N18</f>
        <v>329.97153000000003</v>
      </c>
      <c r="P18" s="40">
        <v>0</v>
      </c>
      <c r="Q18" s="45">
        <f t="shared" ref="Q18" si="34">+O18*P18</f>
        <v>0</v>
      </c>
      <c r="R18" s="154">
        <f t="shared" ref="R18" si="35">(L18+Q18)</f>
        <v>5.4995255000000007</v>
      </c>
      <c r="S18" s="56">
        <v>7.25</v>
      </c>
      <c r="T18" s="57">
        <f t="shared" ref="T18" si="36">(R18*S18)</f>
        <v>39.871559875000003</v>
      </c>
      <c r="U18" s="37">
        <f t="shared" si="1"/>
        <v>0.25</v>
      </c>
      <c r="V18" s="35"/>
    </row>
    <row r="19" spans="1:23" x14ac:dyDescent="0.25">
      <c r="A19" s="199"/>
      <c r="B19" s="180"/>
      <c r="C19" s="182" t="s">
        <v>101</v>
      </c>
      <c r="D19" s="182"/>
      <c r="E19" s="182"/>
      <c r="F19" s="48" t="s">
        <v>73</v>
      </c>
      <c r="G19" s="50">
        <f>H15*0.2</f>
        <v>439.96204</v>
      </c>
      <c r="H19" s="51">
        <f>G19*0.0068</f>
        <v>2.991741872</v>
      </c>
      <c r="I19" s="25">
        <v>1</v>
      </c>
      <c r="J19" s="25">
        <f t="shared" si="10"/>
        <v>2.991741872</v>
      </c>
      <c r="K19" s="32">
        <v>0.5</v>
      </c>
      <c r="L19" s="144">
        <f t="shared" ref="L19:L21" si="37">(J19*K19)</f>
        <v>1.495870936</v>
      </c>
      <c r="M19" s="50">
        <f t="shared" si="25"/>
        <v>436.97029812800002</v>
      </c>
      <c r="N19" s="25">
        <f t="shared" ref="N19:N21" si="38">(I19)</f>
        <v>1</v>
      </c>
      <c r="O19" s="50">
        <f t="shared" ref="O19:O21" si="39">+M19*N19</f>
        <v>436.97029812800002</v>
      </c>
      <c r="P19" s="40">
        <f t="shared" ref="P19:P24" si="40">K19</f>
        <v>0.5</v>
      </c>
      <c r="Q19" s="45">
        <f t="shared" ref="Q19:Q21" si="41">+O19*P19</f>
        <v>218.48514906400001</v>
      </c>
      <c r="R19" s="154">
        <f t="shared" ref="R19" si="42">(L19+Q19)</f>
        <v>219.98102</v>
      </c>
      <c r="S19" s="56">
        <v>7.25</v>
      </c>
      <c r="T19" s="57">
        <f t="shared" ref="T19:T21" si="43">(R19*S19)</f>
        <v>1594.8623950000001</v>
      </c>
      <c r="U19" s="37">
        <f t="shared" si="1"/>
        <v>6.7999999999999996E-3</v>
      </c>
      <c r="V19" s="35"/>
    </row>
    <row r="20" spans="1:23" ht="22.5" x14ac:dyDescent="0.25">
      <c r="A20" s="199"/>
      <c r="B20" s="180"/>
      <c r="C20" s="182" t="s">
        <v>149</v>
      </c>
      <c r="D20" s="182"/>
      <c r="E20" s="182"/>
      <c r="F20" s="47" t="s">
        <v>120</v>
      </c>
      <c r="G20" s="50">
        <f>G14</f>
        <v>2802.0572999999999</v>
      </c>
      <c r="H20" s="51">
        <f>(G20)</f>
        <v>2802.0572999999999</v>
      </c>
      <c r="I20" s="25">
        <v>3</v>
      </c>
      <c r="J20" s="71">
        <f t="shared" si="10"/>
        <v>8406.1718999999994</v>
      </c>
      <c r="K20" s="32">
        <v>2.0799999999999999E-2</v>
      </c>
      <c r="L20" s="144">
        <f t="shared" si="37"/>
        <v>174.84837551999999</v>
      </c>
      <c r="M20" s="50">
        <f t="shared" si="25"/>
        <v>0</v>
      </c>
      <c r="N20" s="25">
        <f t="shared" si="38"/>
        <v>3</v>
      </c>
      <c r="O20" s="50">
        <f t="shared" si="39"/>
        <v>0</v>
      </c>
      <c r="P20" s="40">
        <f t="shared" si="40"/>
        <v>2.0799999999999999E-2</v>
      </c>
      <c r="Q20" s="45">
        <f t="shared" si="41"/>
        <v>0</v>
      </c>
      <c r="R20" s="154">
        <f>(L20+Q20)</f>
        <v>174.84837551999999</v>
      </c>
      <c r="S20" s="56">
        <v>7.25</v>
      </c>
      <c r="T20" s="57">
        <f t="shared" si="43"/>
        <v>1267.6507225199998</v>
      </c>
      <c r="U20" s="37">
        <f t="shared" si="1"/>
        <v>1</v>
      </c>
      <c r="V20" s="35"/>
      <c r="W20" s="28"/>
    </row>
    <row r="21" spans="1:23" x14ac:dyDescent="0.25">
      <c r="A21" s="199"/>
      <c r="B21" s="180"/>
      <c r="C21" s="182" t="s">
        <v>147</v>
      </c>
      <c r="D21" s="182"/>
      <c r="E21" s="182"/>
      <c r="F21" s="47" t="s">
        <v>121</v>
      </c>
      <c r="G21" s="50">
        <f>G14</f>
        <v>2802.0572999999999</v>
      </c>
      <c r="H21" s="51">
        <f>(G21)</f>
        <v>2802.0572999999999</v>
      </c>
      <c r="I21" s="25">
        <v>2</v>
      </c>
      <c r="J21" s="71">
        <f t="shared" si="10"/>
        <v>5604.1145999999999</v>
      </c>
      <c r="K21" s="32">
        <v>8.3000000000000001E-3</v>
      </c>
      <c r="L21" s="144">
        <f t="shared" si="37"/>
        <v>46.514151179999999</v>
      </c>
      <c r="M21" s="50">
        <f t="shared" si="25"/>
        <v>0</v>
      </c>
      <c r="N21" s="25">
        <f t="shared" si="38"/>
        <v>2</v>
      </c>
      <c r="O21" s="50">
        <f t="shared" si="39"/>
        <v>0</v>
      </c>
      <c r="P21" s="40">
        <f t="shared" si="40"/>
        <v>8.3000000000000001E-3</v>
      </c>
      <c r="Q21" s="45">
        <f t="shared" si="41"/>
        <v>0</v>
      </c>
      <c r="R21" s="154">
        <f>(L21+Q21)</f>
        <v>46.514151179999999</v>
      </c>
      <c r="S21" s="56">
        <v>7.25</v>
      </c>
      <c r="T21" s="57">
        <f t="shared" si="43"/>
        <v>337.22759605499999</v>
      </c>
      <c r="U21" s="37"/>
      <c r="V21" s="35"/>
      <c r="W21" s="28"/>
    </row>
    <row r="22" spans="1:23" x14ac:dyDescent="0.25">
      <c r="A22" s="199"/>
      <c r="B22" s="180"/>
      <c r="C22" s="182" t="s">
        <v>102</v>
      </c>
      <c r="D22" s="182"/>
      <c r="E22" s="182"/>
      <c r="F22" s="47" t="s">
        <v>126</v>
      </c>
      <c r="G22" s="50">
        <f>H15</f>
        <v>2199.8101999999999</v>
      </c>
      <c r="H22" s="51">
        <f>G22*0.8</f>
        <v>1759.84816</v>
      </c>
      <c r="I22" s="25">
        <v>1</v>
      </c>
      <c r="J22" s="71">
        <f t="shared" si="10"/>
        <v>1759.84816</v>
      </c>
      <c r="K22" s="32">
        <v>4.1999999999999997E-3</v>
      </c>
      <c r="L22" s="145">
        <f t="shared" si="24"/>
        <v>7.3913622719999994</v>
      </c>
      <c r="M22" s="50">
        <f t="shared" si="25"/>
        <v>439.96203999999989</v>
      </c>
      <c r="N22" s="25">
        <f t="shared" si="26"/>
        <v>1</v>
      </c>
      <c r="O22" s="50">
        <f>+M22*N22</f>
        <v>439.96203999999989</v>
      </c>
      <c r="P22" s="40">
        <f t="shared" si="40"/>
        <v>4.1999999999999997E-3</v>
      </c>
      <c r="Q22" s="45">
        <f>+O22*P22</f>
        <v>1.8478405679999994</v>
      </c>
      <c r="R22" s="154">
        <f>(L22+Q22)</f>
        <v>9.239202839999999</v>
      </c>
      <c r="S22" s="56">
        <v>7.25</v>
      </c>
      <c r="T22" s="57">
        <f t="shared" si="27"/>
        <v>66.984220589999993</v>
      </c>
      <c r="U22" s="37">
        <f t="shared" si="1"/>
        <v>0.8</v>
      </c>
      <c r="V22" s="35"/>
      <c r="W22" s="44"/>
    </row>
    <row r="23" spans="1:23" x14ac:dyDescent="0.25">
      <c r="A23" s="199"/>
      <c r="B23" s="180"/>
      <c r="C23" s="182" t="s">
        <v>103</v>
      </c>
      <c r="D23" s="182"/>
      <c r="E23" s="182"/>
      <c r="F23" s="47" t="s">
        <v>57</v>
      </c>
      <c r="G23" s="50">
        <f>4046*0.9*0.9*0.9*0.9</f>
        <v>2654.5806000000002</v>
      </c>
      <c r="H23" s="51">
        <f>G23*0.7</f>
        <v>1858.20642</v>
      </c>
      <c r="I23" s="25">
        <v>1</v>
      </c>
      <c r="J23" s="71">
        <f t="shared" si="10"/>
        <v>1858.20642</v>
      </c>
      <c r="K23" s="32">
        <v>0.1</v>
      </c>
      <c r="L23" s="144">
        <f t="shared" si="24"/>
        <v>185.82064200000002</v>
      </c>
      <c r="M23" s="165">
        <f t="shared" si="25"/>
        <v>796.37418000000025</v>
      </c>
      <c r="N23" s="25">
        <f t="shared" si="26"/>
        <v>1</v>
      </c>
      <c r="O23" s="165">
        <f t="shared" si="28"/>
        <v>796.37418000000025</v>
      </c>
      <c r="P23" s="40">
        <f t="shared" si="40"/>
        <v>0.1</v>
      </c>
      <c r="Q23" s="45">
        <f t="shared" si="29"/>
        <v>79.637418000000025</v>
      </c>
      <c r="R23" s="154">
        <f t="shared" ref="R23" si="44">(L23+Q23)</f>
        <v>265.45806000000005</v>
      </c>
      <c r="S23" s="56">
        <v>7.25</v>
      </c>
      <c r="T23" s="57">
        <f t="shared" si="27"/>
        <v>1924.5709350000004</v>
      </c>
      <c r="U23" s="37">
        <f t="shared" si="1"/>
        <v>0.7</v>
      </c>
      <c r="V23" s="35"/>
    </row>
    <row r="24" spans="1:23" x14ac:dyDescent="0.25">
      <c r="A24" s="199"/>
      <c r="B24" s="180"/>
      <c r="C24" s="182" t="s">
        <v>104</v>
      </c>
      <c r="D24" s="182"/>
      <c r="E24" s="182"/>
      <c r="F24" s="48" t="s">
        <v>60</v>
      </c>
      <c r="G24" s="50">
        <f>4046*0.9*0.9*0.9*0.9</f>
        <v>2654.5806000000002</v>
      </c>
      <c r="H24" s="51">
        <f>G24*0.85</f>
        <v>2256.3935100000003</v>
      </c>
      <c r="I24" s="25">
        <v>1</v>
      </c>
      <c r="J24" s="71">
        <f t="shared" si="10"/>
        <v>2256.3935100000003</v>
      </c>
      <c r="K24" s="32">
        <v>3.3300000000000003E-2</v>
      </c>
      <c r="L24" s="144">
        <f t="shared" si="24"/>
        <v>75.137903883000021</v>
      </c>
      <c r="M24" s="50">
        <f>(G24-H24)</f>
        <v>398.1870899999999</v>
      </c>
      <c r="N24" s="25">
        <f t="shared" si="26"/>
        <v>1</v>
      </c>
      <c r="O24" s="50">
        <f t="shared" si="28"/>
        <v>398.1870899999999</v>
      </c>
      <c r="P24" s="40">
        <f t="shared" si="40"/>
        <v>3.3300000000000003E-2</v>
      </c>
      <c r="Q24" s="45">
        <f t="shared" si="29"/>
        <v>13.259630096999999</v>
      </c>
      <c r="R24" s="154">
        <f t="shared" ref="R24" si="45">(L24+Q24)</f>
        <v>88.39753398000002</v>
      </c>
      <c r="S24" s="56">
        <v>7.25</v>
      </c>
      <c r="T24" s="57">
        <f t="shared" si="27"/>
        <v>640.88212135500009</v>
      </c>
      <c r="U24" s="37">
        <f t="shared" si="1"/>
        <v>0.85000000000000009</v>
      </c>
      <c r="V24" s="35"/>
      <c r="W24" s="44"/>
    </row>
    <row r="25" spans="1:23" x14ac:dyDescent="0.25">
      <c r="A25" s="199"/>
      <c r="B25" s="180"/>
      <c r="C25" s="182" t="s">
        <v>105</v>
      </c>
      <c r="D25" s="182"/>
      <c r="E25" s="182"/>
      <c r="F25" s="47" t="s">
        <v>74</v>
      </c>
      <c r="G25" s="50">
        <f>G4</f>
        <v>4046</v>
      </c>
      <c r="H25" s="51">
        <f>G25*0.5158</f>
        <v>2086.9268000000002</v>
      </c>
      <c r="I25" s="25">
        <v>1</v>
      </c>
      <c r="J25" s="71">
        <f t="shared" si="10"/>
        <v>2086.9268000000002</v>
      </c>
      <c r="K25" s="32">
        <v>0.5</v>
      </c>
      <c r="L25" s="145">
        <f t="shared" ref="L25:L29" si="46">(J25*K25)</f>
        <v>1043.4634000000001</v>
      </c>
      <c r="M25" s="50">
        <f>G25-H25</f>
        <v>1959.0731999999998</v>
      </c>
      <c r="N25" s="25">
        <f t="shared" ref="N25:N29" si="47">(I25)</f>
        <v>1</v>
      </c>
      <c r="O25" s="50">
        <f>+M25*N25</f>
        <v>1959.0731999999998</v>
      </c>
      <c r="P25" s="40">
        <v>0</v>
      </c>
      <c r="Q25" s="45">
        <f>+O25*P25</f>
        <v>0</v>
      </c>
      <c r="R25" s="154">
        <f>(L25+Q25)</f>
        <v>1043.4634000000001</v>
      </c>
      <c r="S25" s="56">
        <v>7.25</v>
      </c>
      <c r="T25" s="57">
        <f t="shared" ref="T25:T29" si="48">(R25*S25)</f>
        <v>7565.1096500000003</v>
      </c>
      <c r="U25" s="37">
        <f t="shared" si="1"/>
        <v>0.51580000000000004</v>
      </c>
      <c r="V25" s="35"/>
    </row>
    <row r="26" spans="1:23" ht="22.5" x14ac:dyDescent="0.25">
      <c r="A26" s="199"/>
      <c r="B26" s="180"/>
      <c r="C26" s="182" t="s">
        <v>150</v>
      </c>
      <c r="D26" s="182"/>
      <c r="E26" s="182"/>
      <c r="F26" s="47" t="s">
        <v>120</v>
      </c>
      <c r="G26" s="50">
        <f>G24</f>
        <v>2654.5806000000002</v>
      </c>
      <c r="H26" s="51">
        <f>(G26)</f>
        <v>2654.5806000000002</v>
      </c>
      <c r="I26" s="25">
        <v>3</v>
      </c>
      <c r="J26" s="71">
        <f t="shared" si="10"/>
        <v>7963.7418000000007</v>
      </c>
      <c r="K26" s="32">
        <f>K10</f>
        <v>2.0799999999999999E-2</v>
      </c>
      <c r="L26" s="144">
        <f t="shared" si="46"/>
        <v>165.64582944</v>
      </c>
      <c r="M26" s="50">
        <f>G26-H26</f>
        <v>0</v>
      </c>
      <c r="N26" s="25">
        <f t="shared" si="47"/>
        <v>3</v>
      </c>
      <c r="O26" s="50">
        <f t="shared" ref="O26:O29" si="49">+M26*N26</f>
        <v>0</v>
      </c>
      <c r="P26" s="40">
        <f>K26</f>
        <v>2.0799999999999999E-2</v>
      </c>
      <c r="Q26" s="45">
        <f t="shared" ref="Q26:Q29" si="50">+O26*P26</f>
        <v>0</v>
      </c>
      <c r="R26" s="154">
        <f>(L26+Q26)</f>
        <v>165.64582944</v>
      </c>
      <c r="S26" s="56">
        <v>7.25</v>
      </c>
      <c r="T26" s="57">
        <f t="shared" si="48"/>
        <v>1200.93226344</v>
      </c>
      <c r="U26" s="37">
        <f t="shared" si="1"/>
        <v>1</v>
      </c>
      <c r="V26" s="35"/>
    </row>
    <row r="27" spans="1:23" x14ac:dyDescent="0.25">
      <c r="A27" s="199"/>
      <c r="B27" s="180"/>
      <c r="C27" s="182" t="s">
        <v>106</v>
      </c>
      <c r="D27" s="182"/>
      <c r="E27" s="182"/>
      <c r="F27" s="47" t="s">
        <v>127</v>
      </c>
      <c r="G27" s="50">
        <f>H22</f>
        <v>1759.84816</v>
      </c>
      <c r="H27" s="51">
        <f>G27*0.8</f>
        <v>1407.8785280000002</v>
      </c>
      <c r="I27" s="25">
        <v>1</v>
      </c>
      <c r="J27" s="71">
        <f t="shared" si="10"/>
        <v>1407.8785280000002</v>
      </c>
      <c r="K27" s="32">
        <v>4.1999999999999997E-3</v>
      </c>
      <c r="L27" s="145">
        <f t="shared" si="46"/>
        <v>5.9130898176000004</v>
      </c>
      <c r="M27" s="50">
        <f>G27-H27</f>
        <v>351.96963199999982</v>
      </c>
      <c r="N27" s="25">
        <f t="shared" si="47"/>
        <v>1</v>
      </c>
      <c r="O27" s="50">
        <f>+M27*N27</f>
        <v>351.96963199999982</v>
      </c>
      <c r="P27" s="40">
        <f t="shared" ref="P27" si="51">K27</f>
        <v>4.1999999999999997E-3</v>
      </c>
      <c r="Q27" s="45">
        <f>+O27*P27</f>
        <v>1.4782724543999992</v>
      </c>
      <c r="R27" s="154">
        <f>(L27+Q27)</f>
        <v>7.3913622719999994</v>
      </c>
      <c r="S27" s="56">
        <v>7.25</v>
      </c>
      <c r="T27" s="57">
        <f t="shared" si="48"/>
        <v>53.587376471999995</v>
      </c>
      <c r="U27" s="34">
        <f t="shared" si="1"/>
        <v>0.80000000000000016</v>
      </c>
      <c r="V27" s="35"/>
      <c r="W27" s="44"/>
    </row>
    <row r="28" spans="1:23" x14ac:dyDescent="0.25">
      <c r="A28" s="199"/>
      <c r="B28" s="180"/>
      <c r="C28" s="182" t="s">
        <v>107</v>
      </c>
      <c r="D28" s="182"/>
      <c r="E28" s="182"/>
      <c r="F28" s="47" t="s">
        <v>57</v>
      </c>
      <c r="G28" s="50">
        <f>4046*0.9*0.9*0.9*0.9*0.95</f>
        <v>2521.8515700000003</v>
      </c>
      <c r="H28" s="51">
        <f>G28*0.7</f>
        <v>1765.2960990000001</v>
      </c>
      <c r="I28" s="25">
        <v>1</v>
      </c>
      <c r="J28" s="71">
        <f t="shared" si="10"/>
        <v>1765.2960990000001</v>
      </c>
      <c r="K28" s="32">
        <v>0.1</v>
      </c>
      <c r="L28" s="144">
        <f t="shared" si="46"/>
        <v>176.52960990000003</v>
      </c>
      <c r="M28" s="165">
        <f>G28-H28</f>
        <v>756.55547100000013</v>
      </c>
      <c r="N28" s="25">
        <f t="shared" si="47"/>
        <v>1</v>
      </c>
      <c r="O28" s="165">
        <f t="shared" si="49"/>
        <v>756.55547100000013</v>
      </c>
      <c r="P28" s="40">
        <f>K28</f>
        <v>0.1</v>
      </c>
      <c r="Q28" s="45">
        <f t="shared" si="50"/>
        <v>75.655547100000021</v>
      </c>
      <c r="R28" s="154">
        <f t="shared" ref="R28:R29" si="52">(L28+Q28)</f>
        <v>252.18515700000006</v>
      </c>
      <c r="S28" s="56">
        <v>7.25</v>
      </c>
      <c r="T28" s="57">
        <f t="shared" si="48"/>
        <v>1828.3423882500003</v>
      </c>
      <c r="U28" s="37">
        <f t="shared" si="1"/>
        <v>0.7</v>
      </c>
      <c r="V28" s="35"/>
    </row>
    <row r="29" spans="1:23" x14ac:dyDescent="0.25">
      <c r="A29" s="199"/>
      <c r="B29" s="180"/>
      <c r="C29" s="182" t="s">
        <v>108</v>
      </c>
      <c r="D29" s="182"/>
      <c r="E29" s="182"/>
      <c r="F29" s="48" t="s">
        <v>128</v>
      </c>
      <c r="G29" s="50">
        <f>4046*0.9*0.9*0.9*0.9*0.95</f>
        <v>2521.8515700000003</v>
      </c>
      <c r="H29" s="51">
        <f>G29*0.85</f>
        <v>2143.5738345</v>
      </c>
      <c r="I29" s="25">
        <v>1</v>
      </c>
      <c r="J29" s="71">
        <f t="shared" si="10"/>
        <v>2143.5738345</v>
      </c>
      <c r="K29" s="32">
        <v>0.05</v>
      </c>
      <c r="L29" s="144">
        <f t="shared" si="46"/>
        <v>107.17869172500001</v>
      </c>
      <c r="M29" s="50">
        <f>(G29-H29)</f>
        <v>378.27773550000029</v>
      </c>
      <c r="N29" s="25">
        <f t="shared" si="47"/>
        <v>1</v>
      </c>
      <c r="O29" s="50">
        <f t="shared" si="49"/>
        <v>378.27773550000029</v>
      </c>
      <c r="P29" s="40">
        <f>K29</f>
        <v>0.05</v>
      </c>
      <c r="Q29" s="45">
        <f t="shared" si="50"/>
        <v>18.913886775000016</v>
      </c>
      <c r="R29" s="154">
        <f t="shared" si="52"/>
        <v>126.09257850000003</v>
      </c>
      <c r="S29" s="56">
        <v>7.25</v>
      </c>
      <c r="T29" s="57">
        <f t="shared" si="48"/>
        <v>914.17119412500017</v>
      </c>
      <c r="U29" s="34">
        <f t="shared" si="1"/>
        <v>0.84999999999999987</v>
      </c>
      <c r="V29" s="35"/>
    </row>
    <row r="30" spans="1:23" x14ac:dyDescent="0.25">
      <c r="A30" s="199"/>
      <c r="B30" s="180"/>
      <c r="C30" s="182" t="s">
        <v>109</v>
      </c>
      <c r="D30" s="182"/>
      <c r="E30" s="182"/>
      <c r="F30" s="47" t="s">
        <v>75</v>
      </c>
      <c r="G30" s="50">
        <f>G4</f>
        <v>4046</v>
      </c>
      <c r="H30" s="51">
        <f>G30*0.4893</f>
        <v>1979.7078000000001</v>
      </c>
      <c r="I30" s="25">
        <v>1</v>
      </c>
      <c r="J30" s="71">
        <f t="shared" si="10"/>
        <v>1979.7078000000001</v>
      </c>
      <c r="K30" s="32">
        <v>0.5</v>
      </c>
      <c r="L30" s="145">
        <f t="shared" ref="L30:L38" si="53">(J30*K30)</f>
        <v>989.85390000000007</v>
      </c>
      <c r="M30" s="50">
        <f t="shared" ref="M30:M44" si="54">G30-H30</f>
        <v>2066.2921999999999</v>
      </c>
      <c r="N30" s="25">
        <f t="shared" ref="N30:N38" si="55">(I30)</f>
        <v>1</v>
      </c>
      <c r="O30" s="50">
        <f>+M30*N30</f>
        <v>2066.2921999999999</v>
      </c>
      <c r="P30" s="40">
        <v>0</v>
      </c>
      <c r="Q30" s="45">
        <f>+O30*P30</f>
        <v>0</v>
      </c>
      <c r="R30" s="154">
        <f>(L30+Q30)</f>
        <v>989.85390000000007</v>
      </c>
      <c r="S30" s="56">
        <v>7.25</v>
      </c>
      <c r="T30" s="57">
        <f t="shared" ref="T30:T38" si="56">(R30*S30)</f>
        <v>7176.4407750000009</v>
      </c>
      <c r="U30" s="34">
        <f t="shared" si="1"/>
        <v>0.48930000000000001</v>
      </c>
      <c r="V30" s="35"/>
    </row>
    <row r="31" spans="1:23" x14ac:dyDescent="0.25">
      <c r="A31" s="199"/>
      <c r="B31" s="180"/>
      <c r="C31" s="184" t="s">
        <v>110</v>
      </c>
      <c r="D31" s="184"/>
      <c r="E31" s="184"/>
      <c r="F31" s="49" t="s">
        <v>125</v>
      </c>
      <c r="G31" s="50">
        <f>H30</f>
        <v>1979.7078000000001</v>
      </c>
      <c r="H31" s="51">
        <f>G31*0.7</f>
        <v>1385.79546</v>
      </c>
      <c r="I31" s="25">
        <v>1</v>
      </c>
      <c r="J31" s="25">
        <f t="shared" si="10"/>
        <v>1385.79546</v>
      </c>
      <c r="K31" s="32">
        <v>1</v>
      </c>
      <c r="L31" s="144">
        <f t="shared" si="53"/>
        <v>1385.79546</v>
      </c>
      <c r="M31" s="50">
        <f t="shared" si="54"/>
        <v>593.91234000000009</v>
      </c>
      <c r="N31" s="25">
        <f t="shared" si="55"/>
        <v>1</v>
      </c>
      <c r="O31" s="50">
        <f t="shared" ref="O31:O34" si="57">+M31*N31</f>
        <v>593.91234000000009</v>
      </c>
      <c r="P31" s="40">
        <v>0</v>
      </c>
      <c r="Q31" s="45">
        <f t="shared" ref="Q31:Q34" si="58">+O31*P31</f>
        <v>0</v>
      </c>
      <c r="R31" s="154">
        <f t="shared" ref="R31:R34" si="59">(L31+Q31)</f>
        <v>1385.79546</v>
      </c>
      <c r="S31" s="56">
        <v>7.25</v>
      </c>
      <c r="T31" s="57">
        <f t="shared" si="56"/>
        <v>10047.017084999999</v>
      </c>
      <c r="U31" s="34">
        <f t="shared" si="1"/>
        <v>0.7</v>
      </c>
      <c r="V31" s="35"/>
    </row>
    <row r="32" spans="1:23" x14ac:dyDescent="0.25">
      <c r="A32" s="199"/>
      <c r="B32" s="180"/>
      <c r="C32" s="182" t="s">
        <v>111</v>
      </c>
      <c r="D32" s="182"/>
      <c r="E32" s="182"/>
      <c r="F32" s="48" t="s">
        <v>59</v>
      </c>
      <c r="G32" s="50">
        <f>H30*0.2</f>
        <v>395.94156000000004</v>
      </c>
      <c r="H32" s="51">
        <f>G32*0.5</f>
        <v>197.97078000000002</v>
      </c>
      <c r="I32" s="25">
        <v>1</v>
      </c>
      <c r="J32" s="25">
        <f t="shared" si="10"/>
        <v>197.97078000000002</v>
      </c>
      <c r="K32" s="32">
        <v>0.05</v>
      </c>
      <c r="L32" s="144">
        <f t="shared" si="53"/>
        <v>9.8985390000000013</v>
      </c>
      <c r="M32" s="50">
        <f t="shared" si="54"/>
        <v>197.97078000000002</v>
      </c>
      <c r="N32" s="25">
        <f t="shared" si="55"/>
        <v>1</v>
      </c>
      <c r="O32" s="50">
        <f t="shared" si="57"/>
        <v>197.97078000000002</v>
      </c>
      <c r="P32" s="40">
        <f>K32</f>
        <v>0.05</v>
      </c>
      <c r="Q32" s="45">
        <f t="shared" si="58"/>
        <v>9.8985390000000013</v>
      </c>
      <c r="R32" s="154">
        <f t="shared" si="59"/>
        <v>19.797078000000003</v>
      </c>
      <c r="S32" s="56">
        <v>7.25</v>
      </c>
      <c r="T32" s="57">
        <f t="shared" si="56"/>
        <v>143.52881550000001</v>
      </c>
      <c r="U32" s="34">
        <f t="shared" si="1"/>
        <v>0.5</v>
      </c>
      <c r="V32" s="35"/>
    </row>
    <row r="33" spans="1:23" x14ac:dyDescent="0.25">
      <c r="A33" s="199"/>
      <c r="B33" s="180"/>
      <c r="C33" s="182" t="s">
        <v>112</v>
      </c>
      <c r="D33" s="182"/>
      <c r="E33" s="182"/>
      <c r="F33" s="48" t="s">
        <v>58</v>
      </c>
      <c r="G33" s="50">
        <f>H30*0.2</f>
        <v>395.94156000000004</v>
      </c>
      <c r="H33" s="51">
        <f>G33*0.25</f>
        <v>98.98539000000001</v>
      </c>
      <c r="I33" s="25">
        <v>1</v>
      </c>
      <c r="J33" s="25">
        <f t="shared" si="10"/>
        <v>98.98539000000001</v>
      </c>
      <c r="K33" s="32">
        <v>0.05</v>
      </c>
      <c r="L33" s="144">
        <f t="shared" si="53"/>
        <v>4.9492695000000007</v>
      </c>
      <c r="M33" s="50">
        <f t="shared" si="54"/>
        <v>296.95617000000004</v>
      </c>
      <c r="N33" s="25">
        <f t="shared" si="55"/>
        <v>1</v>
      </c>
      <c r="O33" s="50">
        <f t="shared" si="57"/>
        <v>296.95617000000004</v>
      </c>
      <c r="P33" s="40">
        <v>0</v>
      </c>
      <c r="Q33" s="45">
        <f t="shared" si="58"/>
        <v>0</v>
      </c>
      <c r="R33" s="154">
        <f t="shared" si="59"/>
        <v>4.9492695000000007</v>
      </c>
      <c r="S33" s="56">
        <v>7.25</v>
      </c>
      <c r="T33" s="57">
        <f t="shared" si="56"/>
        <v>35.882203875000002</v>
      </c>
      <c r="U33" s="34">
        <f t="shared" si="1"/>
        <v>0.25</v>
      </c>
      <c r="V33" s="35"/>
    </row>
    <row r="34" spans="1:23" x14ac:dyDescent="0.25">
      <c r="A34" s="199"/>
      <c r="B34" s="180"/>
      <c r="C34" s="182" t="s">
        <v>113</v>
      </c>
      <c r="D34" s="182"/>
      <c r="E34" s="182"/>
      <c r="F34" s="48" t="s">
        <v>73</v>
      </c>
      <c r="G34" s="50">
        <f>H30*0.2</f>
        <v>395.94156000000004</v>
      </c>
      <c r="H34" s="51">
        <f>G34*0.0068</f>
        <v>2.6924026080000001</v>
      </c>
      <c r="I34" s="25">
        <v>1</v>
      </c>
      <c r="J34" s="25">
        <f t="shared" si="10"/>
        <v>2.6924026080000001</v>
      </c>
      <c r="K34" s="32">
        <v>0.5</v>
      </c>
      <c r="L34" s="144">
        <f t="shared" si="53"/>
        <v>1.346201304</v>
      </c>
      <c r="M34" s="50">
        <f t="shared" si="54"/>
        <v>393.24915739200003</v>
      </c>
      <c r="N34" s="25">
        <f t="shared" si="55"/>
        <v>1</v>
      </c>
      <c r="O34" s="50">
        <f t="shared" si="57"/>
        <v>393.24915739200003</v>
      </c>
      <c r="P34" s="40">
        <v>0</v>
      </c>
      <c r="Q34" s="45">
        <f t="shared" si="58"/>
        <v>0</v>
      </c>
      <c r="R34" s="154">
        <f t="shared" si="59"/>
        <v>1.346201304</v>
      </c>
      <c r="S34" s="56">
        <v>7.25</v>
      </c>
      <c r="T34" s="57">
        <f t="shared" si="56"/>
        <v>9.7599594540000005</v>
      </c>
      <c r="U34" s="34">
        <f t="shared" si="1"/>
        <v>6.7999999999999996E-3</v>
      </c>
      <c r="V34" s="35"/>
    </row>
    <row r="35" spans="1:23" ht="22.5" x14ac:dyDescent="0.25">
      <c r="A35" s="199"/>
      <c r="B35" s="180"/>
      <c r="C35" s="182" t="s">
        <v>151</v>
      </c>
      <c r="D35" s="182"/>
      <c r="E35" s="182"/>
      <c r="F35" s="47" t="s">
        <v>120</v>
      </c>
      <c r="G35" s="50">
        <f>G29</f>
        <v>2521.8515700000003</v>
      </c>
      <c r="H35" s="51">
        <f>(G35)</f>
        <v>2521.8515700000003</v>
      </c>
      <c r="I35" s="25">
        <v>3</v>
      </c>
      <c r="J35" s="71">
        <f t="shared" si="10"/>
        <v>7565.5547100000003</v>
      </c>
      <c r="K35" s="32">
        <f>K20</f>
        <v>2.0799999999999999E-2</v>
      </c>
      <c r="L35" s="144">
        <f t="shared" ref="L35:L36" si="60">(J35*K35)</f>
        <v>157.363537968</v>
      </c>
      <c r="M35" s="50">
        <f t="shared" si="54"/>
        <v>0</v>
      </c>
      <c r="N35" s="25">
        <f t="shared" ref="N35:N36" si="61">(I35)</f>
        <v>3</v>
      </c>
      <c r="O35" s="50">
        <f t="shared" ref="O35:O36" si="62">+M35*N35</f>
        <v>0</v>
      </c>
      <c r="P35" s="40">
        <f t="shared" ref="P35:P41" si="63">K35</f>
        <v>2.0799999999999999E-2</v>
      </c>
      <c r="Q35" s="45">
        <f t="shared" ref="Q35:Q36" si="64">+O35*P35</f>
        <v>0</v>
      </c>
      <c r="R35" s="154">
        <f>(L35+Q35)</f>
        <v>157.363537968</v>
      </c>
      <c r="S35" s="56">
        <v>7.25</v>
      </c>
      <c r="T35" s="57">
        <f t="shared" ref="T35:T36" si="65">(R35*S35)</f>
        <v>1140.8856502680001</v>
      </c>
      <c r="U35" s="34">
        <f t="shared" si="1"/>
        <v>1</v>
      </c>
      <c r="V35" s="35"/>
    </row>
    <row r="36" spans="1:23" x14ac:dyDescent="0.25">
      <c r="A36" s="199"/>
      <c r="B36" s="180"/>
      <c r="C36" s="182" t="s">
        <v>147</v>
      </c>
      <c r="D36" s="182"/>
      <c r="E36" s="182"/>
      <c r="F36" s="47" t="s">
        <v>121</v>
      </c>
      <c r="G36" s="50">
        <f>G29</f>
        <v>2521.8515700000003</v>
      </c>
      <c r="H36" s="51">
        <f>(G36)</f>
        <v>2521.8515700000003</v>
      </c>
      <c r="I36" s="25">
        <v>2</v>
      </c>
      <c r="J36" s="71">
        <f t="shared" ref="J36" si="66">+H36*I36</f>
        <v>5043.7031400000005</v>
      </c>
      <c r="K36" s="32">
        <v>8.3000000000000001E-3</v>
      </c>
      <c r="L36" s="144">
        <f t="shared" si="60"/>
        <v>41.862736062000003</v>
      </c>
      <c r="M36" s="50">
        <f t="shared" si="54"/>
        <v>0</v>
      </c>
      <c r="N36" s="25">
        <f t="shared" si="61"/>
        <v>2</v>
      </c>
      <c r="O36" s="50">
        <f t="shared" si="62"/>
        <v>0</v>
      </c>
      <c r="P36" s="40">
        <f>K36</f>
        <v>8.3000000000000001E-3</v>
      </c>
      <c r="Q36" s="45">
        <f t="shared" si="64"/>
        <v>0</v>
      </c>
      <c r="R36" s="154">
        <f>(L36+Q36)</f>
        <v>41.862736062000003</v>
      </c>
      <c r="S36" s="56">
        <v>7.25</v>
      </c>
      <c r="T36" s="57">
        <f t="shared" si="65"/>
        <v>303.50483644950003</v>
      </c>
      <c r="U36" s="34"/>
      <c r="V36" s="35"/>
    </row>
    <row r="37" spans="1:23" x14ac:dyDescent="0.25">
      <c r="A37" s="199"/>
      <c r="B37" s="180"/>
      <c r="C37" s="182" t="s">
        <v>114</v>
      </c>
      <c r="D37" s="182"/>
      <c r="E37" s="182"/>
      <c r="F37" s="47" t="s">
        <v>129</v>
      </c>
      <c r="G37" s="50">
        <f>H30</f>
        <v>1979.7078000000001</v>
      </c>
      <c r="H37" s="51">
        <f>G37*0.8</f>
        <v>1583.7662400000002</v>
      </c>
      <c r="I37" s="25">
        <v>1</v>
      </c>
      <c r="J37" s="71">
        <f t="shared" si="10"/>
        <v>1583.7662400000002</v>
      </c>
      <c r="K37" s="32">
        <v>4.1999999999999997E-3</v>
      </c>
      <c r="L37" s="145">
        <f t="shared" si="53"/>
        <v>6.6518182079999999</v>
      </c>
      <c r="M37" s="50">
        <f t="shared" si="54"/>
        <v>395.94155999999998</v>
      </c>
      <c r="N37" s="25">
        <f t="shared" si="55"/>
        <v>1</v>
      </c>
      <c r="O37" s="50">
        <f>+M37*N37</f>
        <v>395.94155999999998</v>
      </c>
      <c r="P37" s="40">
        <f t="shared" si="63"/>
        <v>4.1999999999999997E-3</v>
      </c>
      <c r="Q37" s="45">
        <f>+O37*P37</f>
        <v>1.6629545519999998</v>
      </c>
      <c r="R37" s="154">
        <f>(L37+Q37)</f>
        <v>8.3147727600000003</v>
      </c>
      <c r="S37" s="56">
        <v>7.25</v>
      </c>
      <c r="T37" s="57">
        <f t="shared" si="56"/>
        <v>60.282102510000001</v>
      </c>
      <c r="U37" s="34">
        <f t="shared" si="1"/>
        <v>0.8</v>
      </c>
      <c r="V37" s="35"/>
      <c r="W37" s="44"/>
    </row>
    <row r="38" spans="1:23" x14ac:dyDescent="0.25">
      <c r="A38" s="199"/>
      <c r="B38" s="180"/>
      <c r="C38" s="182" t="s">
        <v>115</v>
      </c>
      <c r="D38" s="182"/>
      <c r="E38" s="182"/>
      <c r="F38" s="48" t="s">
        <v>76</v>
      </c>
      <c r="G38" s="50">
        <f>G14</f>
        <v>2802.0572999999999</v>
      </c>
      <c r="H38" s="51">
        <f>G38*0.8</f>
        <v>2241.6458400000001</v>
      </c>
      <c r="I38" s="25">
        <v>1</v>
      </c>
      <c r="J38" s="71">
        <f t="shared" si="10"/>
        <v>2241.6458400000001</v>
      </c>
      <c r="K38" s="32">
        <v>8.3000000000000001E-3</v>
      </c>
      <c r="L38" s="144">
        <f t="shared" si="53"/>
        <v>18.605660472</v>
      </c>
      <c r="M38" s="50">
        <f t="shared" si="54"/>
        <v>560.41145999999981</v>
      </c>
      <c r="N38" s="25">
        <f t="shared" si="55"/>
        <v>1</v>
      </c>
      <c r="O38" s="50">
        <f t="shared" ref="O38" si="67">+M38*N38</f>
        <v>560.41145999999981</v>
      </c>
      <c r="P38" s="40">
        <f t="shared" si="63"/>
        <v>8.3000000000000001E-3</v>
      </c>
      <c r="Q38" s="45">
        <f t="shared" ref="Q38" si="68">+O38*P38</f>
        <v>4.6514151179999983</v>
      </c>
      <c r="R38" s="154">
        <f t="shared" ref="R38" si="69">(L38+Q38)</f>
        <v>23.257075589999999</v>
      </c>
      <c r="S38" s="56">
        <v>7.25</v>
      </c>
      <c r="T38" s="57">
        <f t="shared" si="56"/>
        <v>168.6137980275</v>
      </c>
      <c r="U38" s="34">
        <f t="shared" si="1"/>
        <v>0.8</v>
      </c>
      <c r="V38" s="35"/>
    </row>
    <row r="39" spans="1:23" s="27" customFormat="1" x14ac:dyDescent="0.25">
      <c r="A39" s="199"/>
      <c r="B39" s="180"/>
      <c r="C39" s="182" t="s">
        <v>116</v>
      </c>
      <c r="D39" s="182"/>
      <c r="E39" s="182"/>
      <c r="F39" s="48" t="s">
        <v>77</v>
      </c>
      <c r="G39" s="50">
        <f>G14</f>
        <v>2802.0572999999999</v>
      </c>
      <c r="H39" s="51">
        <v>2241</v>
      </c>
      <c r="I39" s="25">
        <v>2</v>
      </c>
      <c r="J39" s="71">
        <f t="shared" si="10"/>
        <v>4482</v>
      </c>
      <c r="K39" s="32">
        <v>8.3000000000000001E-3</v>
      </c>
      <c r="L39" s="144">
        <f>(J39*K39)</f>
        <v>37.200600000000001</v>
      </c>
      <c r="M39" s="50">
        <f t="shared" si="54"/>
        <v>561.05729999999994</v>
      </c>
      <c r="N39" s="25">
        <f>(I39)</f>
        <v>2</v>
      </c>
      <c r="O39" s="50">
        <f>+M39*N39</f>
        <v>1122.1145999999999</v>
      </c>
      <c r="P39" s="40">
        <f t="shared" si="63"/>
        <v>8.3000000000000001E-3</v>
      </c>
      <c r="Q39" s="45">
        <f>+O39*P39</f>
        <v>9.3135511799999993</v>
      </c>
      <c r="R39" s="154">
        <f>(L39+Q39)</f>
        <v>46.514151179999999</v>
      </c>
      <c r="S39" s="56">
        <v>7.25</v>
      </c>
      <c r="T39" s="57">
        <f>(R39*S39)</f>
        <v>337.22759605499999</v>
      </c>
      <c r="U39" s="34">
        <f t="shared" ref="U39:U56" si="70">H39/G39</f>
        <v>0.79976951220804804</v>
      </c>
      <c r="V39" s="35"/>
      <c r="W39"/>
    </row>
    <row r="40" spans="1:23" s="27" customFormat="1" x14ac:dyDescent="0.25">
      <c r="A40" s="199"/>
      <c r="B40" s="180"/>
      <c r="C40" s="184" t="s">
        <v>117</v>
      </c>
      <c r="D40" s="184"/>
      <c r="E40" s="184"/>
      <c r="F40" s="48" t="s">
        <v>130</v>
      </c>
      <c r="G40" s="50">
        <f>G29</f>
        <v>2521.8515700000003</v>
      </c>
      <c r="H40" s="51">
        <f>G40*0.8</f>
        <v>2017.4812560000003</v>
      </c>
      <c r="I40" s="25">
        <v>1</v>
      </c>
      <c r="J40" s="71">
        <f t="shared" si="10"/>
        <v>2017.4812560000003</v>
      </c>
      <c r="K40" s="32">
        <v>8.3000000000000001E-3</v>
      </c>
      <c r="L40" s="144">
        <f>(J40*K40)</f>
        <v>16.745094424800001</v>
      </c>
      <c r="M40" s="50">
        <f t="shared" si="54"/>
        <v>504.37031400000001</v>
      </c>
      <c r="N40" s="25">
        <f>(I40)</f>
        <v>1</v>
      </c>
      <c r="O40" s="50">
        <f>+M40*N40</f>
        <v>504.37031400000001</v>
      </c>
      <c r="P40" s="40">
        <f t="shared" si="63"/>
        <v>8.3000000000000001E-3</v>
      </c>
      <c r="Q40" s="45">
        <f>+O40*P40</f>
        <v>4.1862736062000003</v>
      </c>
      <c r="R40" s="154">
        <f>(L40+Q40)</f>
        <v>20.931368031000002</v>
      </c>
      <c r="S40" s="56">
        <v>7.25</v>
      </c>
      <c r="T40" s="57">
        <f>(R40*S40)</f>
        <v>151.75241822475002</v>
      </c>
      <c r="U40" s="34">
        <f t="shared" si="70"/>
        <v>0.8</v>
      </c>
      <c r="V40" s="35"/>
      <c r="W40"/>
    </row>
    <row r="41" spans="1:23" ht="15.75" thickBot="1" x14ac:dyDescent="0.3">
      <c r="A41" s="200"/>
      <c r="B41" s="181"/>
      <c r="C41" s="183" t="s">
        <v>173</v>
      </c>
      <c r="D41" s="183"/>
      <c r="E41" s="183"/>
      <c r="F41" s="60" t="s">
        <v>131</v>
      </c>
      <c r="G41" s="73">
        <f>G29</f>
        <v>2521.8515700000003</v>
      </c>
      <c r="H41" s="74">
        <f>G41*0.8</f>
        <v>2017.4812560000003</v>
      </c>
      <c r="I41" s="75">
        <v>2</v>
      </c>
      <c r="J41" s="76">
        <v>4034</v>
      </c>
      <c r="K41" s="77">
        <v>8.3000000000000001E-3</v>
      </c>
      <c r="L41" s="146">
        <f t="shared" si="4"/>
        <v>33.482199999999999</v>
      </c>
      <c r="M41" s="73">
        <f t="shared" si="54"/>
        <v>504.37031400000001</v>
      </c>
      <c r="N41" s="75">
        <f t="shared" si="6"/>
        <v>2</v>
      </c>
      <c r="O41" s="73">
        <f t="shared" si="7"/>
        <v>1008.740628</v>
      </c>
      <c r="P41" s="78">
        <f t="shared" si="63"/>
        <v>8.3000000000000001E-3</v>
      </c>
      <c r="Q41" s="79">
        <f t="shared" si="8"/>
        <v>8.3725472124000007</v>
      </c>
      <c r="R41" s="155">
        <f t="shared" si="23"/>
        <v>41.8547472124</v>
      </c>
      <c r="S41" s="80">
        <v>7.25</v>
      </c>
      <c r="T41" s="81">
        <f t="shared" si="9"/>
        <v>303.4469172899</v>
      </c>
      <c r="U41" s="34">
        <f t="shared" si="70"/>
        <v>0.8</v>
      </c>
      <c r="V41" s="35"/>
    </row>
    <row r="42" spans="1:23" s="131" customFormat="1" ht="16.5" thickTop="1" thickBot="1" x14ac:dyDescent="0.3">
      <c r="A42" s="206" t="s">
        <v>152</v>
      </c>
      <c r="B42" s="206"/>
      <c r="C42" s="206"/>
      <c r="D42" s="206"/>
      <c r="E42" s="206"/>
      <c r="F42" s="132"/>
      <c r="G42" s="97">
        <f>G4</f>
        <v>4046</v>
      </c>
      <c r="H42" s="97">
        <f>H4</f>
        <v>3277.26</v>
      </c>
      <c r="I42" s="133"/>
      <c r="J42" s="134">
        <f>SUM(J4:J41)</f>
        <v>101018.74047698001</v>
      </c>
      <c r="K42" s="135"/>
      <c r="L42" s="147">
        <f>SUM(L4:L41)</f>
        <v>9707.2548753684005</v>
      </c>
      <c r="M42" s="166">
        <v>2066</v>
      </c>
      <c r="N42" s="137"/>
      <c r="O42" s="166">
        <f>SUM(O4:O41)</f>
        <v>23757.316271020001</v>
      </c>
      <c r="P42" s="135"/>
      <c r="Q42" s="136">
        <f>SUM(Q4:Q41)</f>
        <v>853.13806219100024</v>
      </c>
      <c r="R42" s="156">
        <f t="shared" si="23"/>
        <v>10560.392937559402</v>
      </c>
      <c r="S42" s="103"/>
      <c r="T42" s="138">
        <f>SUM(T4:T41)</f>
        <v>76562.848797305633</v>
      </c>
      <c r="U42" s="129">
        <f t="shared" si="70"/>
        <v>0.81</v>
      </c>
      <c r="V42" s="130"/>
    </row>
    <row r="43" spans="1:23" s="39" customFormat="1" ht="15.75" thickTop="1" x14ac:dyDescent="0.25">
      <c r="A43" s="190" t="s">
        <v>9</v>
      </c>
      <c r="B43" s="193" t="s">
        <v>51</v>
      </c>
      <c r="C43" s="205" t="s">
        <v>160</v>
      </c>
      <c r="D43" s="205"/>
      <c r="E43" s="205"/>
      <c r="F43" s="61" t="s">
        <v>174</v>
      </c>
      <c r="G43" s="62">
        <v>27</v>
      </c>
      <c r="H43" s="63">
        <v>27</v>
      </c>
      <c r="I43" s="64">
        <v>1</v>
      </c>
      <c r="J43" s="65">
        <f>+H43*I43</f>
        <v>27</v>
      </c>
      <c r="K43" s="66">
        <v>1</v>
      </c>
      <c r="L43" s="148">
        <f t="shared" ref="L43" si="71">+J43*K43</f>
        <v>27</v>
      </c>
      <c r="M43" s="62">
        <f t="shared" si="54"/>
        <v>0</v>
      </c>
      <c r="N43" s="65">
        <f>(I43)</f>
        <v>1</v>
      </c>
      <c r="O43" s="62">
        <f t="shared" ref="O43" si="72">+M43*N43</f>
        <v>0</v>
      </c>
      <c r="P43" s="67">
        <f>(K43)</f>
        <v>1</v>
      </c>
      <c r="Q43" s="68">
        <f>(O43*P43)</f>
        <v>0</v>
      </c>
      <c r="R43" s="157">
        <f t="shared" ref="R43" si="73">(L43+Q43)</f>
        <v>27</v>
      </c>
      <c r="S43" s="69">
        <v>54.08</v>
      </c>
      <c r="T43" s="70">
        <f t="shared" ref="T43" si="74">(R43*S43)</f>
        <v>1460.1599999999999</v>
      </c>
      <c r="U43" s="37">
        <f t="shared" si="70"/>
        <v>1</v>
      </c>
      <c r="V43" s="38"/>
    </row>
    <row r="44" spans="1:23" s="39" customFormat="1" x14ac:dyDescent="0.25">
      <c r="A44" s="191"/>
      <c r="B44" s="194"/>
      <c r="C44" s="182" t="s">
        <v>161</v>
      </c>
      <c r="D44" s="182"/>
      <c r="E44" s="182"/>
      <c r="F44" s="47" t="s">
        <v>175</v>
      </c>
      <c r="G44" s="50">
        <v>27</v>
      </c>
      <c r="H44" s="54">
        <v>27</v>
      </c>
      <c r="I44" s="25">
        <v>2</v>
      </c>
      <c r="J44" s="26">
        <f>+H44*I44</f>
        <v>54</v>
      </c>
      <c r="K44" s="32">
        <v>1</v>
      </c>
      <c r="L44" s="144">
        <f t="shared" ref="L44" si="75">+J44*K44</f>
        <v>54</v>
      </c>
      <c r="M44" s="50">
        <f t="shared" si="54"/>
        <v>0</v>
      </c>
      <c r="N44" s="26">
        <f>(I44)</f>
        <v>2</v>
      </c>
      <c r="O44" s="50">
        <f t="shared" ref="O44" si="76">+M44*N44</f>
        <v>0</v>
      </c>
      <c r="P44" s="40">
        <f>(K44)</f>
        <v>1</v>
      </c>
      <c r="Q44" s="45">
        <f>(O44*P44)</f>
        <v>0</v>
      </c>
      <c r="R44" s="154">
        <f t="shared" ref="R44" si="77">(L44+Q44)</f>
        <v>54</v>
      </c>
      <c r="S44" s="56">
        <v>54.08</v>
      </c>
      <c r="T44" s="57">
        <f t="shared" ref="T44" si="78">(R44*S44)</f>
        <v>2920.3199999999997</v>
      </c>
      <c r="U44" s="37">
        <f t="shared" si="70"/>
        <v>1</v>
      </c>
      <c r="V44" s="38"/>
    </row>
    <row r="45" spans="1:23" s="39" customFormat="1" ht="34.5" x14ac:dyDescent="0.25">
      <c r="A45" s="191"/>
      <c r="B45" s="194"/>
      <c r="C45" s="198" t="s">
        <v>162</v>
      </c>
      <c r="D45" s="198"/>
      <c r="E45" s="198"/>
      <c r="F45" s="55" t="s">
        <v>176</v>
      </c>
      <c r="G45" s="50">
        <v>27</v>
      </c>
      <c r="H45" s="50">
        <v>27</v>
      </c>
      <c r="I45" s="25">
        <v>1</v>
      </c>
      <c r="J45" s="25">
        <f>(I45*H45)</f>
        <v>27</v>
      </c>
      <c r="K45" s="32">
        <v>0.26669999999999999</v>
      </c>
      <c r="L45" s="144">
        <f>J45*K45</f>
        <v>7.2008999999999999</v>
      </c>
      <c r="M45" s="51">
        <v>0</v>
      </c>
      <c r="N45" s="25">
        <v>1</v>
      </c>
      <c r="O45" s="51">
        <f>(M45*N45)</f>
        <v>0</v>
      </c>
      <c r="P45" s="32">
        <f>(K45)</f>
        <v>0.26669999999999999</v>
      </c>
      <c r="Q45" s="52">
        <f>(P45*O45)</f>
        <v>0</v>
      </c>
      <c r="R45" s="154">
        <f>(L45+Q45)</f>
        <v>7.2008999999999999</v>
      </c>
      <c r="S45" s="56">
        <v>54.08</v>
      </c>
      <c r="T45" s="57">
        <f t="shared" si="9"/>
        <v>389.42467199999999</v>
      </c>
      <c r="U45" s="37">
        <f t="shared" si="70"/>
        <v>1</v>
      </c>
      <c r="V45" s="38"/>
    </row>
    <row r="46" spans="1:23" s="39" customFormat="1" x14ac:dyDescent="0.25">
      <c r="A46" s="191"/>
      <c r="B46" s="194"/>
      <c r="C46" s="182" t="s">
        <v>163</v>
      </c>
      <c r="D46" s="182"/>
      <c r="E46" s="182"/>
      <c r="F46" s="47" t="s">
        <v>177</v>
      </c>
      <c r="G46" s="50">
        <v>27</v>
      </c>
      <c r="H46" s="54">
        <v>27</v>
      </c>
      <c r="I46" s="25">
        <v>2</v>
      </c>
      <c r="J46" s="26">
        <f>+H46*I46</f>
        <v>54</v>
      </c>
      <c r="K46" s="32">
        <v>1.5</v>
      </c>
      <c r="L46" s="144">
        <f t="shared" ref="L46" si="79">+J46*K46</f>
        <v>81</v>
      </c>
      <c r="M46" s="50">
        <f>G46-H46</f>
        <v>0</v>
      </c>
      <c r="N46" s="26">
        <f t="shared" ref="N46:N52" si="80">(I46)</f>
        <v>2</v>
      </c>
      <c r="O46" s="50">
        <f t="shared" ref="O46" si="81">+M46*N46</f>
        <v>0</v>
      </c>
      <c r="P46" s="40">
        <f>(K46)</f>
        <v>1.5</v>
      </c>
      <c r="Q46" s="45">
        <f>(O46*P46)</f>
        <v>0</v>
      </c>
      <c r="R46" s="154">
        <f t="shared" ref="R46" si="82">(L46+Q46)</f>
        <v>81</v>
      </c>
      <c r="S46" s="56">
        <v>54.08</v>
      </c>
      <c r="T46" s="57">
        <f t="shared" ref="T46" si="83">(R46*S46)</f>
        <v>4380.4799999999996</v>
      </c>
      <c r="U46" s="37">
        <f t="shared" si="70"/>
        <v>1</v>
      </c>
      <c r="V46" s="38"/>
      <c r="W46" s="41"/>
    </row>
    <row r="47" spans="1:23" s="39" customFormat="1" x14ac:dyDescent="0.25">
      <c r="A47" s="191"/>
      <c r="B47" s="194"/>
      <c r="C47" s="187" t="s">
        <v>6</v>
      </c>
      <c r="D47" s="187"/>
      <c r="E47" s="187"/>
      <c r="F47" s="53"/>
      <c r="G47" s="82">
        <f>G43</f>
        <v>27</v>
      </c>
      <c r="H47" s="82">
        <f>H43</f>
        <v>27</v>
      </c>
      <c r="I47" s="82">
        <f>SUM(I43:I46)</f>
        <v>6</v>
      </c>
      <c r="J47" s="82">
        <f>SUM(J43:J46)</f>
        <v>162</v>
      </c>
      <c r="K47" s="83"/>
      <c r="L47" s="149">
        <f>SUM(L43:L46)</f>
        <v>169.20089999999999</v>
      </c>
      <c r="M47" s="167">
        <f>(G47-H47)</f>
        <v>0</v>
      </c>
      <c r="N47" s="42">
        <f t="shared" si="80"/>
        <v>6</v>
      </c>
      <c r="O47" s="167">
        <f>SUM(O45:O46)</f>
        <v>0</v>
      </c>
      <c r="P47" s="84"/>
      <c r="Q47" s="85">
        <f>SUM(Q45:Q46)</f>
        <v>0</v>
      </c>
      <c r="R47" s="158">
        <f t="shared" si="23"/>
        <v>169.20089999999999</v>
      </c>
      <c r="S47" s="56"/>
      <c r="T47" s="57">
        <f>SUM(T43:T46)</f>
        <v>9150.3846720000001</v>
      </c>
      <c r="U47" s="37">
        <f t="shared" si="70"/>
        <v>1</v>
      </c>
      <c r="V47" s="38"/>
    </row>
    <row r="48" spans="1:23" s="39" customFormat="1" x14ac:dyDescent="0.25">
      <c r="A48" s="191"/>
      <c r="B48" s="194" t="s">
        <v>38</v>
      </c>
      <c r="C48" s="182" t="s">
        <v>160</v>
      </c>
      <c r="D48" s="182"/>
      <c r="E48" s="182"/>
      <c r="F48" s="47" t="s">
        <v>174</v>
      </c>
      <c r="G48" s="50">
        <v>80</v>
      </c>
      <c r="H48" s="50">
        <f>G48</f>
        <v>80</v>
      </c>
      <c r="I48" s="25">
        <v>2</v>
      </c>
      <c r="J48" s="26">
        <f>+H48*I48</f>
        <v>160</v>
      </c>
      <c r="K48" s="32">
        <v>1</v>
      </c>
      <c r="L48" s="144">
        <f t="shared" ref="L48:L49" si="84">+J48*K48</f>
        <v>160</v>
      </c>
      <c r="M48" s="50">
        <f>G48-H48</f>
        <v>0</v>
      </c>
      <c r="N48" s="26">
        <f t="shared" si="80"/>
        <v>2</v>
      </c>
      <c r="O48" s="50">
        <f t="shared" ref="O48:O49" si="85">+M48*N48</f>
        <v>0</v>
      </c>
      <c r="P48" s="40">
        <f>(K48)</f>
        <v>1</v>
      </c>
      <c r="Q48" s="45">
        <f>(O48*P48)</f>
        <v>0</v>
      </c>
      <c r="R48" s="154">
        <f t="shared" si="23"/>
        <v>160</v>
      </c>
      <c r="S48" s="56">
        <v>54.08</v>
      </c>
      <c r="T48" s="57">
        <f t="shared" ref="T48:T49" si="86">(R48*S48)</f>
        <v>8652.7999999999993</v>
      </c>
      <c r="U48" s="37">
        <f t="shared" si="70"/>
        <v>1</v>
      </c>
      <c r="V48" s="38"/>
    </row>
    <row r="49" spans="1:24" s="39" customFormat="1" x14ac:dyDescent="0.25">
      <c r="A49" s="191"/>
      <c r="B49" s="194"/>
      <c r="C49" s="182" t="s">
        <v>164</v>
      </c>
      <c r="D49" s="182"/>
      <c r="E49" s="182"/>
      <c r="F49" s="47" t="s">
        <v>178</v>
      </c>
      <c r="G49" s="50">
        <v>80</v>
      </c>
      <c r="H49" s="50">
        <f>G49</f>
        <v>80</v>
      </c>
      <c r="I49" s="25">
        <v>2</v>
      </c>
      <c r="J49" s="26">
        <f>+H49*I49</f>
        <v>160</v>
      </c>
      <c r="K49" s="32">
        <v>1</v>
      </c>
      <c r="L49" s="144">
        <f t="shared" si="84"/>
        <v>160</v>
      </c>
      <c r="M49" s="50">
        <f>G49-H49</f>
        <v>0</v>
      </c>
      <c r="N49" s="26">
        <f t="shared" si="80"/>
        <v>2</v>
      </c>
      <c r="O49" s="50">
        <f t="shared" si="85"/>
        <v>0</v>
      </c>
      <c r="P49" s="40">
        <f>(K49)</f>
        <v>1</v>
      </c>
      <c r="Q49" s="45">
        <f>(O49*P49)</f>
        <v>0</v>
      </c>
      <c r="R49" s="154">
        <f t="shared" si="23"/>
        <v>160</v>
      </c>
      <c r="S49" s="56">
        <v>54.08</v>
      </c>
      <c r="T49" s="57">
        <f t="shared" si="86"/>
        <v>8652.7999999999993</v>
      </c>
      <c r="U49" s="37">
        <f t="shared" si="70"/>
        <v>1</v>
      </c>
      <c r="V49" s="38"/>
    </row>
    <row r="50" spans="1:24" s="39" customFormat="1" ht="35.25" thickBot="1" x14ac:dyDescent="0.3">
      <c r="A50" s="191"/>
      <c r="B50" s="194"/>
      <c r="C50" s="188" t="s">
        <v>162</v>
      </c>
      <c r="D50" s="188"/>
      <c r="E50" s="188"/>
      <c r="F50" s="48" t="s">
        <v>179</v>
      </c>
      <c r="G50" s="50">
        <v>80</v>
      </c>
      <c r="H50" s="26">
        <f>G50</f>
        <v>80</v>
      </c>
      <c r="I50" s="25">
        <v>1</v>
      </c>
      <c r="J50" s="25">
        <f>(H50*I50)</f>
        <v>80</v>
      </c>
      <c r="K50" s="32">
        <f>(K45)</f>
        <v>0.26669999999999999</v>
      </c>
      <c r="L50" s="144">
        <f>(J50*K50)</f>
        <v>21.335999999999999</v>
      </c>
      <c r="M50" s="50">
        <v>0</v>
      </c>
      <c r="N50" s="25">
        <f t="shared" si="80"/>
        <v>1</v>
      </c>
      <c r="O50" s="50">
        <f>(M50*N50)</f>
        <v>0</v>
      </c>
      <c r="P50" s="40">
        <f>(K50)</f>
        <v>0.26669999999999999</v>
      </c>
      <c r="Q50" s="45">
        <f>(P50*O50)</f>
        <v>0</v>
      </c>
      <c r="R50" s="154">
        <f>(L50+Q50)</f>
        <v>21.335999999999999</v>
      </c>
      <c r="S50" s="56">
        <v>13.86</v>
      </c>
      <c r="T50" s="57">
        <f t="shared" si="9"/>
        <v>295.71695999999997</v>
      </c>
      <c r="U50" s="37">
        <f t="shared" si="70"/>
        <v>1</v>
      </c>
      <c r="V50" s="38"/>
      <c r="X50" s="171"/>
    </row>
    <row r="51" spans="1:24" s="39" customFormat="1" x14ac:dyDescent="0.25">
      <c r="A51" s="191"/>
      <c r="B51" s="194"/>
      <c r="C51" s="188" t="s">
        <v>165</v>
      </c>
      <c r="D51" s="188"/>
      <c r="E51" s="188"/>
      <c r="F51" s="48" t="s">
        <v>132</v>
      </c>
      <c r="G51" s="54">
        <v>80</v>
      </c>
      <c r="H51" s="54">
        <v>80</v>
      </c>
      <c r="I51" s="25">
        <v>33</v>
      </c>
      <c r="J51" s="72">
        <f>+H51*I51</f>
        <v>2640</v>
      </c>
      <c r="K51" s="32">
        <v>8.3299999999999999E-2</v>
      </c>
      <c r="L51" s="144">
        <f t="shared" ref="L51" si="87">+J51*K51</f>
        <v>219.91200000000001</v>
      </c>
      <c r="M51" s="50">
        <f>G51-H51</f>
        <v>0</v>
      </c>
      <c r="N51" s="26">
        <f t="shared" si="80"/>
        <v>33</v>
      </c>
      <c r="O51" s="50">
        <f t="shared" ref="O51" si="88">+M51*N51</f>
        <v>0</v>
      </c>
      <c r="P51" s="40">
        <f>(K51)</f>
        <v>8.3299999999999999E-2</v>
      </c>
      <c r="Q51" s="45">
        <f>(O51*P51)</f>
        <v>0</v>
      </c>
      <c r="R51" s="154">
        <f t="shared" si="23"/>
        <v>219.91200000000001</v>
      </c>
      <c r="S51" s="56">
        <v>13.86</v>
      </c>
      <c r="T51" s="57">
        <f t="shared" si="9"/>
        <v>3047.9803200000001</v>
      </c>
      <c r="U51" s="37">
        <f t="shared" si="70"/>
        <v>1</v>
      </c>
      <c r="V51" s="38"/>
    </row>
    <row r="52" spans="1:24" s="39" customFormat="1" x14ac:dyDescent="0.25">
      <c r="A52" s="191"/>
      <c r="B52" s="194"/>
      <c r="C52" s="188" t="s">
        <v>166</v>
      </c>
      <c r="D52" s="188"/>
      <c r="E52" s="188"/>
      <c r="F52" s="48" t="s">
        <v>72</v>
      </c>
      <c r="G52" s="54">
        <v>80</v>
      </c>
      <c r="H52" s="54">
        <v>80</v>
      </c>
      <c r="I52" s="25">
        <v>22</v>
      </c>
      <c r="J52" s="72">
        <f>+H52*I52</f>
        <v>1760</v>
      </c>
      <c r="K52" s="32">
        <v>0.16669999999999999</v>
      </c>
      <c r="L52" s="144">
        <f>+J52*K52</f>
        <v>293.392</v>
      </c>
      <c r="M52" s="50">
        <f>G52-H52</f>
        <v>0</v>
      </c>
      <c r="N52" s="26">
        <f t="shared" si="80"/>
        <v>22</v>
      </c>
      <c r="O52" s="50">
        <f>+M52*N52</f>
        <v>0</v>
      </c>
      <c r="P52" s="40">
        <f>(K52)</f>
        <v>0.16669999999999999</v>
      </c>
      <c r="Q52" s="45">
        <f>(O52*P52)</f>
        <v>0</v>
      </c>
      <c r="R52" s="154">
        <f t="shared" si="23"/>
        <v>293.392</v>
      </c>
      <c r="S52" s="56">
        <v>13.86</v>
      </c>
      <c r="T52" s="57">
        <f t="shared" si="9"/>
        <v>4066.4131199999997</v>
      </c>
      <c r="U52" s="37">
        <f t="shared" si="70"/>
        <v>1</v>
      </c>
      <c r="V52" s="38"/>
    </row>
    <row r="53" spans="1:24" s="43" customFormat="1" ht="15.75" thickBot="1" x14ac:dyDescent="0.3">
      <c r="A53" s="192"/>
      <c r="B53" s="195"/>
      <c r="C53" s="189" t="s">
        <v>6</v>
      </c>
      <c r="D53" s="189"/>
      <c r="E53" s="189"/>
      <c r="F53" s="86"/>
      <c r="G53" s="87">
        <f>G48</f>
        <v>80</v>
      </c>
      <c r="H53" s="88">
        <v>80</v>
      </c>
      <c r="I53" s="89"/>
      <c r="J53" s="90">
        <f>SUM(J48:J52)</f>
        <v>4800</v>
      </c>
      <c r="K53" s="91"/>
      <c r="L53" s="150">
        <f>SUM(L48:L52)</f>
        <v>854.6400000000001</v>
      </c>
      <c r="M53" s="87">
        <f>(G53-H53)</f>
        <v>0</v>
      </c>
      <c r="N53" s="92" t="s">
        <v>43</v>
      </c>
      <c r="O53" s="87">
        <f>SUM(O50:O52)</f>
        <v>0</v>
      </c>
      <c r="P53" s="93"/>
      <c r="Q53" s="94">
        <f>SUM(Q50:Q52)</f>
        <v>0</v>
      </c>
      <c r="R53" s="159">
        <f>(L53+Q53)</f>
        <v>854.6400000000001</v>
      </c>
      <c r="S53" s="95"/>
      <c r="T53" s="172">
        <f>SUM(T48:T52)</f>
        <v>24715.7104</v>
      </c>
      <c r="U53" s="37">
        <f t="shared" si="70"/>
        <v>1</v>
      </c>
      <c r="V53" s="38"/>
    </row>
    <row r="54" spans="1:24" s="39" customFormat="1" ht="16.5" thickTop="1" thickBot="1" x14ac:dyDescent="0.3">
      <c r="A54" s="197" t="s">
        <v>45</v>
      </c>
      <c r="B54" s="197"/>
      <c r="C54" s="196"/>
      <c r="D54" s="196"/>
      <c r="E54" s="196"/>
      <c r="F54" s="96"/>
      <c r="G54" s="97">
        <f>(G47+G53)</f>
        <v>107</v>
      </c>
      <c r="H54" s="97">
        <f>(H47+H53)</f>
        <v>107</v>
      </c>
      <c r="I54" s="98"/>
      <c r="J54" s="99">
        <f>(J47+J53)</f>
        <v>4962</v>
      </c>
      <c r="K54" s="100"/>
      <c r="L54" s="151">
        <f>(L47+L53)</f>
        <v>1023.8409000000001</v>
      </c>
      <c r="M54" s="97">
        <f>G54-H54</f>
        <v>0</v>
      </c>
      <c r="N54" s="98"/>
      <c r="O54" s="97">
        <f>SUM(O47+O53)</f>
        <v>0</v>
      </c>
      <c r="P54" s="100"/>
      <c r="Q54" s="101">
        <f>SUM(Q47+Q53)</f>
        <v>0</v>
      </c>
      <c r="R54" s="151">
        <f>SUM(L54+Q54)</f>
        <v>1023.8409000000001</v>
      </c>
      <c r="S54" s="103"/>
      <c r="T54" s="104">
        <f>(T47+T53)</f>
        <v>33866.095071999996</v>
      </c>
      <c r="U54" s="37">
        <f t="shared" si="70"/>
        <v>1</v>
      </c>
      <c r="V54" s="38"/>
    </row>
    <row r="55" spans="1:24" ht="36" thickTop="1" thickBot="1" x14ac:dyDescent="0.3">
      <c r="A55" s="105" t="s">
        <v>44</v>
      </c>
      <c r="B55" s="106" t="s">
        <v>37</v>
      </c>
      <c r="C55" s="186" t="s">
        <v>167</v>
      </c>
      <c r="D55" s="186"/>
      <c r="E55" s="186"/>
      <c r="F55" s="107" t="s">
        <v>180</v>
      </c>
      <c r="G55" s="108">
        <f>H17+H32</f>
        <v>417.95180000000005</v>
      </c>
      <c r="H55" s="109">
        <f>G55*0.8</f>
        <v>334.36144000000007</v>
      </c>
      <c r="I55" s="110">
        <v>1</v>
      </c>
      <c r="J55" s="111">
        <f>+H55*I55</f>
        <v>334.36144000000007</v>
      </c>
      <c r="K55" s="112">
        <v>8.3299999999999999E-2</v>
      </c>
      <c r="L55" s="152">
        <f t="shared" ref="L55" si="89">+J55*K55</f>
        <v>27.852307952000007</v>
      </c>
      <c r="M55" s="108">
        <f>G55-H55</f>
        <v>83.590359999999976</v>
      </c>
      <c r="N55" s="113">
        <f>(I55)</f>
        <v>1</v>
      </c>
      <c r="O55" s="168">
        <f>(M55*N55)</f>
        <v>83.590359999999976</v>
      </c>
      <c r="P55" s="114">
        <f>(K55)</f>
        <v>8.3299999999999999E-2</v>
      </c>
      <c r="Q55" s="115">
        <f t="shared" ref="Q55" si="90">+O55*P55</f>
        <v>6.9630769879999983</v>
      </c>
      <c r="R55" s="160">
        <f t="shared" si="23"/>
        <v>34.815384940000008</v>
      </c>
      <c r="S55" s="116">
        <v>13.86</v>
      </c>
      <c r="T55" s="117">
        <f t="shared" si="9"/>
        <v>482.5412352684001</v>
      </c>
      <c r="U55" s="34">
        <f t="shared" si="70"/>
        <v>0.8</v>
      </c>
      <c r="V55" s="35"/>
    </row>
    <row r="56" spans="1:24" ht="16.5" thickTop="1" thickBot="1" x14ac:dyDescent="0.3">
      <c r="A56" s="196" t="s">
        <v>46</v>
      </c>
      <c r="B56" s="196"/>
      <c r="C56" s="196"/>
      <c r="D56" s="196"/>
      <c r="E56" s="196"/>
      <c r="F56" s="96"/>
      <c r="G56" s="97">
        <f>SUM(G55:G55)</f>
        <v>417.95180000000005</v>
      </c>
      <c r="H56" s="97">
        <f>H55</f>
        <v>334.36144000000007</v>
      </c>
      <c r="I56" s="102"/>
      <c r="J56" s="99">
        <f>(J55)</f>
        <v>334.36144000000007</v>
      </c>
      <c r="K56" s="118"/>
      <c r="L56" s="151">
        <f>(L55)</f>
        <v>27.852307952000007</v>
      </c>
      <c r="M56" s="97">
        <f>SUM(M55:M55)</f>
        <v>83.590359999999976</v>
      </c>
      <c r="N56" s="102"/>
      <c r="O56" s="97">
        <f>O55</f>
        <v>83.590359999999976</v>
      </c>
      <c r="P56" s="118"/>
      <c r="Q56" s="101">
        <f>Q55</f>
        <v>6.9630769879999983</v>
      </c>
      <c r="R56" s="151">
        <f>R55</f>
        <v>34.815384940000008</v>
      </c>
      <c r="S56" s="119"/>
      <c r="T56" s="104">
        <f>(T55)</f>
        <v>482.5412352684001</v>
      </c>
      <c r="U56" s="34">
        <f t="shared" si="70"/>
        <v>0.8</v>
      </c>
      <c r="V56" s="35"/>
    </row>
    <row r="57" spans="1:24" ht="16.5" thickTop="1" thickBot="1" x14ac:dyDescent="0.3">
      <c r="A57" s="185" t="s">
        <v>47</v>
      </c>
      <c r="B57" s="185"/>
      <c r="C57" s="185"/>
      <c r="D57" s="185"/>
      <c r="E57" s="185"/>
      <c r="F57" s="120"/>
      <c r="G57" s="121">
        <f>SUM(G42,G54,G56)</f>
        <v>4570.9517999999998</v>
      </c>
      <c r="H57" s="121">
        <f>SUM(H56,H54,H42)</f>
        <v>3718.6214400000003</v>
      </c>
      <c r="I57" s="122"/>
      <c r="J57" s="123">
        <f>(J42+J54+J56)</f>
        <v>106315.10191698</v>
      </c>
      <c r="K57" s="124"/>
      <c r="L57" s="153">
        <f>(L42+L54+L56)</f>
        <v>10758.948083320402</v>
      </c>
      <c r="M57" s="121">
        <f>SUM(M56,M54,M42)</f>
        <v>2149.5903600000001</v>
      </c>
      <c r="N57" s="121"/>
      <c r="O57" s="125">
        <f>(O42+O54+O56)</f>
        <v>23840.90663102</v>
      </c>
      <c r="P57" s="121"/>
      <c r="Q57" s="126">
        <f>SUM(Q42+Q53+Q56)</f>
        <v>860.10113917900026</v>
      </c>
      <c r="R57" s="153">
        <f>SUM(L57+Q57)</f>
        <v>11619.049222499401</v>
      </c>
      <c r="S57" s="127"/>
      <c r="T57" s="128">
        <f>(T42+T54+T56)</f>
        <v>110911.48510457404</v>
      </c>
      <c r="U57" s="36"/>
      <c r="V57" s="35"/>
    </row>
    <row r="58" spans="1:24" ht="15.75" thickTop="1" x14ac:dyDescent="0.25"/>
    <row r="59" spans="1:24" s="142" customFormat="1" x14ac:dyDescent="0.25">
      <c r="A59" s="207" t="s">
        <v>169</v>
      </c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7"/>
      <c r="P59" s="207"/>
      <c r="Q59" s="207"/>
      <c r="R59" s="207"/>
      <c r="S59" s="207"/>
      <c r="T59" s="207"/>
      <c r="U59" s="141"/>
    </row>
    <row r="60" spans="1:24" s="143" customFormat="1" ht="15" customHeight="1" x14ac:dyDescent="0.25">
      <c r="A60" s="208" t="s">
        <v>144</v>
      </c>
      <c r="B60" s="208"/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141"/>
    </row>
    <row r="61" spans="1:24" s="142" customFormat="1" ht="21.75" customHeight="1" x14ac:dyDescent="0.25">
      <c r="A61" s="208" t="s">
        <v>134</v>
      </c>
      <c r="B61" s="208"/>
      <c r="C61" s="208"/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208"/>
      <c r="O61" s="208"/>
      <c r="P61" s="208"/>
      <c r="Q61" s="208"/>
      <c r="R61" s="208"/>
      <c r="S61" s="208"/>
      <c r="T61" s="208"/>
      <c r="U61" s="141"/>
    </row>
    <row r="62" spans="1:24" s="142" customFormat="1" ht="15" customHeight="1" x14ac:dyDescent="0.25">
      <c r="A62" s="208" t="s">
        <v>135</v>
      </c>
      <c r="B62" s="208"/>
      <c r="C62" s="208"/>
      <c r="D62" s="208"/>
      <c r="E62" s="208"/>
      <c r="F62" s="208"/>
      <c r="G62" s="208"/>
      <c r="H62" s="208"/>
      <c r="I62" s="208"/>
      <c r="J62" s="208"/>
      <c r="K62" s="208"/>
      <c r="L62" s="208"/>
      <c r="M62" s="208"/>
      <c r="N62" s="208"/>
      <c r="O62" s="208"/>
      <c r="P62" s="208"/>
      <c r="Q62" s="208"/>
      <c r="R62" s="208"/>
      <c r="S62" s="208"/>
      <c r="T62" s="208"/>
      <c r="U62" s="141"/>
    </row>
    <row r="63" spans="1:24" s="142" customFormat="1" x14ac:dyDescent="0.25">
      <c r="A63" s="208" t="s">
        <v>136</v>
      </c>
      <c r="B63" s="208"/>
      <c r="C63" s="208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141"/>
    </row>
    <row r="64" spans="1:24" s="142" customFormat="1" ht="27" customHeight="1" x14ac:dyDescent="0.25">
      <c r="A64" s="208" t="s">
        <v>146</v>
      </c>
      <c r="B64" s="208"/>
      <c r="C64" s="208"/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8"/>
      <c r="T64" s="208"/>
      <c r="U64" s="141"/>
    </row>
    <row r="65" spans="1:21" s="142" customFormat="1" x14ac:dyDescent="0.25">
      <c r="A65" s="208" t="s">
        <v>137</v>
      </c>
      <c r="B65" s="208"/>
      <c r="C65" s="208"/>
      <c r="D65" s="208"/>
      <c r="E65" s="208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141"/>
    </row>
    <row r="66" spans="1:21" s="142" customFormat="1" x14ac:dyDescent="0.25">
      <c r="A66" s="208" t="s">
        <v>138</v>
      </c>
      <c r="B66" s="208"/>
      <c r="C66" s="208"/>
      <c r="D66" s="208"/>
      <c r="E66" s="208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  <c r="U66" s="141"/>
    </row>
    <row r="67" spans="1:21" s="142" customFormat="1" ht="18.75" customHeight="1" x14ac:dyDescent="0.25">
      <c r="A67" s="208" t="s">
        <v>139</v>
      </c>
      <c r="B67" s="208"/>
      <c r="C67" s="208"/>
      <c r="D67" s="208"/>
      <c r="E67" s="208"/>
      <c r="F67" s="208"/>
      <c r="G67" s="208"/>
      <c r="H67" s="208"/>
      <c r="I67" s="208"/>
      <c r="J67" s="208"/>
      <c r="K67" s="208"/>
      <c r="L67" s="208"/>
      <c r="M67" s="208"/>
      <c r="N67" s="208"/>
      <c r="O67" s="208"/>
      <c r="P67" s="208"/>
      <c r="Q67" s="208"/>
      <c r="R67" s="208"/>
      <c r="S67" s="208"/>
      <c r="T67" s="208"/>
      <c r="U67" s="141"/>
    </row>
    <row r="68" spans="1:21" s="142" customFormat="1" x14ac:dyDescent="0.25">
      <c r="A68" s="208" t="s">
        <v>140</v>
      </c>
      <c r="B68" s="208"/>
      <c r="C68" s="208"/>
      <c r="D68" s="208"/>
      <c r="E68" s="208"/>
      <c r="F68" s="208"/>
      <c r="G68" s="208"/>
      <c r="H68" s="208"/>
      <c r="I68" s="208"/>
      <c r="J68" s="208"/>
      <c r="K68" s="208"/>
      <c r="L68" s="208"/>
      <c r="M68" s="208"/>
      <c r="N68" s="208"/>
      <c r="O68" s="208"/>
      <c r="P68" s="208"/>
      <c r="Q68" s="208"/>
      <c r="R68" s="208"/>
      <c r="S68" s="208"/>
      <c r="T68" s="208"/>
      <c r="U68" s="141"/>
    </row>
    <row r="69" spans="1:21" s="142" customFormat="1" x14ac:dyDescent="0.25">
      <c r="A69" s="208" t="s">
        <v>141</v>
      </c>
      <c r="B69" s="208"/>
      <c r="C69" s="208"/>
      <c r="D69" s="208"/>
      <c r="E69" s="208"/>
      <c r="F69" s="208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141"/>
    </row>
    <row r="70" spans="1:21" s="142" customFormat="1" x14ac:dyDescent="0.25">
      <c r="A70" s="208" t="s">
        <v>142</v>
      </c>
      <c r="B70" s="208"/>
      <c r="C70" s="208"/>
      <c r="D70" s="208"/>
      <c r="E70" s="208"/>
      <c r="F70" s="208"/>
      <c r="G70" s="208"/>
      <c r="H70" s="208"/>
      <c r="I70" s="208"/>
      <c r="J70" s="208"/>
      <c r="K70" s="208"/>
      <c r="L70" s="208"/>
      <c r="M70" s="208"/>
      <c r="N70" s="208"/>
      <c r="O70" s="208"/>
      <c r="P70" s="208"/>
      <c r="Q70" s="208"/>
      <c r="R70" s="208"/>
      <c r="S70" s="208"/>
      <c r="T70" s="208"/>
      <c r="U70" s="141"/>
    </row>
    <row r="71" spans="1:21" s="142" customFormat="1" ht="23.25" customHeight="1" x14ac:dyDescent="0.25">
      <c r="A71" s="208" t="s">
        <v>148</v>
      </c>
      <c r="B71" s="208"/>
      <c r="C71" s="208"/>
      <c r="D71" s="208"/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141"/>
    </row>
    <row r="72" spans="1:21" s="142" customFormat="1" x14ac:dyDescent="0.25">
      <c r="A72" s="208" t="s">
        <v>143</v>
      </c>
      <c r="B72" s="208"/>
      <c r="C72" s="208"/>
      <c r="D72" s="208"/>
      <c r="E72" s="208"/>
      <c r="F72" s="208"/>
      <c r="G72" s="208"/>
      <c r="H72" s="208"/>
      <c r="I72" s="208"/>
      <c r="J72" s="208"/>
      <c r="K72" s="208"/>
      <c r="L72" s="208"/>
      <c r="M72" s="208"/>
      <c r="N72" s="208"/>
      <c r="O72" s="208"/>
      <c r="P72" s="208"/>
      <c r="Q72" s="208"/>
      <c r="R72" s="208"/>
      <c r="S72" s="208"/>
      <c r="T72" s="208"/>
      <c r="U72" s="141"/>
    </row>
    <row r="73" spans="1:21" s="142" customFormat="1" x14ac:dyDescent="0.25">
      <c r="A73" s="208" t="s">
        <v>153</v>
      </c>
      <c r="B73" s="208"/>
      <c r="C73" s="208"/>
      <c r="D73" s="208"/>
      <c r="E73" s="208"/>
      <c r="F73" s="208"/>
      <c r="G73" s="208"/>
      <c r="H73" s="208"/>
      <c r="I73" s="208"/>
      <c r="J73" s="208"/>
      <c r="K73" s="208"/>
      <c r="L73" s="208"/>
      <c r="M73" s="208"/>
      <c r="N73" s="208"/>
      <c r="O73" s="208"/>
      <c r="P73" s="208"/>
      <c r="Q73" s="208"/>
      <c r="R73" s="208"/>
      <c r="S73" s="208"/>
      <c r="T73" s="208"/>
      <c r="U73" s="141"/>
    </row>
    <row r="74" spans="1:21" s="142" customFormat="1" x14ac:dyDescent="0.25">
      <c r="A74" s="208" t="s">
        <v>154</v>
      </c>
      <c r="B74" s="208"/>
      <c r="C74" s="208"/>
      <c r="D74" s="208"/>
      <c r="E74" s="208"/>
      <c r="F74" s="208"/>
      <c r="G74" s="208"/>
      <c r="H74" s="208"/>
      <c r="I74" s="208"/>
      <c r="J74" s="208"/>
      <c r="K74" s="208"/>
      <c r="L74" s="208"/>
      <c r="M74" s="208"/>
      <c r="N74" s="208"/>
      <c r="O74" s="208"/>
      <c r="P74" s="208"/>
      <c r="Q74" s="208"/>
      <c r="R74" s="208"/>
      <c r="S74" s="208"/>
      <c r="T74" s="208"/>
      <c r="U74" s="141"/>
    </row>
    <row r="75" spans="1:21" s="142" customFormat="1" x14ac:dyDescent="0.25">
      <c r="A75" s="208" t="s">
        <v>155</v>
      </c>
      <c r="B75" s="208"/>
      <c r="C75" s="208"/>
      <c r="D75" s="208"/>
      <c r="E75" s="208"/>
      <c r="F75" s="208"/>
      <c r="G75" s="208"/>
      <c r="H75" s="208"/>
      <c r="I75" s="208"/>
      <c r="J75" s="208"/>
      <c r="K75" s="208"/>
      <c r="L75" s="208"/>
      <c r="M75" s="208"/>
      <c r="N75" s="208"/>
      <c r="O75" s="208"/>
      <c r="P75" s="208"/>
      <c r="Q75" s="208"/>
      <c r="R75" s="208"/>
      <c r="S75" s="208"/>
      <c r="T75" s="208"/>
      <c r="U75" s="141"/>
    </row>
    <row r="76" spans="1:21" s="142" customFormat="1" ht="23.25" customHeight="1" x14ac:dyDescent="0.25">
      <c r="A76" s="208" t="s">
        <v>172</v>
      </c>
      <c r="B76" s="208"/>
      <c r="C76" s="208"/>
      <c r="D76" s="208"/>
      <c r="E76" s="208"/>
      <c r="F76" s="208"/>
      <c r="G76" s="208"/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208"/>
      <c r="S76" s="208"/>
      <c r="T76" s="208"/>
      <c r="U76" s="141"/>
    </row>
    <row r="77" spans="1:21" s="142" customFormat="1" x14ac:dyDescent="0.25">
      <c r="A77" s="208" t="s">
        <v>156</v>
      </c>
      <c r="B77" s="208"/>
      <c r="C77" s="208"/>
      <c r="D77" s="208"/>
      <c r="E77" s="208"/>
      <c r="F77" s="208"/>
      <c r="G77" s="208"/>
      <c r="H77" s="208"/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141"/>
    </row>
    <row r="78" spans="1:21" s="142" customFormat="1" x14ac:dyDescent="0.25">
      <c r="A78" s="208" t="s">
        <v>157</v>
      </c>
      <c r="B78" s="208"/>
      <c r="C78" s="208"/>
      <c r="D78" s="208"/>
      <c r="E78" s="208"/>
      <c r="F78" s="208"/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141"/>
    </row>
    <row r="79" spans="1:21" s="142" customFormat="1" ht="20.25" customHeight="1" x14ac:dyDescent="0.25">
      <c r="A79" s="208" t="s">
        <v>158</v>
      </c>
      <c r="B79" s="208"/>
      <c r="C79" s="208"/>
      <c r="D79" s="208"/>
      <c r="E79" s="208"/>
      <c r="F79" s="208"/>
      <c r="G79" s="208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141"/>
    </row>
    <row r="80" spans="1:21" s="142" customFormat="1" x14ac:dyDescent="0.25">
      <c r="A80" s="208" t="s">
        <v>159</v>
      </c>
      <c r="B80" s="208"/>
      <c r="C80" s="208"/>
      <c r="D80" s="208"/>
      <c r="E80" s="208"/>
      <c r="F80" s="208"/>
      <c r="G80" s="208"/>
      <c r="H80" s="208"/>
      <c r="I80" s="208"/>
      <c r="J80" s="208"/>
      <c r="K80" s="208"/>
      <c r="L80" s="208"/>
      <c r="M80" s="208"/>
      <c r="N80" s="208"/>
      <c r="O80" s="208"/>
      <c r="P80" s="208"/>
      <c r="Q80" s="208"/>
      <c r="R80" s="208"/>
      <c r="S80" s="208"/>
      <c r="T80" s="208"/>
      <c r="U80" s="141"/>
    </row>
    <row r="81" spans="1:26" x14ac:dyDescent="0.25">
      <c r="B81" s="28"/>
    </row>
    <row r="83" spans="1:26" x14ac:dyDescent="0.25">
      <c r="A83" s="211"/>
      <c r="B83" s="212"/>
      <c r="C83" s="211"/>
      <c r="D83" s="211"/>
      <c r="E83" s="211"/>
      <c r="F83" s="212"/>
      <c r="G83" s="211"/>
      <c r="H83" s="211"/>
      <c r="I83" s="211"/>
      <c r="J83" s="211"/>
    </row>
    <row r="84" spans="1:26" x14ac:dyDescent="0.25">
      <c r="A84" s="211"/>
      <c r="B84" s="212"/>
      <c r="C84" s="211"/>
      <c r="D84" s="211"/>
      <c r="E84" s="211"/>
      <c r="F84" s="212"/>
      <c r="G84" s="211"/>
      <c r="H84" s="211"/>
      <c r="I84" s="211"/>
      <c r="J84" s="211"/>
    </row>
    <row r="85" spans="1:26" x14ac:dyDescent="0.25">
      <c r="A85" s="211"/>
      <c r="B85" s="212"/>
      <c r="C85" s="211"/>
      <c r="D85" s="211"/>
      <c r="E85" s="211"/>
      <c r="F85" s="212"/>
      <c r="G85" s="211"/>
      <c r="H85" s="211"/>
      <c r="I85" s="211"/>
      <c r="J85" s="211"/>
    </row>
    <row r="86" spans="1:26" x14ac:dyDescent="0.25">
      <c r="A86" s="211"/>
      <c r="B86" s="212"/>
      <c r="C86" s="211"/>
      <c r="D86" s="211"/>
      <c r="E86" s="211"/>
      <c r="F86" s="213"/>
      <c r="G86" s="211"/>
      <c r="H86" s="214"/>
      <c r="I86" s="211"/>
      <c r="J86" s="211"/>
    </row>
    <row r="87" spans="1:26" x14ac:dyDescent="0.25">
      <c r="A87" s="211"/>
      <c r="B87" s="212"/>
      <c r="C87" s="211"/>
      <c r="D87" s="211"/>
      <c r="E87" s="211"/>
      <c r="F87" s="212"/>
      <c r="G87" s="211"/>
      <c r="H87" s="211"/>
      <c r="I87" s="211"/>
      <c r="J87" s="211"/>
    </row>
    <row r="88" spans="1:26" x14ac:dyDescent="0.25">
      <c r="A88" s="211"/>
      <c r="B88" s="212"/>
      <c r="C88" s="211"/>
      <c r="D88" s="211"/>
      <c r="E88" s="211"/>
      <c r="F88" s="212"/>
      <c r="G88" s="211"/>
      <c r="H88" s="211"/>
      <c r="I88" s="211"/>
      <c r="J88" s="211"/>
      <c r="K88" s="162"/>
    </row>
    <row r="90" spans="1:26" x14ac:dyDescent="0.25">
      <c r="Z90" s="161"/>
    </row>
    <row r="93" spans="1:26" x14ac:dyDescent="0.25">
      <c r="A93" s="163"/>
    </row>
    <row r="94" spans="1:26" x14ac:dyDescent="0.25">
      <c r="A94" s="163"/>
    </row>
    <row r="95" spans="1:26" x14ac:dyDescent="0.25">
      <c r="A95" s="163"/>
    </row>
    <row r="96" spans="1:26" x14ac:dyDescent="0.25">
      <c r="A96" s="163"/>
    </row>
    <row r="97" spans="1:1" x14ac:dyDescent="0.25">
      <c r="A97" s="163"/>
    </row>
  </sheetData>
  <mergeCells count="83">
    <mergeCell ref="A76:T76"/>
    <mergeCell ref="A77:T77"/>
    <mergeCell ref="A78:T78"/>
    <mergeCell ref="A79:T79"/>
    <mergeCell ref="A80:T80"/>
    <mergeCell ref="A70:T70"/>
    <mergeCell ref="A71:T71"/>
    <mergeCell ref="A72:T72"/>
    <mergeCell ref="A74:T74"/>
    <mergeCell ref="A75:T75"/>
    <mergeCell ref="A73:T73"/>
    <mergeCell ref="A65:T65"/>
    <mergeCell ref="A66:T66"/>
    <mergeCell ref="A67:T67"/>
    <mergeCell ref="A68:T68"/>
    <mergeCell ref="A69:T69"/>
    <mergeCell ref="A59:T59"/>
    <mergeCell ref="A61:T61"/>
    <mergeCell ref="A62:T62"/>
    <mergeCell ref="A63:T63"/>
    <mergeCell ref="A64:T64"/>
    <mergeCell ref="A60:T60"/>
    <mergeCell ref="C43:E43"/>
    <mergeCell ref="C44:E44"/>
    <mergeCell ref="A42:E42"/>
    <mergeCell ref="C15:E15"/>
    <mergeCell ref="C25:E25"/>
    <mergeCell ref="C20:E20"/>
    <mergeCell ref="C16:E16"/>
    <mergeCell ref="C17:E17"/>
    <mergeCell ref="C18:E18"/>
    <mergeCell ref="C19:E19"/>
    <mergeCell ref="C31:E31"/>
    <mergeCell ref="C22:E22"/>
    <mergeCell ref="C28:E28"/>
    <mergeCell ref="C23:E23"/>
    <mergeCell ref="C27:E27"/>
    <mergeCell ref="C30:E30"/>
    <mergeCell ref="C34:E34"/>
    <mergeCell ref="C35:E35"/>
    <mergeCell ref="A4:A41"/>
    <mergeCell ref="C7:E7"/>
    <mergeCell ref="C4:E4"/>
    <mergeCell ref="C39:E39"/>
    <mergeCell ref="C5:E5"/>
    <mergeCell ref="C6:E6"/>
    <mergeCell ref="C11:E11"/>
    <mergeCell ref="C29:E29"/>
    <mergeCell ref="C21:E21"/>
    <mergeCell ref="C36:E36"/>
    <mergeCell ref="C26:E26"/>
    <mergeCell ref="A57:E57"/>
    <mergeCell ref="C55:E55"/>
    <mergeCell ref="C47:E47"/>
    <mergeCell ref="C51:E51"/>
    <mergeCell ref="C53:E53"/>
    <mergeCell ref="C52:E52"/>
    <mergeCell ref="A43:A53"/>
    <mergeCell ref="B43:B47"/>
    <mergeCell ref="B48:B53"/>
    <mergeCell ref="A56:E56"/>
    <mergeCell ref="C50:E50"/>
    <mergeCell ref="A54:E54"/>
    <mergeCell ref="C45:E45"/>
    <mergeCell ref="C49:E49"/>
    <mergeCell ref="C46:E46"/>
    <mergeCell ref="C48:E48"/>
    <mergeCell ref="A1:T2"/>
    <mergeCell ref="C3:E3"/>
    <mergeCell ref="C8:E8"/>
    <mergeCell ref="B4:B41"/>
    <mergeCell ref="C14:E14"/>
    <mergeCell ref="C37:E37"/>
    <mergeCell ref="C38:E38"/>
    <mergeCell ref="C41:E41"/>
    <mergeCell ref="C9:E9"/>
    <mergeCell ref="C10:E10"/>
    <mergeCell ref="C13:E13"/>
    <mergeCell ref="C12:E12"/>
    <mergeCell ref="C40:E40"/>
    <mergeCell ref="C33:E33"/>
    <mergeCell ref="C32:E32"/>
    <mergeCell ref="C24:E24"/>
  </mergeCells>
  <pageMargins left="0.25" right="0.25" top="0.75" bottom="0.75" header="0.3" footer="0.3"/>
  <pageSetup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C8" sqref="C8"/>
    </sheetView>
  </sheetViews>
  <sheetFormatPr defaultRowHeight="15" x14ac:dyDescent="0.25"/>
  <cols>
    <col min="1" max="1" width="54.7109375" customWidth="1"/>
    <col min="2" max="2" width="37.7109375" customWidth="1"/>
    <col min="3" max="3" width="11.5703125" customWidth="1"/>
    <col min="4" max="4" width="8.85546875" customWidth="1"/>
  </cols>
  <sheetData>
    <row r="1" spans="1:4" ht="16.5" thickBot="1" x14ac:dyDescent="0.3">
      <c r="A1" s="2" t="s">
        <v>10</v>
      </c>
    </row>
    <row r="2" spans="1:4" ht="15.75" thickBot="1" x14ac:dyDescent="0.3">
      <c r="A2" s="3" t="s">
        <v>11</v>
      </c>
      <c r="B2" s="4" t="s">
        <v>12</v>
      </c>
      <c r="C2" s="209" t="s">
        <v>2</v>
      </c>
      <c r="D2" s="210"/>
    </row>
    <row r="3" spans="1:4" ht="15.75" thickBot="1" x14ac:dyDescent="0.3">
      <c r="A3" s="5" t="s">
        <v>13</v>
      </c>
      <c r="B3" s="6" t="s">
        <v>14</v>
      </c>
      <c r="C3" s="7" t="e">
        <f>'Age 5 Extension Burden Table'!#REF!</f>
        <v>#REF!</v>
      </c>
      <c r="D3" s="8"/>
    </row>
    <row r="4" spans="1:4" ht="15.75" thickBot="1" x14ac:dyDescent="0.3">
      <c r="A4" s="9" t="s">
        <v>13</v>
      </c>
      <c r="B4" s="6" t="s">
        <v>15</v>
      </c>
      <c r="C4" s="14" t="e">
        <f>SUM('Age 5 Extension Burden Table'!#REF!+'Age 5 Extension Burden Table'!J51)</f>
        <v>#REF!</v>
      </c>
      <c r="D4" s="8"/>
    </row>
    <row r="5" spans="1:4" ht="15.75" thickBot="1" x14ac:dyDescent="0.3">
      <c r="A5" s="9" t="s">
        <v>16</v>
      </c>
      <c r="B5" s="6" t="s">
        <v>17</v>
      </c>
      <c r="C5" s="14" t="e">
        <f>'Age 5 Extension Burden Table'!#REF!</f>
        <v>#REF!</v>
      </c>
      <c r="D5" s="8"/>
    </row>
    <row r="6" spans="1:4" ht="15.75" thickBot="1" x14ac:dyDescent="0.3">
      <c r="A6" s="5" t="s">
        <v>18</v>
      </c>
      <c r="B6" s="6" t="s">
        <v>19</v>
      </c>
      <c r="C6" s="14" t="e">
        <f>'Age 5 Extension Burden Table'!#REF!</f>
        <v>#REF!</v>
      </c>
      <c r="D6" s="8"/>
    </row>
    <row r="7" spans="1:4" ht="30.75" thickBot="1" x14ac:dyDescent="0.3">
      <c r="A7" s="5" t="s">
        <v>20</v>
      </c>
      <c r="B7" s="6" t="s">
        <v>21</v>
      </c>
      <c r="C7" s="14" t="e">
        <f>'Age 5 Extension Burden Table'!#REF!</f>
        <v>#REF!</v>
      </c>
      <c r="D7" s="8"/>
    </row>
    <row r="8" spans="1:4" ht="15.75" thickBot="1" x14ac:dyDescent="0.3">
      <c r="A8" s="10" t="s">
        <v>22</v>
      </c>
      <c r="B8" s="11"/>
      <c r="C8" s="24">
        <v>2680</v>
      </c>
      <c r="D8" s="21">
        <f>C8/C17</f>
        <v>0.19869513641755635</v>
      </c>
    </row>
    <row r="9" spans="1:4" ht="15.75" thickBot="1" x14ac:dyDescent="0.3">
      <c r="A9" s="12" t="s">
        <v>23</v>
      </c>
      <c r="B9" s="13"/>
      <c r="C9" s="209" t="s">
        <v>2</v>
      </c>
      <c r="D9" s="210"/>
    </row>
    <row r="10" spans="1:4" ht="15.75" thickBot="1" x14ac:dyDescent="0.3">
      <c r="A10" s="5" t="s">
        <v>24</v>
      </c>
      <c r="B10" s="6" t="s">
        <v>25</v>
      </c>
      <c r="C10" s="23" t="e">
        <f>'Age 5 Extension Burden Table'!#REF!</f>
        <v>#REF!</v>
      </c>
      <c r="D10" s="8"/>
    </row>
    <row r="11" spans="1:4" ht="15.75" thickBot="1" x14ac:dyDescent="0.3">
      <c r="A11" s="5" t="s">
        <v>26</v>
      </c>
      <c r="B11" s="6" t="s">
        <v>27</v>
      </c>
      <c r="C11" s="23" t="e">
        <f>'Age 5 Extension Burden Table'!#REF!+'Age 5 Extension Burden Table'!#REF!</f>
        <v>#REF!</v>
      </c>
      <c r="D11" s="8"/>
    </row>
    <row r="12" spans="1:4" ht="15.75" thickBot="1" x14ac:dyDescent="0.3">
      <c r="A12" s="5" t="s">
        <v>28</v>
      </c>
      <c r="B12" s="6" t="s">
        <v>15</v>
      </c>
      <c r="C12" s="14" t="e">
        <f>'Age 5 Extension Burden Table'!#REF!</f>
        <v>#REF!</v>
      </c>
      <c r="D12" s="8"/>
    </row>
    <row r="13" spans="1:4" ht="15.75" thickBot="1" x14ac:dyDescent="0.3">
      <c r="A13" s="5" t="s">
        <v>29</v>
      </c>
      <c r="B13" s="6" t="s">
        <v>30</v>
      </c>
      <c r="C13" s="14" t="e">
        <f>'Age 5 Extension Burden Table'!#REF!</f>
        <v>#REF!</v>
      </c>
      <c r="D13" s="8"/>
    </row>
    <row r="14" spans="1:4" ht="15.75" thickBot="1" x14ac:dyDescent="0.3">
      <c r="A14" s="5" t="s">
        <v>31</v>
      </c>
      <c r="B14" s="6" t="s">
        <v>7</v>
      </c>
      <c r="C14" s="14" t="e">
        <f>'Age 5 Extension Burden Table'!#REF!</f>
        <v>#REF!</v>
      </c>
      <c r="D14" s="8"/>
    </row>
    <row r="15" spans="1:4" ht="15.75" thickBot="1" x14ac:dyDescent="0.3">
      <c r="A15" s="5" t="s">
        <v>32</v>
      </c>
      <c r="B15" s="6" t="s">
        <v>33</v>
      </c>
      <c r="C15" s="14">
        <f>SUM('Age 5 Extension Burden Table'!J55:J55)</f>
        <v>334.36144000000007</v>
      </c>
      <c r="D15" s="8"/>
    </row>
    <row r="16" spans="1:4" x14ac:dyDescent="0.25">
      <c r="A16" s="15" t="s">
        <v>34</v>
      </c>
      <c r="B16" s="16"/>
      <c r="C16" s="18">
        <v>10808</v>
      </c>
      <c r="D16" s="22">
        <f>C16/C17</f>
        <v>0.80130486358244368</v>
      </c>
    </row>
    <row r="17" spans="1:4" x14ac:dyDescent="0.25">
      <c r="A17" s="17" t="s">
        <v>35</v>
      </c>
      <c r="B17" s="1"/>
      <c r="C17" s="19">
        <f>SUM(C8+C16)</f>
        <v>13488</v>
      </c>
      <c r="D17" s="20"/>
    </row>
  </sheetData>
  <mergeCells count="2">
    <mergeCell ref="C2:D2"/>
    <mergeCell ref="C9:D9"/>
  </mergeCells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22"/>
  <sheetViews>
    <sheetView workbookViewId="0">
      <selection activeCell="A3" sqref="A3:T22"/>
    </sheetView>
  </sheetViews>
  <sheetFormatPr defaultRowHeight="15" x14ac:dyDescent="0.25"/>
  <sheetData>
    <row r="3" spans="1:20" x14ac:dyDescent="0.25">
      <c r="A3" s="207" t="s">
        <v>71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</row>
    <row r="4" spans="1:20" x14ac:dyDescent="0.25">
      <c r="A4" s="208" t="s">
        <v>78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</row>
    <row r="5" spans="1:20" x14ac:dyDescent="0.25">
      <c r="A5" s="208" t="s">
        <v>79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</row>
    <row r="6" spans="1:20" x14ac:dyDescent="0.25">
      <c r="A6" s="208" t="s">
        <v>80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</row>
    <row r="7" spans="1:20" ht="29.25" customHeight="1" x14ac:dyDescent="0.25">
      <c r="A7" s="208" t="s">
        <v>86</v>
      </c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</row>
    <row r="8" spans="1:20" x14ac:dyDescent="0.25">
      <c r="A8" s="208" t="s">
        <v>81</v>
      </c>
      <c r="B8" s="208"/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</row>
    <row r="9" spans="1:20" x14ac:dyDescent="0.25">
      <c r="A9" s="208" t="s">
        <v>85</v>
      </c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</row>
    <row r="10" spans="1:20" x14ac:dyDescent="0.25">
      <c r="A10" s="208" t="s">
        <v>61</v>
      </c>
      <c r="B10" s="208"/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208"/>
    </row>
    <row r="11" spans="1:20" x14ac:dyDescent="0.25">
      <c r="A11" s="208" t="s">
        <v>62</v>
      </c>
      <c r="B11" s="208"/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  <c r="T11" s="208"/>
    </row>
    <row r="12" spans="1:20" x14ac:dyDescent="0.25">
      <c r="A12" s="208" t="s">
        <v>63</v>
      </c>
      <c r="B12" s="208"/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208"/>
      <c r="Q12" s="208"/>
      <c r="R12" s="208"/>
      <c r="S12" s="208"/>
      <c r="T12" s="208"/>
    </row>
    <row r="13" spans="1:20" x14ac:dyDescent="0.25">
      <c r="A13" s="208" t="s">
        <v>64</v>
      </c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8"/>
    </row>
    <row r="14" spans="1:20" ht="27" customHeight="1" x14ac:dyDescent="0.25">
      <c r="A14" s="208" t="s">
        <v>82</v>
      </c>
      <c r="B14" s="208"/>
      <c r="C14" s="208"/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  <c r="S14" s="208"/>
      <c r="T14" s="208"/>
    </row>
    <row r="15" spans="1:20" x14ac:dyDescent="0.25">
      <c r="A15" s="208" t="s">
        <v>65</v>
      </c>
      <c r="B15" s="208"/>
      <c r="C15" s="208"/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8"/>
      <c r="S15" s="208"/>
      <c r="T15" s="208"/>
    </row>
    <row r="16" spans="1:20" x14ac:dyDescent="0.25">
      <c r="A16" s="208" t="s">
        <v>66</v>
      </c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</row>
    <row r="17" spans="1:20" x14ac:dyDescent="0.25">
      <c r="A17" s="208" t="s">
        <v>67</v>
      </c>
      <c r="B17" s="208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</row>
    <row r="18" spans="1:20" x14ac:dyDescent="0.25">
      <c r="A18" s="208" t="s">
        <v>83</v>
      </c>
      <c r="B18" s="208"/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</row>
    <row r="19" spans="1:20" x14ac:dyDescent="0.25">
      <c r="A19" s="208" t="s">
        <v>68</v>
      </c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</row>
    <row r="20" spans="1:20" x14ac:dyDescent="0.25">
      <c r="A20" s="208" t="s">
        <v>69</v>
      </c>
      <c r="B20" s="208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</row>
    <row r="21" spans="1:20" x14ac:dyDescent="0.25">
      <c r="A21" s="208" t="s">
        <v>84</v>
      </c>
      <c r="B21" s="208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</row>
    <row r="22" spans="1:20" x14ac:dyDescent="0.25">
      <c r="A22" s="208" t="s">
        <v>70</v>
      </c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</row>
  </sheetData>
  <mergeCells count="20">
    <mergeCell ref="A14:T14"/>
    <mergeCell ref="A3:T3"/>
    <mergeCell ref="A4:T4"/>
    <mergeCell ref="A5:T5"/>
    <mergeCell ref="A6:T6"/>
    <mergeCell ref="A7:T7"/>
    <mergeCell ref="A8:T8"/>
    <mergeCell ref="A9:T9"/>
    <mergeCell ref="A10:T10"/>
    <mergeCell ref="A11:T11"/>
    <mergeCell ref="A12:T12"/>
    <mergeCell ref="A13:T13"/>
    <mergeCell ref="A21:T21"/>
    <mergeCell ref="A22:T22"/>
    <mergeCell ref="A15:T15"/>
    <mergeCell ref="A16:T16"/>
    <mergeCell ref="A17:T17"/>
    <mergeCell ref="A18:T18"/>
    <mergeCell ref="A19:T19"/>
    <mergeCell ref="A20:T2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Age 5 Extension Burden Table</vt:lpstr>
      <vt:lpstr>Sheet2</vt:lpstr>
      <vt:lpstr>Sheet1</vt:lpstr>
      <vt:lpstr>'Age 5 Extension Burden Table'!Print_Area</vt:lpstr>
      <vt:lpstr>'Age 5 Extension Burden Table'!Print_Titles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lywilliams</dc:creator>
  <cp:lastModifiedBy>CS</cp:lastModifiedBy>
  <cp:lastPrinted>2016-02-01T15:58:36Z</cp:lastPrinted>
  <dcterms:created xsi:type="dcterms:W3CDTF">2012-11-27T19:01:45Z</dcterms:created>
  <dcterms:modified xsi:type="dcterms:W3CDTF">2016-02-01T18:15:16Z</dcterms:modified>
</cp:coreProperties>
</file>