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ou\Desktop\ICR Related\1901.06\"/>
    </mc:Choice>
  </mc:AlternateContent>
  <bookViews>
    <workbookView xWindow="1425" yWindow="930" windowWidth="19695" windowHeight="10485"/>
  </bookViews>
  <sheets>
    <sheet name="Industry" sheetId="1" r:id="rId1"/>
    <sheet name="Breakdown" sheetId="3" r:id="rId2"/>
    <sheet name="Agency" sheetId="2" r:id="rId3"/>
  </sheets>
  <calcPr calcId="152511"/>
</workbook>
</file>

<file path=xl/calcChain.xml><?xml version="1.0" encoding="utf-8"?>
<calcChain xmlns="http://schemas.openxmlformats.org/spreadsheetml/2006/main">
  <c r="D3" i="3" l="1"/>
  <c r="D2" i="3"/>
  <c r="C3" i="3"/>
  <c r="C2" i="3"/>
  <c r="C4" i="3"/>
  <c r="D4" i="3"/>
  <c r="H2" i="3" l="1"/>
  <c r="H4" i="3" s="1"/>
  <c r="H3" i="3"/>
  <c r="G3" i="3"/>
  <c r="G2" i="3"/>
  <c r="G4" i="3"/>
  <c r="F4" i="3"/>
  <c r="F3" i="3" s="1"/>
  <c r="E3" i="3"/>
  <c r="E2" i="3"/>
  <c r="E4" i="3"/>
  <c r="B4" i="3"/>
  <c r="F2" i="3" l="1"/>
  <c r="G11" i="2"/>
  <c r="G10" i="2"/>
  <c r="G9" i="2"/>
  <c r="G8" i="2"/>
  <c r="G7" i="2"/>
  <c r="G6" i="2"/>
  <c r="G5" i="2"/>
  <c r="F10" i="2"/>
  <c r="F9" i="2"/>
  <c r="F8" i="2"/>
  <c r="F7" i="2"/>
  <c r="F6" i="2"/>
  <c r="F5" i="2"/>
  <c r="F11" i="2"/>
  <c r="E5" i="2"/>
  <c r="E7" i="2"/>
  <c r="E8" i="2"/>
  <c r="E9" i="2"/>
  <c r="E10" i="2"/>
  <c r="E11" i="2"/>
  <c r="E12" i="2"/>
  <c r="E13" i="2"/>
  <c r="E14" i="2"/>
  <c r="E6" i="2"/>
  <c r="D5" i="2"/>
  <c r="D6" i="2"/>
  <c r="D7" i="2"/>
  <c r="D8" i="2"/>
  <c r="D9" i="2"/>
  <c r="D10" i="2"/>
  <c r="D11" i="2"/>
  <c r="I48" i="1" l="1"/>
  <c r="I46" i="1"/>
  <c r="L6" i="1" l="1"/>
  <c r="I47" i="1" l="1"/>
  <c r="F46" i="1"/>
  <c r="F45" i="1"/>
  <c r="F32" i="1"/>
  <c r="D13" i="2"/>
  <c r="D14" i="2"/>
  <c r="D12" i="2"/>
  <c r="D31" i="1" l="1"/>
  <c r="F31" i="1" s="1"/>
  <c r="D30" i="1"/>
  <c r="F30" i="1" s="1"/>
  <c r="G30" i="1" s="1"/>
  <c r="D29" i="1"/>
  <c r="F29" i="1" s="1"/>
  <c r="D28" i="1"/>
  <c r="F28" i="1" s="1"/>
  <c r="G28" i="1" s="1"/>
  <c r="D27" i="1"/>
  <c r="F27" i="1" s="1"/>
  <c r="D26" i="1"/>
  <c r="F26" i="1" s="1"/>
  <c r="G26" i="1" s="1"/>
  <c r="D25" i="1"/>
  <c r="F25" i="1" s="1"/>
  <c r="D24" i="1"/>
  <c r="F24" i="1" s="1"/>
  <c r="G24" i="1" s="1"/>
  <c r="D23" i="1"/>
  <c r="F23" i="1" s="1"/>
  <c r="D22" i="1"/>
  <c r="F22" i="1" s="1"/>
  <c r="G22" i="1" s="1"/>
  <c r="D21" i="1"/>
  <c r="F21" i="1" s="1"/>
  <c r="D16" i="1"/>
  <c r="F16" i="1" s="1"/>
  <c r="D15" i="1"/>
  <c r="F15" i="1" s="1"/>
  <c r="H15" i="1" s="1"/>
  <c r="D14" i="1"/>
  <c r="F14" i="1" s="1"/>
  <c r="D12" i="1"/>
  <c r="F12" i="1" s="1"/>
  <c r="D11" i="1"/>
  <c r="F11" i="1" s="1"/>
  <c r="H11" i="1" s="1"/>
  <c r="D10" i="1"/>
  <c r="F10" i="1" s="1"/>
  <c r="D8" i="1"/>
  <c r="F8" i="1" s="1"/>
  <c r="D6" i="1"/>
  <c r="F6" i="1" s="1"/>
  <c r="D39" i="1"/>
  <c r="F39" i="1" s="1"/>
  <c r="K5" i="2"/>
  <c r="K4" i="2"/>
  <c r="K3" i="2"/>
  <c r="M5" i="1"/>
  <c r="M4" i="1"/>
  <c r="M3" i="1"/>
  <c r="D42" i="1"/>
  <c r="F42" i="1" s="1"/>
  <c r="D41" i="1"/>
  <c r="F41" i="1" s="1"/>
  <c r="D40" i="1"/>
  <c r="F40" i="1" s="1"/>
  <c r="F13" i="2" l="1"/>
  <c r="G13" i="2"/>
  <c r="F12" i="2"/>
  <c r="G6" i="1"/>
  <c r="H6" i="1"/>
  <c r="G10" i="1"/>
  <c r="H10" i="1"/>
  <c r="G14" i="1"/>
  <c r="H14" i="1"/>
  <c r="H21" i="1"/>
  <c r="G21" i="1"/>
  <c r="H25" i="1"/>
  <c r="G25" i="1"/>
  <c r="H29" i="1"/>
  <c r="G29" i="1"/>
  <c r="G8" i="1"/>
  <c r="H8" i="1"/>
  <c r="G12" i="1"/>
  <c r="H12" i="1"/>
  <c r="G16" i="1"/>
  <c r="H16" i="1"/>
  <c r="H23" i="1"/>
  <c r="G23" i="1"/>
  <c r="H27" i="1"/>
  <c r="G27" i="1"/>
  <c r="I27" i="1" s="1"/>
  <c r="H31" i="1"/>
  <c r="G31" i="1"/>
  <c r="G11" i="1"/>
  <c r="I11" i="1" s="1"/>
  <c r="G15" i="1"/>
  <c r="I15" i="1" s="1"/>
  <c r="H22" i="1"/>
  <c r="I22" i="1" s="1"/>
  <c r="H24" i="1"/>
  <c r="I24" i="1" s="1"/>
  <c r="H26" i="1"/>
  <c r="I26" i="1" s="1"/>
  <c r="H28" i="1"/>
  <c r="I28" i="1" s="1"/>
  <c r="H30" i="1"/>
  <c r="I30" i="1" s="1"/>
  <c r="H39" i="1"/>
  <c r="G39" i="1"/>
  <c r="G40" i="1"/>
  <c r="H40" i="1"/>
  <c r="I40" i="1" s="1"/>
  <c r="F14" i="2"/>
  <c r="G42" i="1"/>
  <c r="H42" i="1"/>
  <c r="G41" i="1"/>
  <c r="H41" i="1"/>
  <c r="G12" i="2" l="1"/>
  <c r="D15" i="2"/>
  <c r="I14" i="1"/>
  <c r="I10" i="1"/>
  <c r="I6" i="1"/>
  <c r="I31" i="1"/>
  <c r="I23" i="1"/>
  <c r="I16" i="1"/>
  <c r="I12" i="1"/>
  <c r="I8" i="1"/>
  <c r="I29" i="1"/>
  <c r="I25" i="1"/>
  <c r="I21" i="1"/>
  <c r="I39" i="1"/>
  <c r="G14" i="2"/>
  <c r="I41" i="1"/>
  <c r="I42" i="1"/>
  <c r="G15" i="2" l="1"/>
  <c r="I32" i="1"/>
  <c r="I45" i="1"/>
</calcChain>
</file>

<file path=xl/sharedStrings.xml><?xml version="1.0" encoding="utf-8"?>
<sst xmlns="http://schemas.openxmlformats.org/spreadsheetml/2006/main" count="120" uniqueCount="108">
  <si>
    <t>Burden item</t>
  </si>
  <si>
    <t>(C=AxB)</t>
  </si>
  <si>
    <t>(E=CxD)</t>
  </si>
  <si>
    <t>(Ex0.05)</t>
  </si>
  <si>
    <t>(Ex0.1)</t>
  </si>
  <si>
    <t>1. Applications</t>
  </si>
  <si>
    <t>N/A</t>
  </si>
  <si>
    <t>2. Survey and Studies</t>
  </si>
  <si>
    <t>Reporting Subtotal</t>
  </si>
  <si>
    <t>Recordkeeping subtotal</t>
  </si>
  <si>
    <t>(C)
Person-hours per respondent per year</t>
  </si>
  <si>
    <t>(B)
No. of occurrence per respondent per year</t>
  </si>
  <si>
    <t>(A)
Person-hours per occurrence</t>
  </si>
  <si>
    <t>(E)
Technical person-hours per year</t>
  </si>
  <si>
    <t>(F)
Management person-hours per year</t>
  </si>
  <si>
    <t>(G) Clerical person hours per year</t>
  </si>
  <si>
    <t>Assumptions:</t>
  </si>
  <si>
    <t>Labor Type</t>
  </si>
  <si>
    <t>Mgmt.</t>
  </si>
  <si>
    <t>Tech.</t>
  </si>
  <si>
    <t>Cler.</t>
  </si>
  <si>
    <t>Hourly Mean Wage</t>
  </si>
  <si>
    <t>With  Fringe &amp; Overhead</t>
  </si>
  <si>
    <t>(GS- 12, step 1) - Tech.</t>
  </si>
  <si>
    <t>(GS- 13, step 5) - Mgmt.</t>
  </si>
  <si>
    <t>(GS-6, step 3) - Cler.</t>
  </si>
  <si>
    <t>Activity</t>
  </si>
  <si>
    <t>TOTAL ANNUAL COST (rounded)</t>
  </si>
  <si>
    <t>3. Reporting Requirements</t>
  </si>
  <si>
    <t xml:space="preserve">    A.  Read and Understand Rule Requirements</t>
  </si>
  <si>
    <t xml:space="preserve">    B.  Required Activities</t>
  </si>
  <si>
    <t xml:space="preserve">         i.   Initial performance tests and reports (PM, dioxins/furans, opacity, fugitives, HCl, Cd, Pb, Hg)</t>
  </si>
  <si>
    <t>          ii.  CEMS demonstration (SO2, NOx, opacity, CO, CO2, O2)</t>
  </si>
  <si>
    <t>                a.  Installation of CEM units</t>
  </si>
  <si>
    <t>                b.  Initial demonstration</t>
  </si>
  <si>
    <t>          iii.  Annual performance tests and test reports (PM, dioxins/furans, opacity, fugitives, HCl, Cd, Pb, Hg)</t>
  </si>
  <si>
    <t>          iv.  Quarterly Appendix F audits of CEMS (SO2, NOx, CO)</t>
  </si>
  <si>
    <t xml:space="preserve">                a.  RATA audit (one per year)</t>
  </si>
  <si>
    <t xml:space="preserve">                b.  RAA audit (three per year)</t>
  </si>
  <si>
    <t>                c.  Daily calibration and operation</t>
  </si>
  <si>
    <t xml:space="preserve">    C.  Create Information</t>
  </si>
  <si>
    <t xml:space="preserve">    D.  Gather Information</t>
  </si>
  <si>
    <t xml:space="preserve">    E.  Report Preparation</t>
  </si>
  <si>
    <t xml:space="preserve">         i.  Plant startup</t>
  </si>
  <si>
    <t xml:space="preserve">                a.  Plant Control Plan</t>
  </si>
  <si>
    <t xml:space="preserve">                b.  Notification of Contract Awards</t>
  </si>
  <si>
    <t xml:space="preserve">                c.  Notification of on-site construction start</t>
  </si>
  <si>
    <t xml:space="preserve">                d.  Notification of construction completion</t>
  </si>
  <si>
    <t xml:space="preserve">                e.  Notification of final completion</t>
  </si>
  <si>
    <t xml:space="preserve">         ii.  Notification of initial performance tests</t>
  </si>
  <si>
    <t xml:space="preserve">         iii.  Initial compliance reports</t>
  </si>
  <si>
    <t xml:space="preserve">         iv.  Notification of CEMS demonstration</t>
  </si>
  <si>
    <t xml:space="preserve">         v.  Initial CEMS demonstration report</t>
  </si>
  <si>
    <t xml:space="preserve">         vi.  Annual compliance reports</t>
  </si>
  <si>
    <t xml:space="preserve">         vii.  Semiannual excess emission reports</t>
  </si>
  <si>
    <t>4.  Recordkeeping Requirements</t>
  </si>
  <si>
    <t xml:space="preserve">    B.  Plan Activities</t>
  </si>
  <si>
    <t xml:space="preserve">    C.  Implement Activities</t>
  </si>
  <si>
    <t xml:space="preserve">    D.  Develop Record System</t>
  </si>
  <si>
    <t xml:space="preserve">    E.  Record information</t>
  </si>
  <si>
    <t xml:space="preserve">         i.  Record startups, shutdowns, and malfunctions</t>
  </si>
  <si>
    <t xml:space="preserve">         ii.  Records of all emission rates, computations, tests</t>
  </si>
  <si>
    <t xml:space="preserve">         iii.  Records of employee review of operations manual</t>
  </si>
  <si>
    <t xml:space="preserve">         iv.  Record amount of sorbent used for Hg and dioxin/furan control</t>
  </si>
  <si>
    <t xml:space="preserve">    F.  Personnel Training</t>
  </si>
  <si>
    <t xml:space="preserve">    G.  Time for audits</t>
  </si>
  <si>
    <t>1.  Applications</t>
  </si>
  <si>
    <t>i.  Review preliminary and final material separation plans and siting analysis</t>
  </si>
  <si>
    <t>ii.  Review notification of construction</t>
  </si>
  <si>
    <t>iii.  Review notification of startup</t>
  </si>
  <si>
    <t>iv.  Review notification of initial performance test</t>
  </si>
  <si>
    <t>v.  Review notification of initial CEMS demonstration</t>
  </si>
  <si>
    <t>vi.  Review initial performance test report</t>
  </si>
  <si>
    <t>vii.  Review initial CEMS demonstration report</t>
  </si>
  <si>
    <t>viii.  Review annual compliance report</t>
  </si>
  <si>
    <t>ix.  Review semi-annual excess emission report</t>
  </si>
  <si>
    <t>2.  Report Reviews</t>
  </si>
  <si>
    <t>3. Prepare annual summary report</t>
  </si>
  <si>
    <t>(B)
EPA person-hours per occurrence</t>
  </si>
  <si>
    <t>(C)
Technical person-hours per year</t>
  </si>
  <si>
    <t>(D)
Management person-hours per year</t>
  </si>
  <si>
    <t>(E)
Clerical person-hours per year</t>
  </si>
  <si>
    <t>Capital and O&amp;M Cost (see Section 6(b)(iii)):</t>
  </si>
  <si>
    <t xml:space="preserve">TOTAL COST: </t>
  </si>
  <si>
    <t>TOTAL LABOR  BURDEN AND COST (Rounded):</t>
  </si>
  <si>
    <t>See 3A</t>
  </si>
  <si>
    <t>See 3B</t>
  </si>
  <si>
    <t>See 3E</t>
  </si>
  <si>
    <r>
      <rPr>
        <b/>
        <sz val="10"/>
        <rFont val="Times New Roman"/>
        <family val="1"/>
      </rPr>
      <t xml:space="preserve">Respondant Rates
</t>
    </r>
    <r>
      <rPr>
        <sz val="10"/>
        <rFont val="Times New Roman"/>
        <family val="1"/>
      </rPr>
      <t>(Source: http://www.bls.gov/news.release/ecec.t02.htm)</t>
    </r>
  </si>
  <si>
    <r>
      <t>Total Compensation ($/hr)</t>
    </r>
    <r>
      <rPr>
        <sz val="10"/>
        <rFont val="Times New Roman"/>
        <family val="1"/>
      </rPr>
      <t xml:space="preserve"> </t>
    </r>
  </si>
  <si>
    <r>
      <t>Loaded Rate</t>
    </r>
    <r>
      <rPr>
        <sz val="10"/>
        <rFont val="Times New Roman"/>
        <family val="1"/>
      </rPr>
      <t xml:space="preserve"> (Rate + 110%rate)</t>
    </r>
  </si>
  <si>
    <r>
      <t>(D) Respondents per year</t>
    </r>
    <r>
      <rPr>
        <b/>
        <vertAlign val="superscript"/>
        <sz val="10"/>
        <color theme="1"/>
        <rFont val="Times New Roman"/>
        <family val="1"/>
      </rPr>
      <t>a</t>
    </r>
  </si>
  <si>
    <r>
      <t>(H) Cost</t>
    </r>
    <r>
      <rPr>
        <b/>
        <vertAlign val="superscript"/>
        <sz val="10"/>
        <color theme="1"/>
        <rFont val="Times New Roman"/>
        <family val="1"/>
      </rPr>
      <t xml:space="preserve"> b </t>
    </r>
    <r>
      <rPr>
        <b/>
        <sz val="10"/>
        <color theme="1"/>
        <rFont val="Times New Roman"/>
        <family val="1"/>
      </rPr>
      <t>$</t>
    </r>
  </si>
  <si>
    <r>
      <t xml:space="preserve">EPA 
</t>
    </r>
    <r>
      <rPr>
        <sz val="9"/>
        <rFont val="Times New Roman"/>
        <family val="1"/>
      </rPr>
      <t>Source: http://www.opm.gov/oca/11tables/html/gs_h.asp</t>
    </r>
  </si>
  <si>
    <r>
      <t>(H)
Cost</t>
    </r>
    <r>
      <rPr>
        <b/>
        <vertAlign val="superscript"/>
        <sz val="10"/>
        <color theme="1"/>
        <rFont val="Times New Roman"/>
        <family val="1"/>
      </rPr>
      <t>a</t>
    </r>
    <r>
      <rPr>
        <b/>
        <sz val="10"/>
        <color theme="1"/>
        <rFont val="Times New Roman"/>
        <family val="1"/>
      </rPr>
      <t xml:space="preserve"> $</t>
    </r>
  </si>
  <si>
    <t>HR/RESP</t>
  </si>
  <si>
    <t>Private</t>
  </si>
  <si>
    <t>State &amp; Local Government</t>
  </si>
  <si>
    <t>Number of Respondents</t>
  </si>
  <si>
    <t>Category</t>
  </si>
  <si>
    <t>Total</t>
  </si>
  <si>
    <t>Respondent Labor Cost</t>
  </si>
  <si>
    <t>Capital &amp; O&amp;M Cost</t>
  </si>
  <si>
    <t>Number of Responses</t>
  </si>
  <si>
    <t>(A)
No. occurrence per year</t>
  </si>
  <si>
    <t>Reporting Hours</t>
  </si>
  <si>
    <t>Recordkeeping Hours</t>
  </si>
  <si>
    <t>Total Respondent Labor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</si>
</sst>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General_)"/>
    <numFmt numFmtId="165" formatCode="&quot;$&quot;#,##0.00"/>
    <numFmt numFmtId="166" formatCode="&quot;$&quot;#,##0"/>
    <numFmt numFmtId="167" formatCode="#,##0.0"/>
    <numFmt numFmtId="168" formatCode="#,##0.000"/>
  </numFmts>
  <fonts count="15" x14ac:knownFonts="1"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sz val="8"/>
      <name val="Courier"/>
      <family val="3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0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5" fillId="0" borderId="2" xfId="0" applyFont="1" applyBorder="1" applyAlignment="1">
      <alignment vertical="center"/>
    </xf>
    <xf numFmtId="0" fontId="6" fillId="0" borderId="0" xfId="0" applyFont="1"/>
    <xf numFmtId="0" fontId="4" fillId="0" borderId="2" xfId="0" applyFont="1" applyBorder="1" applyAlignment="1">
      <alignment wrapText="1"/>
    </xf>
    <xf numFmtId="8" fontId="4" fillId="0" borderId="2" xfId="0" applyNumberFormat="1" applyFont="1" applyBorder="1" applyAlignment="1"/>
    <xf numFmtId="0" fontId="8" fillId="0" borderId="2" xfId="0" applyFont="1" applyBorder="1" applyAlignment="1">
      <alignment wrapText="1"/>
    </xf>
    <xf numFmtId="8" fontId="8" fillId="0" borderId="2" xfId="0" applyNumberFormat="1" applyFont="1" applyBorder="1" applyAlignment="1"/>
    <xf numFmtId="1" fontId="8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7" fillId="0" borderId="2" xfId="1" applyFont="1" applyFill="1" applyBorder="1" applyAlignment="1">
      <alignment horizontal="center" vertical="center" wrapText="1"/>
    </xf>
    <xf numFmtId="164" fontId="10" fillId="0" borderId="2" xfId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right" wrapText="1"/>
    </xf>
    <xf numFmtId="165" fontId="11" fillId="0" borderId="2" xfId="1" applyNumberFormat="1" applyFont="1" applyFill="1" applyBorder="1" applyAlignment="1">
      <alignment horizontal="right" wrapText="1"/>
    </xf>
    <xf numFmtId="164" fontId="10" fillId="0" borderId="0" xfId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0" fontId="8" fillId="0" borderId="0" xfId="0" applyFont="1"/>
    <xf numFmtId="0" fontId="4" fillId="0" borderId="0" xfId="0" applyFont="1" applyAlignment="1"/>
    <xf numFmtId="0" fontId="9" fillId="0" borderId="2" xfId="0" applyFont="1" applyBorder="1" applyAlignment="1"/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1" fontId="9" fillId="0" borderId="2" xfId="0" applyNumberFormat="1" applyFont="1" applyBorder="1" applyAlignment="1"/>
    <xf numFmtId="6" fontId="9" fillId="0" borderId="2" xfId="0" applyNumberFormat="1" applyFont="1" applyBorder="1" applyAlignment="1"/>
    <xf numFmtId="1" fontId="9" fillId="0" borderId="0" xfId="0" applyNumberFormat="1" applyFont="1"/>
    <xf numFmtId="0" fontId="10" fillId="0" borderId="4" xfId="2" applyFont="1" applyFill="1" applyBorder="1" applyAlignment="1">
      <alignment wrapText="1"/>
    </xf>
    <xf numFmtId="0" fontId="5" fillId="0" borderId="5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10" fillId="0" borderId="7" xfId="2" applyFont="1" applyFill="1" applyBorder="1"/>
    <xf numFmtId="165" fontId="10" fillId="0" borderId="7" xfId="3" applyNumberFormat="1" applyFont="1" applyBorder="1"/>
    <xf numFmtId="0" fontId="10" fillId="0" borderId="2" xfId="3" applyFont="1" applyFill="1" applyBorder="1"/>
    <xf numFmtId="165" fontId="10" fillId="0" borderId="2" xfId="3" applyNumberFormat="1" applyFont="1" applyBorder="1"/>
    <xf numFmtId="0" fontId="10" fillId="0" borderId="2" xfId="2" applyFont="1" applyFill="1" applyBorder="1"/>
    <xf numFmtId="0" fontId="6" fillId="0" borderId="0" xfId="0" applyFont="1" applyBorder="1"/>
    <xf numFmtId="0" fontId="4" fillId="0" borderId="2" xfId="0" applyFont="1" applyBorder="1" applyAlignment="1">
      <alignment horizontal="left" wrapText="1" inden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 indent="1"/>
    </xf>
    <xf numFmtId="165" fontId="4" fillId="0" borderId="2" xfId="0" applyNumberFormat="1" applyFont="1" applyBorder="1"/>
    <xf numFmtId="0" fontId="4" fillId="0" borderId="2" xfId="0" applyFont="1" applyFill="1" applyBorder="1" applyAlignment="1">
      <alignment horizontal="left" wrapText="1" indent="1"/>
    </xf>
    <xf numFmtId="0" fontId="9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 indent="1"/>
    </xf>
    <xf numFmtId="0" fontId="9" fillId="0" borderId="7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14" fillId="0" borderId="0" xfId="0" applyFont="1"/>
    <xf numFmtId="166" fontId="9" fillId="0" borderId="2" xfId="0" applyNumberFormat="1" applyFont="1" applyBorder="1"/>
    <xf numFmtId="3" fontId="4" fillId="0" borderId="2" xfId="0" applyNumberFormat="1" applyFont="1" applyBorder="1" applyAlignment="1">
      <alignment horizontal="center" wrapText="1"/>
    </xf>
    <xf numFmtId="0" fontId="4" fillId="2" borderId="0" xfId="0" applyFont="1" applyFill="1"/>
    <xf numFmtId="3" fontId="10" fillId="2" borderId="0" xfId="1" applyNumberFormat="1" applyFont="1" applyFill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6" fontId="4" fillId="0" borderId="2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9" fillId="0" borderId="2" xfId="0" applyFont="1" applyBorder="1"/>
    <xf numFmtId="1" fontId="9" fillId="0" borderId="2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9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6" fontId="9" fillId="0" borderId="2" xfId="0" applyNumberFormat="1" applyFont="1" applyBorder="1" applyAlignment="1">
      <alignment horizontal="center" vertical="center"/>
    </xf>
    <xf numFmtId="164" fontId="7" fillId="0" borderId="1" xfId="1" applyFont="1" applyFill="1" applyBorder="1" applyAlignment="1">
      <alignment horizontal="left" wrapText="1"/>
    </xf>
    <xf numFmtId="3" fontId="8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 wrapText="1"/>
    </xf>
    <xf numFmtId="0" fontId="5" fillId="0" borderId="3" xfId="2" applyFont="1" applyFill="1" applyBorder="1" applyAlignment="1">
      <alignment horizontal="left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</cellXfs>
  <cellStyles count="4">
    <cellStyle name="Normal" xfId="0" builtinId="0"/>
    <cellStyle name="Normal_HMIWI EG SS" xfId="3"/>
    <cellStyle name="Normal_ICR Cost Inputs" xfId="2"/>
    <cellStyle name="Normal_SSI Burden Estimate BML 0607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pane ySplit="5" topLeftCell="A24" activePane="bottomLeft" state="frozen"/>
      <selection pane="bottomLeft"/>
    </sheetView>
  </sheetViews>
  <sheetFormatPr defaultRowHeight="12.75" x14ac:dyDescent="0.2"/>
  <cols>
    <col min="1" max="1" width="39" style="11" bestFit="1" customWidth="1"/>
    <col min="2" max="2" width="12.85546875" style="20" bestFit="1" customWidth="1"/>
    <col min="3" max="4" width="10" style="20" bestFit="1" customWidth="1"/>
    <col min="5" max="5" width="11.140625" style="20" bestFit="1" customWidth="1"/>
    <col min="6" max="6" width="9" style="20" bestFit="1" customWidth="1"/>
    <col min="7" max="7" width="11.7109375" style="20" bestFit="1" customWidth="1"/>
    <col min="8" max="8" width="7.5703125" style="20" bestFit="1" customWidth="1"/>
    <col min="9" max="9" width="13.5703125" style="20" bestFit="1" customWidth="1"/>
    <col min="10" max="10" width="3.28515625" style="11" customWidth="1"/>
    <col min="11" max="11" width="11.28515625" style="11" customWidth="1"/>
    <col min="12" max="12" width="17.140625" style="11" customWidth="1"/>
    <col min="13" max="13" width="14" style="11" bestFit="1" customWidth="1"/>
    <col min="14" max="16384" width="9.140625" style="11"/>
  </cols>
  <sheetData>
    <row r="1" spans="1:13" ht="76.5" x14ac:dyDescent="0.2">
      <c r="A1" s="22" t="s">
        <v>0</v>
      </c>
      <c r="B1" s="22" t="s">
        <v>12</v>
      </c>
      <c r="C1" s="22" t="s">
        <v>11</v>
      </c>
      <c r="D1" s="22" t="s">
        <v>10</v>
      </c>
      <c r="E1" s="22" t="s">
        <v>91</v>
      </c>
      <c r="F1" s="22" t="s">
        <v>13</v>
      </c>
      <c r="G1" s="22" t="s">
        <v>14</v>
      </c>
      <c r="H1" s="22" t="s">
        <v>15</v>
      </c>
      <c r="I1" s="23" t="s">
        <v>92</v>
      </c>
      <c r="J1" s="10"/>
      <c r="K1" s="79" t="s">
        <v>88</v>
      </c>
      <c r="L1" s="79"/>
      <c r="M1" s="79"/>
    </row>
    <row r="2" spans="1:13" ht="26.25" customHeight="1" x14ac:dyDescent="0.2">
      <c r="A2" s="24"/>
      <c r="B2" s="53"/>
      <c r="C2" s="53"/>
      <c r="D2" s="54" t="s">
        <v>1</v>
      </c>
      <c r="E2" s="54"/>
      <c r="F2" s="54" t="s">
        <v>2</v>
      </c>
      <c r="G2" s="54" t="s">
        <v>3</v>
      </c>
      <c r="H2" s="54" t="s">
        <v>4</v>
      </c>
      <c r="I2" s="24"/>
      <c r="K2" s="12" t="s">
        <v>17</v>
      </c>
      <c r="L2" s="12" t="s">
        <v>89</v>
      </c>
      <c r="M2" s="12" t="s">
        <v>90</v>
      </c>
    </row>
    <row r="3" spans="1:13" x14ac:dyDescent="0.2">
      <c r="A3" s="3" t="s">
        <v>5</v>
      </c>
      <c r="B3" s="55" t="s">
        <v>6</v>
      </c>
      <c r="C3" s="55"/>
      <c r="D3" s="55"/>
      <c r="E3" s="55"/>
      <c r="F3" s="56"/>
      <c r="G3" s="56"/>
      <c r="H3" s="56"/>
      <c r="I3" s="4"/>
      <c r="K3" s="13" t="s">
        <v>18</v>
      </c>
      <c r="L3" s="14">
        <v>61.87</v>
      </c>
      <c r="M3" s="15">
        <f>L3+1.1*L3</f>
        <v>129.92699999999999</v>
      </c>
    </row>
    <row r="4" spans="1:13" x14ac:dyDescent="0.2">
      <c r="A4" s="3" t="s">
        <v>7</v>
      </c>
      <c r="B4" s="55" t="s">
        <v>6</v>
      </c>
      <c r="C4" s="55"/>
      <c r="D4" s="55"/>
      <c r="E4" s="55"/>
      <c r="F4" s="56"/>
      <c r="G4" s="56"/>
      <c r="H4" s="56"/>
      <c r="I4" s="4"/>
      <c r="K4" s="13" t="s">
        <v>19</v>
      </c>
      <c r="L4" s="14">
        <v>49.51</v>
      </c>
      <c r="M4" s="15">
        <f>L4+1.1*L4</f>
        <v>103.971</v>
      </c>
    </row>
    <row r="5" spans="1:13" x14ac:dyDescent="0.2">
      <c r="A5" s="3" t="s">
        <v>28</v>
      </c>
      <c r="B5" s="55"/>
      <c r="C5" s="55"/>
      <c r="D5" s="55"/>
      <c r="E5" s="55"/>
      <c r="F5" s="56"/>
      <c r="G5" s="56"/>
      <c r="H5" s="56"/>
      <c r="I5" s="4"/>
      <c r="K5" s="13" t="s">
        <v>20</v>
      </c>
      <c r="L5" s="14">
        <v>24.66</v>
      </c>
      <c r="M5" s="15">
        <f>L5+1.1*L5</f>
        <v>51.786000000000001</v>
      </c>
    </row>
    <row r="6" spans="1:13" x14ac:dyDescent="0.2">
      <c r="A6" s="3" t="s">
        <v>29</v>
      </c>
      <c r="B6" s="55">
        <v>40</v>
      </c>
      <c r="C6" s="55">
        <v>1</v>
      </c>
      <c r="D6" s="55">
        <f t="shared" ref="D6:D31" si="0">B6*C6</f>
        <v>40</v>
      </c>
      <c r="E6" s="57">
        <v>23</v>
      </c>
      <c r="F6" s="56">
        <f t="shared" ref="F6:F31" si="1">D6*E6</f>
        <v>920</v>
      </c>
      <c r="G6" s="56">
        <f t="shared" ref="G6:G31" si="2">F6*0.05</f>
        <v>46</v>
      </c>
      <c r="H6" s="56">
        <f t="shared" ref="H6:H31" si="3">F6*0.1</f>
        <v>92</v>
      </c>
      <c r="I6" s="4">
        <f t="shared" ref="I6:I31" si="4">$M$3*G6+$M$4*F6+$M$5*H6</f>
        <v>106394.274</v>
      </c>
      <c r="K6" s="51" t="s">
        <v>95</v>
      </c>
      <c r="L6" s="52">
        <f>F46/59</f>
        <v>1728.8135593220338</v>
      </c>
      <c r="M6" s="18"/>
    </row>
    <row r="7" spans="1:13" x14ac:dyDescent="0.2">
      <c r="A7" s="3" t="s">
        <v>30</v>
      </c>
      <c r="B7" s="55"/>
      <c r="C7" s="55"/>
      <c r="D7" s="55"/>
      <c r="E7" s="55"/>
      <c r="F7" s="56"/>
      <c r="G7" s="56"/>
      <c r="H7" s="56"/>
      <c r="I7" s="4"/>
      <c r="K7" s="16"/>
      <c r="L7" s="17"/>
      <c r="M7" s="18"/>
    </row>
    <row r="8" spans="1:13" ht="38.25" x14ac:dyDescent="0.2">
      <c r="A8" s="3" t="s">
        <v>31</v>
      </c>
      <c r="B8" s="55">
        <v>775</v>
      </c>
      <c r="C8" s="55">
        <v>1</v>
      </c>
      <c r="D8" s="55">
        <f t="shared" si="0"/>
        <v>775</v>
      </c>
      <c r="E8" s="55">
        <v>0</v>
      </c>
      <c r="F8" s="56">
        <f t="shared" si="1"/>
        <v>0</v>
      </c>
      <c r="G8" s="56">
        <f t="shared" si="2"/>
        <v>0</v>
      </c>
      <c r="H8" s="56">
        <f t="shared" si="3"/>
        <v>0</v>
      </c>
      <c r="I8" s="4">
        <f t="shared" si="4"/>
        <v>0</v>
      </c>
      <c r="K8" s="16"/>
      <c r="L8" s="17"/>
      <c r="M8" s="18"/>
    </row>
    <row r="9" spans="1:13" ht="25.5" x14ac:dyDescent="0.2">
      <c r="A9" s="3" t="s">
        <v>32</v>
      </c>
      <c r="B9" s="55"/>
      <c r="C9" s="55"/>
      <c r="D9" s="55"/>
      <c r="E9" s="55"/>
      <c r="F9" s="56"/>
      <c r="G9" s="56"/>
      <c r="H9" s="56"/>
      <c r="I9" s="4"/>
      <c r="K9" s="16"/>
      <c r="L9" s="17"/>
      <c r="M9" s="18"/>
    </row>
    <row r="10" spans="1:13" x14ac:dyDescent="0.2">
      <c r="A10" s="3" t="s">
        <v>33</v>
      </c>
      <c r="B10" s="55">
        <v>225</v>
      </c>
      <c r="C10" s="55">
        <v>1</v>
      </c>
      <c r="D10" s="55">
        <f t="shared" si="0"/>
        <v>225</v>
      </c>
      <c r="E10" s="55">
        <v>0</v>
      </c>
      <c r="F10" s="56">
        <f t="shared" si="1"/>
        <v>0</v>
      </c>
      <c r="G10" s="56">
        <f t="shared" si="2"/>
        <v>0</v>
      </c>
      <c r="H10" s="56">
        <f t="shared" si="3"/>
        <v>0</v>
      </c>
      <c r="I10" s="4">
        <f t="shared" si="4"/>
        <v>0</v>
      </c>
      <c r="K10" s="16"/>
      <c r="L10" s="17"/>
      <c r="M10" s="18"/>
    </row>
    <row r="11" spans="1:13" x14ac:dyDescent="0.2">
      <c r="A11" s="3" t="s">
        <v>34</v>
      </c>
      <c r="B11" s="55">
        <v>450</v>
      </c>
      <c r="C11" s="55">
        <v>1</v>
      </c>
      <c r="D11" s="55">
        <f t="shared" si="0"/>
        <v>450</v>
      </c>
      <c r="E11" s="55">
        <v>0</v>
      </c>
      <c r="F11" s="56">
        <f t="shared" si="1"/>
        <v>0</v>
      </c>
      <c r="G11" s="56">
        <f t="shared" si="2"/>
        <v>0</v>
      </c>
      <c r="H11" s="56">
        <f t="shared" si="3"/>
        <v>0</v>
      </c>
      <c r="I11" s="4">
        <f t="shared" si="4"/>
        <v>0</v>
      </c>
    </row>
    <row r="12" spans="1:13" ht="38.25" x14ac:dyDescent="0.2">
      <c r="A12" s="3" t="s">
        <v>35</v>
      </c>
      <c r="B12" s="55">
        <v>775</v>
      </c>
      <c r="C12" s="55">
        <v>1</v>
      </c>
      <c r="D12" s="55">
        <f t="shared" si="0"/>
        <v>775</v>
      </c>
      <c r="E12" s="55">
        <v>23</v>
      </c>
      <c r="F12" s="58">
        <f t="shared" si="1"/>
        <v>17825</v>
      </c>
      <c r="G12" s="56">
        <f t="shared" si="2"/>
        <v>891.25</v>
      </c>
      <c r="H12" s="56">
        <f t="shared" si="3"/>
        <v>1782.5</v>
      </c>
      <c r="I12" s="4">
        <f t="shared" si="4"/>
        <v>2061389.0587499999</v>
      </c>
    </row>
    <row r="13" spans="1:13" ht="25.5" x14ac:dyDescent="0.2">
      <c r="A13" s="3" t="s">
        <v>36</v>
      </c>
      <c r="B13" s="55"/>
      <c r="C13" s="55"/>
      <c r="D13" s="55"/>
      <c r="E13" s="55"/>
      <c r="F13" s="58"/>
      <c r="G13" s="56"/>
      <c r="H13" s="56"/>
      <c r="I13" s="4"/>
    </row>
    <row r="14" spans="1:13" x14ac:dyDescent="0.2">
      <c r="A14" s="3" t="s">
        <v>37</v>
      </c>
      <c r="B14" s="55">
        <v>350</v>
      </c>
      <c r="C14" s="55">
        <v>2.2999999999999998</v>
      </c>
      <c r="D14" s="55">
        <f t="shared" si="0"/>
        <v>804.99999999999989</v>
      </c>
      <c r="E14" s="55">
        <v>23</v>
      </c>
      <c r="F14" s="58">
        <f t="shared" si="1"/>
        <v>18514.999999999996</v>
      </c>
      <c r="G14" s="56">
        <f t="shared" si="2"/>
        <v>925.74999999999989</v>
      </c>
      <c r="H14" s="59">
        <f t="shared" si="3"/>
        <v>1851.4999999999998</v>
      </c>
      <c r="I14" s="4">
        <f t="shared" si="4"/>
        <v>2141184.7642499995</v>
      </c>
    </row>
    <row r="15" spans="1:13" x14ac:dyDescent="0.2">
      <c r="A15" s="3" t="s">
        <v>38</v>
      </c>
      <c r="B15" s="55">
        <v>130</v>
      </c>
      <c r="C15" s="55">
        <v>6.9</v>
      </c>
      <c r="D15" s="55">
        <f t="shared" si="0"/>
        <v>897</v>
      </c>
      <c r="E15" s="55">
        <v>23</v>
      </c>
      <c r="F15" s="58">
        <f t="shared" si="1"/>
        <v>20631</v>
      </c>
      <c r="G15" s="58">
        <f t="shared" si="2"/>
        <v>1031.55</v>
      </c>
      <c r="H15" s="59">
        <f t="shared" si="3"/>
        <v>2063.1</v>
      </c>
      <c r="I15" s="4">
        <f t="shared" si="4"/>
        <v>2385891.5944499997</v>
      </c>
    </row>
    <row r="16" spans="1:13" x14ac:dyDescent="0.2">
      <c r="A16" s="3" t="s">
        <v>39</v>
      </c>
      <c r="B16" s="55">
        <v>1</v>
      </c>
      <c r="C16" s="55">
        <v>840</v>
      </c>
      <c r="D16" s="55">
        <f t="shared" si="0"/>
        <v>840</v>
      </c>
      <c r="E16" s="55">
        <v>23</v>
      </c>
      <c r="F16" s="58">
        <f t="shared" si="1"/>
        <v>19320</v>
      </c>
      <c r="G16" s="56">
        <f t="shared" si="2"/>
        <v>966</v>
      </c>
      <c r="H16" s="56">
        <f t="shared" si="3"/>
        <v>1932</v>
      </c>
      <c r="I16" s="4">
        <f t="shared" si="4"/>
        <v>2234279.7540000002</v>
      </c>
    </row>
    <row r="17" spans="1:11" x14ac:dyDescent="0.2">
      <c r="A17" s="3" t="s">
        <v>40</v>
      </c>
      <c r="B17" s="55" t="s">
        <v>86</v>
      </c>
      <c r="C17" s="55"/>
      <c r="D17" s="55"/>
      <c r="E17" s="55"/>
      <c r="F17" s="56"/>
      <c r="G17" s="56"/>
      <c r="H17" s="56"/>
      <c r="I17" s="4"/>
    </row>
    <row r="18" spans="1:11" x14ac:dyDescent="0.2">
      <c r="A18" s="3" t="s">
        <v>41</v>
      </c>
      <c r="B18" s="55" t="s">
        <v>87</v>
      </c>
      <c r="C18" s="55"/>
      <c r="D18" s="55"/>
      <c r="E18" s="55"/>
      <c r="F18" s="56"/>
      <c r="G18" s="56"/>
      <c r="H18" s="56"/>
      <c r="I18" s="4"/>
    </row>
    <row r="19" spans="1:11" x14ac:dyDescent="0.2">
      <c r="A19" s="3" t="s">
        <v>42</v>
      </c>
      <c r="B19" s="55"/>
      <c r="C19" s="55"/>
      <c r="D19" s="55"/>
      <c r="E19" s="55"/>
      <c r="F19" s="56"/>
      <c r="G19" s="56"/>
      <c r="H19" s="56"/>
      <c r="I19" s="4"/>
    </row>
    <row r="20" spans="1:11" x14ac:dyDescent="0.2">
      <c r="A20" s="3" t="s">
        <v>43</v>
      </c>
      <c r="B20" s="55"/>
      <c r="C20" s="55"/>
      <c r="D20" s="55"/>
      <c r="E20" s="55"/>
      <c r="F20" s="56"/>
      <c r="G20" s="56"/>
      <c r="H20" s="56"/>
      <c r="I20" s="4"/>
    </row>
    <row r="21" spans="1:11" x14ac:dyDescent="0.2">
      <c r="A21" s="3" t="s">
        <v>44</v>
      </c>
      <c r="B21" s="55">
        <v>40</v>
      </c>
      <c r="C21" s="55">
        <v>1</v>
      </c>
      <c r="D21" s="55">
        <f t="shared" si="0"/>
        <v>40</v>
      </c>
      <c r="E21" s="55">
        <v>0</v>
      </c>
      <c r="F21" s="56">
        <f t="shared" si="1"/>
        <v>0</v>
      </c>
      <c r="G21" s="56">
        <f t="shared" si="2"/>
        <v>0</v>
      </c>
      <c r="H21" s="56">
        <f t="shared" si="3"/>
        <v>0</v>
      </c>
      <c r="I21" s="4">
        <f t="shared" si="4"/>
        <v>0</v>
      </c>
    </row>
    <row r="22" spans="1:11" x14ac:dyDescent="0.2">
      <c r="A22" s="3" t="s">
        <v>45</v>
      </c>
      <c r="B22" s="55">
        <v>4</v>
      </c>
      <c r="C22" s="55">
        <v>1</v>
      </c>
      <c r="D22" s="55">
        <f t="shared" si="0"/>
        <v>4</v>
      </c>
      <c r="E22" s="55">
        <v>0</v>
      </c>
      <c r="F22" s="56">
        <f t="shared" si="1"/>
        <v>0</v>
      </c>
      <c r="G22" s="56">
        <f t="shared" si="2"/>
        <v>0</v>
      </c>
      <c r="H22" s="56">
        <f t="shared" si="3"/>
        <v>0</v>
      </c>
      <c r="I22" s="4">
        <f t="shared" si="4"/>
        <v>0</v>
      </c>
    </row>
    <row r="23" spans="1:11" ht="25.5" x14ac:dyDescent="0.2">
      <c r="A23" s="3" t="s">
        <v>46</v>
      </c>
      <c r="B23" s="55">
        <v>4</v>
      </c>
      <c r="C23" s="55">
        <v>1</v>
      </c>
      <c r="D23" s="55">
        <f t="shared" si="0"/>
        <v>4</v>
      </c>
      <c r="E23" s="55">
        <v>0</v>
      </c>
      <c r="F23" s="56">
        <f t="shared" si="1"/>
        <v>0</v>
      </c>
      <c r="G23" s="56">
        <f t="shared" si="2"/>
        <v>0</v>
      </c>
      <c r="H23" s="56">
        <f t="shared" si="3"/>
        <v>0</v>
      </c>
      <c r="I23" s="4">
        <f t="shared" si="4"/>
        <v>0</v>
      </c>
    </row>
    <row r="24" spans="1:11" ht="25.5" x14ac:dyDescent="0.2">
      <c r="A24" s="3" t="s">
        <v>47</v>
      </c>
      <c r="B24" s="55">
        <v>4</v>
      </c>
      <c r="C24" s="55">
        <v>1</v>
      </c>
      <c r="D24" s="55">
        <f t="shared" si="0"/>
        <v>4</v>
      </c>
      <c r="E24" s="55">
        <v>0</v>
      </c>
      <c r="F24" s="56">
        <f t="shared" si="1"/>
        <v>0</v>
      </c>
      <c r="G24" s="56">
        <f t="shared" si="2"/>
        <v>0</v>
      </c>
      <c r="H24" s="56">
        <f t="shared" si="3"/>
        <v>0</v>
      </c>
      <c r="I24" s="4">
        <f t="shared" si="4"/>
        <v>0</v>
      </c>
    </row>
    <row r="25" spans="1:11" x14ac:dyDescent="0.2">
      <c r="A25" s="3" t="s">
        <v>48</v>
      </c>
      <c r="B25" s="55">
        <v>4</v>
      </c>
      <c r="C25" s="55">
        <v>1</v>
      </c>
      <c r="D25" s="55">
        <f t="shared" si="0"/>
        <v>4</v>
      </c>
      <c r="E25" s="55">
        <v>0</v>
      </c>
      <c r="F25" s="56">
        <f t="shared" si="1"/>
        <v>0</v>
      </c>
      <c r="G25" s="56">
        <f t="shared" si="2"/>
        <v>0</v>
      </c>
      <c r="H25" s="56">
        <f t="shared" si="3"/>
        <v>0</v>
      </c>
      <c r="I25" s="4">
        <f t="shared" si="4"/>
        <v>0</v>
      </c>
    </row>
    <row r="26" spans="1:11" x14ac:dyDescent="0.2">
      <c r="A26" s="3" t="s">
        <v>49</v>
      </c>
      <c r="B26" s="55">
        <v>4</v>
      </c>
      <c r="C26" s="55">
        <v>1</v>
      </c>
      <c r="D26" s="55">
        <f t="shared" si="0"/>
        <v>4</v>
      </c>
      <c r="E26" s="55">
        <v>0</v>
      </c>
      <c r="F26" s="56">
        <f t="shared" si="1"/>
        <v>0</v>
      </c>
      <c r="G26" s="56">
        <f t="shared" si="2"/>
        <v>0</v>
      </c>
      <c r="H26" s="56">
        <f t="shared" si="3"/>
        <v>0</v>
      </c>
      <c r="I26" s="4">
        <f t="shared" si="4"/>
        <v>0</v>
      </c>
    </row>
    <row r="27" spans="1:11" x14ac:dyDescent="0.2">
      <c r="A27" s="3" t="s">
        <v>50</v>
      </c>
      <c r="B27" s="55">
        <v>40</v>
      </c>
      <c r="C27" s="55">
        <v>1</v>
      </c>
      <c r="D27" s="55">
        <f t="shared" si="0"/>
        <v>40</v>
      </c>
      <c r="E27" s="55">
        <v>0</v>
      </c>
      <c r="F27" s="56">
        <f t="shared" si="1"/>
        <v>0</v>
      </c>
      <c r="G27" s="56">
        <f t="shared" si="2"/>
        <v>0</v>
      </c>
      <c r="H27" s="56">
        <f t="shared" si="3"/>
        <v>0</v>
      </c>
      <c r="I27" s="4">
        <f t="shared" si="4"/>
        <v>0</v>
      </c>
    </row>
    <row r="28" spans="1:11" x14ac:dyDescent="0.2">
      <c r="A28" s="3" t="s">
        <v>51</v>
      </c>
      <c r="B28" s="55">
        <v>4</v>
      </c>
      <c r="C28" s="55">
        <v>1</v>
      </c>
      <c r="D28" s="55">
        <f t="shared" si="0"/>
        <v>4</v>
      </c>
      <c r="E28" s="55">
        <v>0</v>
      </c>
      <c r="F28" s="56">
        <f t="shared" si="1"/>
        <v>0</v>
      </c>
      <c r="G28" s="56">
        <f t="shared" si="2"/>
        <v>0</v>
      </c>
      <c r="H28" s="56">
        <f t="shared" si="3"/>
        <v>0</v>
      </c>
      <c r="I28" s="4">
        <f t="shared" si="4"/>
        <v>0</v>
      </c>
    </row>
    <row r="29" spans="1:11" x14ac:dyDescent="0.2">
      <c r="A29" s="3" t="s">
        <v>52</v>
      </c>
      <c r="B29" s="55">
        <v>90</v>
      </c>
      <c r="C29" s="55">
        <v>1</v>
      </c>
      <c r="D29" s="55">
        <f t="shared" si="0"/>
        <v>90</v>
      </c>
      <c r="E29" s="55">
        <v>0</v>
      </c>
      <c r="F29" s="56">
        <f t="shared" si="1"/>
        <v>0</v>
      </c>
      <c r="G29" s="56">
        <f t="shared" si="2"/>
        <v>0</v>
      </c>
      <c r="H29" s="56">
        <f t="shared" si="3"/>
        <v>0</v>
      </c>
      <c r="I29" s="4">
        <f t="shared" si="4"/>
        <v>0</v>
      </c>
    </row>
    <row r="30" spans="1:11" x14ac:dyDescent="0.2">
      <c r="A30" s="3" t="s">
        <v>53</v>
      </c>
      <c r="B30" s="55">
        <v>40</v>
      </c>
      <c r="C30" s="55">
        <v>2.2999999999999998</v>
      </c>
      <c r="D30" s="55">
        <f t="shared" si="0"/>
        <v>92</v>
      </c>
      <c r="E30" s="55">
        <v>23</v>
      </c>
      <c r="F30" s="60">
        <f t="shared" si="1"/>
        <v>2116</v>
      </c>
      <c r="G30" s="56">
        <f t="shared" si="2"/>
        <v>105.80000000000001</v>
      </c>
      <c r="H30" s="56">
        <f t="shared" si="3"/>
        <v>211.60000000000002</v>
      </c>
      <c r="I30" s="4">
        <f t="shared" si="4"/>
        <v>244706.83020000003</v>
      </c>
    </row>
    <row r="31" spans="1:11" x14ac:dyDescent="0.2">
      <c r="A31" s="3" t="s">
        <v>54</v>
      </c>
      <c r="B31" s="55">
        <v>40</v>
      </c>
      <c r="C31" s="55">
        <v>2</v>
      </c>
      <c r="D31" s="55">
        <f t="shared" si="0"/>
        <v>80</v>
      </c>
      <c r="E31" s="55">
        <v>2.2999999999999998</v>
      </c>
      <c r="F31" s="56">
        <f t="shared" si="1"/>
        <v>184</v>
      </c>
      <c r="G31" s="56">
        <f t="shared" si="2"/>
        <v>9.2000000000000011</v>
      </c>
      <c r="H31" s="56">
        <f t="shared" si="3"/>
        <v>18.400000000000002</v>
      </c>
      <c r="I31" s="4">
        <f t="shared" si="4"/>
        <v>21278.854800000001</v>
      </c>
    </row>
    <row r="32" spans="1:11" s="19" customFormat="1" ht="13.5" x14ac:dyDescent="0.25">
      <c r="A32" s="5" t="s">
        <v>8</v>
      </c>
      <c r="B32" s="61"/>
      <c r="C32" s="61"/>
      <c r="D32" s="61"/>
      <c r="E32" s="61"/>
      <c r="F32" s="80">
        <f>SUM(F3:H31)</f>
        <v>91437.650000000009</v>
      </c>
      <c r="G32" s="80"/>
      <c r="H32" s="80"/>
      <c r="I32" s="6">
        <f t="shared" ref="I32" si="5">SUM(I3:I31)</f>
        <v>9195125.1304499991</v>
      </c>
      <c r="K32" s="7"/>
    </row>
    <row r="33" spans="1:11" x14ac:dyDescent="0.2">
      <c r="A33" s="3" t="s">
        <v>55</v>
      </c>
      <c r="B33" s="55"/>
      <c r="C33" s="55"/>
      <c r="D33" s="55"/>
      <c r="E33" s="55"/>
      <c r="F33" s="56"/>
      <c r="G33" s="56"/>
      <c r="H33" s="56"/>
      <c r="I33" s="4"/>
    </row>
    <row r="34" spans="1:11" x14ac:dyDescent="0.2">
      <c r="A34" s="3" t="s">
        <v>29</v>
      </c>
      <c r="B34" s="55" t="s">
        <v>85</v>
      </c>
      <c r="C34" s="55"/>
      <c r="D34" s="55"/>
      <c r="E34" s="55"/>
      <c r="F34" s="56"/>
      <c r="G34" s="56"/>
      <c r="H34" s="56"/>
      <c r="I34" s="4"/>
    </row>
    <row r="35" spans="1:11" x14ac:dyDescent="0.2">
      <c r="A35" s="3" t="s">
        <v>56</v>
      </c>
      <c r="B35" s="55" t="s">
        <v>86</v>
      </c>
      <c r="C35" s="55"/>
      <c r="D35" s="55"/>
      <c r="E35" s="55"/>
      <c r="F35" s="56"/>
      <c r="G35" s="56"/>
      <c r="H35" s="56"/>
      <c r="I35" s="4"/>
    </row>
    <row r="36" spans="1:11" x14ac:dyDescent="0.2">
      <c r="A36" s="3" t="s">
        <v>57</v>
      </c>
      <c r="B36" s="55" t="s">
        <v>86</v>
      </c>
      <c r="C36" s="55"/>
      <c r="D36" s="55"/>
      <c r="E36" s="55"/>
      <c r="F36" s="56"/>
      <c r="G36" s="56"/>
      <c r="H36" s="56"/>
      <c r="I36" s="4"/>
    </row>
    <row r="37" spans="1:11" x14ac:dyDescent="0.2">
      <c r="A37" s="3" t="s">
        <v>58</v>
      </c>
      <c r="B37" s="55" t="s">
        <v>6</v>
      </c>
      <c r="C37" s="55"/>
      <c r="D37" s="55"/>
      <c r="E37" s="55"/>
      <c r="F37" s="56"/>
      <c r="G37" s="56"/>
      <c r="H37" s="56"/>
      <c r="I37" s="4"/>
    </row>
    <row r="38" spans="1:11" x14ac:dyDescent="0.2">
      <c r="A38" s="3" t="s">
        <v>59</v>
      </c>
      <c r="B38" s="55"/>
      <c r="C38" s="55"/>
      <c r="D38" s="55"/>
      <c r="E38" s="55"/>
      <c r="F38" s="56"/>
      <c r="G38" s="56"/>
      <c r="H38" s="56"/>
      <c r="I38" s="4"/>
    </row>
    <row r="39" spans="1:11" ht="25.5" x14ac:dyDescent="0.2">
      <c r="A39" s="3" t="s">
        <v>60</v>
      </c>
      <c r="B39" s="55">
        <v>4</v>
      </c>
      <c r="C39" s="55">
        <v>47</v>
      </c>
      <c r="D39" s="55">
        <f t="shared" ref="D39" si="6">B39*C39</f>
        <v>188</v>
      </c>
      <c r="E39" s="55">
        <v>23</v>
      </c>
      <c r="F39" s="60">
        <f t="shared" ref="F39" si="7">D39*E39</f>
        <v>4324</v>
      </c>
      <c r="G39" s="56">
        <f t="shared" ref="G39" si="8">F39*0.05</f>
        <v>216.20000000000002</v>
      </c>
      <c r="H39" s="56">
        <f t="shared" ref="H39" si="9">F39*0.1</f>
        <v>432.40000000000003</v>
      </c>
      <c r="I39" s="4">
        <f t="shared" ref="I39" si="10">$M$3*G39+$M$4*F39+$M$5*H39</f>
        <v>500053.08780000004</v>
      </c>
    </row>
    <row r="40" spans="1:11" ht="25.5" x14ac:dyDescent="0.2">
      <c r="A40" s="3" t="s">
        <v>61</v>
      </c>
      <c r="B40" s="55">
        <v>4</v>
      </c>
      <c r="C40" s="55">
        <v>47</v>
      </c>
      <c r="D40" s="55">
        <f t="shared" ref="D40:D42" si="11">B40*C40</f>
        <v>188</v>
      </c>
      <c r="E40" s="55">
        <v>23</v>
      </c>
      <c r="F40" s="60">
        <f t="shared" ref="F40:F42" si="12">D40*E40</f>
        <v>4324</v>
      </c>
      <c r="G40" s="56">
        <f t="shared" ref="G40:G42" si="13">F40*0.05</f>
        <v>216.20000000000002</v>
      </c>
      <c r="H40" s="56">
        <f t="shared" ref="H40:H42" si="14">F40*0.1</f>
        <v>432.40000000000003</v>
      </c>
      <c r="I40" s="4">
        <f t="shared" ref="I40:I42" si="15">$M$3*G40+$M$4*F40+$M$5*H40</f>
        <v>500053.08780000004</v>
      </c>
    </row>
    <row r="41" spans="1:11" ht="25.5" x14ac:dyDescent="0.2">
      <c r="A41" s="3" t="s">
        <v>62</v>
      </c>
      <c r="B41" s="55">
        <v>4</v>
      </c>
      <c r="C41" s="55">
        <v>1</v>
      </c>
      <c r="D41" s="55">
        <f t="shared" si="11"/>
        <v>4</v>
      </c>
      <c r="E41" s="55">
        <v>23</v>
      </c>
      <c r="F41" s="56">
        <f t="shared" si="12"/>
        <v>92</v>
      </c>
      <c r="G41" s="56">
        <f t="shared" si="13"/>
        <v>4.6000000000000005</v>
      </c>
      <c r="H41" s="56">
        <f t="shared" si="14"/>
        <v>9.2000000000000011</v>
      </c>
      <c r="I41" s="4">
        <f t="shared" si="15"/>
        <v>10639.4274</v>
      </c>
    </row>
    <row r="42" spans="1:11" ht="25.5" x14ac:dyDescent="0.2">
      <c r="A42" s="3" t="s">
        <v>63</v>
      </c>
      <c r="B42" s="55">
        <v>4</v>
      </c>
      <c r="C42" s="55">
        <v>4</v>
      </c>
      <c r="D42" s="55">
        <f t="shared" si="11"/>
        <v>16</v>
      </c>
      <c r="E42" s="55">
        <v>23</v>
      </c>
      <c r="F42" s="56">
        <f t="shared" si="12"/>
        <v>368</v>
      </c>
      <c r="G42" s="56">
        <f t="shared" si="13"/>
        <v>18.400000000000002</v>
      </c>
      <c r="H42" s="56">
        <f t="shared" si="14"/>
        <v>36.800000000000004</v>
      </c>
      <c r="I42" s="4">
        <f t="shared" si="15"/>
        <v>42557.709600000002</v>
      </c>
    </row>
    <row r="43" spans="1:11" x14ac:dyDescent="0.2">
      <c r="A43" s="3" t="s">
        <v>64</v>
      </c>
      <c r="B43" s="55" t="s">
        <v>6</v>
      </c>
      <c r="C43" s="55"/>
      <c r="D43" s="55"/>
      <c r="E43" s="55"/>
      <c r="F43" s="56"/>
      <c r="G43" s="56"/>
      <c r="H43" s="56"/>
      <c r="I43" s="4"/>
    </row>
    <row r="44" spans="1:11" x14ac:dyDescent="0.2">
      <c r="A44" s="3" t="s">
        <v>65</v>
      </c>
      <c r="B44" s="55" t="s">
        <v>6</v>
      </c>
      <c r="C44" s="55"/>
      <c r="D44" s="55"/>
      <c r="E44" s="55"/>
      <c r="F44" s="56"/>
      <c r="G44" s="56"/>
      <c r="H44" s="56"/>
      <c r="I44" s="4"/>
    </row>
    <row r="45" spans="1:11" s="19" customFormat="1" ht="13.5" x14ac:dyDescent="0.25">
      <c r="A45" s="5" t="s">
        <v>9</v>
      </c>
      <c r="B45" s="62"/>
      <c r="C45" s="62"/>
      <c r="D45" s="62"/>
      <c r="E45" s="62"/>
      <c r="F45" s="80">
        <f>SUM(F33:H44)</f>
        <v>10474.199999999999</v>
      </c>
      <c r="G45" s="80"/>
      <c r="H45" s="80"/>
      <c r="I45" s="6">
        <f t="shared" ref="I45" si="16">SUM(I33:I44)</f>
        <v>1053303.3126000001</v>
      </c>
      <c r="K45" s="7"/>
    </row>
    <row r="46" spans="1:11" s="9" customFormat="1" ht="25.5" x14ac:dyDescent="0.2">
      <c r="A46" s="8" t="s">
        <v>84</v>
      </c>
      <c r="B46" s="63"/>
      <c r="C46" s="63"/>
      <c r="D46" s="63"/>
      <c r="E46" s="63"/>
      <c r="F46" s="81">
        <f>ROUND(SUM(F45,F32),-3)</f>
        <v>102000</v>
      </c>
      <c r="G46" s="81"/>
      <c r="H46" s="81"/>
      <c r="I46" s="26">
        <f>ROUND(SUM(I45,I32),-5)</f>
        <v>10200000</v>
      </c>
    </row>
    <row r="47" spans="1:11" s="9" customFormat="1" x14ac:dyDescent="0.2">
      <c r="A47" s="1" t="s">
        <v>82</v>
      </c>
      <c r="B47" s="21"/>
      <c r="C47" s="21"/>
      <c r="D47" s="21"/>
      <c r="E47" s="21"/>
      <c r="F47" s="25"/>
      <c r="G47" s="21"/>
      <c r="H47" s="21"/>
      <c r="I47" s="26">
        <f>ROUND(19200*54, -4)</f>
        <v>1040000</v>
      </c>
      <c r="K47" s="27"/>
    </row>
    <row r="48" spans="1:11" s="9" customFormat="1" x14ac:dyDescent="0.2">
      <c r="A48" s="1" t="s">
        <v>83</v>
      </c>
      <c r="B48" s="21"/>
      <c r="C48" s="21"/>
      <c r="D48" s="21"/>
      <c r="E48" s="21"/>
      <c r="F48" s="21"/>
      <c r="G48" s="21"/>
      <c r="H48" s="21"/>
      <c r="I48" s="26">
        <f>ROUND(I47+I46,-5)</f>
        <v>11200000</v>
      </c>
    </row>
    <row r="49" spans="1:1" x14ac:dyDescent="0.2">
      <c r="A49" s="9" t="s">
        <v>16</v>
      </c>
    </row>
  </sheetData>
  <mergeCells count="4">
    <mergeCell ref="K1:M1"/>
    <mergeCell ref="F32:H32"/>
    <mergeCell ref="F45:H45"/>
    <mergeCell ref="F46:H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4"/>
    </sheetView>
  </sheetViews>
  <sheetFormatPr defaultRowHeight="12.75" x14ac:dyDescent="0.2"/>
  <cols>
    <col min="1" max="1" width="13.28515625" style="11" customWidth="1"/>
    <col min="2" max="2" width="12.140625" style="10" customWidth="1"/>
    <col min="3" max="3" width="12.5703125" style="10" customWidth="1"/>
    <col min="4" max="4" width="12.85546875" style="10" customWidth="1"/>
    <col min="5" max="5" width="15.28515625" style="11" customWidth="1"/>
    <col min="6" max="6" width="14.42578125" style="11" customWidth="1"/>
    <col min="7" max="7" width="14" style="11" customWidth="1"/>
    <col min="8" max="8" width="12.5703125" style="10" customWidth="1"/>
    <col min="9" max="16384" width="9.140625" style="11"/>
  </cols>
  <sheetData>
    <row r="1" spans="1:8" s="66" customFormat="1" ht="25.5" x14ac:dyDescent="0.2">
      <c r="A1" s="65" t="s">
        <v>99</v>
      </c>
      <c r="B1" s="65" t="s">
        <v>98</v>
      </c>
      <c r="C1" s="65" t="s">
        <v>105</v>
      </c>
      <c r="D1" s="65" t="s">
        <v>106</v>
      </c>
      <c r="E1" s="65" t="s">
        <v>107</v>
      </c>
      <c r="F1" s="65" t="s">
        <v>101</v>
      </c>
      <c r="G1" s="65" t="s">
        <v>102</v>
      </c>
      <c r="H1" s="65" t="s">
        <v>103</v>
      </c>
    </row>
    <row r="2" spans="1:8" ht="22.5" customHeight="1" x14ac:dyDescent="0.2">
      <c r="A2" s="84" t="s">
        <v>96</v>
      </c>
      <c r="B2" s="56">
        <v>19</v>
      </c>
      <c r="C2" s="73">
        <f>ROUND(B2/$B$4*$C$4, -2)</f>
        <v>75600</v>
      </c>
      <c r="D2" s="73">
        <f>ROUND(B2/$B$4*$D$4, -2)</f>
        <v>8700</v>
      </c>
      <c r="E2" s="73">
        <f>ROUND(B2/B4*E4, -2)</f>
        <v>84300</v>
      </c>
      <c r="F2" s="76">
        <f>ROUND(B2/B4*F4, -4)</f>
        <v>8430000</v>
      </c>
      <c r="G2" s="77">
        <f>ROUND(B2/B4*G4, -3)</f>
        <v>859000</v>
      </c>
      <c r="H2" s="67">
        <f>ROUNDUP(2.35*B2+2*0.1*B2, 0)</f>
        <v>49</v>
      </c>
    </row>
    <row r="3" spans="1:8" ht="25.5" x14ac:dyDescent="0.2">
      <c r="A3" s="85" t="s">
        <v>97</v>
      </c>
      <c r="B3" s="68">
        <v>4</v>
      </c>
      <c r="C3" s="73">
        <f>ROUND(B3/$B$4*$C$4, -2)</f>
        <v>15900</v>
      </c>
      <c r="D3" s="73">
        <f>ROUND(B3/$B$4*$D$4, -2)</f>
        <v>1800</v>
      </c>
      <c r="E3" s="73">
        <f>ROUND(B3/B4*E4, -2)</f>
        <v>17700</v>
      </c>
      <c r="F3" s="76">
        <f>ROUND(B3/B4*F4, -4)</f>
        <v>1770000</v>
      </c>
      <c r="G3" s="77">
        <f>ROUND(B3/B4*G4, -3)</f>
        <v>181000</v>
      </c>
      <c r="H3" s="69">
        <f>2.35*B3+2*0.1*B3</f>
        <v>10.200000000000001</v>
      </c>
    </row>
    <row r="4" spans="1:8" x14ac:dyDescent="0.2">
      <c r="A4" s="70" t="s">
        <v>100</v>
      </c>
      <c r="B4" s="63">
        <f>SUM(B2:B3)</f>
        <v>23</v>
      </c>
      <c r="C4" s="75">
        <f>ROUNDUP(Industry!F32, -2)</f>
        <v>91500</v>
      </c>
      <c r="D4" s="75">
        <f>ROUND(Industry!F45, -2)</f>
        <v>10500</v>
      </c>
      <c r="E4" s="75">
        <f>ROUND(Industry!F32+Industry!F45, -3)</f>
        <v>102000</v>
      </c>
      <c r="F4" s="78">
        <f>Industry!I46</f>
        <v>10200000</v>
      </c>
      <c r="G4" s="78">
        <f>Industry!I47</f>
        <v>1040000</v>
      </c>
      <c r="H4" s="71">
        <f>SUM(H2:H3)</f>
        <v>59.2</v>
      </c>
    </row>
    <row r="7" spans="1:8" x14ac:dyDescent="0.2">
      <c r="D7" s="72"/>
    </row>
    <row r="8" spans="1:8" x14ac:dyDescent="0.2">
      <c r="D8" s="72"/>
    </row>
    <row r="10" spans="1:8" x14ac:dyDescent="0.2">
      <c r="E10" s="7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ySplit="5" topLeftCell="A6" activePane="bottomLeft" state="frozen"/>
      <selection pane="bottomLeft" activeCell="F19" sqref="F19"/>
    </sheetView>
  </sheetViews>
  <sheetFormatPr defaultRowHeight="15" x14ac:dyDescent="0.25"/>
  <cols>
    <col min="1" max="1" width="27.42578125" style="2" customWidth="1"/>
    <col min="2" max="2" width="12.7109375" style="2" bestFit="1" customWidth="1"/>
    <col min="3" max="3" width="9.85546875" style="2" bestFit="1" customWidth="1"/>
    <col min="4" max="4" width="8.5703125" style="2" bestFit="1" customWidth="1"/>
    <col min="5" max="5" width="11.5703125" style="2" bestFit="1" customWidth="1"/>
    <col min="6" max="6" width="7.42578125" style="2" bestFit="1" customWidth="1"/>
    <col min="7" max="7" width="10.85546875" style="2" bestFit="1" customWidth="1"/>
    <col min="8" max="8" width="3.85546875" style="2" customWidth="1"/>
    <col min="9" max="9" width="21" style="2" customWidth="1"/>
    <col min="10" max="10" width="11.85546875" style="2" bestFit="1" customWidth="1"/>
    <col min="11" max="11" width="12.140625" style="2" bestFit="1" customWidth="1"/>
    <col min="12" max="16384" width="9.140625" style="2"/>
  </cols>
  <sheetData>
    <row r="1" spans="1:11" ht="64.5" thickBot="1" x14ac:dyDescent="0.3">
      <c r="A1" s="22" t="s">
        <v>26</v>
      </c>
      <c r="B1" s="42" t="s">
        <v>104</v>
      </c>
      <c r="C1" s="42" t="s">
        <v>78</v>
      </c>
      <c r="D1" s="42" t="s">
        <v>79</v>
      </c>
      <c r="E1" s="42" t="s">
        <v>80</v>
      </c>
      <c r="F1" s="42" t="s">
        <v>81</v>
      </c>
      <c r="G1" s="42" t="s">
        <v>94</v>
      </c>
      <c r="I1" s="83" t="s">
        <v>93</v>
      </c>
      <c r="J1" s="83"/>
      <c r="K1" s="83"/>
    </row>
    <row r="2" spans="1:11" ht="26.25" thickBot="1" x14ac:dyDescent="0.3">
      <c r="A2" s="43"/>
      <c r="B2" s="44"/>
      <c r="C2" s="45"/>
      <c r="D2" s="45" t="s">
        <v>1</v>
      </c>
      <c r="E2" s="45" t="s">
        <v>3</v>
      </c>
      <c r="F2" s="45" t="s">
        <v>4</v>
      </c>
      <c r="G2" s="44"/>
      <c r="I2" s="28"/>
      <c r="J2" s="29" t="s">
        <v>21</v>
      </c>
      <c r="K2" s="30" t="s">
        <v>22</v>
      </c>
    </row>
    <row r="3" spans="1:11" x14ac:dyDescent="0.25">
      <c r="A3" s="37" t="s">
        <v>66</v>
      </c>
      <c r="B3" s="38" t="s">
        <v>6</v>
      </c>
      <c r="C3" s="38"/>
      <c r="D3" s="38"/>
      <c r="E3" s="38"/>
      <c r="F3" s="38"/>
      <c r="G3" s="39"/>
      <c r="I3" s="31" t="s">
        <v>23</v>
      </c>
      <c r="J3" s="31">
        <v>29.17</v>
      </c>
      <c r="K3" s="32">
        <f>J3*1.6</f>
        <v>46.672000000000004</v>
      </c>
    </row>
    <row r="4" spans="1:11" x14ac:dyDescent="0.25">
      <c r="A4" s="37" t="s">
        <v>76</v>
      </c>
      <c r="B4" s="46"/>
      <c r="C4" s="38"/>
      <c r="D4" s="38"/>
      <c r="E4" s="38"/>
      <c r="F4" s="38"/>
      <c r="G4" s="40"/>
      <c r="I4" s="33" t="s">
        <v>24</v>
      </c>
      <c r="J4" s="33">
        <v>39.31</v>
      </c>
      <c r="K4" s="34">
        <f>J4*1.6</f>
        <v>62.896000000000008</v>
      </c>
    </row>
    <row r="5" spans="1:11" ht="39" x14ac:dyDescent="0.25">
      <c r="A5" s="37" t="s">
        <v>67</v>
      </c>
      <c r="B5" s="46">
        <v>0</v>
      </c>
      <c r="C5" s="38">
        <v>8</v>
      </c>
      <c r="D5" s="50">
        <f t="shared" ref="D5:D11" si="0">C5*B5</f>
        <v>0</v>
      </c>
      <c r="E5" s="38">
        <f t="shared" ref="E5:E14" si="1">D5*0.05</f>
        <v>0</v>
      </c>
      <c r="F5" s="38">
        <f t="shared" ref="F5:F10" si="2">D5*0.1</f>
        <v>0</v>
      </c>
      <c r="G5" s="64">
        <f t="shared" ref="G5:G11" si="3">D5*$K$3+E5*$K$4+F5*$K$5</f>
        <v>0</v>
      </c>
      <c r="I5" s="35" t="s">
        <v>25</v>
      </c>
      <c r="J5" s="35">
        <v>15.78</v>
      </c>
      <c r="K5" s="34">
        <f>J5*1.6</f>
        <v>25.248000000000001</v>
      </c>
    </row>
    <row r="6" spans="1:11" ht="26.25" x14ac:dyDescent="0.25">
      <c r="A6" s="37" t="s">
        <v>68</v>
      </c>
      <c r="B6" s="46">
        <v>0</v>
      </c>
      <c r="C6" s="38">
        <v>2</v>
      </c>
      <c r="D6" s="50">
        <f t="shared" si="0"/>
        <v>0</v>
      </c>
      <c r="E6" s="38">
        <f t="shared" si="1"/>
        <v>0</v>
      </c>
      <c r="F6" s="38">
        <f t="shared" si="2"/>
        <v>0</v>
      </c>
      <c r="G6" s="64">
        <f t="shared" si="3"/>
        <v>0</v>
      </c>
    </row>
    <row r="7" spans="1:11" ht="26.25" x14ac:dyDescent="0.25">
      <c r="A7" s="37" t="s">
        <v>69</v>
      </c>
      <c r="B7" s="46">
        <v>0</v>
      </c>
      <c r="C7" s="38">
        <v>2</v>
      </c>
      <c r="D7" s="50">
        <f t="shared" si="0"/>
        <v>0</v>
      </c>
      <c r="E7" s="38">
        <f t="shared" si="1"/>
        <v>0</v>
      </c>
      <c r="F7" s="38">
        <f t="shared" si="2"/>
        <v>0</v>
      </c>
      <c r="G7" s="64">
        <f t="shared" si="3"/>
        <v>0</v>
      </c>
    </row>
    <row r="8" spans="1:11" ht="26.25" x14ac:dyDescent="0.25">
      <c r="A8" s="37" t="s">
        <v>70</v>
      </c>
      <c r="B8" s="46">
        <v>0</v>
      </c>
      <c r="C8" s="38">
        <v>8</v>
      </c>
      <c r="D8" s="50">
        <f t="shared" si="0"/>
        <v>0</v>
      </c>
      <c r="E8" s="38">
        <f t="shared" si="1"/>
        <v>0</v>
      </c>
      <c r="F8" s="38">
        <f t="shared" si="2"/>
        <v>0</v>
      </c>
      <c r="G8" s="64">
        <f t="shared" si="3"/>
        <v>0</v>
      </c>
    </row>
    <row r="9" spans="1:11" ht="26.25" x14ac:dyDescent="0.25">
      <c r="A9" s="37" t="s">
        <v>71</v>
      </c>
      <c r="B9" s="46">
        <v>0</v>
      </c>
      <c r="C9" s="38">
        <v>4</v>
      </c>
      <c r="D9" s="50">
        <f t="shared" si="0"/>
        <v>0</v>
      </c>
      <c r="E9" s="38">
        <f t="shared" si="1"/>
        <v>0</v>
      </c>
      <c r="F9" s="38">
        <f t="shared" si="2"/>
        <v>0</v>
      </c>
      <c r="G9" s="64">
        <f t="shared" si="3"/>
        <v>0</v>
      </c>
    </row>
    <row r="10" spans="1:11" ht="26.25" x14ac:dyDescent="0.25">
      <c r="A10" s="37" t="s">
        <v>72</v>
      </c>
      <c r="B10" s="46">
        <v>0</v>
      </c>
      <c r="C10" s="38">
        <v>40</v>
      </c>
      <c r="D10" s="50">
        <f t="shared" si="0"/>
        <v>0</v>
      </c>
      <c r="E10" s="38">
        <f t="shared" si="1"/>
        <v>0</v>
      </c>
      <c r="F10" s="38">
        <f t="shared" si="2"/>
        <v>0</v>
      </c>
      <c r="G10" s="64">
        <f t="shared" si="3"/>
        <v>0</v>
      </c>
    </row>
    <row r="11" spans="1:11" ht="26.25" x14ac:dyDescent="0.25">
      <c r="A11" s="37" t="s">
        <v>73</v>
      </c>
      <c r="B11" s="46">
        <v>0</v>
      </c>
      <c r="C11" s="38">
        <v>40</v>
      </c>
      <c r="D11" s="50">
        <f t="shared" si="0"/>
        <v>0</v>
      </c>
      <c r="E11" s="38">
        <f t="shared" si="1"/>
        <v>0</v>
      </c>
      <c r="F11" s="38">
        <f t="shared" ref="F11:F13" si="4">D11*0.1</f>
        <v>0</v>
      </c>
      <c r="G11" s="64">
        <f t="shared" si="3"/>
        <v>0</v>
      </c>
    </row>
    <row r="12" spans="1:11" ht="26.25" x14ac:dyDescent="0.25">
      <c r="A12" s="37" t="s">
        <v>74</v>
      </c>
      <c r="B12" s="46">
        <v>23</v>
      </c>
      <c r="C12" s="38">
        <v>92</v>
      </c>
      <c r="D12" s="50">
        <f>C12*B12</f>
        <v>2116</v>
      </c>
      <c r="E12" s="38">
        <f t="shared" si="1"/>
        <v>105.80000000000001</v>
      </c>
      <c r="F12" s="38">
        <f t="shared" si="4"/>
        <v>211.60000000000002</v>
      </c>
      <c r="G12" s="40">
        <f>D12*$K$3+E12*$K$4+F12*$K$5</f>
        <v>110754.82560000001</v>
      </c>
    </row>
    <row r="13" spans="1:11" ht="26.25" x14ac:dyDescent="0.25">
      <c r="A13" s="37" t="s">
        <v>75</v>
      </c>
      <c r="B13" s="46">
        <v>4.5999999999999996</v>
      </c>
      <c r="C13" s="38">
        <v>16</v>
      </c>
      <c r="D13" s="38">
        <f t="shared" ref="D13:D14" si="5">C13*B13</f>
        <v>73.599999999999994</v>
      </c>
      <c r="E13" s="38">
        <f t="shared" si="1"/>
        <v>3.6799999999999997</v>
      </c>
      <c r="F13" s="38">
        <f t="shared" si="4"/>
        <v>7.3599999999999994</v>
      </c>
      <c r="G13" s="40">
        <f>D13*$K$3+E13*$K$4+F13*$K$5</f>
        <v>3852.3417600000002</v>
      </c>
    </row>
    <row r="14" spans="1:11" ht="26.25" x14ac:dyDescent="0.25">
      <c r="A14" s="41" t="s">
        <v>77</v>
      </c>
      <c r="B14" s="46">
        <v>1</v>
      </c>
      <c r="C14" s="38">
        <v>200</v>
      </c>
      <c r="D14" s="38">
        <f t="shared" si="5"/>
        <v>200</v>
      </c>
      <c r="E14" s="38">
        <f t="shared" si="1"/>
        <v>10</v>
      </c>
      <c r="F14" s="38">
        <f t="shared" ref="F14" si="6">D14*0.1</f>
        <v>20</v>
      </c>
      <c r="G14" s="40">
        <f>D14*$K$3+E14*$K$4+F14*$K$5</f>
        <v>10468.32</v>
      </c>
    </row>
    <row r="15" spans="1:11" s="48" customFormat="1" ht="25.5" x14ac:dyDescent="0.2">
      <c r="A15" s="47" t="s">
        <v>27</v>
      </c>
      <c r="B15" s="8"/>
      <c r="C15" s="8"/>
      <c r="D15" s="82">
        <f>ROUND(SUM(D3:F14),-1)</f>
        <v>2750</v>
      </c>
      <c r="E15" s="82"/>
      <c r="F15" s="82"/>
      <c r="G15" s="49">
        <f>ROUND(SUM(G3:G14),-3)</f>
        <v>125000</v>
      </c>
    </row>
    <row r="16" spans="1:11" x14ac:dyDescent="0.25">
      <c r="A16" s="36"/>
      <c r="B16" s="36"/>
      <c r="C16" s="36"/>
      <c r="D16" s="36"/>
      <c r="E16" s="36"/>
      <c r="F16" s="36"/>
      <c r="G16" s="36"/>
    </row>
    <row r="17" spans="1:1" x14ac:dyDescent="0.25">
      <c r="A17" s="9" t="s">
        <v>16</v>
      </c>
    </row>
  </sheetData>
  <mergeCells count="2">
    <mergeCell ref="D15:F15"/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Industry</vt:lpstr>
      <vt:lpstr>Breakdown</vt:lpstr>
      <vt:lpstr>Agency</vt:lpstr>
    </vt:vector>
  </TitlesOfParts>
  <Company>Eastern Research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Allen</dc:creator>
  <cp:lastModifiedBy>AHou</cp:lastModifiedBy>
  <dcterms:created xsi:type="dcterms:W3CDTF">2011-12-08T19:20:14Z</dcterms:created>
  <dcterms:modified xsi:type="dcterms:W3CDTF">2015-09-29T13:50:59Z</dcterms:modified>
</cp:coreProperties>
</file>