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VK6\Desktop\"/>
    </mc:Choice>
  </mc:AlternateContent>
  <bookViews>
    <workbookView xWindow="-75" yWindow="-75" windowWidth="12120" windowHeight="5400" tabRatio="907" firstSheet="3" activeTab="3"/>
  </bookViews>
  <sheets>
    <sheet name="Line Item Diabetes" sheetId="2" state="hidden" r:id="rId1"/>
    <sheet name="Line Item Maternity" sheetId="8" state="hidden" r:id="rId2"/>
    <sheet name="Color Key" sheetId="12" state="hidden" r:id="rId3"/>
    <sheet name="Starting Screen" sheetId="16" r:id="rId4"/>
    <sheet name="Manual Entry" sheetId="13" r:id="rId5"/>
    <sheet name="Automated Import" sheetId="17" state="hidden" r:id="rId6"/>
    <sheet name="Diabetes Timeline" sheetId="6" state="hidden" r:id="rId7"/>
    <sheet name="Maternity Timeline" sheetId="7" state="hidden" r:id="rId8"/>
    <sheet name="Manual Results" sheetId="14" state="hidden" r:id="rId9"/>
    <sheet name="Automated Results" sheetId="18" state="hidden" r:id="rId10"/>
    <sheet name="Orig Scenario" sheetId="19" state="hidden" r:id="rId11"/>
    <sheet name="Import" sheetId="20" state="hidden" r:id="rId12"/>
    <sheet name="Import Entry" sheetId="21" state="hidden" r:id="rId13"/>
    <sheet name="Import Results" sheetId="22" state="hidden" r:id="rId14"/>
  </sheets>
  <functionGroups builtInGroupCount="18"/>
  <definedNames>
    <definedName name="_xlnm._FilterDatabase" localSheetId="0" hidden="1">'Line Item Diabetes'!$A$1:$H$1</definedName>
    <definedName name="_xlnm._FilterDatabase" localSheetId="1" hidden="1">'Line Item Maternity'!$A$1:$H$1</definedName>
    <definedName name="Bal_Dia_DME_Month">'Manual Entry'!$O$26</definedName>
    <definedName name="Bal_Dia_DME_Yr">'Manual Entry'!$O$27</definedName>
    <definedName name="Bal_Dia_RX_Month">'Manual Entry'!$O$24</definedName>
    <definedName name="Bal_Dia_RX_Yr">'Manual Entry'!$O$25</definedName>
    <definedName name="Bal_Dia_Visit_Yr">'Manual Entry'!$O$28</definedName>
    <definedName name="Bal_DME">'Manual Entry'!$O$17</definedName>
    <definedName name="Bal_Hospital">'Manual Entry'!$O$19</definedName>
    <definedName name="Bal_Mat_RX_Month">'Manual Entry'!$O$22</definedName>
    <definedName name="Bal_Mat_RX_Yr">'Manual Entry'!$O$23</definedName>
    <definedName name="Bal_Obst">'Manual Entry'!$O$20</definedName>
    <definedName name="Bal_OOP">'Manual Entry'!$O$15</definedName>
    <definedName name="Bal_Overall">'Manual Entry'!$O$16</definedName>
    <definedName name="Bal_RX">'Manual Entry'!$O$18</definedName>
    <definedName name="Bal_Vaccine">'Manual Entry'!$O$21</definedName>
    <definedName name="Code_DME">'Manual Entry'!$K$7</definedName>
    <definedName name="Code_Hospital">'Manual Entry'!$K$9</definedName>
    <definedName name="Code_Lab">'Manual Entry'!$K$10</definedName>
    <definedName name="Code_Obst">'Manual Entry'!$K$12</definedName>
    <definedName name="Code_Rad">'Manual Entry'!$K$11</definedName>
    <definedName name="Code_RX">'Manual Entry'!$K$8</definedName>
    <definedName name="Code_Vaccine">'Manual Entry'!$K$13</definedName>
    <definedName name="Code_Visit">'Manual Entry'!$K$14</definedName>
    <definedName name="Cost_Sharing_List_4">'Manual Entry'!$P$7:$P$10</definedName>
    <definedName name="Cost_Sharing_List_5">'Manual Entry'!$P$13:$P$17</definedName>
    <definedName name="Deduct_DME">'Manual Entry'!$J$17</definedName>
    <definedName name="Deduct_Hospital">'Manual Entry'!$J$19</definedName>
    <definedName name="Deduct_Obst">'Manual Entry'!$J$20</definedName>
    <definedName name="Deduct_Overall">'Manual Entry'!$J$16</definedName>
    <definedName name="Deduct_RX">'Manual Entry'!$J$18</definedName>
    <definedName name="Deduct_Vaccine">'Manual Entry'!$J$21</definedName>
    <definedName name="Dia_Alloc">Dia_Col_Insurer, Dia_Col_Excl, Dia_Col_Limit, Dia_Col_Deduct, Dia_Col_Copay, Dia_Col_Coinsur,Dia_Col_Deduct_Overall, Dia_Col_Deduct_DME, Dia_Col_Deduct_RX,Dia_Col_Deduct_Hospital,Dia_Col_Deduct_Obst,Dia_Col_Deduct_Vaccine,Dia_Col_Limit_RX_Month,Dia_Col_Limit_RX_Yr,Dia_Col_Limit_DME_Month,Dia_Col_Limit_DME_Yr,Dia_Col_Limit_Visit_Yr</definedName>
    <definedName name="Dia_Claim">'Diabetes Timeline'!$B$3:$B$401</definedName>
    <definedName name="Dia_Col_Amt">'Diabetes Timeline'!$Q$3:$Q$401</definedName>
    <definedName name="Dia_Col_BillCode">'Diabetes Timeline'!$D$3:$D$401</definedName>
    <definedName name="Dia_Col_Category">'Diabetes Timeline'!$F$3:$F$401</definedName>
    <definedName name="Dia_Col_Coinsur">'Diabetes Timeline'!$AB$3:$AB$401</definedName>
    <definedName name="Dia_Col_Copay">'Diabetes Timeline'!$Z$3:$Z$401</definedName>
    <definedName name="Dia_Col_Date">'Diabetes Timeline'!$A$3:$A$401</definedName>
    <definedName name="Dia_Col_Deduct">'Diabetes Timeline'!$X$3:$X$401</definedName>
    <definedName name="Dia_Col_Deduct_DME">'Diabetes Timeline'!$AH$3:$AH$401</definedName>
    <definedName name="Dia_Col_Deduct_Hospital">'Diabetes Timeline'!$AL$3:$AL$401</definedName>
    <definedName name="Dia_Col_Deduct_Obst">'Diabetes Timeline'!$AN$3:$AN$401</definedName>
    <definedName name="Dia_Col_Deduct_Overall">'Diabetes Timeline'!$AF$3:$AF$401</definedName>
    <definedName name="Dia_Col_Deduct_RX">'Diabetes Timeline'!$AJ$3:$AJ$401</definedName>
    <definedName name="Dia_Col_Deduct_Vaccine">'Diabetes Timeline'!$AP$3:$AP$401</definedName>
    <definedName name="Dia_Col_DME">'Diabetes Timeline'!$I$3:$I$401</definedName>
    <definedName name="Dia_Col_Excl">'Diabetes Timeline'!$T$3:$T$401</definedName>
    <definedName name="Dia_Col_Hospital">'Diabetes Timeline'!$K$3:$K$401</definedName>
    <definedName name="Dia_Col_Insurer">'Diabetes Timeline'!$R$3:$R$401</definedName>
    <definedName name="Dia_Col_Lab">'Diabetes Timeline'!$L$3:$L$401</definedName>
    <definedName name="Dia_Col_Limit">'Diabetes Timeline'!$V$3:$V$401</definedName>
    <definedName name="Dia_Col_Limit_DME_Month">'Diabetes Timeline'!$AV$3:$AV$401</definedName>
    <definedName name="Dia_Col_Limit_DME_Yr">'Diabetes Timeline'!$AX$3:$AX$401</definedName>
    <definedName name="Dia_Col_Limit_RX_Month">'Diabetes Timeline'!$AR$3:$AR$401</definedName>
    <definedName name="Dia_Col_Limit_RX_Yr">'Diabetes Timeline'!$AT$3:$AT$401</definedName>
    <definedName name="Dia_Col_Limit_Visit_Yr">'Diabetes Timeline'!$AZ$3:$AZ$401</definedName>
    <definedName name="Dia_Col_Obst">'Diabetes Timeline'!$N$3:$N$401</definedName>
    <definedName name="Dia_Col_OOP">'Diabetes Timeline'!$AD$3:$AD$401</definedName>
    <definedName name="Dia_Col_Provider">'Diabetes Timeline'!$F$3:$F$401</definedName>
    <definedName name="Dia_Col_Rad">'Diabetes Timeline'!$M$3:$M$401</definedName>
    <definedName name="Dia_Col_RX">'Diabetes Timeline'!$J$3:$J$401</definedName>
    <definedName name="Dia_Col_Vaccine">'Diabetes Timeline'!$O$3:$O$401</definedName>
    <definedName name="Dia_Col_Visit">'Diabetes Timeline'!$P$3:$P$401</definedName>
    <definedName name="Dia_Prior_Coinsur">'Diabetes Timeline'!$AB$402</definedName>
    <definedName name="Dia_Prior_Copay">'Diabetes Timeline'!$Z$402</definedName>
    <definedName name="Dia_Prior_Deduct">'Diabetes Timeline'!$X$402</definedName>
    <definedName name="Dia_Prior_Deduct_DME">'Diabetes Timeline'!$AH$402</definedName>
    <definedName name="Dia_Prior_Deduct_Hospital">'Diabetes Timeline'!$AL$402</definedName>
    <definedName name="Dia_Prior_Deduct_Obst">'Diabetes Timeline'!$AN$402</definedName>
    <definedName name="Dia_Prior_Deduct_Overall">'Diabetes Timeline'!$AF$402</definedName>
    <definedName name="Dia_Prior_Deduct_RX">'Diabetes Timeline'!$AJ$402</definedName>
    <definedName name="Dia_Prior_Deduct_Vaccine">'Diabetes Timeline'!$AP$402</definedName>
    <definedName name="Dia_Prior_Excl">'Diabetes Timeline'!$T$402</definedName>
    <definedName name="Dia_Prior_Insurer">'Diabetes Timeline'!$R$402</definedName>
    <definedName name="Dia_Prior_Limit">'Diabetes Timeline'!$V$402</definedName>
    <definedName name="Dia_Prior_Limit_DME_Yr">'Diabetes Timeline'!$AX$402</definedName>
    <definedName name="Dia_Prior_Limit_RX_Yr">'Diabetes Timeline'!$AT$402</definedName>
    <definedName name="Dia_Prior_Limit_Visit_Yr">'Diabetes Timeline'!$AZ$402</definedName>
    <definedName name="Dia_Prior_OOP">'Diabetes Timeline'!$AD$402</definedName>
    <definedName name="Dia_UniqueLine">'Line Item Diabetes'!$A$2:$H$31</definedName>
    <definedName name="Error_Count">'Manual Entry'!$M$6</definedName>
    <definedName name="Error_Count_Import">'Import Entry'!$H$9</definedName>
    <definedName name="Header">'Line Item Diabetes'!$B$1:$H$1</definedName>
    <definedName name="Import_Codes">'Import Entry'!$A$1:$A$8</definedName>
    <definedName name="Import_Entry">'Import Entry'!$A$1:$A$8,'Import Entry'!$B$1:$B$13,'Import Entry'!$B$15:$B$22</definedName>
    <definedName name="Import_Results_LastCell">'Import Results'!$A$1048573</definedName>
    <definedName name="Import_Values1">'Import Entry'!$B$1:$B$13</definedName>
    <definedName name="Import_Values2">'Import Entry'!$B$15:$B$22</definedName>
    <definedName name="Limit_Dia_DME_Month">'Manual Entry'!$L$26</definedName>
    <definedName name="Limit_Dia_DME_Yr">'Manual Entry'!$L$27</definedName>
    <definedName name="Limit_Dia_RX_Month">'Manual Entry'!$L$24</definedName>
    <definedName name="Limit_Dia_RX_Yr">'Manual Entry'!$L$25</definedName>
    <definedName name="Limit_Dia_Visit_Yr">'Manual Entry'!$L$28</definedName>
    <definedName name="Limit_Mat_RX_Month">'Manual Entry'!$L$22</definedName>
    <definedName name="Limit_Mat_RX_Yr">'Manual Entry'!$L$23</definedName>
    <definedName name="Limit_Monthly">'Manual Entry'!$L$22,'Manual Entry'!$L$24,'Manual Entry'!$L$26</definedName>
    <definedName name="Manual_Code_Obst">'Manual Entry'!$K$12</definedName>
    <definedName name="Manual_Codes">'Manual Entry'!$K$7:$K$14</definedName>
    <definedName name="Manual_Scenario">'Manual Entry'!$O$9</definedName>
    <definedName name="Manual_Values1">'Manual Entry'!$L$7:$L$19</definedName>
    <definedName name="Manual_Values2">'Manual Entry'!$L$21:$L$28</definedName>
    <definedName name="Mat_Alloc">Mat_Col_Insurer, Mat_Col_Excl, Mat_Col_Limit,Mat_Col_Deduct,Mat_Col_Copay,Mat_Col_Coinsur,Mat_Col_Deduct_Overall,Mat_Col_Deduct_DME, Mat_Col_Deduct_RX, Mat_Col_Deduct_Hospital, Mat_Col_Deduct_Obst, Mat_Col_Deduct_Vaccine, Mat_Col_Limit_RX_Month, Mat_Col_Limit_RX_Yr</definedName>
    <definedName name="Mat_Cat_Amt">'Maternity Timeline'!$Q$3:$Q$399</definedName>
    <definedName name="Mat_Claim">'Maternity Timeline'!$B$3:$B$399</definedName>
    <definedName name="Mat_Col_Amt">'Maternity Timeline'!$Q$3:$Q$399</definedName>
    <definedName name="Mat_Col_BillCode">'Maternity Timeline'!$D$3:$D$399</definedName>
    <definedName name="Mat_Col_Category">'Maternity Timeline'!$F$3:$F$399</definedName>
    <definedName name="Mat_Col_Coinsur">'Maternity Timeline'!$AB$3:$AB$399</definedName>
    <definedName name="Mat_Col_Copay">'Maternity Timeline'!$Z$3:$Z$399</definedName>
    <definedName name="Mat_Col_Date">'Maternity Timeline'!$A$3:$A$399</definedName>
    <definedName name="Mat_Col_Deduct">'Maternity Timeline'!$X$3:$X$399</definedName>
    <definedName name="Mat_Col_Deduct_DME">'Maternity Timeline'!$AH$3:$AH$399</definedName>
    <definedName name="Mat_Col_Deduct_Hospital">'Maternity Timeline'!$AL$3:$AL$399</definedName>
    <definedName name="Mat_Col_Deduct_Obst">'Maternity Timeline'!$AN$3:$AN$399</definedName>
    <definedName name="Mat_Col_Deduct_Overall">'Maternity Timeline'!$AF$3:$AF$399</definedName>
    <definedName name="Mat_Col_Deduct_RX">'Maternity Timeline'!$AJ$3:$AJ$399</definedName>
    <definedName name="Mat_Col_Deduct_Vaccine">'Maternity Timeline'!$AP$3:$AP$399</definedName>
    <definedName name="Mat_Col_DME">'Maternity Timeline'!$I$3:$I$399</definedName>
    <definedName name="Mat_Col_Excl">'Maternity Timeline'!$T$3:$T$399</definedName>
    <definedName name="Mat_Col_Hospital">'Maternity Timeline'!$K$3:$K$399</definedName>
    <definedName name="Mat_Col_Insurer">'Maternity Timeline'!$R$3:$R$399</definedName>
    <definedName name="Mat_Col_Lab">'Maternity Timeline'!$L$3:$L$399</definedName>
    <definedName name="Mat_Col_Limit">'Maternity Timeline'!$V$3:$V$399</definedName>
    <definedName name="Mat_Col_Limit_RX_Month">'Maternity Timeline'!$AR$3:$AR$399</definedName>
    <definedName name="Mat_Col_Limit_RX_Yr">'Maternity Timeline'!$AT$3:$AT$399</definedName>
    <definedName name="Mat_Col_Obst">'Maternity Timeline'!$N$3:$N$399</definedName>
    <definedName name="Mat_Col_OOP">'Maternity Timeline'!$AD$3:$AD$399</definedName>
    <definedName name="Mat_Col_Provider">'Maternity Timeline'!$E$3:$E$399</definedName>
    <definedName name="Mat_Col_Rad">'Maternity Timeline'!$M$3:$M$399</definedName>
    <definedName name="Mat_Col_RX">'Maternity Timeline'!$J$3:$J$399</definedName>
    <definedName name="Mat_Col_Vaccine">'Maternity Timeline'!$O$3:$O$399</definedName>
    <definedName name="Mat_Col_Visit">'Maternity Timeline'!$P$3:$P$399</definedName>
    <definedName name="Mat_Prior_Coinsur">'Maternity Timeline'!$AB$400</definedName>
    <definedName name="Mat_Prior_Copay">'Maternity Timeline'!$Z$400</definedName>
    <definedName name="Mat_Prior_Deduct">'Maternity Timeline'!$X$400</definedName>
    <definedName name="Mat_Prior_Deduct_DME">'Maternity Timeline'!$AH$400</definedName>
    <definedName name="Mat_Prior_Deduct_Hospital">'Maternity Timeline'!$AL$400</definedName>
    <definedName name="Mat_Prior_Deduct_Obst">'Maternity Timeline'!$AN$400</definedName>
    <definedName name="Mat_Prior_Deduct_Overall">'Maternity Timeline'!$AF$400</definedName>
    <definedName name="Mat_Prior_Deduct_RX">'Maternity Timeline'!$AJ$400</definedName>
    <definedName name="Mat_Prior_Deduct_Vaccine">'Maternity Timeline'!$AP$400</definedName>
    <definedName name="Mat_Prior_Excl">'Maternity Timeline'!$T$400</definedName>
    <definedName name="Mat_Prior_Insurer">'Maternity Timeline'!$R$400</definedName>
    <definedName name="Mat_Prior_Limit">'Maternity Timeline'!$V$400</definedName>
    <definedName name="Mat_Prior_Limit_RX_Year">'Maternity Timeline'!$AT$400</definedName>
    <definedName name="Mat_Prior_OOP">'Maternity Timeline'!$AD$400</definedName>
    <definedName name="Mat_UniqueLine">'Line Item Maternity'!$A$2:$H$37</definedName>
    <definedName name="Paste_Code">'Manual Entry'!$K$7:$K$14</definedName>
    <definedName name="Paste_Value1">'Manual Entry'!$L$7:$L$19</definedName>
    <definedName name="Paste_Value2">'Manual Entry'!$L$21:$L$28</definedName>
    <definedName name="_xlnm.Print_Area" localSheetId="6">'Diabetes Timeline'!$A$2:$AZ$122</definedName>
    <definedName name="_xlnm.Print_Area" localSheetId="7">'Maternity Timeline'!$A$2:$AT$56</definedName>
    <definedName name="_xlnm.Print_Titles" localSheetId="7">'Maternity Timeline'!$400:$400</definedName>
    <definedName name="Prior_All">'Manual Entry'!$N$15:$N$28</definedName>
    <definedName name="Prior_Dia_DME_Month">'Manual Entry'!$N$26</definedName>
    <definedName name="Prior_Dia_DME_Yr">'Manual Entry'!$N$27</definedName>
    <definedName name="Prior_Dia_RX_Month">'Manual Entry'!$N$24</definedName>
    <definedName name="Prior_Dia_RX_Yr">'Manual Entry'!$N$25</definedName>
    <definedName name="Prior_Dia_Visit_Yr">'Manual Entry'!$N$28</definedName>
    <definedName name="Prior_DME">'Manual Entry'!$N$17</definedName>
    <definedName name="Prior_Hospital">'Manual Entry'!$N$19</definedName>
    <definedName name="Prior_Mat_Bundle">'Manual Entry'!$N$20</definedName>
    <definedName name="Prior_Mat_RX_Month">'Manual Entry'!$N$22</definedName>
    <definedName name="Prior_Mat_RX_Yr">'Manual Entry'!$N$23</definedName>
    <definedName name="Prior_Monthly">'Manual Entry'!$N$22,'Manual Entry'!$N$24,'Manual Entry'!$N$26</definedName>
    <definedName name="Prior_OOP">'Manual Entry'!$N$15</definedName>
    <definedName name="Prior_Overall">'Manual Entry'!$N$16</definedName>
    <definedName name="Prior_RX">'Manual Entry'!$N$18</definedName>
    <definedName name="Prior_Vaccine">'Manual Entry'!$N$21</definedName>
    <definedName name="Results_Dia">'Manual Results'!$L$10:$L$16</definedName>
    <definedName name="Results_Mat">'Manual Results'!$F$10:$F$16</definedName>
    <definedName name="Share_DME">'Manual Entry'!$J$7</definedName>
    <definedName name="Share_Hospital">'Manual Entry'!$J$9</definedName>
    <definedName name="Share_Lab">'Manual Entry'!$J$10</definedName>
    <definedName name="Share_Obst">'Manual Entry'!$J$12</definedName>
    <definedName name="Share_Rad">'Manual Entry'!$J$11</definedName>
    <definedName name="Share_RX">'Manual Entry'!$J$8</definedName>
    <definedName name="Share_Vaccine">'Manual Entry'!$J$13</definedName>
    <definedName name="Share_Visit">'Manual Entry'!$J$14</definedName>
    <definedName name="Start_Selection">'Starting Screen'!$I$19</definedName>
    <definedName name="Value_Deduct_DME">'Manual Entry'!$L$17</definedName>
    <definedName name="Value_Deduct_Hospital">'Manual Entry'!$L$19</definedName>
    <definedName name="Value_Deduct_Obst">'Manual Entry'!$L$20</definedName>
    <definedName name="Value_Deduct_Overall">'Manual Entry'!$L$16</definedName>
    <definedName name="Value_Deduct_RX">'Manual Entry'!$L$18</definedName>
    <definedName name="Value_Deduct_Vaccine">'Manual Entry'!$L$21</definedName>
    <definedName name="Value_DME">'Manual Entry'!$L$7</definedName>
    <definedName name="Value_Hospital">'Manual Entry'!$L$9</definedName>
    <definedName name="Value_Lab">'Manual Entry'!$L$10</definedName>
    <definedName name="Value_Obst">'Manual Entry'!$L$12</definedName>
    <definedName name="Value_OOP">'Manual Entry'!$L$15</definedName>
    <definedName name="Value_Rad">'Manual Entry'!$L$11</definedName>
    <definedName name="Value_RX">'Manual Entry'!$L$8</definedName>
    <definedName name="Value_Vaccine">'Manual Entry'!$L$13</definedName>
    <definedName name="Value_Visit">'Manual Entry'!$L$14</definedName>
    <definedName name="Z_04C50C76_DBA5_4B8F_A929_D0E997573BFE_.wvu.Cols" localSheetId="5" hidden="1">'Automated Import'!$M:$XFD</definedName>
    <definedName name="Z_04C50C76_DBA5_4B8F_A929_D0E997573BFE_.wvu.Cols" localSheetId="9" hidden="1">'Automated Results'!$L:$XFD</definedName>
    <definedName name="Z_04C50C76_DBA5_4B8F_A929_D0E997573BFE_.wvu.Cols" localSheetId="2" hidden="1">'Color Key'!$F:$XFD</definedName>
    <definedName name="Z_04C50C76_DBA5_4B8F_A929_D0E997573BFE_.wvu.Cols" localSheetId="6" hidden="1">'Diabetes Timeline'!$B:$C,'Diabetes Timeline'!$E:$F,'Diabetes Timeline'!$H:$H,'Diabetes Timeline'!$BB:$XFD</definedName>
    <definedName name="Z_04C50C76_DBA5_4B8F_A929_D0E997573BFE_.wvu.Cols" localSheetId="0" hidden="1">'Line Item Diabetes'!$J:$XFD</definedName>
    <definedName name="Z_04C50C76_DBA5_4B8F_A929_D0E997573BFE_.wvu.Cols" localSheetId="1" hidden="1">'Line Item Maternity'!$J:$XFD</definedName>
    <definedName name="Z_04C50C76_DBA5_4B8F_A929_D0E997573BFE_.wvu.Cols" localSheetId="4" hidden="1">'Manual Entry'!$K:$K,'Manual Entry'!$N:$XFD</definedName>
    <definedName name="Z_04C50C76_DBA5_4B8F_A929_D0E997573BFE_.wvu.Cols" localSheetId="8" hidden="1">'Manual Results'!$O:$XFD</definedName>
    <definedName name="Z_04C50C76_DBA5_4B8F_A929_D0E997573BFE_.wvu.Cols" localSheetId="7" hidden="1">'Maternity Timeline'!$B:$C,'Maternity Timeline'!$H:$H,'Maternity Timeline'!$AV:$XFD</definedName>
    <definedName name="Z_04C50C76_DBA5_4B8F_A929_D0E997573BFE_.wvu.Cols" localSheetId="3" hidden="1">'Starting Screen'!$N:$XFD</definedName>
    <definedName name="Z_04C50C76_DBA5_4B8F_A929_D0E997573BFE_.wvu.FilterData" localSheetId="0" hidden="1">'Line Item Diabetes'!$A$1:$H$1</definedName>
    <definedName name="Z_04C50C76_DBA5_4B8F_A929_D0E997573BFE_.wvu.FilterData" localSheetId="1" hidden="1">'Line Item Maternity'!$A$1:$H$1</definedName>
    <definedName name="Z_04C50C76_DBA5_4B8F_A929_D0E997573BFE_.wvu.PrintArea" localSheetId="6" hidden="1">'Diabetes Timeline'!$A$2:$AZ$122</definedName>
    <definedName name="Z_04C50C76_DBA5_4B8F_A929_D0E997573BFE_.wvu.PrintArea" localSheetId="7" hidden="1">'Maternity Timeline'!$A$2:$AT$56</definedName>
    <definedName name="Z_04C50C76_DBA5_4B8F_A929_D0E997573BFE_.wvu.PrintTitles" localSheetId="7" hidden="1">'Maternity Timeline'!$400:$400</definedName>
    <definedName name="Z_04C50C76_DBA5_4B8F_A929_D0E997573BFE_.wvu.Rows" localSheetId="5" hidden="1">'Automated Import'!$114:$1048576,'Automated Import'!$16:$113</definedName>
    <definedName name="Z_04C50C76_DBA5_4B8F_A929_D0E997573BFE_.wvu.Rows" localSheetId="9" hidden="1">'Automated Results'!$12:$1048576</definedName>
    <definedName name="Z_04C50C76_DBA5_4B8F_A929_D0E997573BFE_.wvu.Rows" localSheetId="2" hidden="1">'Color Key'!$12:$1048576</definedName>
    <definedName name="Z_04C50C76_DBA5_4B8F_A929_D0E997573BFE_.wvu.Rows" localSheetId="6" hidden="1">'Diabetes Timeline'!$403:$1048576,'Diabetes Timeline'!$123:$401</definedName>
    <definedName name="Z_04C50C76_DBA5_4B8F_A929_D0E997573BFE_.wvu.Rows" localSheetId="0" hidden="1">'Line Item Diabetes'!$122:$1048576,'Line Item Diabetes'!$33:$121</definedName>
    <definedName name="Z_04C50C76_DBA5_4B8F_A929_D0E997573BFE_.wvu.Rows" localSheetId="1" hidden="1">'Line Item Maternity'!$122:$1048576,'Line Item Maternity'!$39:$121</definedName>
    <definedName name="Z_04C50C76_DBA5_4B8F_A929_D0E997573BFE_.wvu.Rows" localSheetId="4" hidden="1">'Manual Entry'!$130:$1048576,'Manual Entry'!$33:$129</definedName>
    <definedName name="Z_04C50C76_DBA5_4B8F_A929_D0E997573BFE_.wvu.Rows" localSheetId="8" hidden="1">'Manual Results'!$25:$1048576,'Manual Results'!$21:$24</definedName>
    <definedName name="Z_04C50C76_DBA5_4B8F_A929_D0E997573BFE_.wvu.Rows" localSheetId="7" hidden="1">'Maternity Timeline'!$401:$1048576,'Maternity Timeline'!$57:$399</definedName>
    <definedName name="Z_04C50C76_DBA5_4B8F_A929_D0E997573BFE_.wvu.Rows" localSheetId="3" hidden="1">'Starting Screen'!$128:$1048576,'Starting Screen'!$25:$127</definedName>
    <definedName name="Z_B93E95F7_2207_4982_B8B5_4CD0F87DD17C_.wvu.Cols" localSheetId="5" hidden="1">'Automated Import'!$M:$XFD</definedName>
    <definedName name="Z_B93E95F7_2207_4982_B8B5_4CD0F87DD17C_.wvu.Cols" localSheetId="9" hidden="1">'Automated Results'!$L:$XFD</definedName>
    <definedName name="Z_B93E95F7_2207_4982_B8B5_4CD0F87DD17C_.wvu.Cols" localSheetId="2" hidden="1">'Color Key'!$F:$XFD</definedName>
    <definedName name="Z_B93E95F7_2207_4982_B8B5_4CD0F87DD17C_.wvu.Cols" localSheetId="6" hidden="1">'Diabetes Timeline'!$B:$C,'Diabetes Timeline'!$E:$F,'Diabetes Timeline'!$H:$H,'Diabetes Timeline'!$S:$S,'Diabetes Timeline'!$U:$U,'Diabetes Timeline'!$W:$W,'Diabetes Timeline'!$Y:$Y,'Diabetes Timeline'!$AA:$AA,'Diabetes Timeline'!$AC:$AC,'Diabetes Timeline'!$AG:$AG,'Diabetes Timeline'!$AI:$AI,'Diabetes Timeline'!$AK:$AK,'Diabetes Timeline'!$AM:$AM,'Diabetes Timeline'!$AO:$AO,'Diabetes Timeline'!$AQ:$AQ,'Diabetes Timeline'!$AS:$AS,'Diabetes Timeline'!$AU:$AU,'Diabetes Timeline'!$AW:$AW,'Diabetes Timeline'!$AY:$AY,'Diabetes Timeline'!$BA:$XFD</definedName>
    <definedName name="Z_B93E95F7_2207_4982_B8B5_4CD0F87DD17C_.wvu.Cols" localSheetId="0" hidden="1">'Line Item Diabetes'!$J:$XFD</definedName>
    <definedName name="Z_B93E95F7_2207_4982_B8B5_4CD0F87DD17C_.wvu.Cols" localSheetId="1" hidden="1">'Line Item Maternity'!$J:$XFD</definedName>
    <definedName name="Z_B93E95F7_2207_4982_B8B5_4CD0F87DD17C_.wvu.Cols" localSheetId="4" hidden="1">'Manual Entry'!$K:$K,'Manual Entry'!$N:$XFD</definedName>
    <definedName name="Z_B93E95F7_2207_4982_B8B5_4CD0F87DD17C_.wvu.Cols" localSheetId="8" hidden="1">'Manual Results'!$O:$XFD</definedName>
    <definedName name="Z_B93E95F7_2207_4982_B8B5_4CD0F87DD17C_.wvu.Cols" localSheetId="7" hidden="1">'Maternity Timeline'!$B:$C,'Maternity Timeline'!$H:$H,'Maternity Timeline'!$S:$S,'Maternity Timeline'!$U:$U,'Maternity Timeline'!$W:$W,'Maternity Timeline'!$Y:$Y,'Maternity Timeline'!$AA:$AA,'Maternity Timeline'!$AC:$AC,'Maternity Timeline'!$AG:$AG,'Maternity Timeline'!$AI:$AI,'Maternity Timeline'!$AK:$AK,'Maternity Timeline'!$AM:$AM,'Maternity Timeline'!$AO:$AO,'Maternity Timeline'!$AQ:$AQ,'Maternity Timeline'!$AS:$AS,'Maternity Timeline'!$AU:$XFD</definedName>
    <definedName name="Z_B93E95F7_2207_4982_B8B5_4CD0F87DD17C_.wvu.Cols" localSheetId="3" hidden="1">'Starting Screen'!$N:$XFD</definedName>
    <definedName name="Z_B93E95F7_2207_4982_B8B5_4CD0F87DD17C_.wvu.FilterData" localSheetId="0" hidden="1">'Line Item Diabetes'!$A$1:$H$1</definedName>
    <definedName name="Z_B93E95F7_2207_4982_B8B5_4CD0F87DD17C_.wvu.FilterData" localSheetId="1" hidden="1">'Line Item Maternity'!$A$1:$H$1</definedName>
    <definedName name="Z_B93E95F7_2207_4982_B8B5_4CD0F87DD17C_.wvu.PrintArea" localSheetId="6" hidden="1">'Diabetes Timeline'!$A$2:$AZ$122</definedName>
    <definedName name="Z_B93E95F7_2207_4982_B8B5_4CD0F87DD17C_.wvu.PrintArea" localSheetId="7" hidden="1">'Maternity Timeline'!$A$2:$AT$56</definedName>
    <definedName name="Z_B93E95F7_2207_4982_B8B5_4CD0F87DD17C_.wvu.PrintTitles" localSheetId="7" hidden="1">'Maternity Timeline'!$400:$400</definedName>
    <definedName name="Z_B93E95F7_2207_4982_B8B5_4CD0F87DD17C_.wvu.Rows" localSheetId="5" hidden="1">'Automated Import'!$114:$1048576,'Automated Import'!$16:$113</definedName>
    <definedName name="Z_B93E95F7_2207_4982_B8B5_4CD0F87DD17C_.wvu.Rows" localSheetId="9" hidden="1">'Automated Results'!$12:$1048576</definedName>
    <definedName name="Z_B93E95F7_2207_4982_B8B5_4CD0F87DD17C_.wvu.Rows" localSheetId="2" hidden="1">'Color Key'!$12:$1048576</definedName>
    <definedName name="Z_B93E95F7_2207_4982_B8B5_4CD0F87DD17C_.wvu.Rows" localSheetId="6" hidden="1">'Diabetes Timeline'!$403:$1048576,'Diabetes Timeline'!$123:$401</definedName>
    <definedName name="Z_B93E95F7_2207_4982_B8B5_4CD0F87DD17C_.wvu.Rows" localSheetId="0" hidden="1">'Line Item Diabetes'!$122:$1048576,'Line Item Diabetes'!$33:$121</definedName>
    <definedName name="Z_B93E95F7_2207_4982_B8B5_4CD0F87DD17C_.wvu.Rows" localSheetId="1" hidden="1">'Line Item Maternity'!$122:$1048576,'Line Item Maternity'!$39:$121</definedName>
    <definedName name="Z_B93E95F7_2207_4982_B8B5_4CD0F87DD17C_.wvu.Rows" localSheetId="4" hidden="1">'Manual Entry'!$130:$1048576,'Manual Entry'!$33:$129</definedName>
    <definedName name="Z_B93E95F7_2207_4982_B8B5_4CD0F87DD17C_.wvu.Rows" localSheetId="8" hidden="1">'Manual Results'!$25:$1048576,'Manual Results'!$21:$24</definedName>
    <definedName name="Z_B93E95F7_2207_4982_B8B5_4CD0F87DD17C_.wvu.Rows" localSheetId="7" hidden="1">'Maternity Timeline'!$401:$1048576,'Maternity Timeline'!$57:$399</definedName>
    <definedName name="Z_B93E95F7_2207_4982_B8B5_4CD0F87DD17C_.wvu.Rows" localSheetId="3" hidden="1">'Starting Screen'!$128:$1048576,'Starting Screen'!$25:$127</definedName>
  </definedNames>
  <calcPr calcId="152511"/>
  <customWorkbookViews>
    <customWorkbookView name="Running" guid="{04C50C76-DBA5-4B8F-A929-D0E997573BFE}" maximized="1" windowWidth="1903" windowHeight="749" tabRatio="767" activeSheetId="7" showComments="commIndAndComment"/>
    <customWorkbookView name="Charges" guid="{B93E95F7-2207-4982-B8B5-4CD0F87DD17C}" maximized="1" windowWidth="1903" windowHeight="749" tabRatio="767" activeSheetId="7" showComments="commIndAndComment"/>
  </customWorkbookViews>
</workbook>
</file>

<file path=xl/calcChain.xml><?xml version="1.0" encoding="utf-8"?>
<calcChain xmlns="http://schemas.openxmlformats.org/spreadsheetml/2006/main">
  <c r="G37" i="8" l="1"/>
  <c r="B20" i="21"/>
  <c r="B1" i="21"/>
  <c r="B7" i="21"/>
  <c r="B10" i="21"/>
  <c r="B5" i="21"/>
  <c r="B21" i="21"/>
  <c r="B22" i="21"/>
  <c r="B13" i="21"/>
  <c r="B17" i="21"/>
  <c r="B8" i="21"/>
  <c r="A7" i="21"/>
  <c r="B16" i="21"/>
  <c r="B15" i="21"/>
  <c r="B19" i="21"/>
  <c r="B2" i="21"/>
  <c r="B4" i="21"/>
  <c r="B6" i="21"/>
  <c r="B18" i="21"/>
  <c r="B11" i="21"/>
  <c r="B9" i="21"/>
  <c r="B12" i="21"/>
  <c r="B3" i="21"/>
  <c r="O26" i="13" l="1"/>
  <c r="C5" i="19" l="1"/>
  <c r="C6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C56" i="19"/>
  <c r="C57" i="19"/>
  <c r="C4" i="19"/>
  <c r="C3" i="19"/>
  <c r="G4" i="19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G74" i="19"/>
  <c r="G75" i="19"/>
  <c r="G76" i="19"/>
  <c r="G77" i="19"/>
  <c r="G78" i="19"/>
  <c r="G79" i="19"/>
  <c r="G80" i="19"/>
  <c r="G81" i="19"/>
  <c r="G82" i="19"/>
  <c r="G83" i="19"/>
  <c r="G86" i="19"/>
  <c r="G87" i="19"/>
  <c r="G88" i="19"/>
  <c r="G89" i="19"/>
  <c r="G90" i="19"/>
  <c r="G91" i="19"/>
  <c r="G92" i="19"/>
  <c r="G93" i="19"/>
  <c r="G94" i="19"/>
  <c r="G95" i="19"/>
  <c r="G96" i="19"/>
  <c r="G97" i="19"/>
  <c r="G98" i="19"/>
  <c r="G99" i="19"/>
  <c r="G100" i="19"/>
  <c r="G101" i="19"/>
  <c r="G102" i="19"/>
  <c r="G103" i="19"/>
  <c r="G104" i="19"/>
  <c r="G105" i="19"/>
  <c r="G106" i="19"/>
  <c r="G107" i="19"/>
  <c r="G108" i="19"/>
  <c r="G109" i="19"/>
  <c r="G110" i="19"/>
  <c r="G111" i="19"/>
  <c r="G112" i="19"/>
  <c r="G113" i="19"/>
  <c r="G114" i="19"/>
  <c r="G115" i="19"/>
  <c r="G116" i="19"/>
  <c r="G117" i="19"/>
  <c r="G118" i="19"/>
  <c r="G119" i="19"/>
  <c r="G120" i="19"/>
  <c r="G121" i="19"/>
  <c r="G3" i="19"/>
  <c r="A4" i="21"/>
  <c r="A1" i="21"/>
  <c r="A2" i="21"/>
  <c r="A3" i="21"/>
  <c r="A5" i="21"/>
  <c r="A8" i="21"/>
  <c r="A6" i="21"/>
  <c r="H3" i="21" l="1"/>
  <c r="H5" i="21"/>
  <c r="H7" i="21"/>
  <c r="H4" i="21"/>
  <c r="H2" i="21"/>
  <c r="H6" i="21"/>
  <c r="H8" i="21"/>
  <c r="H1" i="21"/>
  <c r="A85" i="6"/>
  <c r="R400" i="7"/>
  <c r="T400" i="7"/>
  <c r="T402" i="6"/>
  <c r="R402" i="6"/>
  <c r="AD4" i="7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AD32" i="7"/>
  <c r="AD33" i="7"/>
  <c r="AD34" i="7"/>
  <c r="AD35" i="7"/>
  <c r="AD36" i="7"/>
  <c r="AD37" i="7"/>
  <c r="AD38" i="7"/>
  <c r="AD39" i="7"/>
  <c r="AD40" i="7"/>
  <c r="AD41" i="7"/>
  <c r="AD42" i="7"/>
  <c r="AD43" i="7"/>
  <c r="AD44" i="7"/>
  <c r="AD45" i="7"/>
  <c r="AD46" i="7"/>
  <c r="AD47" i="7"/>
  <c r="AD48" i="7"/>
  <c r="AD49" i="7"/>
  <c r="AD50" i="7"/>
  <c r="AD51" i="7"/>
  <c r="AD52" i="7"/>
  <c r="AD53" i="7"/>
  <c r="AD54" i="7"/>
  <c r="AD55" i="7"/>
  <c r="AD56" i="7"/>
  <c r="AD57" i="7"/>
  <c r="AD58" i="7"/>
  <c r="AD59" i="7"/>
  <c r="AD60" i="7"/>
  <c r="AD61" i="7"/>
  <c r="AD62" i="7"/>
  <c r="AD63" i="7"/>
  <c r="AD64" i="7"/>
  <c r="AD65" i="7"/>
  <c r="AD66" i="7"/>
  <c r="AD67" i="7"/>
  <c r="AD68" i="7"/>
  <c r="AD69" i="7"/>
  <c r="AD70" i="7"/>
  <c r="AD71" i="7"/>
  <c r="AD72" i="7"/>
  <c r="AD73" i="7"/>
  <c r="AD74" i="7"/>
  <c r="AD75" i="7"/>
  <c r="AD76" i="7"/>
  <c r="AD77" i="7"/>
  <c r="AD78" i="7"/>
  <c r="AD79" i="7"/>
  <c r="AD80" i="7"/>
  <c r="AD81" i="7"/>
  <c r="AD82" i="7"/>
  <c r="AD83" i="7"/>
  <c r="AD84" i="7"/>
  <c r="AD85" i="7"/>
  <c r="AD86" i="7"/>
  <c r="AD87" i="7"/>
  <c r="AD88" i="7"/>
  <c r="AD89" i="7"/>
  <c r="AD90" i="7"/>
  <c r="AD91" i="7"/>
  <c r="AD92" i="7"/>
  <c r="AD93" i="7"/>
  <c r="AD94" i="7"/>
  <c r="AD95" i="7"/>
  <c r="AD96" i="7"/>
  <c r="AD97" i="7"/>
  <c r="AD98" i="7"/>
  <c r="AD99" i="7"/>
  <c r="AD100" i="7"/>
  <c r="AD101" i="7"/>
  <c r="AD102" i="7"/>
  <c r="AD103" i="7"/>
  <c r="AD104" i="7"/>
  <c r="AD105" i="7"/>
  <c r="AD106" i="7"/>
  <c r="AD107" i="7"/>
  <c r="AD108" i="7"/>
  <c r="AD109" i="7"/>
  <c r="AD110" i="7"/>
  <c r="AD111" i="7"/>
  <c r="AD112" i="7"/>
  <c r="AD113" i="7"/>
  <c r="AD114" i="7"/>
  <c r="AD115" i="7"/>
  <c r="AD116" i="7"/>
  <c r="AD117" i="7"/>
  <c r="AD118" i="7"/>
  <c r="AD119" i="7"/>
  <c r="AD120" i="7"/>
  <c r="AD121" i="7"/>
  <c r="AD122" i="7"/>
  <c r="AD123" i="7"/>
  <c r="AD124" i="7"/>
  <c r="AD125" i="7"/>
  <c r="AD126" i="7"/>
  <c r="AD127" i="7"/>
  <c r="AD128" i="7"/>
  <c r="AD129" i="7"/>
  <c r="AD130" i="7"/>
  <c r="AD131" i="7"/>
  <c r="AD132" i="7"/>
  <c r="AD133" i="7"/>
  <c r="AD134" i="7"/>
  <c r="AD135" i="7"/>
  <c r="AD136" i="7"/>
  <c r="AD137" i="7"/>
  <c r="AD138" i="7"/>
  <c r="AD139" i="7"/>
  <c r="AD140" i="7"/>
  <c r="AD141" i="7"/>
  <c r="AD142" i="7"/>
  <c r="AD143" i="7"/>
  <c r="AD144" i="7"/>
  <c r="AD145" i="7"/>
  <c r="AD146" i="7"/>
  <c r="AD147" i="7"/>
  <c r="AD148" i="7"/>
  <c r="AD149" i="7"/>
  <c r="AD150" i="7"/>
  <c r="AD151" i="7"/>
  <c r="AD152" i="7"/>
  <c r="AD153" i="7"/>
  <c r="AD154" i="7"/>
  <c r="AD155" i="7"/>
  <c r="AD156" i="7"/>
  <c r="AD157" i="7"/>
  <c r="AD158" i="7"/>
  <c r="AD159" i="7"/>
  <c r="AD160" i="7"/>
  <c r="AD161" i="7"/>
  <c r="AD162" i="7"/>
  <c r="AD163" i="7"/>
  <c r="AD164" i="7"/>
  <c r="AD165" i="7"/>
  <c r="AD166" i="7"/>
  <c r="AD167" i="7"/>
  <c r="AD168" i="7"/>
  <c r="AD169" i="7"/>
  <c r="AD170" i="7"/>
  <c r="AD171" i="7"/>
  <c r="AD172" i="7"/>
  <c r="AD173" i="7"/>
  <c r="AD174" i="7"/>
  <c r="AD175" i="7"/>
  <c r="AD176" i="7"/>
  <c r="AD177" i="7"/>
  <c r="AD178" i="7"/>
  <c r="AD179" i="7"/>
  <c r="AD180" i="7"/>
  <c r="AD181" i="7"/>
  <c r="AD182" i="7"/>
  <c r="AD183" i="7"/>
  <c r="AD184" i="7"/>
  <c r="AD185" i="7"/>
  <c r="AD186" i="7"/>
  <c r="AD187" i="7"/>
  <c r="AD188" i="7"/>
  <c r="AD189" i="7"/>
  <c r="AD190" i="7"/>
  <c r="AD191" i="7"/>
  <c r="AD192" i="7"/>
  <c r="AD193" i="7"/>
  <c r="AD194" i="7"/>
  <c r="AD195" i="7"/>
  <c r="AD196" i="7"/>
  <c r="AD197" i="7"/>
  <c r="AD198" i="7"/>
  <c r="AD199" i="7"/>
  <c r="AD200" i="7"/>
  <c r="AD201" i="7"/>
  <c r="AD202" i="7"/>
  <c r="AD203" i="7"/>
  <c r="AD204" i="7"/>
  <c r="AD205" i="7"/>
  <c r="AD206" i="7"/>
  <c r="AD207" i="7"/>
  <c r="AD208" i="7"/>
  <c r="AD209" i="7"/>
  <c r="AD210" i="7"/>
  <c r="AD211" i="7"/>
  <c r="AD212" i="7"/>
  <c r="AD213" i="7"/>
  <c r="AD214" i="7"/>
  <c r="AD215" i="7"/>
  <c r="AD216" i="7"/>
  <c r="AD217" i="7"/>
  <c r="AD218" i="7"/>
  <c r="AD219" i="7"/>
  <c r="AD220" i="7"/>
  <c r="AD221" i="7"/>
  <c r="AD222" i="7"/>
  <c r="AD223" i="7"/>
  <c r="AD224" i="7"/>
  <c r="AD225" i="7"/>
  <c r="AD226" i="7"/>
  <c r="AD227" i="7"/>
  <c r="AD228" i="7"/>
  <c r="AD229" i="7"/>
  <c r="AD230" i="7"/>
  <c r="AD231" i="7"/>
  <c r="AD232" i="7"/>
  <c r="AD233" i="7"/>
  <c r="AD234" i="7"/>
  <c r="AD235" i="7"/>
  <c r="AD236" i="7"/>
  <c r="AD237" i="7"/>
  <c r="AD238" i="7"/>
  <c r="AD239" i="7"/>
  <c r="AD240" i="7"/>
  <c r="AD241" i="7"/>
  <c r="AD242" i="7"/>
  <c r="AD243" i="7"/>
  <c r="AD244" i="7"/>
  <c r="AD245" i="7"/>
  <c r="AD246" i="7"/>
  <c r="AD247" i="7"/>
  <c r="AD248" i="7"/>
  <c r="AD249" i="7"/>
  <c r="AD250" i="7"/>
  <c r="AD251" i="7"/>
  <c r="AD252" i="7"/>
  <c r="AD253" i="7"/>
  <c r="AD254" i="7"/>
  <c r="AD255" i="7"/>
  <c r="AD256" i="7"/>
  <c r="AD257" i="7"/>
  <c r="AD258" i="7"/>
  <c r="AD259" i="7"/>
  <c r="AD260" i="7"/>
  <c r="AD261" i="7"/>
  <c r="AD262" i="7"/>
  <c r="AD263" i="7"/>
  <c r="AD264" i="7"/>
  <c r="AD265" i="7"/>
  <c r="AD266" i="7"/>
  <c r="AD267" i="7"/>
  <c r="AD268" i="7"/>
  <c r="AD269" i="7"/>
  <c r="AD270" i="7"/>
  <c r="AD271" i="7"/>
  <c r="AD272" i="7"/>
  <c r="AD273" i="7"/>
  <c r="AD274" i="7"/>
  <c r="AD275" i="7"/>
  <c r="AD276" i="7"/>
  <c r="AD277" i="7"/>
  <c r="AD278" i="7"/>
  <c r="AD279" i="7"/>
  <c r="AD280" i="7"/>
  <c r="AD281" i="7"/>
  <c r="AD282" i="7"/>
  <c r="AD283" i="7"/>
  <c r="AD284" i="7"/>
  <c r="AD285" i="7"/>
  <c r="AD286" i="7"/>
  <c r="AD287" i="7"/>
  <c r="AD288" i="7"/>
  <c r="AD289" i="7"/>
  <c r="AD290" i="7"/>
  <c r="AD291" i="7"/>
  <c r="AD292" i="7"/>
  <c r="AD293" i="7"/>
  <c r="AD294" i="7"/>
  <c r="AD295" i="7"/>
  <c r="AD296" i="7"/>
  <c r="AD297" i="7"/>
  <c r="AD298" i="7"/>
  <c r="AD299" i="7"/>
  <c r="AD300" i="7"/>
  <c r="AD301" i="7"/>
  <c r="AD302" i="7"/>
  <c r="AD303" i="7"/>
  <c r="AD304" i="7"/>
  <c r="AD305" i="7"/>
  <c r="AD306" i="7"/>
  <c r="AD307" i="7"/>
  <c r="AD308" i="7"/>
  <c r="AD309" i="7"/>
  <c r="AD310" i="7"/>
  <c r="AD311" i="7"/>
  <c r="AD312" i="7"/>
  <c r="AD313" i="7"/>
  <c r="AD314" i="7"/>
  <c r="AD315" i="7"/>
  <c r="AD316" i="7"/>
  <c r="AD317" i="7"/>
  <c r="AD318" i="7"/>
  <c r="AD319" i="7"/>
  <c r="AD320" i="7"/>
  <c r="AD321" i="7"/>
  <c r="AD322" i="7"/>
  <c r="AD323" i="7"/>
  <c r="AD324" i="7"/>
  <c r="AD325" i="7"/>
  <c r="AD326" i="7"/>
  <c r="AD327" i="7"/>
  <c r="AD328" i="7"/>
  <c r="AD329" i="7"/>
  <c r="AD330" i="7"/>
  <c r="AD331" i="7"/>
  <c r="AD332" i="7"/>
  <c r="AD333" i="7"/>
  <c r="AD334" i="7"/>
  <c r="AD335" i="7"/>
  <c r="AD336" i="7"/>
  <c r="AD337" i="7"/>
  <c r="AD338" i="7"/>
  <c r="AD339" i="7"/>
  <c r="AD340" i="7"/>
  <c r="AD341" i="7"/>
  <c r="AD342" i="7"/>
  <c r="AD343" i="7"/>
  <c r="AD344" i="7"/>
  <c r="AD345" i="7"/>
  <c r="AD346" i="7"/>
  <c r="AD347" i="7"/>
  <c r="AD348" i="7"/>
  <c r="AD349" i="7"/>
  <c r="AD350" i="7"/>
  <c r="AD351" i="7"/>
  <c r="AD352" i="7"/>
  <c r="AD353" i="7"/>
  <c r="AD354" i="7"/>
  <c r="AD355" i="7"/>
  <c r="AD356" i="7"/>
  <c r="AD357" i="7"/>
  <c r="AD358" i="7"/>
  <c r="AD359" i="7"/>
  <c r="AD360" i="7"/>
  <c r="AD361" i="7"/>
  <c r="AD362" i="7"/>
  <c r="AD363" i="7"/>
  <c r="AD364" i="7"/>
  <c r="AD365" i="7"/>
  <c r="AD366" i="7"/>
  <c r="AD367" i="7"/>
  <c r="AD368" i="7"/>
  <c r="AD369" i="7"/>
  <c r="AD370" i="7"/>
  <c r="AD371" i="7"/>
  <c r="AD372" i="7"/>
  <c r="AD373" i="7"/>
  <c r="AD374" i="7"/>
  <c r="AD375" i="7"/>
  <c r="AD376" i="7"/>
  <c r="AD377" i="7"/>
  <c r="AD378" i="7"/>
  <c r="AD379" i="7"/>
  <c r="AD380" i="7"/>
  <c r="AD381" i="7"/>
  <c r="AD382" i="7"/>
  <c r="AD383" i="7"/>
  <c r="AD384" i="7"/>
  <c r="AD385" i="7"/>
  <c r="AD386" i="7"/>
  <c r="AD387" i="7"/>
  <c r="AD388" i="7"/>
  <c r="AD389" i="7"/>
  <c r="AD390" i="7"/>
  <c r="AD391" i="7"/>
  <c r="AD392" i="7"/>
  <c r="AD393" i="7"/>
  <c r="AD394" i="7"/>
  <c r="AD395" i="7"/>
  <c r="AD396" i="7"/>
  <c r="AD397" i="7"/>
  <c r="AD398" i="7"/>
  <c r="AD399" i="7"/>
  <c r="AD3" i="7"/>
  <c r="AU3" i="7"/>
  <c r="AU4" i="7" s="1"/>
  <c r="AU5" i="7" s="1"/>
  <c r="AU6" i="7" s="1"/>
  <c r="AU7" i="7" s="1"/>
  <c r="AU8" i="7" s="1"/>
  <c r="AU9" i="7" s="1"/>
  <c r="AU10" i="7" s="1"/>
  <c r="AU11" i="7" s="1"/>
  <c r="AU12" i="7" s="1"/>
  <c r="AU13" i="7" s="1"/>
  <c r="AU14" i="7" s="1"/>
  <c r="AU15" i="7" s="1"/>
  <c r="AU16" i="7" s="1"/>
  <c r="AU17" i="7" s="1"/>
  <c r="AU18" i="7" s="1"/>
  <c r="AU19" i="7" s="1"/>
  <c r="AU20" i="7" s="1"/>
  <c r="AU21" i="7" s="1"/>
  <c r="AU22" i="7" s="1"/>
  <c r="AU23" i="7" s="1"/>
  <c r="AU24" i="7" s="1"/>
  <c r="AU25" i="7" s="1"/>
  <c r="AU26" i="7" s="1"/>
  <c r="AU27" i="7" s="1"/>
  <c r="AU28" i="7" s="1"/>
  <c r="AU29" i="7" s="1"/>
  <c r="AU30" i="7" s="1"/>
  <c r="AU31" i="7" s="1"/>
  <c r="AU32" i="7" s="1"/>
  <c r="AU33" i="7" s="1"/>
  <c r="AU34" i="7" s="1"/>
  <c r="AU35" i="7" s="1"/>
  <c r="AU36" i="7" s="1"/>
  <c r="AU37" i="7" s="1"/>
  <c r="AU38" i="7" s="1"/>
  <c r="AU39" i="7" s="1"/>
  <c r="AU40" i="7" s="1"/>
  <c r="AU41" i="7" s="1"/>
  <c r="AU42" i="7" s="1"/>
  <c r="AU43" i="7" s="1"/>
  <c r="AU44" i="7" s="1"/>
  <c r="AU45" i="7" s="1"/>
  <c r="AU46" i="7" s="1"/>
  <c r="AU47" i="7" s="1"/>
  <c r="AU48" i="7" s="1"/>
  <c r="AU49" i="7" s="1"/>
  <c r="AU50" i="7" s="1"/>
  <c r="AS3" i="7"/>
  <c r="AS4" i="7" s="1"/>
  <c r="AS5" i="7" s="1"/>
  <c r="AS6" i="7" s="1"/>
  <c r="AS7" i="7" s="1"/>
  <c r="AS8" i="7" s="1"/>
  <c r="AS9" i="7" s="1"/>
  <c r="AS10" i="7" s="1"/>
  <c r="AS11" i="7" s="1"/>
  <c r="AS12" i="7" s="1"/>
  <c r="AS13" i="7" s="1"/>
  <c r="AS14" i="7" s="1"/>
  <c r="AS15" i="7" s="1"/>
  <c r="AS16" i="7" s="1"/>
  <c r="AS17" i="7" s="1"/>
  <c r="AS18" i="7" s="1"/>
  <c r="AS19" i="7" s="1"/>
  <c r="AS20" i="7" s="1"/>
  <c r="AS21" i="7" s="1"/>
  <c r="AS22" i="7" s="1"/>
  <c r="AS23" i="7" s="1"/>
  <c r="AS24" i="7" s="1"/>
  <c r="AS25" i="7" s="1"/>
  <c r="AS26" i="7" s="1"/>
  <c r="AS27" i="7" s="1"/>
  <c r="AS28" i="7" s="1"/>
  <c r="AS29" i="7" s="1"/>
  <c r="AS30" i="7" s="1"/>
  <c r="AS31" i="7" s="1"/>
  <c r="AS32" i="7" s="1"/>
  <c r="AS33" i="7" s="1"/>
  <c r="AS34" i="7" s="1"/>
  <c r="AS35" i="7" s="1"/>
  <c r="AS36" i="7" s="1"/>
  <c r="AS37" i="7" s="1"/>
  <c r="AS38" i="7" s="1"/>
  <c r="AS39" i="7" s="1"/>
  <c r="AS40" i="7" s="1"/>
  <c r="AS41" i="7" s="1"/>
  <c r="AS42" i="7" s="1"/>
  <c r="AS43" i="7" s="1"/>
  <c r="AS44" i="7" s="1"/>
  <c r="AS45" i="7" s="1"/>
  <c r="AS46" i="7" s="1"/>
  <c r="AS47" i="7" s="1"/>
  <c r="AS48" i="7" s="1"/>
  <c r="AS49" i="7" s="1"/>
  <c r="AS50" i="7" s="1"/>
  <c r="AQ3" i="7"/>
  <c r="AQ4" i="7" s="1"/>
  <c r="AQ5" i="7" s="1"/>
  <c r="AQ6" i="7" s="1"/>
  <c r="AQ7" i="7" s="1"/>
  <c r="AQ8" i="7" s="1"/>
  <c r="AQ9" i="7" s="1"/>
  <c r="AQ10" i="7" s="1"/>
  <c r="AQ11" i="7" s="1"/>
  <c r="AQ12" i="7" s="1"/>
  <c r="AQ13" i="7" s="1"/>
  <c r="AQ14" i="7" s="1"/>
  <c r="AQ15" i="7" s="1"/>
  <c r="AQ16" i="7" s="1"/>
  <c r="AQ17" i="7" s="1"/>
  <c r="AQ18" i="7" s="1"/>
  <c r="AQ19" i="7" s="1"/>
  <c r="AQ20" i="7" s="1"/>
  <c r="AQ21" i="7" s="1"/>
  <c r="AQ22" i="7" s="1"/>
  <c r="AQ23" i="7" s="1"/>
  <c r="AQ24" i="7" s="1"/>
  <c r="AQ25" i="7" s="1"/>
  <c r="AQ26" i="7" s="1"/>
  <c r="AQ27" i="7" s="1"/>
  <c r="AQ28" i="7" s="1"/>
  <c r="AQ29" i="7" s="1"/>
  <c r="AQ30" i="7" s="1"/>
  <c r="AQ31" i="7" s="1"/>
  <c r="AQ32" i="7" s="1"/>
  <c r="AQ33" i="7" s="1"/>
  <c r="AQ34" i="7" s="1"/>
  <c r="AQ35" i="7" s="1"/>
  <c r="AQ36" i="7" s="1"/>
  <c r="AQ37" i="7" s="1"/>
  <c r="AQ38" i="7" s="1"/>
  <c r="AQ39" i="7" s="1"/>
  <c r="AQ40" i="7" s="1"/>
  <c r="AQ41" i="7" s="1"/>
  <c r="AQ42" i="7" s="1"/>
  <c r="AQ43" i="7" s="1"/>
  <c r="AQ44" i="7" s="1"/>
  <c r="AQ45" i="7" s="1"/>
  <c r="AQ46" i="7" s="1"/>
  <c r="AQ47" i="7" s="1"/>
  <c r="AQ48" i="7" s="1"/>
  <c r="AQ49" i="7" s="1"/>
  <c r="AQ50" i="7" s="1"/>
  <c r="AQ51" i="7" s="1"/>
  <c r="AQ52" i="7" s="1"/>
  <c r="AQ53" i="7" s="1"/>
  <c r="AQ54" i="7" s="1"/>
  <c r="AQ55" i="7" s="1"/>
  <c r="AQ56" i="7" s="1"/>
  <c r="AQ57" i="7" s="1"/>
  <c r="AQ58" i="7" s="1"/>
  <c r="AQ59" i="7" s="1"/>
  <c r="AQ60" i="7" s="1"/>
  <c r="AQ61" i="7" s="1"/>
  <c r="AQ62" i="7" s="1"/>
  <c r="AQ63" i="7" s="1"/>
  <c r="AQ64" i="7" s="1"/>
  <c r="AQ65" i="7" s="1"/>
  <c r="AQ66" i="7" s="1"/>
  <c r="AQ67" i="7" s="1"/>
  <c r="AQ68" i="7" s="1"/>
  <c r="AQ69" i="7" s="1"/>
  <c r="AQ70" i="7" s="1"/>
  <c r="AQ71" i="7" s="1"/>
  <c r="AQ72" i="7" s="1"/>
  <c r="AQ73" i="7" s="1"/>
  <c r="AQ74" i="7" s="1"/>
  <c r="AQ75" i="7" s="1"/>
  <c r="AQ76" i="7" s="1"/>
  <c r="AQ77" i="7" s="1"/>
  <c r="AQ78" i="7" s="1"/>
  <c r="AQ79" i="7" s="1"/>
  <c r="AQ80" i="7" s="1"/>
  <c r="AQ81" i="7" s="1"/>
  <c r="AQ82" i="7" s="1"/>
  <c r="AQ83" i="7" s="1"/>
  <c r="AQ84" i="7" s="1"/>
  <c r="AQ85" i="7" s="1"/>
  <c r="AQ86" i="7" s="1"/>
  <c r="AQ87" i="7" s="1"/>
  <c r="AQ88" i="7" s="1"/>
  <c r="AQ89" i="7" s="1"/>
  <c r="AQ90" i="7" s="1"/>
  <c r="AQ91" i="7" s="1"/>
  <c r="AQ92" i="7" s="1"/>
  <c r="AQ93" i="7" s="1"/>
  <c r="AQ94" i="7" s="1"/>
  <c r="AQ95" i="7" s="1"/>
  <c r="AQ96" i="7" s="1"/>
  <c r="AQ97" i="7" s="1"/>
  <c r="AQ98" i="7" s="1"/>
  <c r="AQ99" i="7" s="1"/>
  <c r="AQ100" i="7" s="1"/>
  <c r="AQ101" i="7" s="1"/>
  <c r="AQ102" i="7" s="1"/>
  <c r="AQ103" i="7" s="1"/>
  <c r="AQ104" i="7" s="1"/>
  <c r="AQ105" i="7" s="1"/>
  <c r="AQ106" i="7" s="1"/>
  <c r="AQ107" i="7" s="1"/>
  <c r="AQ108" i="7" s="1"/>
  <c r="AQ109" i="7" s="1"/>
  <c r="AQ110" i="7" s="1"/>
  <c r="AQ111" i="7" s="1"/>
  <c r="AQ112" i="7" s="1"/>
  <c r="AQ113" i="7" s="1"/>
  <c r="AQ114" i="7" s="1"/>
  <c r="AQ115" i="7" s="1"/>
  <c r="AQ116" i="7" s="1"/>
  <c r="AQ117" i="7" s="1"/>
  <c r="AQ118" i="7" s="1"/>
  <c r="AQ119" i="7" s="1"/>
  <c r="AQ120" i="7" s="1"/>
  <c r="AQ121" i="7" s="1"/>
  <c r="AQ122" i="7" s="1"/>
  <c r="AQ123" i="7" s="1"/>
  <c r="AQ124" i="7" s="1"/>
  <c r="AQ125" i="7" s="1"/>
  <c r="AQ126" i="7" s="1"/>
  <c r="AQ127" i="7" s="1"/>
  <c r="AQ128" i="7" s="1"/>
  <c r="AQ129" i="7" s="1"/>
  <c r="AQ130" i="7" s="1"/>
  <c r="AQ131" i="7" s="1"/>
  <c r="AQ132" i="7" s="1"/>
  <c r="AQ133" i="7" s="1"/>
  <c r="AQ134" i="7" s="1"/>
  <c r="AQ135" i="7" s="1"/>
  <c r="AQ136" i="7" s="1"/>
  <c r="AQ137" i="7" s="1"/>
  <c r="AQ138" i="7" s="1"/>
  <c r="AQ139" i="7" s="1"/>
  <c r="AQ140" i="7" s="1"/>
  <c r="AQ141" i="7" s="1"/>
  <c r="AQ142" i="7" s="1"/>
  <c r="AQ143" i="7" s="1"/>
  <c r="AQ144" i="7" s="1"/>
  <c r="AQ145" i="7" s="1"/>
  <c r="AQ146" i="7" s="1"/>
  <c r="AQ147" i="7" s="1"/>
  <c r="AQ148" i="7" s="1"/>
  <c r="AQ149" i="7" s="1"/>
  <c r="AQ150" i="7" s="1"/>
  <c r="AQ151" i="7" s="1"/>
  <c r="AQ152" i="7" s="1"/>
  <c r="AQ153" i="7" s="1"/>
  <c r="AQ154" i="7" s="1"/>
  <c r="AQ155" i="7" s="1"/>
  <c r="AQ156" i="7" s="1"/>
  <c r="AQ157" i="7" s="1"/>
  <c r="AQ158" i="7" s="1"/>
  <c r="AQ159" i="7" s="1"/>
  <c r="AQ160" i="7" s="1"/>
  <c r="AQ161" i="7" s="1"/>
  <c r="AQ162" i="7" s="1"/>
  <c r="AQ163" i="7" s="1"/>
  <c r="AQ164" i="7" s="1"/>
  <c r="AQ165" i="7" s="1"/>
  <c r="AQ166" i="7" s="1"/>
  <c r="AQ167" i="7" s="1"/>
  <c r="AQ168" i="7" s="1"/>
  <c r="AQ169" i="7" s="1"/>
  <c r="AQ170" i="7" s="1"/>
  <c r="AQ171" i="7" s="1"/>
  <c r="AQ172" i="7" s="1"/>
  <c r="AQ173" i="7" s="1"/>
  <c r="AQ174" i="7" s="1"/>
  <c r="AQ175" i="7" s="1"/>
  <c r="AQ176" i="7" s="1"/>
  <c r="AQ177" i="7" s="1"/>
  <c r="AQ178" i="7" s="1"/>
  <c r="AQ179" i="7" s="1"/>
  <c r="AQ180" i="7" s="1"/>
  <c r="AQ181" i="7" s="1"/>
  <c r="AQ182" i="7" s="1"/>
  <c r="AQ183" i="7" s="1"/>
  <c r="AQ184" i="7" s="1"/>
  <c r="AQ185" i="7" s="1"/>
  <c r="AQ186" i="7" s="1"/>
  <c r="AQ187" i="7" s="1"/>
  <c r="AQ188" i="7" s="1"/>
  <c r="AQ189" i="7" s="1"/>
  <c r="AQ190" i="7" s="1"/>
  <c r="AQ191" i="7" s="1"/>
  <c r="AQ192" i="7" s="1"/>
  <c r="AQ193" i="7" s="1"/>
  <c r="AQ194" i="7" s="1"/>
  <c r="AQ195" i="7" s="1"/>
  <c r="AQ196" i="7" s="1"/>
  <c r="AQ197" i="7" s="1"/>
  <c r="AQ198" i="7" s="1"/>
  <c r="AQ199" i="7" s="1"/>
  <c r="AQ200" i="7" s="1"/>
  <c r="AQ201" i="7" s="1"/>
  <c r="AQ202" i="7" s="1"/>
  <c r="AQ203" i="7" s="1"/>
  <c r="AQ204" i="7" s="1"/>
  <c r="AQ205" i="7" s="1"/>
  <c r="AQ206" i="7" s="1"/>
  <c r="AQ207" i="7" s="1"/>
  <c r="AQ208" i="7" s="1"/>
  <c r="AQ209" i="7" s="1"/>
  <c r="AQ210" i="7" s="1"/>
  <c r="AQ211" i="7" s="1"/>
  <c r="AQ212" i="7" s="1"/>
  <c r="AQ213" i="7" s="1"/>
  <c r="AQ214" i="7" s="1"/>
  <c r="AQ215" i="7" s="1"/>
  <c r="AQ216" i="7" s="1"/>
  <c r="AQ217" i="7" s="1"/>
  <c r="AQ218" i="7" s="1"/>
  <c r="AQ219" i="7" s="1"/>
  <c r="AQ220" i="7" s="1"/>
  <c r="AQ221" i="7" s="1"/>
  <c r="AQ222" i="7" s="1"/>
  <c r="AQ223" i="7" s="1"/>
  <c r="AQ224" i="7" s="1"/>
  <c r="AQ225" i="7" s="1"/>
  <c r="AQ226" i="7" s="1"/>
  <c r="AQ227" i="7" s="1"/>
  <c r="AQ228" i="7" s="1"/>
  <c r="AQ229" i="7" s="1"/>
  <c r="AQ230" i="7" s="1"/>
  <c r="AQ231" i="7" s="1"/>
  <c r="AQ232" i="7" s="1"/>
  <c r="AQ233" i="7" s="1"/>
  <c r="AQ234" i="7" s="1"/>
  <c r="AQ235" i="7" s="1"/>
  <c r="AQ236" i="7" s="1"/>
  <c r="AQ237" i="7" s="1"/>
  <c r="AQ238" i="7" s="1"/>
  <c r="AQ239" i="7" s="1"/>
  <c r="AQ240" i="7" s="1"/>
  <c r="AQ241" i="7" s="1"/>
  <c r="AQ242" i="7" s="1"/>
  <c r="AQ243" i="7" s="1"/>
  <c r="AQ244" i="7" s="1"/>
  <c r="AQ245" i="7" s="1"/>
  <c r="AQ246" i="7" s="1"/>
  <c r="AQ247" i="7" s="1"/>
  <c r="AQ248" i="7" s="1"/>
  <c r="AQ249" i="7" s="1"/>
  <c r="AQ250" i="7" s="1"/>
  <c r="AQ251" i="7" s="1"/>
  <c r="AQ252" i="7" s="1"/>
  <c r="AQ253" i="7" s="1"/>
  <c r="AQ254" i="7" s="1"/>
  <c r="AQ255" i="7" s="1"/>
  <c r="AQ256" i="7" s="1"/>
  <c r="AQ257" i="7" s="1"/>
  <c r="AQ258" i="7" s="1"/>
  <c r="AQ259" i="7" s="1"/>
  <c r="AQ260" i="7" s="1"/>
  <c r="AQ261" i="7" s="1"/>
  <c r="AQ262" i="7" s="1"/>
  <c r="AQ263" i="7" s="1"/>
  <c r="AQ264" i="7" s="1"/>
  <c r="AQ265" i="7" s="1"/>
  <c r="AQ266" i="7" s="1"/>
  <c r="AQ267" i="7" s="1"/>
  <c r="AQ268" i="7" s="1"/>
  <c r="AQ269" i="7" s="1"/>
  <c r="AQ270" i="7" s="1"/>
  <c r="AQ271" i="7" s="1"/>
  <c r="AQ272" i="7" s="1"/>
  <c r="AQ273" i="7" s="1"/>
  <c r="AQ274" i="7" s="1"/>
  <c r="AQ275" i="7" s="1"/>
  <c r="AQ276" i="7" s="1"/>
  <c r="AQ277" i="7" s="1"/>
  <c r="AQ278" i="7" s="1"/>
  <c r="AQ279" i="7" s="1"/>
  <c r="AQ280" i="7" s="1"/>
  <c r="AQ281" i="7" s="1"/>
  <c r="AQ282" i="7" s="1"/>
  <c r="AQ283" i="7" s="1"/>
  <c r="AQ284" i="7" s="1"/>
  <c r="AQ285" i="7" s="1"/>
  <c r="AQ286" i="7" s="1"/>
  <c r="AQ287" i="7" s="1"/>
  <c r="AQ288" i="7" s="1"/>
  <c r="AQ289" i="7" s="1"/>
  <c r="AQ290" i="7" s="1"/>
  <c r="AQ291" i="7" s="1"/>
  <c r="AQ292" i="7" s="1"/>
  <c r="AQ293" i="7" s="1"/>
  <c r="AQ294" i="7" s="1"/>
  <c r="AQ295" i="7" s="1"/>
  <c r="AQ296" i="7" s="1"/>
  <c r="AQ297" i="7" s="1"/>
  <c r="AQ298" i="7" s="1"/>
  <c r="AQ299" i="7" s="1"/>
  <c r="AQ300" i="7" s="1"/>
  <c r="AQ301" i="7" s="1"/>
  <c r="AQ302" i="7" s="1"/>
  <c r="AQ303" i="7" s="1"/>
  <c r="AQ304" i="7" s="1"/>
  <c r="AQ305" i="7" s="1"/>
  <c r="AQ306" i="7" s="1"/>
  <c r="AQ307" i="7" s="1"/>
  <c r="AQ308" i="7" s="1"/>
  <c r="AQ309" i="7" s="1"/>
  <c r="AQ310" i="7" s="1"/>
  <c r="AQ311" i="7" s="1"/>
  <c r="AQ312" i="7" s="1"/>
  <c r="AQ313" i="7" s="1"/>
  <c r="AQ314" i="7" s="1"/>
  <c r="AQ315" i="7" s="1"/>
  <c r="AQ316" i="7" s="1"/>
  <c r="AQ317" i="7" s="1"/>
  <c r="AQ318" i="7" s="1"/>
  <c r="AQ319" i="7" s="1"/>
  <c r="AQ320" i="7" s="1"/>
  <c r="AQ321" i="7" s="1"/>
  <c r="AQ322" i="7" s="1"/>
  <c r="AQ323" i="7" s="1"/>
  <c r="AQ324" i="7" s="1"/>
  <c r="AQ325" i="7" s="1"/>
  <c r="AQ326" i="7" s="1"/>
  <c r="AQ327" i="7" s="1"/>
  <c r="AQ328" i="7" s="1"/>
  <c r="AQ329" i="7" s="1"/>
  <c r="AQ330" i="7" s="1"/>
  <c r="AQ331" i="7" s="1"/>
  <c r="AQ332" i="7" s="1"/>
  <c r="AQ333" i="7" s="1"/>
  <c r="AQ334" i="7" s="1"/>
  <c r="AQ335" i="7" s="1"/>
  <c r="AQ336" i="7" s="1"/>
  <c r="AQ337" i="7" s="1"/>
  <c r="AQ338" i="7" s="1"/>
  <c r="AQ339" i="7" s="1"/>
  <c r="AQ340" i="7" s="1"/>
  <c r="AQ341" i="7" s="1"/>
  <c r="AQ342" i="7" s="1"/>
  <c r="AQ343" i="7" s="1"/>
  <c r="AQ344" i="7" s="1"/>
  <c r="AQ345" i="7" s="1"/>
  <c r="AQ346" i="7" s="1"/>
  <c r="AQ347" i="7" s="1"/>
  <c r="AQ348" i="7" s="1"/>
  <c r="AQ349" i="7" s="1"/>
  <c r="AQ350" i="7" s="1"/>
  <c r="AQ351" i="7" s="1"/>
  <c r="AQ352" i="7" s="1"/>
  <c r="AQ353" i="7" s="1"/>
  <c r="AQ354" i="7" s="1"/>
  <c r="AQ355" i="7" s="1"/>
  <c r="AQ356" i="7" s="1"/>
  <c r="AQ357" i="7" s="1"/>
  <c r="AQ358" i="7" s="1"/>
  <c r="AQ359" i="7" s="1"/>
  <c r="AQ360" i="7" s="1"/>
  <c r="AQ361" i="7" s="1"/>
  <c r="AQ362" i="7" s="1"/>
  <c r="AQ363" i="7" s="1"/>
  <c r="AQ364" i="7" s="1"/>
  <c r="AQ365" i="7" s="1"/>
  <c r="AQ366" i="7" s="1"/>
  <c r="AQ367" i="7" s="1"/>
  <c r="AQ368" i="7" s="1"/>
  <c r="AQ369" i="7" s="1"/>
  <c r="AQ370" i="7" s="1"/>
  <c r="AQ371" i="7" s="1"/>
  <c r="AQ372" i="7" s="1"/>
  <c r="AQ373" i="7" s="1"/>
  <c r="AQ374" i="7" s="1"/>
  <c r="AQ375" i="7" s="1"/>
  <c r="AQ376" i="7" s="1"/>
  <c r="AQ377" i="7" s="1"/>
  <c r="AQ378" i="7" s="1"/>
  <c r="AQ379" i="7" s="1"/>
  <c r="AQ380" i="7" s="1"/>
  <c r="AQ381" i="7" s="1"/>
  <c r="AQ382" i="7" s="1"/>
  <c r="AQ383" i="7" s="1"/>
  <c r="AQ384" i="7" s="1"/>
  <c r="AQ385" i="7" s="1"/>
  <c r="AQ386" i="7" s="1"/>
  <c r="AQ387" i="7" s="1"/>
  <c r="AQ388" i="7" s="1"/>
  <c r="AQ389" i="7" s="1"/>
  <c r="AQ390" i="7" s="1"/>
  <c r="AQ391" i="7" s="1"/>
  <c r="AQ392" i="7" s="1"/>
  <c r="AQ393" i="7" s="1"/>
  <c r="AQ394" i="7" s="1"/>
  <c r="AQ395" i="7" s="1"/>
  <c r="AQ396" i="7" s="1"/>
  <c r="AQ397" i="7" s="1"/>
  <c r="AQ398" i="7" s="1"/>
  <c r="AQ399" i="7" s="1"/>
  <c r="AO3" i="7"/>
  <c r="AO4" i="7" s="1"/>
  <c r="AO5" i="7" s="1"/>
  <c r="AO6" i="7" s="1"/>
  <c r="AO7" i="7" s="1"/>
  <c r="AO8" i="7" s="1"/>
  <c r="AO9" i="7" s="1"/>
  <c r="AO10" i="7" s="1"/>
  <c r="AO11" i="7" s="1"/>
  <c r="AO12" i="7" s="1"/>
  <c r="AO13" i="7" s="1"/>
  <c r="AO14" i="7" s="1"/>
  <c r="AO15" i="7" s="1"/>
  <c r="AO16" i="7" s="1"/>
  <c r="AO17" i="7" s="1"/>
  <c r="AO18" i="7" s="1"/>
  <c r="AO19" i="7" s="1"/>
  <c r="AO20" i="7" s="1"/>
  <c r="AO21" i="7" s="1"/>
  <c r="AO22" i="7" s="1"/>
  <c r="AO23" i="7" s="1"/>
  <c r="AO24" i="7" s="1"/>
  <c r="AO25" i="7" s="1"/>
  <c r="AO26" i="7" s="1"/>
  <c r="AO27" i="7" s="1"/>
  <c r="AO28" i="7" s="1"/>
  <c r="AO29" i="7" s="1"/>
  <c r="AO30" i="7" s="1"/>
  <c r="AO31" i="7" s="1"/>
  <c r="AO32" i="7" s="1"/>
  <c r="AO33" i="7" s="1"/>
  <c r="AO34" i="7" s="1"/>
  <c r="AO35" i="7" s="1"/>
  <c r="AO36" i="7" s="1"/>
  <c r="AO37" i="7" s="1"/>
  <c r="AO38" i="7" s="1"/>
  <c r="AO39" i="7" s="1"/>
  <c r="AO40" i="7" s="1"/>
  <c r="AO41" i="7" s="1"/>
  <c r="AO42" i="7" s="1"/>
  <c r="AO43" i="7" s="1"/>
  <c r="AO44" i="7" s="1"/>
  <c r="AO45" i="7" s="1"/>
  <c r="AO46" i="7" s="1"/>
  <c r="AO47" i="7" s="1"/>
  <c r="AO48" i="7" s="1"/>
  <c r="AO49" i="7" s="1"/>
  <c r="AO50" i="7" s="1"/>
  <c r="AM3" i="7"/>
  <c r="AM4" i="7" s="1"/>
  <c r="AM5" i="7" s="1"/>
  <c r="AM6" i="7" s="1"/>
  <c r="AM7" i="7" s="1"/>
  <c r="AM8" i="7" s="1"/>
  <c r="AM9" i="7" s="1"/>
  <c r="AM10" i="7" s="1"/>
  <c r="AM11" i="7" s="1"/>
  <c r="AM12" i="7" s="1"/>
  <c r="AM13" i="7" s="1"/>
  <c r="AM14" i="7" s="1"/>
  <c r="AM15" i="7" s="1"/>
  <c r="AM16" i="7" s="1"/>
  <c r="AM17" i="7" s="1"/>
  <c r="AM18" i="7" s="1"/>
  <c r="AM19" i="7" s="1"/>
  <c r="AM20" i="7" s="1"/>
  <c r="AM21" i="7" s="1"/>
  <c r="AM22" i="7" s="1"/>
  <c r="AM23" i="7" s="1"/>
  <c r="AM24" i="7" s="1"/>
  <c r="AM25" i="7" s="1"/>
  <c r="AM26" i="7" s="1"/>
  <c r="AM27" i="7" s="1"/>
  <c r="AM28" i="7" s="1"/>
  <c r="AM29" i="7" s="1"/>
  <c r="AM30" i="7" s="1"/>
  <c r="AM31" i="7" s="1"/>
  <c r="AM32" i="7" s="1"/>
  <c r="AM33" i="7" s="1"/>
  <c r="AM34" i="7" s="1"/>
  <c r="AM35" i="7" s="1"/>
  <c r="AM36" i="7" s="1"/>
  <c r="AM37" i="7" s="1"/>
  <c r="AM38" i="7" s="1"/>
  <c r="AM39" i="7" s="1"/>
  <c r="AM40" i="7" s="1"/>
  <c r="AM41" i="7" s="1"/>
  <c r="AM42" i="7" s="1"/>
  <c r="AM43" i="7" s="1"/>
  <c r="AM44" i="7" s="1"/>
  <c r="AM45" i="7" s="1"/>
  <c r="AM46" i="7" s="1"/>
  <c r="AM47" i="7" s="1"/>
  <c r="AM48" i="7" s="1"/>
  <c r="AM49" i="7" s="1"/>
  <c r="AM50" i="7" s="1"/>
  <c r="AK3" i="7"/>
  <c r="AK4" i="7" s="1"/>
  <c r="AK5" i="7" s="1"/>
  <c r="AK6" i="7" s="1"/>
  <c r="AK7" i="7" s="1"/>
  <c r="AK8" i="7" s="1"/>
  <c r="AK9" i="7" s="1"/>
  <c r="AK10" i="7" s="1"/>
  <c r="AK11" i="7" s="1"/>
  <c r="AK12" i="7" s="1"/>
  <c r="AK13" i="7" s="1"/>
  <c r="AK14" i="7" s="1"/>
  <c r="AK15" i="7" s="1"/>
  <c r="AK16" i="7" s="1"/>
  <c r="AK17" i="7" s="1"/>
  <c r="AK18" i="7" s="1"/>
  <c r="AK19" i="7" s="1"/>
  <c r="AK20" i="7" s="1"/>
  <c r="AK21" i="7" s="1"/>
  <c r="AK22" i="7" s="1"/>
  <c r="AK23" i="7" s="1"/>
  <c r="AK24" i="7" s="1"/>
  <c r="AK25" i="7" s="1"/>
  <c r="AK26" i="7" s="1"/>
  <c r="AK27" i="7" s="1"/>
  <c r="AK28" i="7" s="1"/>
  <c r="AK29" i="7" s="1"/>
  <c r="AK30" i="7" s="1"/>
  <c r="AK31" i="7" s="1"/>
  <c r="AK32" i="7" s="1"/>
  <c r="AK33" i="7" s="1"/>
  <c r="AK34" i="7" s="1"/>
  <c r="AK35" i="7" s="1"/>
  <c r="AK36" i="7" s="1"/>
  <c r="AK37" i="7" s="1"/>
  <c r="AK38" i="7" s="1"/>
  <c r="AK39" i="7" s="1"/>
  <c r="AK40" i="7" s="1"/>
  <c r="AK41" i="7" s="1"/>
  <c r="AK42" i="7" s="1"/>
  <c r="AK43" i="7" s="1"/>
  <c r="AK44" i="7" s="1"/>
  <c r="AK45" i="7" s="1"/>
  <c r="AK46" i="7" s="1"/>
  <c r="AK47" i="7" s="1"/>
  <c r="AK48" i="7" s="1"/>
  <c r="AK49" i="7" s="1"/>
  <c r="AK50" i="7" s="1"/>
  <c r="AI3" i="7"/>
  <c r="AI4" i="7" s="1"/>
  <c r="AI5" i="7" s="1"/>
  <c r="AI6" i="7" s="1"/>
  <c r="AI7" i="7" s="1"/>
  <c r="AI8" i="7" s="1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AI29" i="7" s="1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G3" i="7"/>
  <c r="AG4" i="7" s="1"/>
  <c r="AG5" i="7" s="1"/>
  <c r="AG6" i="7" s="1"/>
  <c r="AG7" i="7" s="1"/>
  <c r="AG8" i="7" s="1"/>
  <c r="AG9" i="7" s="1"/>
  <c r="AG10" i="7" s="1"/>
  <c r="AG11" i="7" s="1"/>
  <c r="AG12" i="7" s="1"/>
  <c r="AG13" i="7" s="1"/>
  <c r="AG14" i="7" s="1"/>
  <c r="AG15" i="7" s="1"/>
  <c r="AG16" i="7" s="1"/>
  <c r="AG17" i="7" s="1"/>
  <c r="AG18" i="7" s="1"/>
  <c r="AG19" i="7" s="1"/>
  <c r="AG20" i="7" s="1"/>
  <c r="AG21" i="7" s="1"/>
  <c r="AG22" i="7" s="1"/>
  <c r="AG23" i="7" s="1"/>
  <c r="AG24" i="7" s="1"/>
  <c r="AG25" i="7" s="1"/>
  <c r="AG26" i="7" s="1"/>
  <c r="AG27" i="7" s="1"/>
  <c r="AG28" i="7" s="1"/>
  <c r="AG29" i="7" s="1"/>
  <c r="AG30" i="7" s="1"/>
  <c r="AG31" i="7" s="1"/>
  <c r="AG32" i="7" s="1"/>
  <c r="AG33" i="7" s="1"/>
  <c r="AG34" i="7" s="1"/>
  <c r="AG35" i="7" s="1"/>
  <c r="AG36" i="7" s="1"/>
  <c r="AG37" i="7" s="1"/>
  <c r="AG38" i="7" s="1"/>
  <c r="AG39" i="7" s="1"/>
  <c r="AG40" i="7" s="1"/>
  <c r="AG41" i="7" s="1"/>
  <c r="AG42" i="7" s="1"/>
  <c r="AG43" i="7" s="1"/>
  <c r="AG44" i="7" s="1"/>
  <c r="AG45" i="7" s="1"/>
  <c r="AG46" i="7" s="1"/>
  <c r="AG47" i="7" s="1"/>
  <c r="AG48" i="7" s="1"/>
  <c r="AG49" i="7" s="1"/>
  <c r="AG50" i="7" s="1"/>
  <c r="H9" i="21" l="1"/>
  <c r="AI51" i="7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AI92" i="7" s="1"/>
  <c r="AI93" i="7" s="1"/>
  <c r="AI94" i="7" s="1"/>
  <c r="AI95" i="7" s="1"/>
  <c r="AI96" i="7" s="1"/>
  <c r="AI97" i="7" s="1"/>
  <c r="AI98" i="7" s="1"/>
  <c r="AI99" i="7" s="1"/>
  <c r="AI100" i="7" s="1"/>
  <c r="AI101" i="7" s="1"/>
  <c r="AI102" i="7" s="1"/>
  <c r="AI103" i="7" s="1"/>
  <c r="AI104" i="7" s="1"/>
  <c r="AI105" i="7" s="1"/>
  <c r="AI106" i="7" s="1"/>
  <c r="AI107" i="7" s="1"/>
  <c r="AI108" i="7" s="1"/>
  <c r="AI109" i="7" s="1"/>
  <c r="AI110" i="7" s="1"/>
  <c r="AI111" i="7" s="1"/>
  <c r="AI112" i="7" s="1"/>
  <c r="AI113" i="7" s="1"/>
  <c r="AI114" i="7" s="1"/>
  <c r="AI115" i="7" s="1"/>
  <c r="AI116" i="7" s="1"/>
  <c r="AI117" i="7" s="1"/>
  <c r="AI118" i="7" s="1"/>
  <c r="AI119" i="7" s="1"/>
  <c r="AI120" i="7" s="1"/>
  <c r="AI121" i="7" s="1"/>
  <c r="AI122" i="7" s="1"/>
  <c r="AI123" i="7" s="1"/>
  <c r="AI124" i="7" s="1"/>
  <c r="AI125" i="7" s="1"/>
  <c r="AI126" i="7" s="1"/>
  <c r="AI127" i="7" s="1"/>
  <c r="AI128" i="7" s="1"/>
  <c r="AI129" i="7" s="1"/>
  <c r="AI130" i="7" s="1"/>
  <c r="AI131" i="7" s="1"/>
  <c r="AI132" i="7" s="1"/>
  <c r="AI133" i="7" s="1"/>
  <c r="AI134" i="7" s="1"/>
  <c r="AI135" i="7" s="1"/>
  <c r="AI136" i="7" s="1"/>
  <c r="AI137" i="7" s="1"/>
  <c r="AI138" i="7" s="1"/>
  <c r="AI139" i="7" s="1"/>
  <c r="AI140" i="7" s="1"/>
  <c r="AI141" i="7" s="1"/>
  <c r="AI142" i="7" s="1"/>
  <c r="AI143" i="7" s="1"/>
  <c r="AI144" i="7" s="1"/>
  <c r="AI145" i="7" s="1"/>
  <c r="AI146" i="7" s="1"/>
  <c r="AI147" i="7" s="1"/>
  <c r="AI148" i="7" s="1"/>
  <c r="AI149" i="7" s="1"/>
  <c r="AI150" i="7" s="1"/>
  <c r="AI151" i="7" s="1"/>
  <c r="AI152" i="7" s="1"/>
  <c r="AI153" i="7" s="1"/>
  <c r="AI154" i="7" s="1"/>
  <c r="AI155" i="7" s="1"/>
  <c r="AI156" i="7" s="1"/>
  <c r="AI157" i="7" s="1"/>
  <c r="AI158" i="7" s="1"/>
  <c r="AI159" i="7" s="1"/>
  <c r="AI160" i="7" s="1"/>
  <c r="AI161" i="7" s="1"/>
  <c r="AI162" i="7" s="1"/>
  <c r="AI163" i="7" s="1"/>
  <c r="AI164" i="7" s="1"/>
  <c r="AI165" i="7" s="1"/>
  <c r="AI166" i="7" s="1"/>
  <c r="AI167" i="7" s="1"/>
  <c r="AI168" i="7" s="1"/>
  <c r="AI169" i="7" s="1"/>
  <c r="AI170" i="7" s="1"/>
  <c r="AI171" i="7" s="1"/>
  <c r="AI172" i="7" s="1"/>
  <c r="AI173" i="7" s="1"/>
  <c r="AI174" i="7" s="1"/>
  <c r="AI175" i="7" s="1"/>
  <c r="AI176" i="7" s="1"/>
  <c r="AI177" i="7" s="1"/>
  <c r="AI178" i="7" s="1"/>
  <c r="AI179" i="7" s="1"/>
  <c r="AI180" i="7" s="1"/>
  <c r="AI181" i="7" s="1"/>
  <c r="AI182" i="7" s="1"/>
  <c r="AI183" i="7" s="1"/>
  <c r="AI184" i="7" s="1"/>
  <c r="AI185" i="7" s="1"/>
  <c r="AI186" i="7" s="1"/>
  <c r="AI187" i="7" s="1"/>
  <c r="AI188" i="7" s="1"/>
  <c r="AI189" i="7" s="1"/>
  <c r="AI190" i="7" s="1"/>
  <c r="AI191" i="7" s="1"/>
  <c r="AI192" i="7" s="1"/>
  <c r="AI193" i="7" s="1"/>
  <c r="AI194" i="7" s="1"/>
  <c r="AI195" i="7" s="1"/>
  <c r="AI196" i="7" s="1"/>
  <c r="AI197" i="7" s="1"/>
  <c r="AI198" i="7" s="1"/>
  <c r="AI199" i="7" s="1"/>
  <c r="AI200" i="7" s="1"/>
  <c r="AI201" i="7" s="1"/>
  <c r="AI202" i="7" s="1"/>
  <c r="AI203" i="7" s="1"/>
  <c r="AI204" i="7" s="1"/>
  <c r="AI205" i="7" s="1"/>
  <c r="AI206" i="7" s="1"/>
  <c r="AI207" i="7" s="1"/>
  <c r="AI208" i="7" s="1"/>
  <c r="AI209" i="7" s="1"/>
  <c r="AI210" i="7" s="1"/>
  <c r="AI211" i="7" s="1"/>
  <c r="AI212" i="7" s="1"/>
  <c r="AI213" i="7" s="1"/>
  <c r="AI214" i="7" s="1"/>
  <c r="AI215" i="7" s="1"/>
  <c r="AI216" i="7" s="1"/>
  <c r="AI217" i="7" s="1"/>
  <c r="AI218" i="7" s="1"/>
  <c r="AI219" i="7" s="1"/>
  <c r="AI220" i="7" s="1"/>
  <c r="AI221" i="7" s="1"/>
  <c r="AI222" i="7" s="1"/>
  <c r="AI223" i="7" s="1"/>
  <c r="AI224" i="7" s="1"/>
  <c r="AI225" i="7" s="1"/>
  <c r="AI226" i="7" s="1"/>
  <c r="AI227" i="7" s="1"/>
  <c r="AI228" i="7" s="1"/>
  <c r="AI229" i="7" s="1"/>
  <c r="AI230" i="7" s="1"/>
  <c r="AI231" i="7" s="1"/>
  <c r="AI232" i="7" s="1"/>
  <c r="AI233" i="7" s="1"/>
  <c r="AI234" i="7" s="1"/>
  <c r="AI235" i="7" s="1"/>
  <c r="AI236" i="7" s="1"/>
  <c r="AI237" i="7" s="1"/>
  <c r="AI238" i="7" s="1"/>
  <c r="AI239" i="7" s="1"/>
  <c r="AI240" i="7" s="1"/>
  <c r="AI241" i="7" s="1"/>
  <c r="AI242" i="7" s="1"/>
  <c r="AI243" i="7" s="1"/>
  <c r="AI244" i="7" s="1"/>
  <c r="AI245" i="7" s="1"/>
  <c r="AI246" i="7" s="1"/>
  <c r="AI247" i="7" s="1"/>
  <c r="AI248" i="7" s="1"/>
  <c r="AI249" i="7" s="1"/>
  <c r="AI250" i="7" s="1"/>
  <c r="AI251" i="7" s="1"/>
  <c r="AI252" i="7" s="1"/>
  <c r="AI253" i="7" s="1"/>
  <c r="AI254" i="7" s="1"/>
  <c r="AI255" i="7" s="1"/>
  <c r="AI256" i="7" s="1"/>
  <c r="AI257" i="7" s="1"/>
  <c r="AI258" i="7" s="1"/>
  <c r="AI259" i="7" s="1"/>
  <c r="AI260" i="7" s="1"/>
  <c r="AI261" i="7" s="1"/>
  <c r="AI262" i="7" s="1"/>
  <c r="AI263" i="7" s="1"/>
  <c r="AI264" i="7" s="1"/>
  <c r="AI265" i="7" s="1"/>
  <c r="AI266" i="7" s="1"/>
  <c r="AI267" i="7" s="1"/>
  <c r="AI268" i="7" s="1"/>
  <c r="AI269" i="7" s="1"/>
  <c r="AI270" i="7" s="1"/>
  <c r="AI271" i="7" s="1"/>
  <c r="AI272" i="7" s="1"/>
  <c r="AI273" i="7" s="1"/>
  <c r="AI274" i="7" s="1"/>
  <c r="AI275" i="7" s="1"/>
  <c r="AI276" i="7" s="1"/>
  <c r="AI277" i="7" s="1"/>
  <c r="AI278" i="7" s="1"/>
  <c r="AI279" i="7" s="1"/>
  <c r="AI280" i="7" s="1"/>
  <c r="AI281" i="7" s="1"/>
  <c r="AI282" i="7" s="1"/>
  <c r="AI283" i="7" s="1"/>
  <c r="AI284" i="7" s="1"/>
  <c r="AI285" i="7" s="1"/>
  <c r="AI286" i="7" s="1"/>
  <c r="AI287" i="7" s="1"/>
  <c r="AI288" i="7" s="1"/>
  <c r="AI289" i="7" s="1"/>
  <c r="AI290" i="7" s="1"/>
  <c r="AI291" i="7" s="1"/>
  <c r="AI292" i="7" s="1"/>
  <c r="AI293" i="7" s="1"/>
  <c r="AI294" i="7" s="1"/>
  <c r="AI295" i="7" s="1"/>
  <c r="AI296" i="7" s="1"/>
  <c r="AI297" i="7" s="1"/>
  <c r="AI298" i="7" s="1"/>
  <c r="AI299" i="7" s="1"/>
  <c r="AI300" i="7" s="1"/>
  <c r="AI301" i="7" s="1"/>
  <c r="AI302" i="7" s="1"/>
  <c r="AI303" i="7" s="1"/>
  <c r="AI304" i="7" s="1"/>
  <c r="AI305" i="7" s="1"/>
  <c r="AI306" i="7" s="1"/>
  <c r="AI307" i="7" s="1"/>
  <c r="AI308" i="7" s="1"/>
  <c r="AI309" i="7" s="1"/>
  <c r="AI310" i="7" s="1"/>
  <c r="AI311" i="7" s="1"/>
  <c r="AI312" i="7" s="1"/>
  <c r="AI313" i="7" s="1"/>
  <c r="AI314" i="7" s="1"/>
  <c r="AI315" i="7" s="1"/>
  <c r="AI316" i="7" s="1"/>
  <c r="AI317" i="7" s="1"/>
  <c r="AI318" i="7" s="1"/>
  <c r="AI319" i="7" s="1"/>
  <c r="AI320" i="7" s="1"/>
  <c r="AI321" i="7" s="1"/>
  <c r="AI322" i="7" s="1"/>
  <c r="AI323" i="7" s="1"/>
  <c r="AI324" i="7" s="1"/>
  <c r="AI325" i="7" s="1"/>
  <c r="AI326" i="7" s="1"/>
  <c r="AI327" i="7" s="1"/>
  <c r="AI328" i="7" s="1"/>
  <c r="AI329" i="7" s="1"/>
  <c r="AI330" i="7" s="1"/>
  <c r="AI331" i="7" s="1"/>
  <c r="AI332" i="7" s="1"/>
  <c r="AI333" i="7" s="1"/>
  <c r="AI334" i="7" s="1"/>
  <c r="AI335" i="7" s="1"/>
  <c r="AI336" i="7" s="1"/>
  <c r="AI337" i="7" s="1"/>
  <c r="AI338" i="7" s="1"/>
  <c r="AI339" i="7" s="1"/>
  <c r="AI340" i="7" s="1"/>
  <c r="AI341" i="7" s="1"/>
  <c r="AI342" i="7" s="1"/>
  <c r="AI343" i="7" s="1"/>
  <c r="AI344" i="7" s="1"/>
  <c r="AI345" i="7" s="1"/>
  <c r="AI346" i="7" s="1"/>
  <c r="AI347" i="7" s="1"/>
  <c r="AI348" i="7" s="1"/>
  <c r="AI349" i="7" s="1"/>
  <c r="AI350" i="7" s="1"/>
  <c r="AI351" i="7" s="1"/>
  <c r="AI352" i="7" s="1"/>
  <c r="AI353" i="7" s="1"/>
  <c r="AI354" i="7" s="1"/>
  <c r="AI355" i="7" s="1"/>
  <c r="AI356" i="7" s="1"/>
  <c r="AI357" i="7" s="1"/>
  <c r="AI358" i="7" s="1"/>
  <c r="AI359" i="7" s="1"/>
  <c r="AI360" i="7" s="1"/>
  <c r="AI361" i="7" s="1"/>
  <c r="AI362" i="7" s="1"/>
  <c r="AI363" i="7" s="1"/>
  <c r="AI364" i="7" s="1"/>
  <c r="AI365" i="7" s="1"/>
  <c r="AI366" i="7" s="1"/>
  <c r="AI367" i="7" s="1"/>
  <c r="AI368" i="7" s="1"/>
  <c r="AI369" i="7" s="1"/>
  <c r="AI370" i="7" s="1"/>
  <c r="AI371" i="7" s="1"/>
  <c r="AI372" i="7" s="1"/>
  <c r="AI373" i="7" s="1"/>
  <c r="AI374" i="7" s="1"/>
  <c r="AI375" i="7" s="1"/>
  <c r="AI376" i="7" s="1"/>
  <c r="AI377" i="7" s="1"/>
  <c r="AI378" i="7" s="1"/>
  <c r="AI379" i="7" s="1"/>
  <c r="AI380" i="7" s="1"/>
  <c r="AI381" i="7" s="1"/>
  <c r="AI382" i="7" s="1"/>
  <c r="AI383" i="7" s="1"/>
  <c r="AI384" i="7" s="1"/>
  <c r="AI385" i="7" s="1"/>
  <c r="AI386" i="7" s="1"/>
  <c r="AI387" i="7" s="1"/>
  <c r="AI388" i="7" s="1"/>
  <c r="AI389" i="7" s="1"/>
  <c r="AI390" i="7" s="1"/>
  <c r="AI391" i="7" s="1"/>
  <c r="AI392" i="7" s="1"/>
  <c r="AI393" i="7" s="1"/>
  <c r="AI394" i="7" s="1"/>
  <c r="AI395" i="7" s="1"/>
  <c r="AI396" i="7" s="1"/>
  <c r="AI397" i="7" s="1"/>
  <c r="AI398" i="7" s="1"/>
  <c r="AI399" i="7" s="1"/>
  <c r="AM51" i="7"/>
  <c r="AM52" i="7" s="1"/>
  <c r="AM53" i="7" s="1"/>
  <c r="AM54" i="7" s="1"/>
  <c r="AM55" i="7" s="1"/>
  <c r="AM56" i="7" s="1"/>
  <c r="AM57" i="7" s="1"/>
  <c r="AM58" i="7" s="1"/>
  <c r="AM59" i="7" s="1"/>
  <c r="AM60" i="7" s="1"/>
  <c r="AM61" i="7" s="1"/>
  <c r="AM62" i="7" s="1"/>
  <c r="AM63" i="7" s="1"/>
  <c r="AM64" i="7" s="1"/>
  <c r="AM65" i="7" s="1"/>
  <c r="AM66" i="7" s="1"/>
  <c r="AM67" i="7" s="1"/>
  <c r="AM68" i="7" s="1"/>
  <c r="AM69" i="7" s="1"/>
  <c r="AM70" i="7" s="1"/>
  <c r="AM71" i="7" s="1"/>
  <c r="AM72" i="7" s="1"/>
  <c r="AM73" i="7" s="1"/>
  <c r="AM74" i="7" s="1"/>
  <c r="AM75" i="7" s="1"/>
  <c r="AM76" i="7" s="1"/>
  <c r="AM77" i="7" s="1"/>
  <c r="AM78" i="7" s="1"/>
  <c r="AM79" i="7" s="1"/>
  <c r="AM80" i="7" s="1"/>
  <c r="AM81" i="7" s="1"/>
  <c r="AM82" i="7" s="1"/>
  <c r="AM83" i="7" s="1"/>
  <c r="AM84" i="7" s="1"/>
  <c r="AM85" i="7" s="1"/>
  <c r="AM86" i="7" s="1"/>
  <c r="AM87" i="7" s="1"/>
  <c r="AM88" i="7" s="1"/>
  <c r="AM89" i="7" s="1"/>
  <c r="AM90" i="7" s="1"/>
  <c r="AM91" i="7" s="1"/>
  <c r="AM92" i="7" s="1"/>
  <c r="AM93" i="7" s="1"/>
  <c r="AM94" i="7" s="1"/>
  <c r="AM95" i="7" s="1"/>
  <c r="AM96" i="7" s="1"/>
  <c r="AM97" i="7" s="1"/>
  <c r="AM98" i="7" s="1"/>
  <c r="AM99" i="7" s="1"/>
  <c r="AM100" i="7" s="1"/>
  <c r="AM101" i="7" s="1"/>
  <c r="AM102" i="7" s="1"/>
  <c r="AM103" i="7" s="1"/>
  <c r="AM104" i="7" s="1"/>
  <c r="AM105" i="7" s="1"/>
  <c r="AM106" i="7" s="1"/>
  <c r="AM107" i="7" s="1"/>
  <c r="AM108" i="7" s="1"/>
  <c r="AM109" i="7" s="1"/>
  <c r="AM110" i="7" s="1"/>
  <c r="AM111" i="7" s="1"/>
  <c r="AM112" i="7" s="1"/>
  <c r="AM113" i="7" s="1"/>
  <c r="AM114" i="7" s="1"/>
  <c r="AM115" i="7" s="1"/>
  <c r="AM116" i="7" s="1"/>
  <c r="AM117" i="7" s="1"/>
  <c r="AM118" i="7" s="1"/>
  <c r="AM119" i="7" s="1"/>
  <c r="AM120" i="7" s="1"/>
  <c r="AM121" i="7" s="1"/>
  <c r="AM122" i="7" s="1"/>
  <c r="AM123" i="7" s="1"/>
  <c r="AM124" i="7" s="1"/>
  <c r="AM125" i="7" s="1"/>
  <c r="AM126" i="7" s="1"/>
  <c r="AM127" i="7" s="1"/>
  <c r="AM128" i="7" s="1"/>
  <c r="AM129" i="7" s="1"/>
  <c r="AM130" i="7" s="1"/>
  <c r="AM131" i="7" s="1"/>
  <c r="AM132" i="7" s="1"/>
  <c r="AM133" i="7" s="1"/>
  <c r="AM134" i="7" s="1"/>
  <c r="AM135" i="7" s="1"/>
  <c r="AM136" i="7" s="1"/>
  <c r="AM137" i="7" s="1"/>
  <c r="AM138" i="7" s="1"/>
  <c r="AM139" i="7" s="1"/>
  <c r="AM140" i="7" s="1"/>
  <c r="AM141" i="7" s="1"/>
  <c r="AM142" i="7" s="1"/>
  <c r="AM143" i="7" s="1"/>
  <c r="AM144" i="7" s="1"/>
  <c r="AM145" i="7" s="1"/>
  <c r="AM146" i="7" s="1"/>
  <c r="AM147" i="7" s="1"/>
  <c r="AM148" i="7" s="1"/>
  <c r="AM149" i="7" s="1"/>
  <c r="AM150" i="7" s="1"/>
  <c r="AM151" i="7" s="1"/>
  <c r="AM152" i="7" s="1"/>
  <c r="AM153" i="7" s="1"/>
  <c r="AM154" i="7" s="1"/>
  <c r="AM155" i="7" s="1"/>
  <c r="AM156" i="7" s="1"/>
  <c r="AM157" i="7" s="1"/>
  <c r="AM158" i="7" s="1"/>
  <c r="AM159" i="7" s="1"/>
  <c r="AM160" i="7" s="1"/>
  <c r="AM161" i="7" s="1"/>
  <c r="AM162" i="7" s="1"/>
  <c r="AM163" i="7" s="1"/>
  <c r="AM164" i="7" s="1"/>
  <c r="AM165" i="7" s="1"/>
  <c r="AM166" i="7" s="1"/>
  <c r="AM167" i="7" s="1"/>
  <c r="AM168" i="7" s="1"/>
  <c r="AM169" i="7" s="1"/>
  <c r="AM170" i="7" s="1"/>
  <c r="AM171" i="7" s="1"/>
  <c r="AM172" i="7" s="1"/>
  <c r="AM173" i="7" s="1"/>
  <c r="AM174" i="7" s="1"/>
  <c r="AM175" i="7" s="1"/>
  <c r="AM176" i="7" s="1"/>
  <c r="AM177" i="7" s="1"/>
  <c r="AM178" i="7" s="1"/>
  <c r="AM179" i="7" s="1"/>
  <c r="AM180" i="7" s="1"/>
  <c r="AM181" i="7" s="1"/>
  <c r="AM182" i="7" s="1"/>
  <c r="AM183" i="7" s="1"/>
  <c r="AM184" i="7" s="1"/>
  <c r="AM185" i="7" s="1"/>
  <c r="AM186" i="7" s="1"/>
  <c r="AM187" i="7" s="1"/>
  <c r="AM188" i="7" s="1"/>
  <c r="AM189" i="7" s="1"/>
  <c r="AM190" i="7" s="1"/>
  <c r="AM191" i="7" s="1"/>
  <c r="AM192" i="7" s="1"/>
  <c r="AM193" i="7" s="1"/>
  <c r="AM194" i="7" s="1"/>
  <c r="AM195" i="7" s="1"/>
  <c r="AM196" i="7" s="1"/>
  <c r="AM197" i="7" s="1"/>
  <c r="AM198" i="7" s="1"/>
  <c r="AM199" i="7" s="1"/>
  <c r="AM200" i="7" s="1"/>
  <c r="AM201" i="7" s="1"/>
  <c r="AM202" i="7" s="1"/>
  <c r="AM203" i="7" s="1"/>
  <c r="AM204" i="7" s="1"/>
  <c r="AM205" i="7" s="1"/>
  <c r="AM206" i="7" s="1"/>
  <c r="AM207" i="7" s="1"/>
  <c r="AM208" i="7" s="1"/>
  <c r="AM209" i="7" s="1"/>
  <c r="AM210" i="7" s="1"/>
  <c r="AM211" i="7" s="1"/>
  <c r="AM212" i="7" s="1"/>
  <c r="AM213" i="7" s="1"/>
  <c r="AM214" i="7" s="1"/>
  <c r="AM215" i="7" s="1"/>
  <c r="AM216" i="7" s="1"/>
  <c r="AM217" i="7" s="1"/>
  <c r="AM218" i="7" s="1"/>
  <c r="AM219" i="7" s="1"/>
  <c r="AM220" i="7" s="1"/>
  <c r="AM221" i="7" s="1"/>
  <c r="AM222" i="7" s="1"/>
  <c r="AM223" i="7" s="1"/>
  <c r="AM224" i="7" s="1"/>
  <c r="AM225" i="7" s="1"/>
  <c r="AM226" i="7" s="1"/>
  <c r="AM227" i="7" s="1"/>
  <c r="AM228" i="7" s="1"/>
  <c r="AM229" i="7" s="1"/>
  <c r="AM230" i="7" s="1"/>
  <c r="AM231" i="7" s="1"/>
  <c r="AM232" i="7" s="1"/>
  <c r="AM233" i="7" s="1"/>
  <c r="AM234" i="7" s="1"/>
  <c r="AM235" i="7" s="1"/>
  <c r="AM236" i="7" s="1"/>
  <c r="AM237" i="7" s="1"/>
  <c r="AM238" i="7" s="1"/>
  <c r="AM239" i="7" s="1"/>
  <c r="AM240" i="7" s="1"/>
  <c r="AM241" i="7" s="1"/>
  <c r="AM242" i="7" s="1"/>
  <c r="AM243" i="7" s="1"/>
  <c r="AM244" i="7" s="1"/>
  <c r="AM245" i="7" s="1"/>
  <c r="AM246" i="7" s="1"/>
  <c r="AM247" i="7" s="1"/>
  <c r="AM248" i="7" s="1"/>
  <c r="AM249" i="7" s="1"/>
  <c r="AM250" i="7" s="1"/>
  <c r="AM251" i="7" s="1"/>
  <c r="AM252" i="7" s="1"/>
  <c r="AM253" i="7" s="1"/>
  <c r="AM254" i="7" s="1"/>
  <c r="AM255" i="7" s="1"/>
  <c r="AM256" i="7" s="1"/>
  <c r="AM257" i="7" s="1"/>
  <c r="AM258" i="7" s="1"/>
  <c r="AM259" i="7" s="1"/>
  <c r="AM260" i="7" s="1"/>
  <c r="AM261" i="7" s="1"/>
  <c r="AM262" i="7" s="1"/>
  <c r="AM263" i="7" s="1"/>
  <c r="AM264" i="7" s="1"/>
  <c r="AM265" i="7" s="1"/>
  <c r="AM266" i="7" s="1"/>
  <c r="AM267" i="7" s="1"/>
  <c r="AM268" i="7" s="1"/>
  <c r="AM269" i="7" s="1"/>
  <c r="AM270" i="7" s="1"/>
  <c r="AM271" i="7" s="1"/>
  <c r="AM272" i="7" s="1"/>
  <c r="AM273" i="7" s="1"/>
  <c r="AM274" i="7" s="1"/>
  <c r="AM275" i="7" s="1"/>
  <c r="AM276" i="7" s="1"/>
  <c r="AM277" i="7" s="1"/>
  <c r="AM278" i="7" s="1"/>
  <c r="AM279" i="7" s="1"/>
  <c r="AM280" i="7" s="1"/>
  <c r="AM281" i="7" s="1"/>
  <c r="AM282" i="7" s="1"/>
  <c r="AM283" i="7" s="1"/>
  <c r="AM284" i="7" s="1"/>
  <c r="AM285" i="7" s="1"/>
  <c r="AM286" i="7" s="1"/>
  <c r="AM287" i="7" s="1"/>
  <c r="AM288" i="7" s="1"/>
  <c r="AM289" i="7" s="1"/>
  <c r="AM290" i="7" s="1"/>
  <c r="AM291" i="7" s="1"/>
  <c r="AM292" i="7" s="1"/>
  <c r="AM293" i="7" s="1"/>
  <c r="AM294" i="7" s="1"/>
  <c r="AM295" i="7" s="1"/>
  <c r="AM296" i="7" s="1"/>
  <c r="AM297" i="7" s="1"/>
  <c r="AM298" i="7" s="1"/>
  <c r="AM299" i="7" s="1"/>
  <c r="AM300" i="7" s="1"/>
  <c r="AM301" i="7" s="1"/>
  <c r="AM302" i="7" s="1"/>
  <c r="AM303" i="7" s="1"/>
  <c r="AM304" i="7" s="1"/>
  <c r="AM305" i="7" s="1"/>
  <c r="AM306" i="7" s="1"/>
  <c r="AM307" i="7" s="1"/>
  <c r="AM308" i="7" s="1"/>
  <c r="AM309" i="7" s="1"/>
  <c r="AM310" i="7" s="1"/>
  <c r="AM311" i="7" s="1"/>
  <c r="AM312" i="7" s="1"/>
  <c r="AM313" i="7" s="1"/>
  <c r="AM314" i="7" s="1"/>
  <c r="AM315" i="7" s="1"/>
  <c r="AM316" i="7" s="1"/>
  <c r="AM317" i="7" s="1"/>
  <c r="AM318" i="7" s="1"/>
  <c r="AM319" i="7" s="1"/>
  <c r="AM320" i="7" s="1"/>
  <c r="AM321" i="7" s="1"/>
  <c r="AM322" i="7" s="1"/>
  <c r="AM323" i="7" s="1"/>
  <c r="AM324" i="7" s="1"/>
  <c r="AM325" i="7" s="1"/>
  <c r="AM326" i="7" s="1"/>
  <c r="AM327" i="7" s="1"/>
  <c r="AM328" i="7" s="1"/>
  <c r="AM329" i="7" s="1"/>
  <c r="AM330" i="7" s="1"/>
  <c r="AM331" i="7" s="1"/>
  <c r="AM332" i="7" s="1"/>
  <c r="AM333" i="7" s="1"/>
  <c r="AM334" i="7" s="1"/>
  <c r="AM335" i="7" s="1"/>
  <c r="AM336" i="7" s="1"/>
  <c r="AM337" i="7" s="1"/>
  <c r="AM338" i="7" s="1"/>
  <c r="AM339" i="7" s="1"/>
  <c r="AM340" i="7" s="1"/>
  <c r="AM341" i="7" s="1"/>
  <c r="AM342" i="7" s="1"/>
  <c r="AM343" i="7" s="1"/>
  <c r="AM344" i="7" s="1"/>
  <c r="AM345" i="7" s="1"/>
  <c r="AM346" i="7" s="1"/>
  <c r="AM347" i="7" s="1"/>
  <c r="AM348" i="7" s="1"/>
  <c r="AM349" i="7" s="1"/>
  <c r="AM350" i="7" s="1"/>
  <c r="AM351" i="7" s="1"/>
  <c r="AM352" i="7" s="1"/>
  <c r="AM353" i="7" s="1"/>
  <c r="AM354" i="7" s="1"/>
  <c r="AM355" i="7" s="1"/>
  <c r="AM356" i="7" s="1"/>
  <c r="AM357" i="7" s="1"/>
  <c r="AM358" i="7" s="1"/>
  <c r="AM359" i="7" s="1"/>
  <c r="AM360" i="7" s="1"/>
  <c r="AM361" i="7" s="1"/>
  <c r="AM362" i="7" s="1"/>
  <c r="AM363" i="7" s="1"/>
  <c r="AM364" i="7" s="1"/>
  <c r="AM365" i="7" s="1"/>
  <c r="AM366" i="7" s="1"/>
  <c r="AM367" i="7" s="1"/>
  <c r="AM368" i="7" s="1"/>
  <c r="AM369" i="7" s="1"/>
  <c r="AM370" i="7" s="1"/>
  <c r="AM371" i="7" s="1"/>
  <c r="AM372" i="7" s="1"/>
  <c r="AM373" i="7" s="1"/>
  <c r="AM374" i="7" s="1"/>
  <c r="AM375" i="7" s="1"/>
  <c r="AM376" i="7" s="1"/>
  <c r="AM377" i="7" s="1"/>
  <c r="AM378" i="7" s="1"/>
  <c r="AM379" i="7" s="1"/>
  <c r="AM380" i="7" s="1"/>
  <c r="AM381" i="7" s="1"/>
  <c r="AM382" i="7" s="1"/>
  <c r="AM383" i="7" s="1"/>
  <c r="AM384" i="7" s="1"/>
  <c r="AM385" i="7" s="1"/>
  <c r="AM386" i="7" s="1"/>
  <c r="AM387" i="7" s="1"/>
  <c r="AM388" i="7" s="1"/>
  <c r="AM389" i="7" s="1"/>
  <c r="AM390" i="7" s="1"/>
  <c r="AM391" i="7" s="1"/>
  <c r="AM392" i="7" s="1"/>
  <c r="AM393" i="7" s="1"/>
  <c r="AM394" i="7" s="1"/>
  <c r="AM395" i="7" s="1"/>
  <c r="AM396" i="7" s="1"/>
  <c r="AM397" i="7" s="1"/>
  <c r="AM398" i="7" s="1"/>
  <c r="AM399" i="7" s="1"/>
  <c r="AG51" i="7"/>
  <c r="AG52" i="7" s="1"/>
  <c r="AG53" i="7" s="1"/>
  <c r="AG54" i="7" s="1"/>
  <c r="AG55" i="7" s="1"/>
  <c r="AG56" i="7" s="1"/>
  <c r="AG57" i="7" s="1"/>
  <c r="AG58" i="7" s="1"/>
  <c r="AG59" i="7" s="1"/>
  <c r="AG60" i="7" s="1"/>
  <c r="AG61" i="7" s="1"/>
  <c r="AG62" i="7" s="1"/>
  <c r="AG63" i="7" s="1"/>
  <c r="AG64" i="7" s="1"/>
  <c r="AG65" i="7" s="1"/>
  <c r="AG66" i="7" s="1"/>
  <c r="AG67" i="7" s="1"/>
  <c r="AG68" i="7" s="1"/>
  <c r="AG69" i="7" s="1"/>
  <c r="AG70" i="7" s="1"/>
  <c r="AG71" i="7" s="1"/>
  <c r="AG72" i="7" s="1"/>
  <c r="AG73" i="7" s="1"/>
  <c r="AG74" i="7" s="1"/>
  <c r="AG75" i="7" s="1"/>
  <c r="AG76" i="7" s="1"/>
  <c r="AG77" i="7" s="1"/>
  <c r="AG78" i="7" s="1"/>
  <c r="AG79" i="7" s="1"/>
  <c r="AG80" i="7" s="1"/>
  <c r="AG81" i="7" s="1"/>
  <c r="AG82" i="7" s="1"/>
  <c r="AG83" i="7" s="1"/>
  <c r="AG84" i="7" s="1"/>
  <c r="AG85" i="7" s="1"/>
  <c r="AG86" i="7" s="1"/>
  <c r="AG87" i="7" s="1"/>
  <c r="AG88" i="7" s="1"/>
  <c r="AG89" i="7" s="1"/>
  <c r="AG90" i="7" s="1"/>
  <c r="AG91" i="7" s="1"/>
  <c r="AG92" i="7" s="1"/>
  <c r="AG93" i="7" s="1"/>
  <c r="AG94" i="7" s="1"/>
  <c r="AG95" i="7" s="1"/>
  <c r="AG96" i="7" s="1"/>
  <c r="AG97" i="7" s="1"/>
  <c r="AG98" i="7" s="1"/>
  <c r="AG99" i="7" s="1"/>
  <c r="AG100" i="7" s="1"/>
  <c r="AG101" i="7" s="1"/>
  <c r="AG102" i="7" s="1"/>
  <c r="AG103" i="7" s="1"/>
  <c r="AG104" i="7" s="1"/>
  <c r="AG105" i="7" s="1"/>
  <c r="AG106" i="7" s="1"/>
  <c r="AG107" i="7" s="1"/>
  <c r="AG108" i="7" s="1"/>
  <c r="AG109" i="7" s="1"/>
  <c r="AG110" i="7" s="1"/>
  <c r="AG111" i="7" s="1"/>
  <c r="AG112" i="7" s="1"/>
  <c r="AG113" i="7" s="1"/>
  <c r="AG114" i="7" s="1"/>
  <c r="AG115" i="7" s="1"/>
  <c r="AG116" i="7" s="1"/>
  <c r="AG117" i="7" s="1"/>
  <c r="AG118" i="7" s="1"/>
  <c r="AG119" i="7" s="1"/>
  <c r="AG120" i="7" s="1"/>
  <c r="AG121" i="7" s="1"/>
  <c r="AG122" i="7" s="1"/>
  <c r="AG123" i="7" s="1"/>
  <c r="AG124" i="7" s="1"/>
  <c r="AG125" i="7" s="1"/>
  <c r="AG126" i="7" s="1"/>
  <c r="AG127" i="7" s="1"/>
  <c r="AG128" i="7" s="1"/>
  <c r="AG129" i="7" s="1"/>
  <c r="AG130" i="7" s="1"/>
  <c r="AG131" i="7" s="1"/>
  <c r="AG132" i="7" s="1"/>
  <c r="AG133" i="7" s="1"/>
  <c r="AG134" i="7" s="1"/>
  <c r="AG135" i="7" s="1"/>
  <c r="AG136" i="7" s="1"/>
  <c r="AG137" i="7" s="1"/>
  <c r="AG138" i="7" s="1"/>
  <c r="AG139" i="7" s="1"/>
  <c r="AG140" i="7" s="1"/>
  <c r="AG141" i="7" s="1"/>
  <c r="AG142" i="7" s="1"/>
  <c r="AG143" i="7" s="1"/>
  <c r="AG144" i="7" s="1"/>
  <c r="AG145" i="7" s="1"/>
  <c r="AG146" i="7" s="1"/>
  <c r="AG147" i="7" s="1"/>
  <c r="AG148" i="7" s="1"/>
  <c r="AG149" i="7" s="1"/>
  <c r="AG150" i="7" s="1"/>
  <c r="AG151" i="7" s="1"/>
  <c r="AG152" i="7" s="1"/>
  <c r="AG153" i="7" s="1"/>
  <c r="AG154" i="7" s="1"/>
  <c r="AG155" i="7" s="1"/>
  <c r="AG156" i="7" s="1"/>
  <c r="AG157" i="7" s="1"/>
  <c r="AG158" i="7" s="1"/>
  <c r="AG159" i="7" s="1"/>
  <c r="AG160" i="7" s="1"/>
  <c r="AG161" i="7" s="1"/>
  <c r="AG162" i="7" s="1"/>
  <c r="AG163" i="7" s="1"/>
  <c r="AG164" i="7" s="1"/>
  <c r="AG165" i="7" s="1"/>
  <c r="AG166" i="7" s="1"/>
  <c r="AG167" i="7" s="1"/>
  <c r="AG168" i="7" s="1"/>
  <c r="AG169" i="7" s="1"/>
  <c r="AG170" i="7" s="1"/>
  <c r="AG171" i="7" s="1"/>
  <c r="AG172" i="7" s="1"/>
  <c r="AG173" i="7" s="1"/>
  <c r="AG174" i="7" s="1"/>
  <c r="AG175" i="7" s="1"/>
  <c r="AG176" i="7" s="1"/>
  <c r="AG177" i="7" s="1"/>
  <c r="AG178" i="7" s="1"/>
  <c r="AG179" i="7" s="1"/>
  <c r="AG180" i="7" s="1"/>
  <c r="AG181" i="7" s="1"/>
  <c r="AG182" i="7" s="1"/>
  <c r="AG183" i="7" s="1"/>
  <c r="AG184" i="7" s="1"/>
  <c r="AG185" i="7" s="1"/>
  <c r="AG186" i="7" s="1"/>
  <c r="AG187" i="7" s="1"/>
  <c r="AG188" i="7" s="1"/>
  <c r="AG189" i="7" s="1"/>
  <c r="AG190" i="7" s="1"/>
  <c r="AG191" i="7" s="1"/>
  <c r="AG192" i="7" s="1"/>
  <c r="AG193" i="7" s="1"/>
  <c r="AG194" i="7" s="1"/>
  <c r="AG195" i="7" s="1"/>
  <c r="AG196" i="7" s="1"/>
  <c r="AG197" i="7" s="1"/>
  <c r="AG198" i="7" s="1"/>
  <c r="AG199" i="7" s="1"/>
  <c r="AG200" i="7" s="1"/>
  <c r="AG201" i="7" s="1"/>
  <c r="AG202" i="7" s="1"/>
  <c r="AG203" i="7" s="1"/>
  <c r="AG204" i="7" s="1"/>
  <c r="AG205" i="7" s="1"/>
  <c r="AG206" i="7" s="1"/>
  <c r="AG207" i="7" s="1"/>
  <c r="AG208" i="7" s="1"/>
  <c r="AG209" i="7" s="1"/>
  <c r="AG210" i="7" s="1"/>
  <c r="AG211" i="7" s="1"/>
  <c r="AG212" i="7" s="1"/>
  <c r="AG213" i="7" s="1"/>
  <c r="AG214" i="7" s="1"/>
  <c r="AG215" i="7" s="1"/>
  <c r="AG216" i="7" s="1"/>
  <c r="AG217" i="7" s="1"/>
  <c r="AG218" i="7" s="1"/>
  <c r="AG219" i="7" s="1"/>
  <c r="AG220" i="7" s="1"/>
  <c r="AG221" i="7" s="1"/>
  <c r="AG222" i="7" s="1"/>
  <c r="AG223" i="7" s="1"/>
  <c r="AG224" i="7" s="1"/>
  <c r="AG225" i="7" s="1"/>
  <c r="AG226" i="7" s="1"/>
  <c r="AG227" i="7" s="1"/>
  <c r="AG228" i="7" s="1"/>
  <c r="AG229" i="7" s="1"/>
  <c r="AG230" i="7" s="1"/>
  <c r="AG231" i="7" s="1"/>
  <c r="AG232" i="7" s="1"/>
  <c r="AG233" i="7" s="1"/>
  <c r="AG234" i="7" s="1"/>
  <c r="AG235" i="7" s="1"/>
  <c r="AG236" i="7" s="1"/>
  <c r="AG237" i="7" s="1"/>
  <c r="AG238" i="7" s="1"/>
  <c r="AG239" i="7" s="1"/>
  <c r="AG240" i="7" s="1"/>
  <c r="AG241" i="7" s="1"/>
  <c r="AG242" i="7" s="1"/>
  <c r="AG243" i="7" s="1"/>
  <c r="AG244" i="7" s="1"/>
  <c r="AG245" i="7" s="1"/>
  <c r="AG246" i="7" s="1"/>
  <c r="AG247" i="7" s="1"/>
  <c r="AG248" i="7" s="1"/>
  <c r="AG249" i="7" s="1"/>
  <c r="AG250" i="7" s="1"/>
  <c r="AG251" i="7" s="1"/>
  <c r="AG252" i="7" s="1"/>
  <c r="AG253" i="7" s="1"/>
  <c r="AG254" i="7" s="1"/>
  <c r="AG255" i="7" s="1"/>
  <c r="AG256" i="7" s="1"/>
  <c r="AG257" i="7" s="1"/>
  <c r="AG258" i="7" s="1"/>
  <c r="AG259" i="7" s="1"/>
  <c r="AG260" i="7" s="1"/>
  <c r="AG261" i="7" s="1"/>
  <c r="AG262" i="7" s="1"/>
  <c r="AG263" i="7" s="1"/>
  <c r="AG264" i="7" s="1"/>
  <c r="AG265" i="7" s="1"/>
  <c r="AG266" i="7" s="1"/>
  <c r="AG267" i="7" s="1"/>
  <c r="AG268" i="7" s="1"/>
  <c r="AG269" i="7" s="1"/>
  <c r="AG270" i="7" s="1"/>
  <c r="AG271" i="7" s="1"/>
  <c r="AG272" i="7" s="1"/>
  <c r="AG273" i="7" s="1"/>
  <c r="AG274" i="7" s="1"/>
  <c r="AG275" i="7" s="1"/>
  <c r="AG276" i="7" s="1"/>
  <c r="AG277" i="7" s="1"/>
  <c r="AG278" i="7" s="1"/>
  <c r="AG279" i="7" s="1"/>
  <c r="AG280" i="7" s="1"/>
  <c r="AG281" i="7" s="1"/>
  <c r="AG282" i="7" s="1"/>
  <c r="AG283" i="7" s="1"/>
  <c r="AG284" i="7" s="1"/>
  <c r="AG285" i="7" s="1"/>
  <c r="AG286" i="7" s="1"/>
  <c r="AG287" i="7" s="1"/>
  <c r="AG288" i="7" s="1"/>
  <c r="AG289" i="7" s="1"/>
  <c r="AG290" i="7" s="1"/>
  <c r="AG291" i="7" s="1"/>
  <c r="AG292" i="7" s="1"/>
  <c r="AG293" i="7" s="1"/>
  <c r="AG294" i="7" s="1"/>
  <c r="AG295" i="7" s="1"/>
  <c r="AG296" i="7" s="1"/>
  <c r="AG297" i="7" s="1"/>
  <c r="AG298" i="7" s="1"/>
  <c r="AG299" i="7" s="1"/>
  <c r="AG300" i="7" s="1"/>
  <c r="AG301" i="7" s="1"/>
  <c r="AG302" i="7" s="1"/>
  <c r="AG303" i="7" s="1"/>
  <c r="AG304" i="7" s="1"/>
  <c r="AG305" i="7" s="1"/>
  <c r="AG306" i="7" s="1"/>
  <c r="AG307" i="7" s="1"/>
  <c r="AG308" i="7" s="1"/>
  <c r="AG309" i="7" s="1"/>
  <c r="AG310" i="7" s="1"/>
  <c r="AG311" i="7" s="1"/>
  <c r="AG312" i="7" s="1"/>
  <c r="AG313" i="7" s="1"/>
  <c r="AG314" i="7" s="1"/>
  <c r="AG315" i="7" s="1"/>
  <c r="AG316" i="7" s="1"/>
  <c r="AG317" i="7" s="1"/>
  <c r="AG318" i="7" s="1"/>
  <c r="AG319" i="7" s="1"/>
  <c r="AG320" i="7" s="1"/>
  <c r="AG321" i="7" s="1"/>
  <c r="AG322" i="7" s="1"/>
  <c r="AG323" i="7" s="1"/>
  <c r="AG324" i="7" s="1"/>
  <c r="AG325" i="7" s="1"/>
  <c r="AG326" i="7" s="1"/>
  <c r="AG327" i="7" s="1"/>
  <c r="AG328" i="7" s="1"/>
  <c r="AG329" i="7" s="1"/>
  <c r="AG330" i="7" s="1"/>
  <c r="AG331" i="7" s="1"/>
  <c r="AG332" i="7" s="1"/>
  <c r="AG333" i="7" s="1"/>
  <c r="AG334" i="7" s="1"/>
  <c r="AG335" i="7" s="1"/>
  <c r="AG336" i="7" s="1"/>
  <c r="AG337" i="7" s="1"/>
  <c r="AG338" i="7" s="1"/>
  <c r="AG339" i="7" s="1"/>
  <c r="AG340" i="7" s="1"/>
  <c r="AG341" i="7" s="1"/>
  <c r="AG342" i="7" s="1"/>
  <c r="AG343" i="7" s="1"/>
  <c r="AG344" i="7" s="1"/>
  <c r="AG345" i="7" s="1"/>
  <c r="AG346" i="7" s="1"/>
  <c r="AG347" i="7" s="1"/>
  <c r="AG348" i="7" s="1"/>
  <c r="AG349" i="7" s="1"/>
  <c r="AG350" i="7" s="1"/>
  <c r="AG351" i="7" s="1"/>
  <c r="AG352" i="7" s="1"/>
  <c r="AG353" i="7" s="1"/>
  <c r="AG354" i="7" s="1"/>
  <c r="AG355" i="7" s="1"/>
  <c r="AG356" i="7" s="1"/>
  <c r="AG357" i="7" s="1"/>
  <c r="AG358" i="7" s="1"/>
  <c r="AG359" i="7" s="1"/>
  <c r="AG360" i="7" s="1"/>
  <c r="AG361" i="7" s="1"/>
  <c r="AG362" i="7" s="1"/>
  <c r="AG363" i="7" s="1"/>
  <c r="AG364" i="7" s="1"/>
  <c r="AG365" i="7" s="1"/>
  <c r="AG366" i="7" s="1"/>
  <c r="AG367" i="7" s="1"/>
  <c r="AG368" i="7" s="1"/>
  <c r="AG369" i="7" s="1"/>
  <c r="AG370" i="7" s="1"/>
  <c r="AG371" i="7" s="1"/>
  <c r="AG372" i="7" s="1"/>
  <c r="AG373" i="7" s="1"/>
  <c r="AG374" i="7" s="1"/>
  <c r="AG375" i="7" s="1"/>
  <c r="AG376" i="7" s="1"/>
  <c r="AG377" i="7" s="1"/>
  <c r="AG378" i="7" s="1"/>
  <c r="AG379" i="7" s="1"/>
  <c r="AG380" i="7" s="1"/>
  <c r="AG381" i="7" s="1"/>
  <c r="AG382" i="7" s="1"/>
  <c r="AG383" i="7" s="1"/>
  <c r="AG384" i="7" s="1"/>
  <c r="AG385" i="7" s="1"/>
  <c r="AG386" i="7" s="1"/>
  <c r="AG387" i="7" s="1"/>
  <c r="AG388" i="7" s="1"/>
  <c r="AG389" i="7" s="1"/>
  <c r="AG390" i="7" s="1"/>
  <c r="AG391" i="7" s="1"/>
  <c r="AG392" i="7" s="1"/>
  <c r="AG393" i="7" s="1"/>
  <c r="AG394" i="7" s="1"/>
  <c r="AG395" i="7" s="1"/>
  <c r="AG396" i="7" s="1"/>
  <c r="AG397" i="7" s="1"/>
  <c r="AG398" i="7" s="1"/>
  <c r="AG399" i="7" s="1"/>
  <c r="AK51" i="7"/>
  <c r="AK52" i="7" s="1"/>
  <c r="AK53" i="7" s="1"/>
  <c r="AK54" i="7" s="1"/>
  <c r="AK55" i="7" s="1"/>
  <c r="AK56" i="7" s="1"/>
  <c r="AK57" i="7" s="1"/>
  <c r="AK58" i="7" s="1"/>
  <c r="AK59" i="7" s="1"/>
  <c r="AK60" i="7" s="1"/>
  <c r="AK61" i="7" s="1"/>
  <c r="AK62" i="7" s="1"/>
  <c r="AK63" i="7" s="1"/>
  <c r="AK64" i="7" s="1"/>
  <c r="AK65" i="7" s="1"/>
  <c r="AK66" i="7" s="1"/>
  <c r="AK67" i="7" s="1"/>
  <c r="AK68" i="7" s="1"/>
  <c r="AK69" i="7" s="1"/>
  <c r="AK70" i="7" s="1"/>
  <c r="AK71" i="7" s="1"/>
  <c r="AK72" i="7" s="1"/>
  <c r="AK73" i="7" s="1"/>
  <c r="AK74" i="7" s="1"/>
  <c r="AK75" i="7" s="1"/>
  <c r="AK76" i="7" s="1"/>
  <c r="AK77" i="7" s="1"/>
  <c r="AK78" i="7" s="1"/>
  <c r="AK79" i="7" s="1"/>
  <c r="AK80" i="7" s="1"/>
  <c r="AK81" i="7" s="1"/>
  <c r="AK82" i="7" s="1"/>
  <c r="AK83" i="7" s="1"/>
  <c r="AK84" i="7" s="1"/>
  <c r="AK85" i="7" s="1"/>
  <c r="AK86" i="7" s="1"/>
  <c r="AK87" i="7" s="1"/>
  <c r="AK88" i="7" s="1"/>
  <c r="AK89" i="7" s="1"/>
  <c r="AK90" i="7" s="1"/>
  <c r="AK91" i="7" s="1"/>
  <c r="AK92" i="7" s="1"/>
  <c r="AK93" i="7" s="1"/>
  <c r="AK94" i="7" s="1"/>
  <c r="AK95" i="7" s="1"/>
  <c r="AK96" i="7" s="1"/>
  <c r="AK97" i="7" s="1"/>
  <c r="AK98" i="7" s="1"/>
  <c r="AK99" i="7" s="1"/>
  <c r="AK100" i="7" s="1"/>
  <c r="AK101" i="7" s="1"/>
  <c r="AK102" i="7" s="1"/>
  <c r="AK103" i="7" s="1"/>
  <c r="AK104" i="7" s="1"/>
  <c r="AK105" i="7" s="1"/>
  <c r="AK106" i="7" s="1"/>
  <c r="AK107" i="7" s="1"/>
  <c r="AK108" i="7" s="1"/>
  <c r="AK109" i="7" s="1"/>
  <c r="AK110" i="7" s="1"/>
  <c r="AK111" i="7" s="1"/>
  <c r="AK112" i="7" s="1"/>
  <c r="AK113" i="7" s="1"/>
  <c r="AK114" i="7" s="1"/>
  <c r="AK115" i="7" s="1"/>
  <c r="AK116" i="7" s="1"/>
  <c r="AK117" i="7" s="1"/>
  <c r="AK118" i="7" s="1"/>
  <c r="AK119" i="7" s="1"/>
  <c r="AK120" i="7" s="1"/>
  <c r="AK121" i="7" s="1"/>
  <c r="AK122" i="7" s="1"/>
  <c r="AK123" i="7" s="1"/>
  <c r="AK124" i="7" s="1"/>
  <c r="AK125" i="7" s="1"/>
  <c r="AK126" i="7" s="1"/>
  <c r="AK127" i="7" s="1"/>
  <c r="AK128" i="7" s="1"/>
  <c r="AK129" i="7" s="1"/>
  <c r="AK130" i="7" s="1"/>
  <c r="AK131" i="7" s="1"/>
  <c r="AK132" i="7" s="1"/>
  <c r="AK133" i="7" s="1"/>
  <c r="AK134" i="7" s="1"/>
  <c r="AK135" i="7" s="1"/>
  <c r="AK136" i="7" s="1"/>
  <c r="AK137" i="7" s="1"/>
  <c r="AK138" i="7" s="1"/>
  <c r="AK139" i="7" s="1"/>
  <c r="AK140" i="7" s="1"/>
  <c r="AK141" i="7" s="1"/>
  <c r="AK142" i="7" s="1"/>
  <c r="AK143" i="7" s="1"/>
  <c r="AK144" i="7" s="1"/>
  <c r="AK145" i="7" s="1"/>
  <c r="AK146" i="7" s="1"/>
  <c r="AK147" i="7" s="1"/>
  <c r="AK148" i="7" s="1"/>
  <c r="AK149" i="7" s="1"/>
  <c r="AK150" i="7" s="1"/>
  <c r="AK151" i="7" s="1"/>
  <c r="AK152" i="7" s="1"/>
  <c r="AK153" i="7" s="1"/>
  <c r="AK154" i="7" s="1"/>
  <c r="AK155" i="7" s="1"/>
  <c r="AK156" i="7" s="1"/>
  <c r="AK157" i="7" s="1"/>
  <c r="AK158" i="7" s="1"/>
  <c r="AK159" i="7" s="1"/>
  <c r="AK160" i="7" s="1"/>
  <c r="AK161" i="7" s="1"/>
  <c r="AK162" i="7" s="1"/>
  <c r="AK163" i="7" s="1"/>
  <c r="AK164" i="7" s="1"/>
  <c r="AK165" i="7" s="1"/>
  <c r="AK166" i="7" s="1"/>
  <c r="AK167" i="7" s="1"/>
  <c r="AK168" i="7" s="1"/>
  <c r="AK169" i="7" s="1"/>
  <c r="AK170" i="7" s="1"/>
  <c r="AK171" i="7" s="1"/>
  <c r="AK172" i="7" s="1"/>
  <c r="AK173" i="7" s="1"/>
  <c r="AK174" i="7" s="1"/>
  <c r="AK175" i="7" s="1"/>
  <c r="AK176" i="7" s="1"/>
  <c r="AK177" i="7" s="1"/>
  <c r="AK178" i="7" s="1"/>
  <c r="AK179" i="7" s="1"/>
  <c r="AK180" i="7" s="1"/>
  <c r="AK181" i="7" s="1"/>
  <c r="AK182" i="7" s="1"/>
  <c r="AK183" i="7" s="1"/>
  <c r="AK184" i="7" s="1"/>
  <c r="AK185" i="7" s="1"/>
  <c r="AK186" i="7" s="1"/>
  <c r="AK187" i="7" s="1"/>
  <c r="AK188" i="7" s="1"/>
  <c r="AK189" i="7" s="1"/>
  <c r="AK190" i="7" s="1"/>
  <c r="AK191" i="7" s="1"/>
  <c r="AK192" i="7" s="1"/>
  <c r="AK193" i="7" s="1"/>
  <c r="AK194" i="7" s="1"/>
  <c r="AK195" i="7" s="1"/>
  <c r="AK196" i="7" s="1"/>
  <c r="AK197" i="7" s="1"/>
  <c r="AK198" i="7" s="1"/>
  <c r="AK199" i="7" s="1"/>
  <c r="AK200" i="7" s="1"/>
  <c r="AK201" i="7" s="1"/>
  <c r="AK202" i="7" s="1"/>
  <c r="AK203" i="7" s="1"/>
  <c r="AK204" i="7" s="1"/>
  <c r="AK205" i="7" s="1"/>
  <c r="AK206" i="7" s="1"/>
  <c r="AK207" i="7" s="1"/>
  <c r="AK208" i="7" s="1"/>
  <c r="AK209" i="7" s="1"/>
  <c r="AK210" i="7" s="1"/>
  <c r="AK211" i="7" s="1"/>
  <c r="AK212" i="7" s="1"/>
  <c r="AK213" i="7" s="1"/>
  <c r="AK214" i="7" s="1"/>
  <c r="AK215" i="7" s="1"/>
  <c r="AK216" i="7" s="1"/>
  <c r="AK217" i="7" s="1"/>
  <c r="AK218" i="7" s="1"/>
  <c r="AK219" i="7" s="1"/>
  <c r="AK220" i="7" s="1"/>
  <c r="AK221" i="7" s="1"/>
  <c r="AK222" i="7" s="1"/>
  <c r="AK223" i="7" s="1"/>
  <c r="AK224" i="7" s="1"/>
  <c r="AK225" i="7" s="1"/>
  <c r="AK226" i="7" s="1"/>
  <c r="AK227" i="7" s="1"/>
  <c r="AK228" i="7" s="1"/>
  <c r="AK229" i="7" s="1"/>
  <c r="AK230" i="7" s="1"/>
  <c r="AK231" i="7" s="1"/>
  <c r="AK232" i="7" s="1"/>
  <c r="AK233" i="7" s="1"/>
  <c r="AK234" i="7" s="1"/>
  <c r="AK235" i="7" s="1"/>
  <c r="AK236" i="7" s="1"/>
  <c r="AK237" i="7" s="1"/>
  <c r="AK238" i="7" s="1"/>
  <c r="AK239" i="7" s="1"/>
  <c r="AK240" i="7" s="1"/>
  <c r="AK241" i="7" s="1"/>
  <c r="AK242" i="7" s="1"/>
  <c r="AK243" i="7" s="1"/>
  <c r="AK244" i="7" s="1"/>
  <c r="AK245" i="7" s="1"/>
  <c r="AK246" i="7" s="1"/>
  <c r="AK247" i="7" s="1"/>
  <c r="AK248" i="7" s="1"/>
  <c r="AK249" i="7" s="1"/>
  <c r="AK250" i="7" s="1"/>
  <c r="AK251" i="7" s="1"/>
  <c r="AK252" i="7" s="1"/>
  <c r="AK253" i="7" s="1"/>
  <c r="AK254" i="7" s="1"/>
  <c r="AK255" i="7" s="1"/>
  <c r="AK256" i="7" s="1"/>
  <c r="AK257" i="7" s="1"/>
  <c r="AK258" i="7" s="1"/>
  <c r="AK259" i="7" s="1"/>
  <c r="AK260" i="7" s="1"/>
  <c r="AK261" i="7" s="1"/>
  <c r="AK262" i="7" s="1"/>
  <c r="AK263" i="7" s="1"/>
  <c r="AK264" i="7" s="1"/>
  <c r="AK265" i="7" s="1"/>
  <c r="AK266" i="7" s="1"/>
  <c r="AK267" i="7" s="1"/>
  <c r="AK268" i="7" s="1"/>
  <c r="AK269" i="7" s="1"/>
  <c r="AK270" i="7" s="1"/>
  <c r="AK271" i="7" s="1"/>
  <c r="AK272" i="7" s="1"/>
  <c r="AK273" i="7" s="1"/>
  <c r="AK274" i="7" s="1"/>
  <c r="AK275" i="7" s="1"/>
  <c r="AK276" i="7" s="1"/>
  <c r="AK277" i="7" s="1"/>
  <c r="AK278" i="7" s="1"/>
  <c r="AK279" i="7" s="1"/>
  <c r="AK280" i="7" s="1"/>
  <c r="AK281" i="7" s="1"/>
  <c r="AK282" i="7" s="1"/>
  <c r="AK283" i="7" s="1"/>
  <c r="AK284" i="7" s="1"/>
  <c r="AK285" i="7" s="1"/>
  <c r="AK286" i="7" s="1"/>
  <c r="AK287" i="7" s="1"/>
  <c r="AK288" i="7" s="1"/>
  <c r="AK289" i="7" s="1"/>
  <c r="AK290" i="7" s="1"/>
  <c r="AK291" i="7" s="1"/>
  <c r="AK292" i="7" s="1"/>
  <c r="AK293" i="7" s="1"/>
  <c r="AK294" i="7" s="1"/>
  <c r="AK295" i="7" s="1"/>
  <c r="AK296" i="7" s="1"/>
  <c r="AK297" i="7" s="1"/>
  <c r="AK298" i="7" s="1"/>
  <c r="AK299" i="7" s="1"/>
  <c r="AK300" i="7" s="1"/>
  <c r="AK301" i="7" s="1"/>
  <c r="AK302" i="7" s="1"/>
  <c r="AK303" i="7" s="1"/>
  <c r="AK304" i="7" s="1"/>
  <c r="AK305" i="7" s="1"/>
  <c r="AK306" i="7" s="1"/>
  <c r="AK307" i="7" s="1"/>
  <c r="AK308" i="7" s="1"/>
  <c r="AK309" i="7" s="1"/>
  <c r="AK310" i="7" s="1"/>
  <c r="AK311" i="7" s="1"/>
  <c r="AK312" i="7" s="1"/>
  <c r="AK313" i="7" s="1"/>
  <c r="AK314" i="7" s="1"/>
  <c r="AK315" i="7" s="1"/>
  <c r="AK316" i="7" s="1"/>
  <c r="AK317" i="7" s="1"/>
  <c r="AK318" i="7" s="1"/>
  <c r="AK319" i="7" s="1"/>
  <c r="AK320" i="7" s="1"/>
  <c r="AK321" i="7" s="1"/>
  <c r="AK322" i="7" s="1"/>
  <c r="AK323" i="7" s="1"/>
  <c r="AK324" i="7" s="1"/>
  <c r="AK325" i="7" s="1"/>
  <c r="AK326" i="7" s="1"/>
  <c r="AK327" i="7" s="1"/>
  <c r="AK328" i="7" s="1"/>
  <c r="AK329" i="7" s="1"/>
  <c r="AK330" i="7" s="1"/>
  <c r="AK331" i="7" s="1"/>
  <c r="AK332" i="7" s="1"/>
  <c r="AK333" i="7" s="1"/>
  <c r="AK334" i="7" s="1"/>
  <c r="AK335" i="7" s="1"/>
  <c r="AK336" i="7" s="1"/>
  <c r="AK337" i="7" s="1"/>
  <c r="AK338" i="7" s="1"/>
  <c r="AK339" i="7" s="1"/>
  <c r="AK340" i="7" s="1"/>
  <c r="AK341" i="7" s="1"/>
  <c r="AK342" i="7" s="1"/>
  <c r="AK343" i="7" s="1"/>
  <c r="AK344" i="7" s="1"/>
  <c r="AK345" i="7" s="1"/>
  <c r="AK346" i="7" s="1"/>
  <c r="AK347" i="7" s="1"/>
  <c r="AK348" i="7" s="1"/>
  <c r="AK349" i="7" s="1"/>
  <c r="AK350" i="7" s="1"/>
  <c r="AK351" i="7" s="1"/>
  <c r="AK352" i="7" s="1"/>
  <c r="AK353" i="7" s="1"/>
  <c r="AK354" i="7" s="1"/>
  <c r="AK355" i="7" s="1"/>
  <c r="AK356" i="7" s="1"/>
  <c r="AK357" i="7" s="1"/>
  <c r="AK358" i="7" s="1"/>
  <c r="AK359" i="7" s="1"/>
  <c r="AK360" i="7" s="1"/>
  <c r="AK361" i="7" s="1"/>
  <c r="AK362" i="7" s="1"/>
  <c r="AK363" i="7" s="1"/>
  <c r="AK364" i="7" s="1"/>
  <c r="AK365" i="7" s="1"/>
  <c r="AK366" i="7" s="1"/>
  <c r="AK367" i="7" s="1"/>
  <c r="AK368" i="7" s="1"/>
  <c r="AK369" i="7" s="1"/>
  <c r="AK370" i="7" s="1"/>
  <c r="AK371" i="7" s="1"/>
  <c r="AK372" i="7" s="1"/>
  <c r="AK373" i="7" s="1"/>
  <c r="AK374" i="7" s="1"/>
  <c r="AK375" i="7" s="1"/>
  <c r="AK376" i="7" s="1"/>
  <c r="AK377" i="7" s="1"/>
  <c r="AK378" i="7" s="1"/>
  <c r="AK379" i="7" s="1"/>
  <c r="AK380" i="7" s="1"/>
  <c r="AK381" i="7" s="1"/>
  <c r="AK382" i="7" s="1"/>
  <c r="AK383" i="7" s="1"/>
  <c r="AK384" i="7" s="1"/>
  <c r="AK385" i="7" s="1"/>
  <c r="AK386" i="7" s="1"/>
  <c r="AK387" i="7" s="1"/>
  <c r="AK388" i="7" s="1"/>
  <c r="AK389" i="7" s="1"/>
  <c r="AK390" i="7" s="1"/>
  <c r="AK391" i="7" s="1"/>
  <c r="AK392" i="7" s="1"/>
  <c r="AK393" i="7" s="1"/>
  <c r="AK394" i="7" s="1"/>
  <c r="AK395" i="7" s="1"/>
  <c r="AK396" i="7" s="1"/>
  <c r="AK397" i="7" s="1"/>
  <c r="AK398" i="7" s="1"/>
  <c r="AK399" i="7" s="1"/>
  <c r="AO51" i="7"/>
  <c r="AO52" i="7" s="1"/>
  <c r="AO53" i="7" s="1"/>
  <c r="AO54" i="7" s="1"/>
  <c r="AO55" i="7" s="1"/>
  <c r="AO56" i="7" s="1"/>
  <c r="AO57" i="7" s="1"/>
  <c r="AO58" i="7" s="1"/>
  <c r="AO59" i="7" s="1"/>
  <c r="AO60" i="7" s="1"/>
  <c r="AO61" i="7" s="1"/>
  <c r="AO62" i="7" s="1"/>
  <c r="AO63" i="7" s="1"/>
  <c r="AO64" i="7" s="1"/>
  <c r="AO65" i="7" s="1"/>
  <c r="AO66" i="7" s="1"/>
  <c r="AO67" i="7" s="1"/>
  <c r="AO68" i="7" s="1"/>
  <c r="AO69" i="7" s="1"/>
  <c r="AO70" i="7" s="1"/>
  <c r="AO71" i="7" s="1"/>
  <c r="AO72" i="7" s="1"/>
  <c r="AO73" i="7" s="1"/>
  <c r="AO74" i="7" s="1"/>
  <c r="AO75" i="7" s="1"/>
  <c r="AO76" i="7" s="1"/>
  <c r="AO77" i="7" s="1"/>
  <c r="AO78" i="7" s="1"/>
  <c r="AO79" i="7" s="1"/>
  <c r="AO80" i="7" s="1"/>
  <c r="AO81" i="7" s="1"/>
  <c r="AO82" i="7" s="1"/>
  <c r="AO83" i="7" s="1"/>
  <c r="AO84" i="7" s="1"/>
  <c r="AO85" i="7" s="1"/>
  <c r="AO86" i="7" s="1"/>
  <c r="AO87" i="7" s="1"/>
  <c r="AO88" i="7" s="1"/>
  <c r="AO89" i="7" s="1"/>
  <c r="AO90" i="7" s="1"/>
  <c r="AO91" i="7" s="1"/>
  <c r="AO92" i="7" s="1"/>
  <c r="AO93" i="7" s="1"/>
  <c r="AO94" i="7" s="1"/>
  <c r="AO95" i="7" s="1"/>
  <c r="AO96" i="7" s="1"/>
  <c r="AO97" i="7" s="1"/>
  <c r="AO98" i="7" s="1"/>
  <c r="AO99" i="7" s="1"/>
  <c r="AO100" i="7" s="1"/>
  <c r="AO101" i="7" s="1"/>
  <c r="AO102" i="7" s="1"/>
  <c r="AO103" i="7" s="1"/>
  <c r="AO104" i="7" s="1"/>
  <c r="AO105" i="7" s="1"/>
  <c r="AO106" i="7" s="1"/>
  <c r="AO107" i="7" s="1"/>
  <c r="AO108" i="7" s="1"/>
  <c r="AO109" i="7" s="1"/>
  <c r="AO110" i="7" s="1"/>
  <c r="AO111" i="7" s="1"/>
  <c r="AO112" i="7" s="1"/>
  <c r="AO113" i="7" s="1"/>
  <c r="AO114" i="7" s="1"/>
  <c r="AO115" i="7" s="1"/>
  <c r="AO116" i="7" s="1"/>
  <c r="AO117" i="7" s="1"/>
  <c r="AO118" i="7" s="1"/>
  <c r="AO119" i="7" s="1"/>
  <c r="AO120" i="7" s="1"/>
  <c r="AO121" i="7" s="1"/>
  <c r="AO122" i="7" s="1"/>
  <c r="AO123" i="7" s="1"/>
  <c r="AO124" i="7" s="1"/>
  <c r="AO125" i="7" s="1"/>
  <c r="AO126" i="7" s="1"/>
  <c r="AO127" i="7" s="1"/>
  <c r="AO128" i="7" s="1"/>
  <c r="AO129" i="7" s="1"/>
  <c r="AO130" i="7" s="1"/>
  <c r="AO131" i="7" s="1"/>
  <c r="AO132" i="7" s="1"/>
  <c r="AO133" i="7" s="1"/>
  <c r="AO134" i="7" s="1"/>
  <c r="AO135" i="7" s="1"/>
  <c r="AO136" i="7" s="1"/>
  <c r="AO137" i="7" s="1"/>
  <c r="AO138" i="7" s="1"/>
  <c r="AO139" i="7" s="1"/>
  <c r="AO140" i="7" s="1"/>
  <c r="AO141" i="7" s="1"/>
  <c r="AO142" i="7" s="1"/>
  <c r="AO143" i="7" s="1"/>
  <c r="AO144" i="7" s="1"/>
  <c r="AO145" i="7" s="1"/>
  <c r="AO146" i="7" s="1"/>
  <c r="AO147" i="7" s="1"/>
  <c r="AO148" i="7" s="1"/>
  <c r="AO149" i="7" s="1"/>
  <c r="AO150" i="7" s="1"/>
  <c r="AO151" i="7" s="1"/>
  <c r="AO152" i="7" s="1"/>
  <c r="AO153" i="7" s="1"/>
  <c r="AO154" i="7" s="1"/>
  <c r="AO155" i="7" s="1"/>
  <c r="AO156" i="7" s="1"/>
  <c r="AO157" i="7" s="1"/>
  <c r="AO158" i="7" s="1"/>
  <c r="AO159" i="7" s="1"/>
  <c r="AO160" i="7" s="1"/>
  <c r="AO161" i="7" s="1"/>
  <c r="AO162" i="7" s="1"/>
  <c r="AO163" i="7" s="1"/>
  <c r="AO164" i="7" s="1"/>
  <c r="AO165" i="7" s="1"/>
  <c r="AO166" i="7" s="1"/>
  <c r="AO167" i="7" s="1"/>
  <c r="AO168" i="7" s="1"/>
  <c r="AO169" i="7" s="1"/>
  <c r="AO170" i="7" s="1"/>
  <c r="AO171" i="7" s="1"/>
  <c r="AO172" i="7" s="1"/>
  <c r="AO173" i="7" s="1"/>
  <c r="AO174" i="7" s="1"/>
  <c r="AO175" i="7" s="1"/>
  <c r="AO176" i="7" s="1"/>
  <c r="AO177" i="7" s="1"/>
  <c r="AO178" i="7" s="1"/>
  <c r="AO179" i="7" s="1"/>
  <c r="AO180" i="7" s="1"/>
  <c r="AO181" i="7" s="1"/>
  <c r="AO182" i="7" s="1"/>
  <c r="AO183" i="7" s="1"/>
  <c r="AO184" i="7" s="1"/>
  <c r="AO185" i="7" s="1"/>
  <c r="AO186" i="7" s="1"/>
  <c r="AO187" i="7" s="1"/>
  <c r="AO188" i="7" s="1"/>
  <c r="AO189" i="7" s="1"/>
  <c r="AO190" i="7" s="1"/>
  <c r="AO191" i="7" s="1"/>
  <c r="AO192" i="7" s="1"/>
  <c r="AO193" i="7" s="1"/>
  <c r="AO194" i="7" s="1"/>
  <c r="AO195" i="7" s="1"/>
  <c r="AO196" i="7" s="1"/>
  <c r="AO197" i="7" s="1"/>
  <c r="AO198" i="7" s="1"/>
  <c r="AO199" i="7" s="1"/>
  <c r="AO200" i="7" s="1"/>
  <c r="AO201" i="7" s="1"/>
  <c r="AO202" i="7" s="1"/>
  <c r="AO203" i="7" s="1"/>
  <c r="AO204" i="7" s="1"/>
  <c r="AO205" i="7" s="1"/>
  <c r="AO206" i="7" s="1"/>
  <c r="AO207" i="7" s="1"/>
  <c r="AO208" i="7" s="1"/>
  <c r="AO209" i="7" s="1"/>
  <c r="AO210" i="7" s="1"/>
  <c r="AO211" i="7" s="1"/>
  <c r="AO212" i="7" s="1"/>
  <c r="AO213" i="7" s="1"/>
  <c r="AO214" i="7" s="1"/>
  <c r="AO215" i="7" s="1"/>
  <c r="AO216" i="7" s="1"/>
  <c r="AO217" i="7" s="1"/>
  <c r="AO218" i="7" s="1"/>
  <c r="AO219" i="7" s="1"/>
  <c r="AO220" i="7" s="1"/>
  <c r="AO221" i="7" s="1"/>
  <c r="AO222" i="7" s="1"/>
  <c r="AO223" i="7" s="1"/>
  <c r="AO224" i="7" s="1"/>
  <c r="AO225" i="7" s="1"/>
  <c r="AO226" i="7" s="1"/>
  <c r="AO227" i="7" s="1"/>
  <c r="AO228" i="7" s="1"/>
  <c r="AO229" i="7" s="1"/>
  <c r="AO230" i="7" s="1"/>
  <c r="AO231" i="7" s="1"/>
  <c r="AO232" i="7" s="1"/>
  <c r="AO233" i="7" s="1"/>
  <c r="AO234" i="7" s="1"/>
  <c r="AO235" i="7" s="1"/>
  <c r="AO236" i="7" s="1"/>
  <c r="AO237" i="7" s="1"/>
  <c r="AO238" i="7" s="1"/>
  <c r="AO239" i="7" s="1"/>
  <c r="AO240" i="7" s="1"/>
  <c r="AO241" i="7" s="1"/>
  <c r="AO242" i="7" s="1"/>
  <c r="AO243" i="7" s="1"/>
  <c r="AO244" i="7" s="1"/>
  <c r="AO245" i="7" s="1"/>
  <c r="AO246" i="7" s="1"/>
  <c r="AO247" i="7" s="1"/>
  <c r="AO248" i="7" s="1"/>
  <c r="AO249" i="7" s="1"/>
  <c r="AO250" i="7" s="1"/>
  <c r="AO251" i="7" s="1"/>
  <c r="AO252" i="7" s="1"/>
  <c r="AO253" i="7" s="1"/>
  <c r="AO254" i="7" s="1"/>
  <c r="AO255" i="7" s="1"/>
  <c r="AO256" i="7" s="1"/>
  <c r="AO257" i="7" s="1"/>
  <c r="AO258" i="7" s="1"/>
  <c r="AO259" i="7" s="1"/>
  <c r="AO260" i="7" s="1"/>
  <c r="AO261" i="7" s="1"/>
  <c r="AO262" i="7" s="1"/>
  <c r="AO263" i="7" s="1"/>
  <c r="AO264" i="7" s="1"/>
  <c r="AO265" i="7" s="1"/>
  <c r="AO266" i="7" s="1"/>
  <c r="AO267" i="7" s="1"/>
  <c r="AO268" i="7" s="1"/>
  <c r="AO269" i="7" s="1"/>
  <c r="AO270" i="7" s="1"/>
  <c r="AO271" i="7" s="1"/>
  <c r="AO272" i="7" s="1"/>
  <c r="AO273" i="7" s="1"/>
  <c r="AO274" i="7" s="1"/>
  <c r="AO275" i="7" s="1"/>
  <c r="AO276" i="7" s="1"/>
  <c r="AO277" i="7" s="1"/>
  <c r="AO278" i="7" s="1"/>
  <c r="AO279" i="7" s="1"/>
  <c r="AO280" i="7" s="1"/>
  <c r="AO281" i="7" s="1"/>
  <c r="AO282" i="7" s="1"/>
  <c r="AO283" i="7" s="1"/>
  <c r="AO284" i="7" s="1"/>
  <c r="AO285" i="7" s="1"/>
  <c r="AO286" i="7" s="1"/>
  <c r="AO287" i="7" s="1"/>
  <c r="AO288" i="7" s="1"/>
  <c r="AO289" i="7" s="1"/>
  <c r="AO290" i="7" s="1"/>
  <c r="AO291" i="7" s="1"/>
  <c r="AO292" i="7" s="1"/>
  <c r="AO293" i="7" s="1"/>
  <c r="AO294" i="7" s="1"/>
  <c r="AO295" i="7" s="1"/>
  <c r="AO296" i="7" s="1"/>
  <c r="AO297" i="7" s="1"/>
  <c r="AO298" i="7" s="1"/>
  <c r="AO299" i="7" s="1"/>
  <c r="AO300" i="7" s="1"/>
  <c r="AO301" i="7" s="1"/>
  <c r="AO302" i="7" s="1"/>
  <c r="AO303" i="7" s="1"/>
  <c r="AO304" i="7" s="1"/>
  <c r="AO305" i="7" s="1"/>
  <c r="AO306" i="7" s="1"/>
  <c r="AO307" i="7" s="1"/>
  <c r="AO308" i="7" s="1"/>
  <c r="AO309" i="7" s="1"/>
  <c r="AO310" i="7" s="1"/>
  <c r="AO311" i="7" s="1"/>
  <c r="AO312" i="7" s="1"/>
  <c r="AO313" i="7" s="1"/>
  <c r="AO314" i="7" s="1"/>
  <c r="AO315" i="7" s="1"/>
  <c r="AO316" i="7" s="1"/>
  <c r="AO317" i="7" s="1"/>
  <c r="AO318" i="7" s="1"/>
  <c r="AO319" i="7" s="1"/>
  <c r="AO320" i="7" s="1"/>
  <c r="AO321" i="7" s="1"/>
  <c r="AO322" i="7" s="1"/>
  <c r="AO323" i="7" s="1"/>
  <c r="AO324" i="7" s="1"/>
  <c r="AO325" i="7" s="1"/>
  <c r="AO326" i="7" s="1"/>
  <c r="AO327" i="7" s="1"/>
  <c r="AO328" i="7" s="1"/>
  <c r="AO329" i="7" s="1"/>
  <c r="AO330" i="7" s="1"/>
  <c r="AO331" i="7" s="1"/>
  <c r="AO332" i="7" s="1"/>
  <c r="AO333" i="7" s="1"/>
  <c r="AO334" i="7" s="1"/>
  <c r="AO335" i="7" s="1"/>
  <c r="AO336" i="7" s="1"/>
  <c r="AO337" i="7" s="1"/>
  <c r="AO338" i="7" s="1"/>
  <c r="AO339" i="7" s="1"/>
  <c r="AO340" i="7" s="1"/>
  <c r="AO341" i="7" s="1"/>
  <c r="AO342" i="7" s="1"/>
  <c r="AO343" i="7" s="1"/>
  <c r="AO344" i="7" s="1"/>
  <c r="AO345" i="7" s="1"/>
  <c r="AO346" i="7" s="1"/>
  <c r="AO347" i="7" s="1"/>
  <c r="AO348" i="7" s="1"/>
  <c r="AO349" i="7" s="1"/>
  <c r="AO350" i="7" s="1"/>
  <c r="AO351" i="7" s="1"/>
  <c r="AO352" i="7" s="1"/>
  <c r="AO353" i="7" s="1"/>
  <c r="AO354" i="7" s="1"/>
  <c r="AO355" i="7" s="1"/>
  <c r="AO356" i="7" s="1"/>
  <c r="AO357" i="7" s="1"/>
  <c r="AO358" i="7" s="1"/>
  <c r="AO359" i="7" s="1"/>
  <c r="AO360" i="7" s="1"/>
  <c r="AO361" i="7" s="1"/>
  <c r="AO362" i="7" s="1"/>
  <c r="AO363" i="7" s="1"/>
  <c r="AO364" i="7" s="1"/>
  <c r="AO365" i="7" s="1"/>
  <c r="AO366" i="7" s="1"/>
  <c r="AO367" i="7" s="1"/>
  <c r="AO368" i="7" s="1"/>
  <c r="AO369" i="7" s="1"/>
  <c r="AO370" i="7" s="1"/>
  <c r="AO371" i="7" s="1"/>
  <c r="AO372" i="7" s="1"/>
  <c r="AO373" i="7" s="1"/>
  <c r="AO374" i="7" s="1"/>
  <c r="AO375" i="7" s="1"/>
  <c r="AO376" i="7" s="1"/>
  <c r="AO377" i="7" s="1"/>
  <c r="AO378" i="7" s="1"/>
  <c r="AO379" i="7" s="1"/>
  <c r="AO380" i="7" s="1"/>
  <c r="AO381" i="7" s="1"/>
  <c r="AO382" i="7" s="1"/>
  <c r="AO383" i="7" s="1"/>
  <c r="AO384" i="7" s="1"/>
  <c r="AO385" i="7" s="1"/>
  <c r="AO386" i="7" s="1"/>
  <c r="AO387" i="7" s="1"/>
  <c r="AO388" i="7" s="1"/>
  <c r="AO389" i="7" s="1"/>
  <c r="AO390" i="7" s="1"/>
  <c r="AO391" i="7" s="1"/>
  <c r="AO392" i="7" s="1"/>
  <c r="AO393" i="7" s="1"/>
  <c r="AO394" i="7" s="1"/>
  <c r="AO395" i="7" s="1"/>
  <c r="AO396" i="7" s="1"/>
  <c r="AO397" i="7" s="1"/>
  <c r="AO398" i="7" s="1"/>
  <c r="AO399" i="7" s="1"/>
  <c r="AS51" i="7"/>
  <c r="AS52" i="7" s="1"/>
  <c r="AS53" i="7" s="1"/>
  <c r="AS54" i="7" s="1"/>
  <c r="AS55" i="7" s="1"/>
  <c r="AS56" i="7" s="1"/>
  <c r="AS57" i="7" s="1"/>
  <c r="AS58" i="7" s="1"/>
  <c r="AS59" i="7" s="1"/>
  <c r="AS60" i="7" s="1"/>
  <c r="AS61" i="7" s="1"/>
  <c r="AS62" i="7" s="1"/>
  <c r="AS63" i="7" s="1"/>
  <c r="AS64" i="7" s="1"/>
  <c r="AS65" i="7" s="1"/>
  <c r="AS66" i="7" s="1"/>
  <c r="AS67" i="7" s="1"/>
  <c r="AS68" i="7" s="1"/>
  <c r="AS69" i="7" s="1"/>
  <c r="AS70" i="7" s="1"/>
  <c r="AS71" i="7" s="1"/>
  <c r="AS72" i="7" s="1"/>
  <c r="AS73" i="7" s="1"/>
  <c r="AS74" i="7" s="1"/>
  <c r="AS75" i="7" s="1"/>
  <c r="AS76" i="7" s="1"/>
  <c r="AS77" i="7" s="1"/>
  <c r="AS78" i="7" s="1"/>
  <c r="AS79" i="7" s="1"/>
  <c r="AS80" i="7" s="1"/>
  <c r="AS81" i="7" s="1"/>
  <c r="AS82" i="7" s="1"/>
  <c r="AS83" i="7" s="1"/>
  <c r="AS84" i="7" s="1"/>
  <c r="AS85" i="7" s="1"/>
  <c r="AS86" i="7" s="1"/>
  <c r="AS87" i="7" s="1"/>
  <c r="AS88" i="7" s="1"/>
  <c r="AS89" i="7" s="1"/>
  <c r="AS90" i="7" s="1"/>
  <c r="AS91" i="7" s="1"/>
  <c r="AS92" i="7" s="1"/>
  <c r="AS93" i="7" s="1"/>
  <c r="AS94" i="7" s="1"/>
  <c r="AS95" i="7" s="1"/>
  <c r="AS96" i="7" s="1"/>
  <c r="AS97" i="7" s="1"/>
  <c r="AS98" i="7" s="1"/>
  <c r="AS99" i="7" s="1"/>
  <c r="AS100" i="7" s="1"/>
  <c r="AS101" i="7" s="1"/>
  <c r="AS102" i="7" s="1"/>
  <c r="AS103" i="7" s="1"/>
  <c r="AS104" i="7" s="1"/>
  <c r="AS105" i="7" s="1"/>
  <c r="AS106" i="7" s="1"/>
  <c r="AS107" i="7" s="1"/>
  <c r="AS108" i="7" s="1"/>
  <c r="AS109" i="7" s="1"/>
  <c r="AS110" i="7" s="1"/>
  <c r="AS111" i="7" s="1"/>
  <c r="AS112" i="7" s="1"/>
  <c r="AS113" i="7" s="1"/>
  <c r="AS114" i="7" s="1"/>
  <c r="AS115" i="7" s="1"/>
  <c r="AS116" i="7" s="1"/>
  <c r="AS117" i="7" s="1"/>
  <c r="AS118" i="7" s="1"/>
  <c r="AS119" i="7" s="1"/>
  <c r="AS120" i="7" s="1"/>
  <c r="AS121" i="7" s="1"/>
  <c r="AS122" i="7" s="1"/>
  <c r="AS123" i="7" s="1"/>
  <c r="AS124" i="7" s="1"/>
  <c r="AS125" i="7" s="1"/>
  <c r="AS126" i="7" s="1"/>
  <c r="AS127" i="7" s="1"/>
  <c r="AS128" i="7" s="1"/>
  <c r="AS129" i="7" s="1"/>
  <c r="AS130" i="7" s="1"/>
  <c r="AS131" i="7" s="1"/>
  <c r="AS132" i="7" s="1"/>
  <c r="AS133" i="7" s="1"/>
  <c r="AS134" i="7" s="1"/>
  <c r="AS135" i="7" s="1"/>
  <c r="AS136" i="7" s="1"/>
  <c r="AS137" i="7" s="1"/>
  <c r="AS138" i="7" s="1"/>
  <c r="AS139" i="7" s="1"/>
  <c r="AS140" i="7" s="1"/>
  <c r="AS141" i="7" s="1"/>
  <c r="AS142" i="7" s="1"/>
  <c r="AS143" i="7" s="1"/>
  <c r="AS144" i="7" s="1"/>
  <c r="AS145" i="7" s="1"/>
  <c r="AS146" i="7" s="1"/>
  <c r="AS147" i="7" s="1"/>
  <c r="AS148" i="7" s="1"/>
  <c r="AS149" i="7" s="1"/>
  <c r="AS150" i="7" s="1"/>
  <c r="AS151" i="7" s="1"/>
  <c r="AS152" i="7" s="1"/>
  <c r="AS153" i="7" s="1"/>
  <c r="AS154" i="7" s="1"/>
  <c r="AS155" i="7" s="1"/>
  <c r="AS156" i="7" s="1"/>
  <c r="AS157" i="7" s="1"/>
  <c r="AS158" i="7" s="1"/>
  <c r="AS159" i="7" s="1"/>
  <c r="AS160" i="7" s="1"/>
  <c r="AS161" i="7" s="1"/>
  <c r="AS162" i="7" s="1"/>
  <c r="AS163" i="7" s="1"/>
  <c r="AS164" i="7" s="1"/>
  <c r="AS165" i="7" s="1"/>
  <c r="AS166" i="7" s="1"/>
  <c r="AS167" i="7" s="1"/>
  <c r="AS168" i="7" s="1"/>
  <c r="AS169" i="7" s="1"/>
  <c r="AS170" i="7" s="1"/>
  <c r="AS171" i="7" s="1"/>
  <c r="AS172" i="7" s="1"/>
  <c r="AS173" i="7" s="1"/>
  <c r="AS174" i="7" s="1"/>
  <c r="AS175" i="7" s="1"/>
  <c r="AS176" i="7" s="1"/>
  <c r="AS177" i="7" s="1"/>
  <c r="AS178" i="7" s="1"/>
  <c r="AS179" i="7" s="1"/>
  <c r="AS180" i="7" s="1"/>
  <c r="AS181" i="7" s="1"/>
  <c r="AS182" i="7" s="1"/>
  <c r="AS183" i="7" s="1"/>
  <c r="AS184" i="7" s="1"/>
  <c r="AS185" i="7" s="1"/>
  <c r="AS186" i="7" s="1"/>
  <c r="AS187" i="7" s="1"/>
  <c r="AS188" i="7" s="1"/>
  <c r="AS189" i="7" s="1"/>
  <c r="AS190" i="7" s="1"/>
  <c r="AS191" i="7" s="1"/>
  <c r="AS192" i="7" s="1"/>
  <c r="AS193" i="7" s="1"/>
  <c r="AS194" i="7" s="1"/>
  <c r="AS195" i="7" s="1"/>
  <c r="AS196" i="7" s="1"/>
  <c r="AS197" i="7" s="1"/>
  <c r="AS198" i="7" s="1"/>
  <c r="AS199" i="7" s="1"/>
  <c r="AS200" i="7" s="1"/>
  <c r="AS201" i="7" s="1"/>
  <c r="AS202" i="7" s="1"/>
  <c r="AS203" i="7" s="1"/>
  <c r="AS204" i="7" s="1"/>
  <c r="AS205" i="7" s="1"/>
  <c r="AS206" i="7" s="1"/>
  <c r="AS207" i="7" s="1"/>
  <c r="AS208" i="7" s="1"/>
  <c r="AS209" i="7" s="1"/>
  <c r="AS210" i="7" s="1"/>
  <c r="AS211" i="7" s="1"/>
  <c r="AS212" i="7" s="1"/>
  <c r="AS213" i="7" s="1"/>
  <c r="AS214" i="7" s="1"/>
  <c r="AS215" i="7" s="1"/>
  <c r="AS216" i="7" s="1"/>
  <c r="AS217" i="7" s="1"/>
  <c r="AS218" i="7" s="1"/>
  <c r="AS219" i="7" s="1"/>
  <c r="AS220" i="7" s="1"/>
  <c r="AS221" i="7" s="1"/>
  <c r="AS222" i="7" s="1"/>
  <c r="AS223" i="7" s="1"/>
  <c r="AS224" i="7" s="1"/>
  <c r="AS225" i="7" s="1"/>
  <c r="AS226" i="7" s="1"/>
  <c r="AS227" i="7" s="1"/>
  <c r="AS228" i="7" s="1"/>
  <c r="AS229" i="7" s="1"/>
  <c r="AS230" i="7" s="1"/>
  <c r="AS231" i="7" s="1"/>
  <c r="AS232" i="7" s="1"/>
  <c r="AS233" i="7" s="1"/>
  <c r="AS234" i="7" s="1"/>
  <c r="AS235" i="7" s="1"/>
  <c r="AS236" i="7" s="1"/>
  <c r="AS237" i="7" s="1"/>
  <c r="AS238" i="7" s="1"/>
  <c r="AS239" i="7" s="1"/>
  <c r="AS240" i="7" s="1"/>
  <c r="AS241" i="7" s="1"/>
  <c r="AS242" i="7" s="1"/>
  <c r="AS243" i="7" s="1"/>
  <c r="AS244" i="7" s="1"/>
  <c r="AS245" i="7" s="1"/>
  <c r="AS246" i="7" s="1"/>
  <c r="AS247" i="7" s="1"/>
  <c r="AS248" i="7" s="1"/>
  <c r="AS249" i="7" s="1"/>
  <c r="AS250" i="7" s="1"/>
  <c r="AS251" i="7" s="1"/>
  <c r="AS252" i="7" s="1"/>
  <c r="AS253" i="7" s="1"/>
  <c r="AS254" i="7" s="1"/>
  <c r="AS255" i="7" s="1"/>
  <c r="AS256" i="7" s="1"/>
  <c r="AS257" i="7" s="1"/>
  <c r="AS258" i="7" s="1"/>
  <c r="AS259" i="7" s="1"/>
  <c r="AS260" i="7" s="1"/>
  <c r="AS261" i="7" s="1"/>
  <c r="AS262" i="7" s="1"/>
  <c r="AS263" i="7" s="1"/>
  <c r="AS264" i="7" s="1"/>
  <c r="AS265" i="7" s="1"/>
  <c r="AS266" i="7" s="1"/>
  <c r="AS267" i="7" s="1"/>
  <c r="AS268" i="7" s="1"/>
  <c r="AS269" i="7" s="1"/>
  <c r="AS270" i="7" s="1"/>
  <c r="AS271" i="7" s="1"/>
  <c r="AS272" i="7" s="1"/>
  <c r="AS273" i="7" s="1"/>
  <c r="AS274" i="7" s="1"/>
  <c r="AS275" i="7" s="1"/>
  <c r="AS276" i="7" s="1"/>
  <c r="AS277" i="7" s="1"/>
  <c r="AS278" i="7" s="1"/>
  <c r="AS279" i="7" s="1"/>
  <c r="AS280" i="7" s="1"/>
  <c r="AS281" i="7" s="1"/>
  <c r="AS282" i="7" s="1"/>
  <c r="AS283" i="7" s="1"/>
  <c r="AS284" i="7" s="1"/>
  <c r="AS285" i="7" s="1"/>
  <c r="AS286" i="7" s="1"/>
  <c r="AS287" i="7" s="1"/>
  <c r="AS288" i="7" s="1"/>
  <c r="AS289" i="7" s="1"/>
  <c r="AS290" i="7" s="1"/>
  <c r="AS291" i="7" s="1"/>
  <c r="AS292" i="7" s="1"/>
  <c r="AS293" i="7" s="1"/>
  <c r="AS294" i="7" s="1"/>
  <c r="AS295" i="7" s="1"/>
  <c r="AS296" i="7" s="1"/>
  <c r="AS297" i="7" s="1"/>
  <c r="AS298" i="7" s="1"/>
  <c r="AS299" i="7" s="1"/>
  <c r="AS300" i="7" s="1"/>
  <c r="AS301" i="7" s="1"/>
  <c r="AS302" i="7" s="1"/>
  <c r="AS303" i="7" s="1"/>
  <c r="AS304" i="7" s="1"/>
  <c r="AS305" i="7" s="1"/>
  <c r="AS306" i="7" s="1"/>
  <c r="AS307" i="7" s="1"/>
  <c r="AS308" i="7" s="1"/>
  <c r="AS309" i="7" s="1"/>
  <c r="AS310" i="7" s="1"/>
  <c r="AS311" i="7" s="1"/>
  <c r="AS312" i="7" s="1"/>
  <c r="AS313" i="7" s="1"/>
  <c r="AS314" i="7" s="1"/>
  <c r="AS315" i="7" s="1"/>
  <c r="AS316" i="7" s="1"/>
  <c r="AS317" i="7" s="1"/>
  <c r="AS318" i="7" s="1"/>
  <c r="AS319" i="7" s="1"/>
  <c r="AS320" i="7" s="1"/>
  <c r="AS321" i="7" s="1"/>
  <c r="AS322" i="7" s="1"/>
  <c r="AS323" i="7" s="1"/>
  <c r="AS324" i="7" s="1"/>
  <c r="AS325" i="7" s="1"/>
  <c r="AS326" i="7" s="1"/>
  <c r="AS327" i="7" s="1"/>
  <c r="AS328" i="7" s="1"/>
  <c r="AS329" i="7" s="1"/>
  <c r="AS330" i="7" s="1"/>
  <c r="AS331" i="7" s="1"/>
  <c r="AS332" i="7" s="1"/>
  <c r="AS333" i="7" s="1"/>
  <c r="AS334" i="7" s="1"/>
  <c r="AS335" i="7" s="1"/>
  <c r="AS336" i="7" s="1"/>
  <c r="AS337" i="7" s="1"/>
  <c r="AS338" i="7" s="1"/>
  <c r="AS339" i="7" s="1"/>
  <c r="AS340" i="7" s="1"/>
  <c r="AS341" i="7" s="1"/>
  <c r="AS342" i="7" s="1"/>
  <c r="AS343" i="7" s="1"/>
  <c r="AS344" i="7" s="1"/>
  <c r="AS345" i="7" s="1"/>
  <c r="AS346" i="7" s="1"/>
  <c r="AS347" i="7" s="1"/>
  <c r="AS348" i="7" s="1"/>
  <c r="AS349" i="7" s="1"/>
  <c r="AS350" i="7" s="1"/>
  <c r="AS351" i="7" s="1"/>
  <c r="AS352" i="7" s="1"/>
  <c r="AS353" i="7" s="1"/>
  <c r="AS354" i="7" s="1"/>
  <c r="AS355" i="7" s="1"/>
  <c r="AS356" i="7" s="1"/>
  <c r="AS357" i="7" s="1"/>
  <c r="AS358" i="7" s="1"/>
  <c r="AS359" i="7" s="1"/>
  <c r="AS360" i="7" s="1"/>
  <c r="AS361" i="7" s="1"/>
  <c r="AS362" i="7" s="1"/>
  <c r="AS363" i="7" s="1"/>
  <c r="AS364" i="7" s="1"/>
  <c r="AS365" i="7" s="1"/>
  <c r="AS366" i="7" s="1"/>
  <c r="AS367" i="7" s="1"/>
  <c r="AS368" i="7" s="1"/>
  <c r="AS369" i="7" s="1"/>
  <c r="AS370" i="7" s="1"/>
  <c r="AS371" i="7" s="1"/>
  <c r="AS372" i="7" s="1"/>
  <c r="AS373" i="7" s="1"/>
  <c r="AS374" i="7" s="1"/>
  <c r="AS375" i="7" s="1"/>
  <c r="AS376" i="7" s="1"/>
  <c r="AS377" i="7" s="1"/>
  <c r="AS378" i="7" s="1"/>
  <c r="AS379" i="7" s="1"/>
  <c r="AS380" i="7" s="1"/>
  <c r="AS381" i="7" s="1"/>
  <c r="AS382" i="7" s="1"/>
  <c r="AS383" i="7" s="1"/>
  <c r="AS384" i="7" s="1"/>
  <c r="AS385" i="7" s="1"/>
  <c r="AS386" i="7" s="1"/>
  <c r="AS387" i="7" s="1"/>
  <c r="AS388" i="7" s="1"/>
  <c r="AS389" i="7" s="1"/>
  <c r="AS390" i="7" s="1"/>
  <c r="AS391" i="7" s="1"/>
  <c r="AS392" i="7" s="1"/>
  <c r="AS393" i="7" s="1"/>
  <c r="AS394" i="7" s="1"/>
  <c r="AS395" i="7" s="1"/>
  <c r="AS396" i="7" s="1"/>
  <c r="AS397" i="7" s="1"/>
  <c r="AS398" i="7" s="1"/>
  <c r="AS399" i="7" s="1"/>
  <c r="AU51" i="7"/>
  <c r="AU52" i="7" s="1"/>
  <c r="AU53" i="7" s="1"/>
  <c r="AU54" i="7" s="1"/>
  <c r="AU55" i="7" s="1"/>
  <c r="AU56" i="7" s="1"/>
  <c r="AU57" i="7" s="1"/>
  <c r="AU58" i="7" s="1"/>
  <c r="AU59" i="7" s="1"/>
  <c r="AU60" i="7" s="1"/>
  <c r="AU61" i="7" s="1"/>
  <c r="AU62" i="7" s="1"/>
  <c r="AU63" i="7" s="1"/>
  <c r="AU64" i="7" s="1"/>
  <c r="AU65" i="7" s="1"/>
  <c r="AU66" i="7" s="1"/>
  <c r="AU67" i="7" s="1"/>
  <c r="AU68" i="7" s="1"/>
  <c r="AU69" i="7" s="1"/>
  <c r="AU70" i="7" s="1"/>
  <c r="AU71" i="7" s="1"/>
  <c r="AU72" i="7" s="1"/>
  <c r="AU73" i="7" s="1"/>
  <c r="AU74" i="7" s="1"/>
  <c r="AU75" i="7" s="1"/>
  <c r="AU76" i="7" s="1"/>
  <c r="AU77" i="7" s="1"/>
  <c r="AU78" i="7" s="1"/>
  <c r="AU79" i="7" s="1"/>
  <c r="AU80" i="7" s="1"/>
  <c r="AU81" i="7" s="1"/>
  <c r="AU82" i="7" s="1"/>
  <c r="AU83" i="7" s="1"/>
  <c r="AU84" i="7" s="1"/>
  <c r="AU85" i="7" s="1"/>
  <c r="AU86" i="7" s="1"/>
  <c r="AU87" i="7" s="1"/>
  <c r="AU88" i="7" s="1"/>
  <c r="AU89" i="7" s="1"/>
  <c r="AU90" i="7" s="1"/>
  <c r="AU91" i="7" s="1"/>
  <c r="AU92" i="7" s="1"/>
  <c r="AU93" i="7" s="1"/>
  <c r="AU94" i="7" s="1"/>
  <c r="AU95" i="7" s="1"/>
  <c r="AU96" i="7" s="1"/>
  <c r="AU97" i="7" s="1"/>
  <c r="AU98" i="7" s="1"/>
  <c r="AU99" i="7" s="1"/>
  <c r="AU100" i="7" s="1"/>
  <c r="AU101" i="7" s="1"/>
  <c r="AU102" i="7" s="1"/>
  <c r="AU103" i="7" s="1"/>
  <c r="AU104" i="7" s="1"/>
  <c r="AU105" i="7" s="1"/>
  <c r="AU106" i="7" s="1"/>
  <c r="AU107" i="7" s="1"/>
  <c r="AU108" i="7" s="1"/>
  <c r="AU109" i="7" s="1"/>
  <c r="AU110" i="7" s="1"/>
  <c r="AU111" i="7" s="1"/>
  <c r="AU112" i="7" s="1"/>
  <c r="AU113" i="7" s="1"/>
  <c r="AU114" i="7" s="1"/>
  <c r="AU115" i="7" s="1"/>
  <c r="AU116" i="7" s="1"/>
  <c r="AU117" i="7" s="1"/>
  <c r="AU118" i="7" s="1"/>
  <c r="AU119" i="7" s="1"/>
  <c r="AU120" i="7" s="1"/>
  <c r="AU121" i="7" s="1"/>
  <c r="AU122" i="7" s="1"/>
  <c r="AU123" i="7" s="1"/>
  <c r="AU124" i="7" s="1"/>
  <c r="AU125" i="7" s="1"/>
  <c r="AU126" i="7" s="1"/>
  <c r="AU127" i="7" s="1"/>
  <c r="AU128" i="7" s="1"/>
  <c r="AU129" i="7" s="1"/>
  <c r="AU130" i="7" s="1"/>
  <c r="AU131" i="7" s="1"/>
  <c r="AU132" i="7" s="1"/>
  <c r="AU133" i="7" s="1"/>
  <c r="AU134" i="7" s="1"/>
  <c r="AU135" i="7" s="1"/>
  <c r="AU136" i="7" s="1"/>
  <c r="AU137" i="7" s="1"/>
  <c r="AU138" i="7" s="1"/>
  <c r="AU139" i="7" s="1"/>
  <c r="AU140" i="7" s="1"/>
  <c r="AU141" i="7" s="1"/>
  <c r="AU142" i="7" s="1"/>
  <c r="AU143" i="7" s="1"/>
  <c r="AU144" i="7" s="1"/>
  <c r="AU145" i="7" s="1"/>
  <c r="AU146" i="7" s="1"/>
  <c r="AU147" i="7" s="1"/>
  <c r="AU148" i="7" s="1"/>
  <c r="AU149" i="7" s="1"/>
  <c r="AU150" i="7" s="1"/>
  <c r="AU151" i="7" s="1"/>
  <c r="AU152" i="7" s="1"/>
  <c r="AU153" i="7" s="1"/>
  <c r="AU154" i="7" s="1"/>
  <c r="AU155" i="7" s="1"/>
  <c r="AU156" i="7" s="1"/>
  <c r="AU157" i="7" s="1"/>
  <c r="AU158" i="7" s="1"/>
  <c r="AU159" i="7" s="1"/>
  <c r="AU160" i="7" s="1"/>
  <c r="AU161" i="7" s="1"/>
  <c r="AU162" i="7" s="1"/>
  <c r="AU163" i="7" s="1"/>
  <c r="AU164" i="7" s="1"/>
  <c r="AU165" i="7" s="1"/>
  <c r="AU166" i="7" s="1"/>
  <c r="AU167" i="7" s="1"/>
  <c r="AU168" i="7" s="1"/>
  <c r="AU169" i="7" s="1"/>
  <c r="AU170" i="7" s="1"/>
  <c r="AU171" i="7" s="1"/>
  <c r="AU172" i="7" s="1"/>
  <c r="AU173" i="7" s="1"/>
  <c r="AU174" i="7" s="1"/>
  <c r="AU175" i="7" s="1"/>
  <c r="AU176" i="7" s="1"/>
  <c r="AU177" i="7" s="1"/>
  <c r="AU178" i="7" s="1"/>
  <c r="AU179" i="7" s="1"/>
  <c r="AU180" i="7" s="1"/>
  <c r="AU181" i="7" s="1"/>
  <c r="AU182" i="7" s="1"/>
  <c r="AU183" i="7" s="1"/>
  <c r="AU184" i="7" s="1"/>
  <c r="AU185" i="7" s="1"/>
  <c r="AU186" i="7" s="1"/>
  <c r="AU187" i="7" s="1"/>
  <c r="AU188" i="7" s="1"/>
  <c r="AU189" i="7" s="1"/>
  <c r="AU190" i="7" s="1"/>
  <c r="AU191" i="7" s="1"/>
  <c r="AU192" i="7" s="1"/>
  <c r="AU193" i="7" s="1"/>
  <c r="AU194" i="7" s="1"/>
  <c r="AU195" i="7" s="1"/>
  <c r="AU196" i="7" s="1"/>
  <c r="AU197" i="7" s="1"/>
  <c r="AU198" i="7" s="1"/>
  <c r="AU199" i="7" s="1"/>
  <c r="AU200" i="7" s="1"/>
  <c r="AU201" i="7" s="1"/>
  <c r="AU202" i="7" s="1"/>
  <c r="AU203" i="7" s="1"/>
  <c r="AU204" i="7" s="1"/>
  <c r="AU205" i="7" s="1"/>
  <c r="AU206" i="7" s="1"/>
  <c r="AU207" i="7" s="1"/>
  <c r="AU208" i="7" s="1"/>
  <c r="AU209" i="7" s="1"/>
  <c r="AU210" i="7" s="1"/>
  <c r="AU211" i="7" s="1"/>
  <c r="AU212" i="7" s="1"/>
  <c r="AU213" i="7" s="1"/>
  <c r="AU214" i="7" s="1"/>
  <c r="AU215" i="7" s="1"/>
  <c r="AU216" i="7" s="1"/>
  <c r="AU217" i="7" s="1"/>
  <c r="AU218" i="7" s="1"/>
  <c r="AU219" i="7" s="1"/>
  <c r="AU220" i="7" s="1"/>
  <c r="AU221" i="7" s="1"/>
  <c r="AU222" i="7" s="1"/>
  <c r="AU223" i="7" s="1"/>
  <c r="AU224" i="7" s="1"/>
  <c r="AU225" i="7" s="1"/>
  <c r="AU226" i="7" s="1"/>
  <c r="AU227" i="7" s="1"/>
  <c r="AU228" i="7" s="1"/>
  <c r="AU229" i="7" s="1"/>
  <c r="AU230" i="7" s="1"/>
  <c r="AU231" i="7" s="1"/>
  <c r="AU232" i="7" s="1"/>
  <c r="AU233" i="7" s="1"/>
  <c r="AU234" i="7" s="1"/>
  <c r="AU235" i="7" s="1"/>
  <c r="AU236" i="7" s="1"/>
  <c r="AU237" i="7" s="1"/>
  <c r="AU238" i="7" s="1"/>
  <c r="AU239" i="7" s="1"/>
  <c r="AU240" i="7" s="1"/>
  <c r="AU241" i="7" s="1"/>
  <c r="AU242" i="7" s="1"/>
  <c r="AU243" i="7" s="1"/>
  <c r="AU244" i="7" s="1"/>
  <c r="AU245" i="7" s="1"/>
  <c r="AU246" i="7" s="1"/>
  <c r="AU247" i="7" s="1"/>
  <c r="AU248" i="7" s="1"/>
  <c r="AU249" i="7" s="1"/>
  <c r="AU250" i="7" s="1"/>
  <c r="AU251" i="7" s="1"/>
  <c r="AU252" i="7" s="1"/>
  <c r="AU253" i="7" s="1"/>
  <c r="AU254" i="7" s="1"/>
  <c r="AU255" i="7" s="1"/>
  <c r="AU256" i="7" s="1"/>
  <c r="AU257" i="7" s="1"/>
  <c r="AU258" i="7" s="1"/>
  <c r="AU259" i="7" s="1"/>
  <c r="AU260" i="7" s="1"/>
  <c r="AU261" i="7" s="1"/>
  <c r="AU262" i="7" s="1"/>
  <c r="AU263" i="7" s="1"/>
  <c r="AU264" i="7" s="1"/>
  <c r="AU265" i="7" s="1"/>
  <c r="AU266" i="7" s="1"/>
  <c r="AU267" i="7" s="1"/>
  <c r="AU268" i="7" s="1"/>
  <c r="AU269" i="7" s="1"/>
  <c r="AU270" i="7" s="1"/>
  <c r="AU271" i="7" s="1"/>
  <c r="AU272" i="7" s="1"/>
  <c r="AU273" i="7" s="1"/>
  <c r="AU274" i="7" s="1"/>
  <c r="AU275" i="7" s="1"/>
  <c r="AU276" i="7" s="1"/>
  <c r="AU277" i="7" s="1"/>
  <c r="AU278" i="7" s="1"/>
  <c r="AU279" i="7" s="1"/>
  <c r="AU280" i="7" s="1"/>
  <c r="AU281" i="7" s="1"/>
  <c r="AU282" i="7" s="1"/>
  <c r="AU283" i="7" s="1"/>
  <c r="AU284" i="7" s="1"/>
  <c r="AU285" i="7" s="1"/>
  <c r="AU286" i="7" s="1"/>
  <c r="AU287" i="7" s="1"/>
  <c r="AU288" i="7" s="1"/>
  <c r="AU289" i="7" s="1"/>
  <c r="AU290" i="7" s="1"/>
  <c r="AU291" i="7" s="1"/>
  <c r="AU292" i="7" s="1"/>
  <c r="AU293" i="7" s="1"/>
  <c r="AU294" i="7" s="1"/>
  <c r="AU295" i="7" s="1"/>
  <c r="AU296" i="7" s="1"/>
  <c r="AU297" i="7" s="1"/>
  <c r="AU298" i="7" s="1"/>
  <c r="AU299" i="7" s="1"/>
  <c r="AU300" i="7" s="1"/>
  <c r="AU301" i="7" s="1"/>
  <c r="AU302" i="7" s="1"/>
  <c r="AU303" i="7" s="1"/>
  <c r="AU304" i="7" s="1"/>
  <c r="AU305" i="7" s="1"/>
  <c r="AU306" i="7" s="1"/>
  <c r="AU307" i="7" s="1"/>
  <c r="AU308" i="7" s="1"/>
  <c r="AU309" i="7" s="1"/>
  <c r="AU310" i="7" s="1"/>
  <c r="AU311" i="7" s="1"/>
  <c r="AU312" i="7" s="1"/>
  <c r="AU313" i="7" s="1"/>
  <c r="AU314" i="7" s="1"/>
  <c r="AU315" i="7" s="1"/>
  <c r="AU316" i="7" s="1"/>
  <c r="AU317" i="7" s="1"/>
  <c r="AU318" i="7" s="1"/>
  <c r="AU319" i="7" s="1"/>
  <c r="AU320" i="7" s="1"/>
  <c r="AU321" i="7" s="1"/>
  <c r="AU322" i="7" s="1"/>
  <c r="AU323" i="7" s="1"/>
  <c r="AU324" i="7" s="1"/>
  <c r="AU325" i="7" s="1"/>
  <c r="AU326" i="7" s="1"/>
  <c r="AU327" i="7" s="1"/>
  <c r="AU328" i="7" s="1"/>
  <c r="AU329" i="7" s="1"/>
  <c r="AU330" i="7" s="1"/>
  <c r="AU331" i="7" s="1"/>
  <c r="AU332" i="7" s="1"/>
  <c r="AU333" i="7" s="1"/>
  <c r="AU334" i="7" s="1"/>
  <c r="AU335" i="7" s="1"/>
  <c r="AU336" i="7" s="1"/>
  <c r="AU337" i="7" s="1"/>
  <c r="AU338" i="7" s="1"/>
  <c r="AU339" i="7" s="1"/>
  <c r="AU340" i="7" s="1"/>
  <c r="AU341" i="7" s="1"/>
  <c r="AU342" i="7" s="1"/>
  <c r="AU343" i="7" s="1"/>
  <c r="AU344" i="7" s="1"/>
  <c r="AU345" i="7" s="1"/>
  <c r="AU346" i="7" s="1"/>
  <c r="AU347" i="7" s="1"/>
  <c r="AU348" i="7" s="1"/>
  <c r="AU349" i="7" s="1"/>
  <c r="AU350" i="7" s="1"/>
  <c r="AU351" i="7" s="1"/>
  <c r="AU352" i="7" s="1"/>
  <c r="AU353" i="7" s="1"/>
  <c r="AU354" i="7" s="1"/>
  <c r="AU355" i="7" s="1"/>
  <c r="AU356" i="7" s="1"/>
  <c r="AU357" i="7" s="1"/>
  <c r="AU358" i="7" s="1"/>
  <c r="AU359" i="7" s="1"/>
  <c r="AU360" i="7" s="1"/>
  <c r="AU361" i="7" s="1"/>
  <c r="AU362" i="7" s="1"/>
  <c r="AU363" i="7" s="1"/>
  <c r="AU364" i="7" s="1"/>
  <c r="AU365" i="7" s="1"/>
  <c r="AU366" i="7" s="1"/>
  <c r="AU367" i="7" s="1"/>
  <c r="AU368" i="7" s="1"/>
  <c r="AU369" i="7" s="1"/>
  <c r="AU370" i="7" s="1"/>
  <c r="AU371" i="7" s="1"/>
  <c r="AU372" i="7" s="1"/>
  <c r="AU373" i="7" s="1"/>
  <c r="AU374" i="7" s="1"/>
  <c r="AU375" i="7" s="1"/>
  <c r="AU376" i="7" s="1"/>
  <c r="AU377" i="7" s="1"/>
  <c r="AU378" i="7" s="1"/>
  <c r="AU379" i="7" s="1"/>
  <c r="AU380" i="7" s="1"/>
  <c r="AU381" i="7" s="1"/>
  <c r="AU382" i="7" s="1"/>
  <c r="AU383" i="7" s="1"/>
  <c r="AU384" i="7" s="1"/>
  <c r="AU385" i="7" s="1"/>
  <c r="AU386" i="7" s="1"/>
  <c r="AU387" i="7" s="1"/>
  <c r="AU388" i="7" s="1"/>
  <c r="AU389" i="7" s="1"/>
  <c r="AU390" i="7" s="1"/>
  <c r="AU391" i="7" s="1"/>
  <c r="AU392" i="7" s="1"/>
  <c r="AU393" i="7" s="1"/>
  <c r="AU394" i="7" s="1"/>
  <c r="AU395" i="7" s="1"/>
  <c r="AU396" i="7" s="1"/>
  <c r="AU397" i="7" s="1"/>
  <c r="AU398" i="7" s="1"/>
  <c r="AU399" i="7" s="1"/>
  <c r="AD400" i="7"/>
  <c r="J12" i="13" l="1"/>
  <c r="M12" i="13" s="1"/>
  <c r="J14" i="13"/>
  <c r="M14" i="13" s="1"/>
  <c r="J13" i="13"/>
  <c r="M13" i="13" s="1"/>
  <c r="J11" i="13"/>
  <c r="M11" i="13" s="1"/>
  <c r="J10" i="13"/>
  <c r="M10" i="13" s="1"/>
  <c r="J9" i="13"/>
  <c r="M9" i="13" s="1"/>
  <c r="J8" i="13"/>
  <c r="M8" i="13" s="1"/>
  <c r="J7" i="13"/>
  <c r="L20" i="13"/>
  <c r="O20" i="13" s="1"/>
  <c r="BA3" i="6"/>
  <c r="BA4" i="6" s="1"/>
  <c r="BA5" i="6" s="1"/>
  <c r="BA6" i="6" s="1"/>
  <c r="BA7" i="6" s="1"/>
  <c r="BA8" i="6" s="1"/>
  <c r="BA9" i="6" s="1"/>
  <c r="BA10" i="6" s="1"/>
  <c r="BA11" i="6" s="1"/>
  <c r="BA12" i="6" s="1"/>
  <c r="BA13" i="6" s="1"/>
  <c r="BA14" i="6" s="1"/>
  <c r="BA15" i="6" s="1"/>
  <c r="BA16" i="6" s="1"/>
  <c r="BA17" i="6" s="1"/>
  <c r="BA18" i="6" s="1"/>
  <c r="BA19" i="6" s="1"/>
  <c r="BA20" i="6" s="1"/>
  <c r="BA21" i="6" s="1"/>
  <c r="BA22" i="6" s="1"/>
  <c r="BA23" i="6" s="1"/>
  <c r="BA24" i="6" s="1"/>
  <c r="BA25" i="6" s="1"/>
  <c r="BA26" i="6" s="1"/>
  <c r="BA27" i="6" s="1"/>
  <c r="BA28" i="6" s="1"/>
  <c r="BA29" i="6" s="1"/>
  <c r="BA30" i="6" s="1"/>
  <c r="BA31" i="6" s="1"/>
  <c r="BA32" i="6" s="1"/>
  <c r="BA33" i="6" s="1"/>
  <c r="BA34" i="6" s="1"/>
  <c r="BA35" i="6" s="1"/>
  <c r="BA36" i="6" s="1"/>
  <c r="BA37" i="6" s="1"/>
  <c r="BA38" i="6" s="1"/>
  <c r="BA39" i="6" s="1"/>
  <c r="BA40" i="6" s="1"/>
  <c r="BA41" i="6" s="1"/>
  <c r="BA42" i="6" s="1"/>
  <c r="BA43" i="6" s="1"/>
  <c r="BA44" i="6" s="1"/>
  <c r="BA45" i="6" s="1"/>
  <c r="BA46" i="6" s="1"/>
  <c r="BA47" i="6" s="1"/>
  <c r="BA48" i="6" s="1"/>
  <c r="BA49" i="6" s="1"/>
  <c r="BA50" i="6" s="1"/>
  <c r="BA51" i="6" s="1"/>
  <c r="BA52" i="6" s="1"/>
  <c r="BA53" i="6" s="1"/>
  <c r="BA54" i="6" s="1"/>
  <c r="BA55" i="6" s="1"/>
  <c r="BA56" i="6" s="1"/>
  <c r="BA57" i="6" s="1"/>
  <c r="BA58" i="6" s="1"/>
  <c r="BA59" i="6" s="1"/>
  <c r="BA60" i="6" s="1"/>
  <c r="BA61" i="6" s="1"/>
  <c r="BA62" i="6" s="1"/>
  <c r="BA63" i="6" s="1"/>
  <c r="BA64" i="6" s="1"/>
  <c r="BA65" i="6" s="1"/>
  <c r="BA66" i="6" s="1"/>
  <c r="BA67" i="6" s="1"/>
  <c r="BA68" i="6" s="1"/>
  <c r="BA69" i="6" s="1"/>
  <c r="BA70" i="6" s="1"/>
  <c r="BA71" i="6" s="1"/>
  <c r="BA72" i="6" s="1"/>
  <c r="BA73" i="6" s="1"/>
  <c r="BA74" i="6" s="1"/>
  <c r="BA75" i="6" s="1"/>
  <c r="BA76" i="6" s="1"/>
  <c r="BA77" i="6" s="1"/>
  <c r="BA78" i="6" s="1"/>
  <c r="BA79" i="6" s="1"/>
  <c r="BA80" i="6" s="1"/>
  <c r="BA81" i="6" s="1"/>
  <c r="BA82" i="6" s="1"/>
  <c r="BA83" i="6" s="1"/>
  <c r="BA84" i="6" s="1"/>
  <c r="BA85" i="6" s="1"/>
  <c r="BA86" i="6" s="1"/>
  <c r="BA87" i="6" s="1"/>
  <c r="BA88" i="6" s="1"/>
  <c r="BA89" i="6" s="1"/>
  <c r="BA90" i="6" s="1"/>
  <c r="BA91" i="6" s="1"/>
  <c r="BA92" i="6" s="1"/>
  <c r="BA93" i="6" s="1"/>
  <c r="BA94" i="6" s="1"/>
  <c r="BA95" i="6" s="1"/>
  <c r="BA96" i="6" s="1"/>
  <c r="BA97" i="6" s="1"/>
  <c r="BA98" i="6" s="1"/>
  <c r="BA99" i="6" s="1"/>
  <c r="BA100" i="6" s="1"/>
  <c r="BA101" i="6" s="1"/>
  <c r="BA102" i="6" s="1"/>
  <c r="BA103" i="6" s="1"/>
  <c r="BA104" i="6" s="1"/>
  <c r="BA105" i="6" s="1"/>
  <c r="BA106" i="6" s="1"/>
  <c r="BA107" i="6" s="1"/>
  <c r="BA108" i="6" s="1"/>
  <c r="BA109" i="6" s="1"/>
  <c r="BA110" i="6" s="1"/>
  <c r="BA111" i="6" s="1"/>
  <c r="BA112" i="6" s="1"/>
  <c r="BA113" i="6" s="1"/>
  <c r="BA114" i="6" s="1"/>
  <c r="BA115" i="6" s="1"/>
  <c r="BA116" i="6" s="1"/>
  <c r="BA117" i="6" s="1"/>
  <c r="BA118" i="6" s="1"/>
  <c r="BA119" i="6" s="1"/>
  <c r="BA120" i="6" s="1"/>
  <c r="BA121" i="6" s="1"/>
  <c r="BA122" i="6" s="1"/>
  <c r="BA123" i="6" s="1"/>
  <c r="BA124" i="6" s="1"/>
  <c r="BA125" i="6" s="1"/>
  <c r="BA126" i="6" s="1"/>
  <c r="BA127" i="6" s="1"/>
  <c r="BA128" i="6" s="1"/>
  <c r="BA129" i="6" s="1"/>
  <c r="BA130" i="6" s="1"/>
  <c r="BA131" i="6" s="1"/>
  <c r="BA132" i="6" s="1"/>
  <c r="BA133" i="6" s="1"/>
  <c r="BA134" i="6" s="1"/>
  <c r="BA135" i="6" s="1"/>
  <c r="BA136" i="6" s="1"/>
  <c r="BA137" i="6" s="1"/>
  <c r="BA138" i="6" s="1"/>
  <c r="BA139" i="6" s="1"/>
  <c r="BA140" i="6" s="1"/>
  <c r="BA141" i="6" s="1"/>
  <c r="BA142" i="6" s="1"/>
  <c r="BA143" i="6" s="1"/>
  <c r="BA144" i="6" s="1"/>
  <c r="BA145" i="6" s="1"/>
  <c r="BA146" i="6" s="1"/>
  <c r="BA147" i="6" s="1"/>
  <c r="BA148" i="6" s="1"/>
  <c r="BA149" i="6" s="1"/>
  <c r="BA150" i="6" s="1"/>
  <c r="BA151" i="6" s="1"/>
  <c r="BA152" i="6" s="1"/>
  <c r="BA153" i="6" s="1"/>
  <c r="BA154" i="6" s="1"/>
  <c r="BA155" i="6" s="1"/>
  <c r="BA156" i="6" s="1"/>
  <c r="BA157" i="6" s="1"/>
  <c r="BA158" i="6" s="1"/>
  <c r="BA159" i="6" s="1"/>
  <c r="BA160" i="6" s="1"/>
  <c r="BA161" i="6" s="1"/>
  <c r="BA162" i="6" s="1"/>
  <c r="BA163" i="6" s="1"/>
  <c r="BA164" i="6" s="1"/>
  <c r="BA165" i="6" s="1"/>
  <c r="BA166" i="6" s="1"/>
  <c r="BA167" i="6" s="1"/>
  <c r="BA168" i="6" s="1"/>
  <c r="BA169" i="6" s="1"/>
  <c r="BA170" i="6" s="1"/>
  <c r="BA171" i="6" s="1"/>
  <c r="BA172" i="6" s="1"/>
  <c r="BA173" i="6" s="1"/>
  <c r="BA174" i="6" s="1"/>
  <c r="BA175" i="6" s="1"/>
  <c r="BA176" i="6" s="1"/>
  <c r="BA177" i="6" s="1"/>
  <c r="BA178" i="6" s="1"/>
  <c r="BA179" i="6" s="1"/>
  <c r="BA180" i="6" s="1"/>
  <c r="BA181" i="6" s="1"/>
  <c r="BA182" i="6" s="1"/>
  <c r="BA183" i="6" s="1"/>
  <c r="BA184" i="6" s="1"/>
  <c r="BA185" i="6" s="1"/>
  <c r="BA186" i="6" s="1"/>
  <c r="BA187" i="6" s="1"/>
  <c r="BA188" i="6" s="1"/>
  <c r="BA189" i="6" s="1"/>
  <c r="BA190" i="6" s="1"/>
  <c r="BA191" i="6" s="1"/>
  <c r="BA192" i="6" s="1"/>
  <c r="BA193" i="6" s="1"/>
  <c r="BA194" i="6" s="1"/>
  <c r="BA195" i="6" s="1"/>
  <c r="BA196" i="6" s="1"/>
  <c r="BA197" i="6" s="1"/>
  <c r="BA198" i="6" s="1"/>
  <c r="BA199" i="6" s="1"/>
  <c r="BA200" i="6" s="1"/>
  <c r="BA201" i="6" s="1"/>
  <c r="BA202" i="6" s="1"/>
  <c r="BA203" i="6" s="1"/>
  <c r="BA204" i="6" s="1"/>
  <c r="BA205" i="6" s="1"/>
  <c r="BA206" i="6" s="1"/>
  <c r="BA207" i="6" s="1"/>
  <c r="BA208" i="6" s="1"/>
  <c r="BA209" i="6" s="1"/>
  <c r="BA210" i="6" s="1"/>
  <c r="BA211" i="6" s="1"/>
  <c r="BA212" i="6" s="1"/>
  <c r="BA213" i="6" s="1"/>
  <c r="BA214" i="6" s="1"/>
  <c r="BA215" i="6" s="1"/>
  <c r="BA216" i="6" s="1"/>
  <c r="BA217" i="6" s="1"/>
  <c r="BA218" i="6" s="1"/>
  <c r="BA219" i="6" s="1"/>
  <c r="BA220" i="6" s="1"/>
  <c r="BA221" i="6" s="1"/>
  <c r="BA222" i="6" s="1"/>
  <c r="BA223" i="6" s="1"/>
  <c r="BA224" i="6" s="1"/>
  <c r="BA225" i="6" s="1"/>
  <c r="BA226" i="6" s="1"/>
  <c r="BA227" i="6" s="1"/>
  <c r="BA228" i="6" s="1"/>
  <c r="BA229" i="6" s="1"/>
  <c r="BA230" i="6" s="1"/>
  <c r="BA231" i="6" s="1"/>
  <c r="BA232" i="6" s="1"/>
  <c r="BA233" i="6" s="1"/>
  <c r="BA234" i="6" s="1"/>
  <c r="BA235" i="6" s="1"/>
  <c r="BA236" i="6" s="1"/>
  <c r="BA237" i="6" s="1"/>
  <c r="BA238" i="6" s="1"/>
  <c r="BA239" i="6" s="1"/>
  <c r="BA240" i="6" s="1"/>
  <c r="BA241" i="6" s="1"/>
  <c r="BA242" i="6" s="1"/>
  <c r="BA243" i="6" s="1"/>
  <c r="BA244" i="6" s="1"/>
  <c r="BA245" i="6" s="1"/>
  <c r="BA246" i="6" s="1"/>
  <c r="BA247" i="6" s="1"/>
  <c r="BA248" i="6" s="1"/>
  <c r="BA249" i="6" s="1"/>
  <c r="BA250" i="6" s="1"/>
  <c r="BA251" i="6" s="1"/>
  <c r="BA252" i="6" s="1"/>
  <c r="BA253" i="6" s="1"/>
  <c r="BA254" i="6" s="1"/>
  <c r="BA255" i="6" s="1"/>
  <c r="BA256" i="6" s="1"/>
  <c r="BA257" i="6" s="1"/>
  <c r="BA258" i="6" s="1"/>
  <c r="BA259" i="6" s="1"/>
  <c r="BA260" i="6" s="1"/>
  <c r="BA261" i="6" s="1"/>
  <c r="BA262" i="6" s="1"/>
  <c r="BA263" i="6" s="1"/>
  <c r="BA264" i="6" s="1"/>
  <c r="BA265" i="6" s="1"/>
  <c r="BA266" i="6" s="1"/>
  <c r="BA267" i="6" s="1"/>
  <c r="BA268" i="6" s="1"/>
  <c r="BA269" i="6" s="1"/>
  <c r="BA270" i="6" s="1"/>
  <c r="BA271" i="6" s="1"/>
  <c r="BA272" i="6" s="1"/>
  <c r="BA273" i="6" s="1"/>
  <c r="BA274" i="6" s="1"/>
  <c r="BA275" i="6" s="1"/>
  <c r="BA276" i="6" s="1"/>
  <c r="BA277" i="6" s="1"/>
  <c r="BA278" i="6" s="1"/>
  <c r="BA279" i="6" s="1"/>
  <c r="BA280" i="6" s="1"/>
  <c r="BA281" i="6" s="1"/>
  <c r="BA282" i="6" s="1"/>
  <c r="BA283" i="6" s="1"/>
  <c r="BA284" i="6" s="1"/>
  <c r="BA285" i="6" s="1"/>
  <c r="BA286" i="6" s="1"/>
  <c r="BA287" i="6" s="1"/>
  <c r="BA288" i="6" s="1"/>
  <c r="BA289" i="6" s="1"/>
  <c r="BA290" i="6" s="1"/>
  <c r="BA291" i="6" s="1"/>
  <c r="BA292" i="6" s="1"/>
  <c r="BA293" i="6" s="1"/>
  <c r="BA294" i="6" s="1"/>
  <c r="BA295" i="6" s="1"/>
  <c r="BA296" i="6" s="1"/>
  <c r="BA297" i="6" s="1"/>
  <c r="BA298" i="6" s="1"/>
  <c r="BA299" i="6" s="1"/>
  <c r="BA300" i="6" s="1"/>
  <c r="BA301" i="6" s="1"/>
  <c r="BA302" i="6" s="1"/>
  <c r="BA303" i="6" s="1"/>
  <c r="BA304" i="6" s="1"/>
  <c r="BA305" i="6" s="1"/>
  <c r="BA306" i="6" s="1"/>
  <c r="BA307" i="6" s="1"/>
  <c r="BA308" i="6" s="1"/>
  <c r="BA309" i="6" s="1"/>
  <c r="BA310" i="6" s="1"/>
  <c r="BA311" i="6" s="1"/>
  <c r="BA312" i="6" s="1"/>
  <c r="BA313" i="6" s="1"/>
  <c r="BA314" i="6" s="1"/>
  <c r="BA315" i="6" s="1"/>
  <c r="BA316" i="6" s="1"/>
  <c r="BA317" i="6" s="1"/>
  <c r="BA318" i="6" s="1"/>
  <c r="BA319" i="6" s="1"/>
  <c r="BA320" i="6" s="1"/>
  <c r="BA321" i="6" s="1"/>
  <c r="BA322" i="6" s="1"/>
  <c r="BA323" i="6" s="1"/>
  <c r="BA324" i="6" s="1"/>
  <c r="BA325" i="6" s="1"/>
  <c r="BA326" i="6" s="1"/>
  <c r="BA327" i="6" s="1"/>
  <c r="BA328" i="6" s="1"/>
  <c r="BA329" i="6" s="1"/>
  <c r="BA330" i="6" s="1"/>
  <c r="BA331" i="6" s="1"/>
  <c r="BA332" i="6" s="1"/>
  <c r="BA333" i="6" s="1"/>
  <c r="BA334" i="6" s="1"/>
  <c r="BA335" i="6" s="1"/>
  <c r="BA336" i="6" s="1"/>
  <c r="BA337" i="6" s="1"/>
  <c r="BA338" i="6" s="1"/>
  <c r="BA339" i="6" s="1"/>
  <c r="BA340" i="6" s="1"/>
  <c r="BA341" i="6" s="1"/>
  <c r="BA342" i="6" s="1"/>
  <c r="BA343" i="6" s="1"/>
  <c r="BA344" i="6" s="1"/>
  <c r="BA345" i="6" s="1"/>
  <c r="BA346" i="6" s="1"/>
  <c r="BA347" i="6" s="1"/>
  <c r="BA348" i="6" s="1"/>
  <c r="BA349" i="6" s="1"/>
  <c r="BA350" i="6" s="1"/>
  <c r="BA351" i="6" s="1"/>
  <c r="BA352" i="6" s="1"/>
  <c r="BA353" i="6" s="1"/>
  <c r="BA354" i="6" s="1"/>
  <c r="BA355" i="6" s="1"/>
  <c r="BA356" i="6" s="1"/>
  <c r="BA357" i="6" s="1"/>
  <c r="BA358" i="6" s="1"/>
  <c r="BA359" i="6" s="1"/>
  <c r="BA360" i="6" s="1"/>
  <c r="BA361" i="6" s="1"/>
  <c r="BA362" i="6" s="1"/>
  <c r="BA363" i="6" s="1"/>
  <c r="BA364" i="6" s="1"/>
  <c r="BA365" i="6" s="1"/>
  <c r="BA366" i="6" s="1"/>
  <c r="BA367" i="6" s="1"/>
  <c r="BA368" i="6" s="1"/>
  <c r="BA369" i="6" s="1"/>
  <c r="BA370" i="6" s="1"/>
  <c r="BA371" i="6" s="1"/>
  <c r="BA372" i="6" s="1"/>
  <c r="BA373" i="6" s="1"/>
  <c r="BA374" i="6" s="1"/>
  <c r="BA375" i="6" s="1"/>
  <c r="BA376" i="6" s="1"/>
  <c r="BA377" i="6" s="1"/>
  <c r="BA378" i="6" s="1"/>
  <c r="BA379" i="6" s="1"/>
  <c r="BA380" i="6" s="1"/>
  <c r="BA381" i="6" s="1"/>
  <c r="BA382" i="6" s="1"/>
  <c r="BA383" i="6" s="1"/>
  <c r="BA384" i="6" s="1"/>
  <c r="BA385" i="6" s="1"/>
  <c r="BA386" i="6" s="1"/>
  <c r="BA387" i="6" s="1"/>
  <c r="BA388" i="6" s="1"/>
  <c r="BA389" i="6" s="1"/>
  <c r="BA390" i="6" s="1"/>
  <c r="BA391" i="6" s="1"/>
  <c r="BA392" i="6" s="1"/>
  <c r="BA393" i="6" s="1"/>
  <c r="BA394" i="6" s="1"/>
  <c r="BA395" i="6" s="1"/>
  <c r="BA396" i="6" s="1"/>
  <c r="BA397" i="6" s="1"/>
  <c r="BA398" i="6" s="1"/>
  <c r="BA399" i="6" s="1"/>
  <c r="BA400" i="6" s="1"/>
  <c r="BA401" i="6" s="1"/>
  <c r="AY3" i="6"/>
  <c r="AY4" i="6" s="1"/>
  <c r="AY5" i="6" s="1"/>
  <c r="AY6" i="6" s="1"/>
  <c r="AY7" i="6" s="1"/>
  <c r="AY8" i="6" s="1"/>
  <c r="AY9" i="6" s="1"/>
  <c r="AY10" i="6" s="1"/>
  <c r="AY11" i="6" s="1"/>
  <c r="AY12" i="6" s="1"/>
  <c r="AY13" i="6" s="1"/>
  <c r="AY14" i="6" s="1"/>
  <c r="AY15" i="6" s="1"/>
  <c r="AY16" i="6" s="1"/>
  <c r="AY17" i="6" s="1"/>
  <c r="AY18" i="6" s="1"/>
  <c r="AY19" i="6" s="1"/>
  <c r="AY20" i="6" s="1"/>
  <c r="AY21" i="6" s="1"/>
  <c r="AY22" i="6" s="1"/>
  <c r="AY23" i="6" s="1"/>
  <c r="AY24" i="6" s="1"/>
  <c r="AY25" i="6" s="1"/>
  <c r="AY26" i="6" s="1"/>
  <c r="AY27" i="6" s="1"/>
  <c r="AY28" i="6" s="1"/>
  <c r="AY29" i="6" s="1"/>
  <c r="AY30" i="6" s="1"/>
  <c r="AY31" i="6" s="1"/>
  <c r="AY32" i="6" s="1"/>
  <c r="AY33" i="6" s="1"/>
  <c r="AY34" i="6" s="1"/>
  <c r="AY35" i="6" s="1"/>
  <c r="AY36" i="6" s="1"/>
  <c r="AY37" i="6" s="1"/>
  <c r="AY38" i="6" s="1"/>
  <c r="AY39" i="6" s="1"/>
  <c r="AY40" i="6" s="1"/>
  <c r="AY41" i="6" s="1"/>
  <c r="AY42" i="6" s="1"/>
  <c r="AY43" i="6" s="1"/>
  <c r="AY44" i="6" s="1"/>
  <c r="AY45" i="6" s="1"/>
  <c r="AY46" i="6" s="1"/>
  <c r="AY47" i="6" s="1"/>
  <c r="AY48" i="6" s="1"/>
  <c r="AY49" i="6" s="1"/>
  <c r="AY50" i="6" s="1"/>
  <c r="AY51" i="6" s="1"/>
  <c r="AY52" i="6" s="1"/>
  <c r="AY53" i="6" s="1"/>
  <c r="AY54" i="6" s="1"/>
  <c r="AY55" i="6" s="1"/>
  <c r="AY56" i="6" s="1"/>
  <c r="AY57" i="6" s="1"/>
  <c r="AY58" i="6" s="1"/>
  <c r="AY59" i="6" s="1"/>
  <c r="AY60" i="6" s="1"/>
  <c r="AY61" i="6" s="1"/>
  <c r="AY62" i="6" s="1"/>
  <c r="AY63" i="6" s="1"/>
  <c r="AY64" i="6" s="1"/>
  <c r="AY65" i="6" s="1"/>
  <c r="AY66" i="6" s="1"/>
  <c r="AY67" i="6" s="1"/>
  <c r="AY68" i="6" s="1"/>
  <c r="AY69" i="6" s="1"/>
  <c r="AY70" i="6" s="1"/>
  <c r="AY71" i="6" s="1"/>
  <c r="AY72" i="6" s="1"/>
  <c r="AY73" i="6" s="1"/>
  <c r="AY74" i="6" s="1"/>
  <c r="AY75" i="6" s="1"/>
  <c r="AY76" i="6" s="1"/>
  <c r="AY77" i="6" s="1"/>
  <c r="AY78" i="6" s="1"/>
  <c r="AY79" i="6" s="1"/>
  <c r="AY80" i="6" s="1"/>
  <c r="AY81" i="6" s="1"/>
  <c r="AY82" i="6" s="1"/>
  <c r="AY83" i="6" s="1"/>
  <c r="AY84" i="6" s="1"/>
  <c r="AY85" i="6" s="1"/>
  <c r="AY86" i="6" s="1"/>
  <c r="AY87" i="6" s="1"/>
  <c r="AY88" i="6" s="1"/>
  <c r="AY89" i="6" s="1"/>
  <c r="AY90" i="6" s="1"/>
  <c r="AY91" i="6" s="1"/>
  <c r="AY92" i="6" s="1"/>
  <c r="AY93" i="6" s="1"/>
  <c r="AY94" i="6" s="1"/>
  <c r="AY95" i="6" s="1"/>
  <c r="AY96" i="6" s="1"/>
  <c r="AY97" i="6" s="1"/>
  <c r="AY98" i="6" s="1"/>
  <c r="AY99" i="6" s="1"/>
  <c r="AY100" i="6" s="1"/>
  <c r="AY101" i="6" s="1"/>
  <c r="AY102" i="6" s="1"/>
  <c r="AY103" i="6" s="1"/>
  <c r="AY104" i="6" s="1"/>
  <c r="AY105" i="6" s="1"/>
  <c r="AY106" i="6" s="1"/>
  <c r="AY107" i="6" s="1"/>
  <c r="AY108" i="6" s="1"/>
  <c r="AY109" i="6" s="1"/>
  <c r="AY110" i="6" s="1"/>
  <c r="AY111" i="6" s="1"/>
  <c r="AY112" i="6" s="1"/>
  <c r="AY113" i="6" s="1"/>
  <c r="AY114" i="6" s="1"/>
  <c r="AY115" i="6" s="1"/>
  <c r="AY116" i="6" s="1"/>
  <c r="AY117" i="6" s="1"/>
  <c r="AY118" i="6" s="1"/>
  <c r="AY119" i="6" s="1"/>
  <c r="AY120" i="6" s="1"/>
  <c r="AY121" i="6" s="1"/>
  <c r="AY122" i="6" s="1"/>
  <c r="AY123" i="6" s="1"/>
  <c r="AY124" i="6" s="1"/>
  <c r="AY125" i="6" s="1"/>
  <c r="AY126" i="6" s="1"/>
  <c r="AY127" i="6" s="1"/>
  <c r="AY128" i="6" s="1"/>
  <c r="AY129" i="6" s="1"/>
  <c r="AY130" i="6" s="1"/>
  <c r="AY131" i="6" s="1"/>
  <c r="AY132" i="6" s="1"/>
  <c r="AY133" i="6" s="1"/>
  <c r="AY134" i="6" s="1"/>
  <c r="AY135" i="6" s="1"/>
  <c r="AY136" i="6" s="1"/>
  <c r="AY137" i="6" s="1"/>
  <c r="AY138" i="6" s="1"/>
  <c r="AY139" i="6" s="1"/>
  <c r="AY140" i="6" s="1"/>
  <c r="AY141" i="6" s="1"/>
  <c r="AY142" i="6" s="1"/>
  <c r="AY143" i="6" s="1"/>
  <c r="AY144" i="6" s="1"/>
  <c r="AY145" i="6" s="1"/>
  <c r="AY146" i="6" s="1"/>
  <c r="AY147" i="6" s="1"/>
  <c r="AY148" i="6" s="1"/>
  <c r="AY149" i="6" s="1"/>
  <c r="AY150" i="6" s="1"/>
  <c r="AY151" i="6" s="1"/>
  <c r="AY152" i="6" s="1"/>
  <c r="AY153" i="6" s="1"/>
  <c r="AY154" i="6" s="1"/>
  <c r="AY155" i="6" s="1"/>
  <c r="AY156" i="6" s="1"/>
  <c r="AY157" i="6" s="1"/>
  <c r="AY158" i="6" s="1"/>
  <c r="AY159" i="6" s="1"/>
  <c r="AY160" i="6" s="1"/>
  <c r="AY161" i="6" s="1"/>
  <c r="AY162" i="6" s="1"/>
  <c r="AY163" i="6" s="1"/>
  <c r="AY164" i="6" s="1"/>
  <c r="AY165" i="6" s="1"/>
  <c r="AY166" i="6" s="1"/>
  <c r="AY167" i="6" s="1"/>
  <c r="AY168" i="6" s="1"/>
  <c r="AY169" i="6" s="1"/>
  <c r="AY170" i="6" s="1"/>
  <c r="AY171" i="6" s="1"/>
  <c r="AY172" i="6" s="1"/>
  <c r="AY173" i="6" s="1"/>
  <c r="AY174" i="6" s="1"/>
  <c r="AY175" i="6" s="1"/>
  <c r="AY176" i="6" s="1"/>
  <c r="AY177" i="6" s="1"/>
  <c r="AY178" i="6" s="1"/>
  <c r="AY179" i="6" s="1"/>
  <c r="AY180" i="6" s="1"/>
  <c r="AY181" i="6" s="1"/>
  <c r="AY182" i="6" s="1"/>
  <c r="AY183" i="6" s="1"/>
  <c r="AY184" i="6" s="1"/>
  <c r="AY185" i="6" s="1"/>
  <c r="AY186" i="6" s="1"/>
  <c r="AY187" i="6" s="1"/>
  <c r="AY188" i="6" s="1"/>
  <c r="AY189" i="6" s="1"/>
  <c r="AY190" i="6" s="1"/>
  <c r="AY191" i="6" s="1"/>
  <c r="AY192" i="6" s="1"/>
  <c r="AY193" i="6" s="1"/>
  <c r="AY194" i="6" s="1"/>
  <c r="AY195" i="6" s="1"/>
  <c r="AY196" i="6" s="1"/>
  <c r="AY197" i="6" s="1"/>
  <c r="AY198" i="6" s="1"/>
  <c r="AY199" i="6" s="1"/>
  <c r="AY200" i="6" s="1"/>
  <c r="AY201" i="6" s="1"/>
  <c r="AY202" i="6" s="1"/>
  <c r="AY203" i="6" s="1"/>
  <c r="AY204" i="6" s="1"/>
  <c r="AY205" i="6" s="1"/>
  <c r="AY206" i="6" s="1"/>
  <c r="AY207" i="6" s="1"/>
  <c r="AY208" i="6" s="1"/>
  <c r="AY209" i="6" s="1"/>
  <c r="AY210" i="6" s="1"/>
  <c r="AY211" i="6" s="1"/>
  <c r="AY212" i="6" s="1"/>
  <c r="AY213" i="6" s="1"/>
  <c r="AY214" i="6" s="1"/>
  <c r="AY215" i="6" s="1"/>
  <c r="AY216" i="6" s="1"/>
  <c r="AY217" i="6" s="1"/>
  <c r="AY218" i="6" s="1"/>
  <c r="AY219" i="6" s="1"/>
  <c r="AY220" i="6" s="1"/>
  <c r="AY221" i="6" s="1"/>
  <c r="AY222" i="6" s="1"/>
  <c r="AY223" i="6" s="1"/>
  <c r="AY224" i="6" s="1"/>
  <c r="AY225" i="6" s="1"/>
  <c r="AY226" i="6" s="1"/>
  <c r="AY227" i="6" s="1"/>
  <c r="AY228" i="6" s="1"/>
  <c r="AY229" i="6" s="1"/>
  <c r="AY230" i="6" s="1"/>
  <c r="AY231" i="6" s="1"/>
  <c r="AY232" i="6" s="1"/>
  <c r="AY233" i="6" s="1"/>
  <c r="AY234" i="6" s="1"/>
  <c r="AY235" i="6" s="1"/>
  <c r="AY236" i="6" s="1"/>
  <c r="AY237" i="6" s="1"/>
  <c r="AY238" i="6" s="1"/>
  <c r="AY239" i="6" s="1"/>
  <c r="AY240" i="6" s="1"/>
  <c r="AY241" i="6" s="1"/>
  <c r="AY242" i="6" s="1"/>
  <c r="AY243" i="6" s="1"/>
  <c r="AY244" i="6" s="1"/>
  <c r="AY245" i="6" s="1"/>
  <c r="AY246" i="6" s="1"/>
  <c r="AY247" i="6" s="1"/>
  <c r="AY248" i="6" s="1"/>
  <c r="AY249" i="6" s="1"/>
  <c r="AY250" i="6" s="1"/>
  <c r="AY251" i="6" s="1"/>
  <c r="AY252" i="6" s="1"/>
  <c r="AY253" i="6" s="1"/>
  <c r="AY254" i="6" s="1"/>
  <c r="AY255" i="6" s="1"/>
  <c r="AY256" i="6" s="1"/>
  <c r="AY257" i="6" s="1"/>
  <c r="AY258" i="6" s="1"/>
  <c r="AY259" i="6" s="1"/>
  <c r="AY260" i="6" s="1"/>
  <c r="AY261" i="6" s="1"/>
  <c r="AY262" i="6" s="1"/>
  <c r="AY263" i="6" s="1"/>
  <c r="AY264" i="6" s="1"/>
  <c r="AY265" i="6" s="1"/>
  <c r="AY266" i="6" s="1"/>
  <c r="AY267" i="6" s="1"/>
  <c r="AY268" i="6" s="1"/>
  <c r="AY269" i="6" s="1"/>
  <c r="AY270" i="6" s="1"/>
  <c r="AY271" i="6" s="1"/>
  <c r="AY272" i="6" s="1"/>
  <c r="AY273" i="6" s="1"/>
  <c r="AY274" i="6" s="1"/>
  <c r="AY275" i="6" s="1"/>
  <c r="AY276" i="6" s="1"/>
  <c r="AY277" i="6" s="1"/>
  <c r="AY278" i="6" s="1"/>
  <c r="AY279" i="6" s="1"/>
  <c r="AY280" i="6" s="1"/>
  <c r="AY281" i="6" s="1"/>
  <c r="AY282" i="6" s="1"/>
  <c r="AY283" i="6" s="1"/>
  <c r="AY284" i="6" s="1"/>
  <c r="AY285" i="6" s="1"/>
  <c r="AY286" i="6" s="1"/>
  <c r="AY287" i="6" s="1"/>
  <c r="AY288" i="6" s="1"/>
  <c r="AY289" i="6" s="1"/>
  <c r="AY290" i="6" s="1"/>
  <c r="AY291" i="6" s="1"/>
  <c r="AY292" i="6" s="1"/>
  <c r="AY293" i="6" s="1"/>
  <c r="AY294" i="6" s="1"/>
  <c r="AY295" i="6" s="1"/>
  <c r="AY296" i="6" s="1"/>
  <c r="AY297" i="6" s="1"/>
  <c r="AY298" i="6" s="1"/>
  <c r="AY299" i="6" s="1"/>
  <c r="AY300" i="6" s="1"/>
  <c r="AY301" i="6" s="1"/>
  <c r="AY302" i="6" s="1"/>
  <c r="AY303" i="6" s="1"/>
  <c r="AY304" i="6" s="1"/>
  <c r="AY305" i="6" s="1"/>
  <c r="AY306" i="6" s="1"/>
  <c r="AY307" i="6" s="1"/>
  <c r="AY308" i="6" s="1"/>
  <c r="AY309" i="6" s="1"/>
  <c r="AY310" i="6" s="1"/>
  <c r="AY311" i="6" s="1"/>
  <c r="AY312" i="6" s="1"/>
  <c r="AY313" i="6" s="1"/>
  <c r="AY314" i="6" s="1"/>
  <c r="AY315" i="6" s="1"/>
  <c r="AY316" i="6" s="1"/>
  <c r="AY317" i="6" s="1"/>
  <c r="AY318" i="6" s="1"/>
  <c r="AY319" i="6" s="1"/>
  <c r="AY320" i="6" s="1"/>
  <c r="AY321" i="6" s="1"/>
  <c r="AY322" i="6" s="1"/>
  <c r="AY323" i="6" s="1"/>
  <c r="AY324" i="6" s="1"/>
  <c r="AY325" i="6" s="1"/>
  <c r="AY326" i="6" s="1"/>
  <c r="AY327" i="6" s="1"/>
  <c r="AY328" i="6" s="1"/>
  <c r="AY329" i="6" s="1"/>
  <c r="AY330" i="6" s="1"/>
  <c r="AY331" i="6" s="1"/>
  <c r="AY332" i="6" s="1"/>
  <c r="AY333" i="6" s="1"/>
  <c r="AY334" i="6" s="1"/>
  <c r="AY335" i="6" s="1"/>
  <c r="AY336" i="6" s="1"/>
  <c r="AY337" i="6" s="1"/>
  <c r="AY338" i="6" s="1"/>
  <c r="AY339" i="6" s="1"/>
  <c r="AY340" i="6" s="1"/>
  <c r="AY341" i="6" s="1"/>
  <c r="AY342" i="6" s="1"/>
  <c r="AY343" i="6" s="1"/>
  <c r="AY344" i="6" s="1"/>
  <c r="AY345" i="6" s="1"/>
  <c r="AY346" i="6" s="1"/>
  <c r="AY347" i="6" s="1"/>
  <c r="AY348" i="6" s="1"/>
  <c r="AY349" i="6" s="1"/>
  <c r="AY350" i="6" s="1"/>
  <c r="AY351" i="6" s="1"/>
  <c r="AY352" i="6" s="1"/>
  <c r="AY353" i="6" s="1"/>
  <c r="AY354" i="6" s="1"/>
  <c r="AY355" i="6" s="1"/>
  <c r="AY356" i="6" s="1"/>
  <c r="AY357" i="6" s="1"/>
  <c r="AY358" i="6" s="1"/>
  <c r="AY359" i="6" s="1"/>
  <c r="AY360" i="6" s="1"/>
  <c r="AY361" i="6" s="1"/>
  <c r="AY362" i="6" s="1"/>
  <c r="AY363" i="6" s="1"/>
  <c r="AY364" i="6" s="1"/>
  <c r="AY365" i="6" s="1"/>
  <c r="AY366" i="6" s="1"/>
  <c r="AY367" i="6" s="1"/>
  <c r="AY368" i="6" s="1"/>
  <c r="AY369" i="6" s="1"/>
  <c r="AY370" i="6" s="1"/>
  <c r="AY371" i="6" s="1"/>
  <c r="AY372" i="6" s="1"/>
  <c r="AY373" i="6" s="1"/>
  <c r="AY374" i="6" s="1"/>
  <c r="AY375" i="6" s="1"/>
  <c r="AY376" i="6" s="1"/>
  <c r="AY377" i="6" s="1"/>
  <c r="AY378" i="6" s="1"/>
  <c r="AY379" i="6" s="1"/>
  <c r="AY380" i="6" s="1"/>
  <c r="AY381" i="6" s="1"/>
  <c r="AY382" i="6" s="1"/>
  <c r="AY383" i="6" s="1"/>
  <c r="AY384" i="6" s="1"/>
  <c r="AY385" i="6" s="1"/>
  <c r="AY386" i="6" s="1"/>
  <c r="AY387" i="6" s="1"/>
  <c r="AY388" i="6" s="1"/>
  <c r="AY389" i="6" s="1"/>
  <c r="AY390" i="6" s="1"/>
  <c r="AY391" i="6" s="1"/>
  <c r="AY392" i="6" s="1"/>
  <c r="AY393" i="6" s="1"/>
  <c r="AY394" i="6" s="1"/>
  <c r="AY395" i="6" s="1"/>
  <c r="AY396" i="6" s="1"/>
  <c r="AY397" i="6" s="1"/>
  <c r="AY398" i="6" s="1"/>
  <c r="AY399" i="6" s="1"/>
  <c r="AY400" i="6" s="1"/>
  <c r="AY401" i="6" s="1"/>
  <c r="AW3" i="6"/>
  <c r="AW4" i="6" s="1"/>
  <c r="AW5" i="6" s="1"/>
  <c r="AW6" i="6" s="1"/>
  <c r="AW7" i="6" s="1"/>
  <c r="AW8" i="6" s="1"/>
  <c r="AW9" i="6" s="1"/>
  <c r="AW10" i="6" s="1"/>
  <c r="AW11" i="6" s="1"/>
  <c r="AW12" i="6" s="1"/>
  <c r="AW13" i="6" s="1"/>
  <c r="AW14" i="6" s="1"/>
  <c r="AW15" i="6" s="1"/>
  <c r="AW16" i="6" s="1"/>
  <c r="AW17" i="6" s="1"/>
  <c r="AW18" i="6" s="1"/>
  <c r="AW19" i="6" s="1"/>
  <c r="AW20" i="6" s="1"/>
  <c r="AW21" i="6" s="1"/>
  <c r="AW22" i="6" s="1"/>
  <c r="AW23" i="6" s="1"/>
  <c r="AW24" i="6" s="1"/>
  <c r="AW25" i="6" s="1"/>
  <c r="AW26" i="6" s="1"/>
  <c r="AW27" i="6" s="1"/>
  <c r="AW28" i="6" s="1"/>
  <c r="AW29" i="6" s="1"/>
  <c r="AW30" i="6" s="1"/>
  <c r="AW31" i="6" s="1"/>
  <c r="AW32" i="6" s="1"/>
  <c r="AW33" i="6" s="1"/>
  <c r="AW34" i="6" s="1"/>
  <c r="AW35" i="6" s="1"/>
  <c r="AW36" i="6" s="1"/>
  <c r="AW37" i="6" s="1"/>
  <c r="AW38" i="6" s="1"/>
  <c r="AW39" i="6" s="1"/>
  <c r="AW40" i="6" s="1"/>
  <c r="AW41" i="6" s="1"/>
  <c r="AW42" i="6" s="1"/>
  <c r="AW43" i="6" s="1"/>
  <c r="AW44" i="6" s="1"/>
  <c r="AW45" i="6" s="1"/>
  <c r="AW46" i="6" s="1"/>
  <c r="AW47" i="6" s="1"/>
  <c r="AW48" i="6" s="1"/>
  <c r="AW49" i="6" s="1"/>
  <c r="AW50" i="6" s="1"/>
  <c r="AW51" i="6" s="1"/>
  <c r="AW52" i="6" s="1"/>
  <c r="AW53" i="6" s="1"/>
  <c r="AW54" i="6" s="1"/>
  <c r="AW55" i="6" s="1"/>
  <c r="AW56" i="6" s="1"/>
  <c r="AW57" i="6" s="1"/>
  <c r="AW58" i="6" s="1"/>
  <c r="AW59" i="6" s="1"/>
  <c r="AW60" i="6" s="1"/>
  <c r="AW61" i="6" s="1"/>
  <c r="AW62" i="6" s="1"/>
  <c r="AW63" i="6" s="1"/>
  <c r="AW64" i="6" s="1"/>
  <c r="AW65" i="6" s="1"/>
  <c r="AW66" i="6" s="1"/>
  <c r="AW67" i="6" s="1"/>
  <c r="AW68" i="6" s="1"/>
  <c r="AW69" i="6" s="1"/>
  <c r="AW70" i="6" s="1"/>
  <c r="AW71" i="6" s="1"/>
  <c r="AW72" i="6" s="1"/>
  <c r="AW73" i="6" s="1"/>
  <c r="AW74" i="6" s="1"/>
  <c r="AW75" i="6" s="1"/>
  <c r="AW76" i="6" s="1"/>
  <c r="AW77" i="6" s="1"/>
  <c r="AW78" i="6" s="1"/>
  <c r="AW79" i="6" s="1"/>
  <c r="AW80" i="6" s="1"/>
  <c r="AW81" i="6" s="1"/>
  <c r="AW82" i="6" s="1"/>
  <c r="AW83" i="6" s="1"/>
  <c r="AW84" i="6" s="1"/>
  <c r="AW85" i="6" s="1"/>
  <c r="AW86" i="6" s="1"/>
  <c r="AW87" i="6" s="1"/>
  <c r="AW88" i="6" s="1"/>
  <c r="AW89" i="6" s="1"/>
  <c r="AW90" i="6" s="1"/>
  <c r="AW91" i="6" s="1"/>
  <c r="AW92" i="6" s="1"/>
  <c r="AW93" i="6" s="1"/>
  <c r="AW94" i="6" s="1"/>
  <c r="AW95" i="6" s="1"/>
  <c r="AW96" i="6" s="1"/>
  <c r="AW97" i="6" s="1"/>
  <c r="AW98" i="6" s="1"/>
  <c r="AW99" i="6" s="1"/>
  <c r="AW100" i="6" s="1"/>
  <c r="AW101" i="6" s="1"/>
  <c r="AW102" i="6" s="1"/>
  <c r="AW103" i="6" s="1"/>
  <c r="AW104" i="6" s="1"/>
  <c r="AW105" i="6" s="1"/>
  <c r="AW106" i="6" s="1"/>
  <c r="AW107" i="6" s="1"/>
  <c r="AW108" i="6" s="1"/>
  <c r="AW109" i="6" s="1"/>
  <c r="AW110" i="6" s="1"/>
  <c r="AW111" i="6" s="1"/>
  <c r="AW112" i="6" s="1"/>
  <c r="AW113" i="6" s="1"/>
  <c r="AW114" i="6" s="1"/>
  <c r="AW115" i="6" s="1"/>
  <c r="AW116" i="6" s="1"/>
  <c r="AW117" i="6" s="1"/>
  <c r="AW118" i="6" s="1"/>
  <c r="AW119" i="6" s="1"/>
  <c r="AW120" i="6" s="1"/>
  <c r="AW121" i="6" s="1"/>
  <c r="AW122" i="6" s="1"/>
  <c r="AW123" i="6" s="1"/>
  <c r="AW124" i="6" s="1"/>
  <c r="AW125" i="6" s="1"/>
  <c r="AW126" i="6" s="1"/>
  <c r="AW127" i="6" s="1"/>
  <c r="AW128" i="6" s="1"/>
  <c r="AW129" i="6" s="1"/>
  <c r="AW130" i="6" s="1"/>
  <c r="AW131" i="6" s="1"/>
  <c r="AW132" i="6" s="1"/>
  <c r="AW133" i="6" s="1"/>
  <c r="AW134" i="6" s="1"/>
  <c r="AW135" i="6" s="1"/>
  <c r="AW136" i="6" s="1"/>
  <c r="AW137" i="6" s="1"/>
  <c r="AW138" i="6" s="1"/>
  <c r="AW139" i="6" s="1"/>
  <c r="AW140" i="6" s="1"/>
  <c r="AW141" i="6" s="1"/>
  <c r="AW142" i="6" s="1"/>
  <c r="AW143" i="6" s="1"/>
  <c r="AW144" i="6" s="1"/>
  <c r="AW145" i="6" s="1"/>
  <c r="AW146" i="6" s="1"/>
  <c r="AW147" i="6" s="1"/>
  <c r="AW148" i="6" s="1"/>
  <c r="AW149" i="6" s="1"/>
  <c r="AW150" i="6" s="1"/>
  <c r="AW151" i="6" s="1"/>
  <c r="AW152" i="6" s="1"/>
  <c r="AW153" i="6" s="1"/>
  <c r="AW154" i="6" s="1"/>
  <c r="AW155" i="6" s="1"/>
  <c r="AW156" i="6" s="1"/>
  <c r="AW157" i="6" s="1"/>
  <c r="AW158" i="6" s="1"/>
  <c r="AW159" i="6" s="1"/>
  <c r="AW160" i="6" s="1"/>
  <c r="AW161" i="6" s="1"/>
  <c r="AW162" i="6" s="1"/>
  <c r="AW163" i="6" s="1"/>
  <c r="AW164" i="6" s="1"/>
  <c r="AW165" i="6" s="1"/>
  <c r="AW166" i="6" s="1"/>
  <c r="AW167" i="6" s="1"/>
  <c r="AW168" i="6" s="1"/>
  <c r="AW169" i="6" s="1"/>
  <c r="AW170" i="6" s="1"/>
  <c r="AW171" i="6" s="1"/>
  <c r="AW172" i="6" s="1"/>
  <c r="AW173" i="6" s="1"/>
  <c r="AW174" i="6" s="1"/>
  <c r="AW175" i="6" s="1"/>
  <c r="AW176" i="6" s="1"/>
  <c r="AW177" i="6" s="1"/>
  <c r="AW178" i="6" s="1"/>
  <c r="AW179" i="6" s="1"/>
  <c r="AW180" i="6" s="1"/>
  <c r="AW181" i="6" s="1"/>
  <c r="AW182" i="6" s="1"/>
  <c r="AW183" i="6" s="1"/>
  <c r="AW184" i="6" s="1"/>
  <c r="AW185" i="6" s="1"/>
  <c r="AW186" i="6" s="1"/>
  <c r="AW187" i="6" s="1"/>
  <c r="AW188" i="6" s="1"/>
  <c r="AW189" i="6" s="1"/>
  <c r="AW190" i="6" s="1"/>
  <c r="AW191" i="6" s="1"/>
  <c r="AW192" i="6" s="1"/>
  <c r="AW193" i="6" s="1"/>
  <c r="AW194" i="6" s="1"/>
  <c r="AW195" i="6" s="1"/>
  <c r="AW196" i="6" s="1"/>
  <c r="AW197" i="6" s="1"/>
  <c r="AW198" i="6" s="1"/>
  <c r="AW199" i="6" s="1"/>
  <c r="AW200" i="6" s="1"/>
  <c r="AW201" i="6" s="1"/>
  <c r="AW202" i="6" s="1"/>
  <c r="AW203" i="6" s="1"/>
  <c r="AW204" i="6" s="1"/>
  <c r="AW205" i="6" s="1"/>
  <c r="AW206" i="6" s="1"/>
  <c r="AW207" i="6" s="1"/>
  <c r="AW208" i="6" s="1"/>
  <c r="AW209" i="6" s="1"/>
  <c r="AW210" i="6" s="1"/>
  <c r="AW211" i="6" s="1"/>
  <c r="AW212" i="6" s="1"/>
  <c r="AW213" i="6" s="1"/>
  <c r="AW214" i="6" s="1"/>
  <c r="AW215" i="6" s="1"/>
  <c r="AW216" i="6" s="1"/>
  <c r="AW217" i="6" s="1"/>
  <c r="AW218" i="6" s="1"/>
  <c r="AW219" i="6" s="1"/>
  <c r="AW220" i="6" s="1"/>
  <c r="AW221" i="6" s="1"/>
  <c r="AW222" i="6" s="1"/>
  <c r="AW223" i="6" s="1"/>
  <c r="AW224" i="6" s="1"/>
  <c r="AW225" i="6" s="1"/>
  <c r="AW226" i="6" s="1"/>
  <c r="AW227" i="6" s="1"/>
  <c r="AW228" i="6" s="1"/>
  <c r="AW229" i="6" s="1"/>
  <c r="AW230" i="6" s="1"/>
  <c r="AW231" i="6" s="1"/>
  <c r="AW232" i="6" s="1"/>
  <c r="AW233" i="6" s="1"/>
  <c r="AW234" i="6" s="1"/>
  <c r="AW235" i="6" s="1"/>
  <c r="AW236" i="6" s="1"/>
  <c r="AW237" i="6" s="1"/>
  <c r="AW238" i="6" s="1"/>
  <c r="AW239" i="6" s="1"/>
  <c r="AW240" i="6" s="1"/>
  <c r="AW241" i="6" s="1"/>
  <c r="AW242" i="6" s="1"/>
  <c r="AW243" i="6" s="1"/>
  <c r="AW244" i="6" s="1"/>
  <c r="AW245" i="6" s="1"/>
  <c r="AW246" i="6" s="1"/>
  <c r="AW247" i="6" s="1"/>
  <c r="AW248" i="6" s="1"/>
  <c r="AW249" i="6" s="1"/>
  <c r="AW250" i="6" s="1"/>
  <c r="AW251" i="6" s="1"/>
  <c r="AW252" i="6" s="1"/>
  <c r="AW253" i="6" s="1"/>
  <c r="AW254" i="6" s="1"/>
  <c r="AW255" i="6" s="1"/>
  <c r="AW256" i="6" s="1"/>
  <c r="AW257" i="6" s="1"/>
  <c r="AW258" i="6" s="1"/>
  <c r="AW259" i="6" s="1"/>
  <c r="AW260" i="6" s="1"/>
  <c r="AW261" i="6" s="1"/>
  <c r="AW262" i="6" s="1"/>
  <c r="AW263" i="6" s="1"/>
  <c r="AW264" i="6" s="1"/>
  <c r="AW265" i="6" s="1"/>
  <c r="AW266" i="6" s="1"/>
  <c r="AW267" i="6" s="1"/>
  <c r="AW268" i="6" s="1"/>
  <c r="AW269" i="6" s="1"/>
  <c r="AW270" i="6" s="1"/>
  <c r="AW271" i="6" s="1"/>
  <c r="AW272" i="6" s="1"/>
  <c r="AW273" i="6" s="1"/>
  <c r="AW274" i="6" s="1"/>
  <c r="AW275" i="6" s="1"/>
  <c r="AW276" i="6" s="1"/>
  <c r="AW277" i="6" s="1"/>
  <c r="AW278" i="6" s="1"/>
  <c r="AW279" i="6" s="1"/>
  <c r="AW280" i="6" s="1"/>
  <c r="AW281" i="6" s="1"/>
  <c r="AW282" i="6" s="1"/>
  <c r="AW283" i="6" s="1"/>
  <c r="AW284" i="6" s="1"/>
  <c r="AW285" i="6" s="1"/>
  <c r="AW286" i="6" s="1"/>
  <c r="AW287" i="6" s="1"/>
  <c r="AW288" i="6" s="1"/>
  <c r="AW289" i="6" s="1"/>
  <c r="AW290" i="6" s="1"/>
  <c r="AW291" i="6" s="1"/>
  <c r="AW292" i="6" s="1"/>
  <c r="AW293" i="6" s="1"/>
  <c r="AW294" i="6" s="1"/>
  <c r="AW295" i="6" s="1"/>
  <c r="AW296" i="6" s="1"/>
  <c r="AW297" i="6" s="1"/>
  <c r="AW298" i="6" s="1"/>
  <c r="AW299" i="6" s="1"/>
  <c r="AW300" i="6" s="1"/>
  <c r="AW301" i="6" s="1"/>
  <c r="AW302" i="6" s="1"/>
  <c r="AW303" i="6" s="1"/>
  <c r="AW304" i="6" s="1"/>
  <c r="AW305" i="6" s="1"/>
  <c r="AW306" i="6" s="1"/>
  <c r="AW307" i="6" s="1"/>
  <c r="AW308" i="6" s="1"/>
  <c r="AW309" i="6" s="1"/>
  <c r="AW310" i="6" s="1"/>
  <c r="AW311" i="6" s="1"/>
  <c r="AW312" i="6" s="1"/>
  <c r="AW313" i="6" s="1"/>
  <c r="AW314" i="6" s="1"/>
  <c r="AW315" i="6" s="1"/>
  <c r="AW316" i="6" s="1"/>
  <c r="AW317" i="6" s="1"/>
  <c r="AW318" i="6" s="1"/>
  <c r="AW319" i="6" s="1"/>
  <c r="AW320" i="6" s="1"/>
  <c r="AW321" i="6" s="1"/>
  <c r="AW322" i="6" s="1"/>
  <c r="AW323" i="6" s="1"/>
  <c r="AW324" i="6" s="1"/>
  <c r="AW325" i="6" s="1"/>
  <c r="AW326" i="6" s="1"/>
  <c r="AW327" i="6" s="1"/>
  <c r="AW328" i="6" s="1"/>
  <c r="AW329" i="6" s="1"/>
  <c r="AW330" i="6" s="1"/>
  <c r="AW331" i="6" s="1"/>
  <c r="AW332" i="6" s="1"/>
  <c r="AW333" i="6" s="1"/>
  <c r="AW334" i="6" s="1"/>
  <c r="AW335" i="6" s="1"/>
  <c r="AW336" i="6" s="1"/>
  <c r="AW337" i="6" s="1"/>
  <c r="AW338" i="6" s="1"/>
  <c r="AW339" i="6" s="1"/>
  <c r="AW340" i="6" s="1"/>
  <c r="AW341" i="6" s="1"/>
  <c r="AW342" i="6" s="1"/>
  <c r="AW343" i="6" s="1"/>
  <c r="AW344" i="6" s="1"/>
  <c r="AW345" i="6" s="1"/>
  <c r="AW346" i="6" s="1"/>
  <c r="AW347" i="6" s="1"/>
  <c r="AW348" i="6" s="1"/>
  <c r="AW349" i="6" s="1"/>
  <c r="AW350" i="6" s="1"/>
  <c r="AW351" i="6" s="1"/>
  <c r="AW352" i="6" s="1"/>
  <c r="AW353" i="6" s="1"/>
  <c r="AW354" i="6" s="1"/>
  <c r="AW355" i="6" s="1"/>
  <c r="AW356" i="6" s="1"/>
  <c r="AW357" i="6" s="1"/>
  <c r="AW358" i="6" s="1"/>
  <c r="AW359" i="6" s="1"/>
  <c r="AW360" i="6" s="1"/>
  <c r="AW361" i="6" s="1"/>
  <c r="AW362" i="6" s="1"/>
  <c r="AW363" i="6" s="1"/>
  <c r="AW364" i="6" s="1"/>
  <c r="AW365" i="6" s="1"/>
  <c r="AW366" i="6" s="1"/>
  <c r="AW367" i="6" s="1"/>
  <c r="AW368" i="6" s="1"/>
  <c r="AW369" i="6" s="1"/>
  <c r="AW370" i="6" s="1"/>
  <c r="AW371" i="6" s="1"/>
  <c r="AW372" i="6" s="1"/>
  <c r="AW373" i="6" s="1"/>
  <c r="AW374" i="6" s="1"/>
  <c r="AW375" i="6" s="1"/>
  <c r="AW376" i="6" s="1"/>
  <c r="AW377" i="6" s="1"/>
  <c r="AW378" i="6" s="1"/>
  <c r="AW379" i="6" s="1"/>
  <c r="AW380" i="6" s="1"/>
  <c r="AW381" i="6" s="1"/>
  <c r="AW382" i="6" s="1"/>
  <c r="AW383" i="6" s="1"/>
  <c r="AW384" i="6" s="1"/>
  <c r="AW385" i="6" s="1"/>
  <c r="AW386" i="6" s="1"/>
  <c r="AW387" i="6" s="1"/>
  <c r="AW388" i="6" s="1"/>
  <c r="AW389" i="6" s="1"/>
  <c r="AW390" i="6" s="1"/>
  <c r="AW391" i="6" s="1"/>
  <c r="AW392" i="6" s="1"/>
  <c r="AW393" i="6" s="1"/>
  <c r="AW394" i="6" s="1"/>
  <c r="AW395" i="6" s="1"/>
  <c r="AW396" i="6" s="1"/>
  <c r="AW397" i="6" s="1"/>
  <c r="AW398" i="6" s="1"/>
  <c r="AW399" i="6" s="1"/>
  <c r="AW400" i="6" s="1"/>
  <c r="AW401" i="6" s="1"/>
  <c r="AU3" i="6"/>
  <c r="AU4" i="6" s="1"/>
  <c r="AU5" i="6" s="1"/>
  <c r="AU6" i="6" s="1"/>
  <c r="AU7" i="6" s="1"/>
  <c r="AU8" i="6" s="1"/>
  <c r="AU9" i="6" s="1"/>
  <c r="AU10" i="6" s="1"/>
  <c r="AU11" i="6" s="1"/>
  <c r="AU12" i="6" s="1"/>
  <c r="AU13" i="6" s="1"/>
  <c r="AU14" i="6" s="1"/>
  <c r="AU15" i="6" s="1"/>
  <c r="AU16" i="6" s="1"/>
  <c r="AU17" i="6" s="1"/>
  <c r="AU18" i="6" s="1"/>
  <c r="AU19" i="6" s="1"/>
  <c r="AU20" i="6" s="1"/>
  <c r="AU21" i="6" s="1"/>
  <c r="AU22" i="6" s="1"/>
  <c r="AU23" i="6" s="1"/>
  <c r="AU24" i="6" s="1"/>
  <c r="AU25" i="6" s="1"/>
  <c r="AU26" i="6" s="1"/>
  <c r="AU27" i="6" s="1"/>
  <c r="AU28" i="6" s="1"/>
  <c r="AU29" i="6" s="1"/>
  <c r="AU30" i="6" s="1"/>
  <c r="AU31" i="6" s="1"/>
  <c r="AU32" i="6" s="1"/>
  <c r="AU33" i="6" s="1"/>
  <c r="AU34" i="6" s="1"/>
  <c r="AU35" i="6" s="1"/>
  <c r="AU36" i="6" s="1"/>
  <c r="AU37" i="6" s="1"/>
  <c r="AU38" i="6" s="1"/>
  <c r="AU39" i="6" s="1"/>
  <c r="AU40" i="6" s="1"/>
  <c r="AU41" i="6" s="1"/>
  <c r="AU42" i="6" s="1"/>
  <c r="AU43" i="6" s="1"/>
  <c r="AU44" i="6" s="1"/>
  <c r="AU45" i="6" s="1"/>
  <c r="AU46" i="6" s="1"/>
  <c r="AU47" i="6" s="1"/>
  <c r="AU48" i="6" s="1"/>
  <c r="AU49" i="6" s="1"/>
  <c r="AU50" i="6" s="1"/>
  <c r="AU51" i="6" s="1"/>
  <c r="AU52" i="6" s="1"/>
  <c r="AU53" i="6" s="1"/>
  <c r="AU54" i="6" s="1"/>
  <c r="AU55" i="6" s="1"/>
  <c r="AU56" i="6" s="1"/>
  <c r="AU57" i="6" s="1"/>
  <c r="AU58" i="6" s="1"/>
  <c r="AU59" i="6" s="1"/>
  <c r="AU60" i="6" s="1"/>
  <c r="AU61" i="6" s="1"/>
  <c r="AU62" i="6" s="1"/>
  <c r="AU63" i="6" s="1"/>
  <c r="AU64" i="6" s="1"/>
  <c r="AU65" i="6" s="1"/>
  <c r="AU66" i="6" s="1"/>
  <c r="AU67" i="6" s="1"/>
  <c r="AU68" i="6" s="1"/>
  <c r="AU69" i="6" s="1"/>
  <c r="AU70" i="6" s="1"/>
  <c r="AU71" i="6" s="1"/>
  <c r="AU72" i="6" s="1"/>
  <c r="AU73" i="6" s="1"/>
  <c r="AU74" i="6" s="1"/>
  <c r="AU75" i="6" s="1"/>
  <c r="AU76" i="6" s="1"/>
  <c r="AU77" i="6" s="1"/>
  <c r="AU78" i="6" s="1"/>
  <c r="AU79" i="6" s="1"/>
  <c r="AU80" i="6" s="1"/>
  <c r="AU81" i="6" s="1"/>
  <c r="AU82" i="6" s="1"/>
  <c r="AU83" i="6" s="1"/>
  <c r="AU84" i="6" s="1"/>
  <c r="AU85" i="6" s="1"/>
  <c r="AU86" i="6" s="1"/>
  <c r="AU87" i="6" s="1"/>
  <c r="AU88" i="6" s="1"/>
  <c r="AU89" i="6" s="1"/>
  <c r="AU90" i="6" s="1"/>
  <c r="AU91" i="6" s="1"/>
  <c r="AU92" i="6" s="1"/>
  <c r="AU93" i="6" s="1"/>
  <c r="AU94" i="6" s="1"/>
  <c r="AU95" i="6" s="1"/>
  <c r="AU96" i="6" s="1"/>
  <c r="AU97" i="6" s="1"/>
  <c r="AU98" i="6" s="1"/>
  <c r="AU99" i="6" s="1"/>
  <c r="AU100" i="6" s="1"/>
  <c r="AU101" i="6" s="1"/>
  <c r="AU102" i="6" s="1"/>
  <c r="AU103" i="6" s="1"/>
  <c r="AU104" i="6" s="1"/>
  <c r="AU105" i="6" s="1"/>
  <c r="AU106" i="6" s="1"/>
  <c r="AU107" i="6" s="1"/>
  <c r="AU108" i="6" s="1"/>
  <c r="AU109" i="6" s="1"/>
  <c r="AU110" i="6" s="1"/>
  <c r="AU111" i="6" s="1"/>
  <c r="AU112" i="6" s="1"/>
  <c r="AU113" i="6" s="1"/>
  <c r="AU114" i="6" s="1"/>
  <c r="AU115" i="6" s="1"/>
  <c r="AU116" i="6" s="1"/>
  <c r="AU117" i="6" s="1"/>
  <c r="AU118" i="6" s="1"/>
  <c r="AU119" i="6" s="1"/>
  <c r="AU120" i="6" s="1"/>
  <c r="AU121" i="6" s="1"/>
  <c r="AU122" i="6" s="1"/>
  <c r="AU123" i="6" s="1"/>
  <c r="AU124" i="6" s="1"/>
  <c r="AU125" i="6" s="1"/>
  <c r="AU126" i="6" s="1"/>
  <c r="AU127" i="6" s="1"/>
  <c r="AU128" i="6" s="1"/>
  <c r="AU129" i="6" s="1"/>
  <c r="AU130" i="6" s="1"/>
  <c r="AU131" i="6" s="1"/>
  <c r="AU132" i="6" s="1"/>
  <c r="AU133" i="6" s="1"/>
  <c r="AU134" i="6" s="1"/>
  <c r="AU135" i="6" s="1"/>
  <c r="AU136" i="6" s="1"/>
  <c r="AU137" i="6" s="1"/>
  <c r="AU138" i="6" s="1"/>
  <c r="AU139" i="6" s="1"/>
  <c r="AU140" i="6" s="1"/>
  <c r="AU141" i="6" s="1"/>
  <c r="AU142" i="6" s="1"/>
  <c r="AU143" i="6" s="1"/>
  <c r="AU144" i="6" s="1"/>
  <c r="AU145" i="6" s="1"/>
  <c r="AU146" i="6" s="1"/>
  <c r="AU147" i="6" s="1"/>
  <c r="AU148" i="6" s="1"/>
  <c r="AU149" i="6" s="1"/>
  <c r="AU150" i="6" s="1"/>
  <c r="AU151" i="6" s="1"/>
  <c r="AU152" i="6" s="1"/>
  <c r="AU153" i="6" s="1"/>
  <c r="AU154" i="6" s="1"/>
  <c r="AU155" i="6" s="1"/>
  <c r="AU156" i="6" s="1"/>
  <c r="AU157" i="6" s="1"/>
  <c r="AU158" i="6" s="1"/>
  <c r="AU159" i="6" s="1"/>
  <c r="AU160" i="6" s="1"/>
  <c r="AU161" i="6" s="1"/>
  <c r="AU162" i="6" s="1"/>
  <c r="AU163" i="6" s="1"/>
  <c r="AU164" i="6" s="1"/>
  <c r="AU165" i="6" s="1"/>
  <c r="AU166" i="6" s="1"/>
  <c r="AU167" i="6" s="1"/>
  <c r="AU168" i="6" s="1"/>
  <c r="AU169" i="6" s="1"/>
  <c r="AU170" i="6" s="1"/>
  <c r="AU171" i="6" s="1"/>
  <c r="AU172" i="6" s="1"/>
  <c r="AU173" i="6" s="1"/>
  <c r="AU174" i="6" s="1"/>
  <c r="AU175" i="6" s="1"/>
  <c r="AU176" i="6" s="1"/>
  <c r="AU177" i="6" s="1"/>
  <c r="AU178" i="6" s="1"/>
  <c r="AU179" i="6" s="1"/>
  <c r="AU180" i="6" s="1"/>
  <c r="AU181" i="6" s="1"/>
  <c r="AU182" i="6" s="1"/>
  <c r="AU183" i="6" s="1"/>
  <c r="AU184" i="6" s="1"/>
  <c r="AU185" i="6" s="1"/>
  <c r="AU186" i="6" s="1"/>
  <c r="AU187" i="6" s="1"/>
  <c r="AU188" i="6" s="1"/>
  <c r="AU189" i="6" s="1"/>
  <c r="AU190" i="6" s="1"/>
  <c r="AU191" i="6" s="1"/>
  <c r="AU192" i="6" s="1"/>
  <c r="AU193" i="6" s="1"/>
  <c r="AU194" i="6" s="1"/>
  <c r="AU195" i="6" s="1"/>
  <c r="AU196" i="6" s="1"/>
  <c r="AU197" i="6" s="1"/>
  <c r="AU198" i="6" s="1"/>
  <c r="AU199" i="6" s="1"/>
  <c r="AU200" i="6" s="1"/>
  <c r="AU201" i="6" s="1"/>
  <c r="AU202" i="6" s="1"/>
  <c r="AU203" i="6" s="1"/>
  <c r="AU204" i="6" s="1"/>
  <c r="AU205" i="6" s="1"/>
  <c r="AU206" i="6" s="1"/>
  <c r="AU207" i="6" s="1"/>
  <c r="AU208" i="6" s="1"/>
  <c r="AU209" i="6" s="1"/>
  <c r="AU210" i="6" s="1"/>
  <c r="AU211" i="6" s="1"/>
  <c r="AU212" i="6" s="1"/>
  <c r="AU213" i="6" s="1"/>
  <c r="AU214" i="6" s="1"/>
  <c r="AU215" i="6" s="1"/>
  <c r="AU216" i="6" s="1"/>
  <c r="AU217" i="6" s="1"/>
  <c r="AU218" i="6" s="1"/>
  <c r="AU219" i="6" s="1"/>
  <c r="AU220" i="6" s="1"/>
  <c r="AU221" i="6" s="1"/>
  <c r="AU222" i="6" s="1"/>
  <c r="AU223" i="6" s="1"/>
  <c r="AU224" i="6" s="1"/>
  <c r="AU225" i="6" s="1"/>
  <c r="AU226" i="6" s="1"/>
  <c r="AU227" i="6" s="1"/>
  <c r="AU228" i="6" s="1"/>
  <c r="AU229" i="6" s="1"/>
  <c r="AU230" i="6" s="1"/>
  <c r="AU231" i="6" s="1"/>
  <c r="AU232" i="6" s="1"/>
  <c r="AU233" i="6" s="1"/>
  <c r="AU234" i="6" s="1"/>
  <c r="AU235" i="6" s="1"/>
  <c r="AU236" i="6" s="1"/>
  <c r="AU237" i="6" s="1"/>
  <c r="AU238" i="6" s="1"/>
  <c r="AU239" i="6" s="1"/>
  <c r="AU240" i="6" s="1"/>
  <c r="AU241" i="6" s="1"/>
  <c r="AU242" i="6" s="1"/>
  <c r="AU243" i="6" s="1"/>
  <c r="AU244" i="6" s="1"/>
  <c r="AU245" i="6" s="1"/>
  <c r="AU246" i="6" s="1"/>
  <c r="AU247" i="6" s="1"/>
  <c r="AU248" i="6" s="1"/>
  <c r="AU249" i="6" s="1"/>
  <c r="AU250" i="6" s="1"/>
  <c r="AU251" i="6" s="1"/>
  <c r="AU252" i="6" s="1"/>
  <c r="AU253" i="6" s="1"/>
  <c r="AU254" i="6" s="1"/>
  <c r="AU255" i="6" s="1"/>
  <c r="AU256" i="6" s="1"/>
  <c r="AU257" i="6" s="1"/>
  <c r="AU258" i="6" s="1"/>
  <c r="AU259" i="6" s="1"/>
  <c r="AU260" i="6" s="1"/>
  <c r="AU261" i="6" s="1"/>
  <c r="AU262" i="6" s="1"/>
  <c r="AU263" i="6" s="1"/>
  <c r="AU264" i="6" s="1"/>
  <c r="AU265" i="6" s="1"/>
  <c r="AU266" i="6" s="1"/>
  <c r="AU267" i="6" s="1"/>
  <c r="AU268" i="6" s="1"/>
  <c r="AU269" i="6" s="1"/>
  <c r="AU270" i="6" s="1"/>
  <c r="AU271" i="6" s="1"/>
  <c r="AU272" i="6" s="1"/>
  <c r="AU273" i="6" s="1"/>
  <c r="AU274" i="6" s="1"/>
  <c r="AU275" i="6" s="1"/>
  <c r="AU276" i="6" s="1"/>
  <c r="AU277" i="6" s="1"/>
  <c r="AU278" i="6" s="1"/>
  <c r="AU279" i="6" s="1"/>
  <c r="AU280" i="6" s="1"/>
  <c r="AU281" i="6" s="1"/>
  <c r="AU282" i="6" s="1"/>
  <c r="AU283" i="6" s="1"/>
  <c r="AU284" i="6" s="1"/>
  <c r="AU285" i="6" s="1"/>
  <c r="AU286" i="6" s="1"/>
  <c r="AU287" i="6" s="1"/>
  <c r="AU288" i="6" s="1"/>
  <c r="AU289" i="6" s="1"/>
  <c r="AU290" i="6" s="1"/>
  <c r="AU291" i="6" s="1"/>
  <c r="AU292" i="6" s="1"/>
  <c r="AU293" i="6" s="1"/>
  <c r="AU294" i="6" s="1"/>
  <c r="AU295" i="6" s="1"/>
  <c r="AU296" i="6" s="1"/>
  <c r="AU297" i="6" s="1"/>
  <c r="AU298" i="6" s="1"/>
  <c r="AU299" i="6" s="1"/>
  <c r="AU300" i="6" s="1"/>
  <c r="AU301" i="6" s="1"/>
  <c r="AU302" i="6" s="1"/>
  <c r="AU303" i="6" s="1"/>
  <c r="AU304" i="6" s="1"/>
  <c r="AU305" i="6" s="1"/>
  <c r="AU306" i="6" s="1"/>
  <c r="AU307" i="6" s="1"/>
  <c r="AU308" i="6" s="1"/>
  <c r="AU309" i="6" s="1"/>
  <c r="AU310" i="6" s="1"/>
  <c r="AU311" i="6" s="1"/>
  <c r="AU312" i="6" s="1"/>
  <c r="AU313" i="6" s="1"/>
  <c r="AU314" i="6" s="1"/>
  <c r="AU315" i="6" s="1"/>
  <c r="AU316" i="6" s="1"/>
  <c r="AU317" i="6" s="1"/>
  <c r="AU318" i="6" s="1"/>
  <c r="AU319" i="6" s="1"/>
  <c r="AU320" i="6" s="1"/>
  <c r="AU321" i="6" s="1"/>
  <c r="AU322" i="6" s="1"/>
  <c r="AU323" i="6" s="1"/>
  <c r="AU324" i="6" s="1"/>
  <c r="AU325" i="6" s="1"/>
  <c r="AU326" i="6" s="1"/>
  <c r="AU327" i="6" s="1"/>
  <c r="AU328" i="6" s="1"/>
  <c r="AU329" i="6" s="1"/>
  <c r="AU330" i="6" s="1"/>
  <c r="AU331" i="6" s="1"/>
  <c r="AU332" i="6" s="1"/>
  <c r="AU333" i="6" s="1"/>
  <c r="AU334" i="6" s="1"/>
  <c r="AU335" i="6" s="1"/>
  <c r="AU336" i="6" s="1"/>
  <c r="AU337" i="6" s="1"/>
  <c r="AU338" i="6" s="1"/>
  <c r="AU339" i="6" s="1"/>
  <c r="AU340" i="6" s="1"/>
  <c r="AU341" i="6" s="1"/>
  <c r="AU342" i="6" s="1"/>
  <c r="AU343" i="6" s="1"/>
  <c r="AU344" i="6" s="1"/>
  <c r="AU345" i="6" s="1"/>
  <c r="AU346" i="6" s="1"/>
  <c r="AU347" i="6" s="1"/>
  <c r="AU348" i="6" s="1"/>
  <c r="AU349" i="6" s="1"/>
  <c r="AU350" i="6" s="1"/>
  <c r="AU351" i="6" s="1"/>
  <c r="AU352" i="6" s="1"/>
  <c r="AU353" i="6" s="1"/>
  <c r="AU354" i="6" s="1"/>
  <c r="AU355" i="6" s="1"/>
  <c r="AU356" i="6" s="1"/>
  <c r="AU357" i="6" s="1"/>
  <c r="AU358" i="6" s="1"/>
  <c r="AU359" i="6" s="1"/>
  <c r="AU360" i="6" s="1"/>
  <c r="AU361" i="6" s="1"/>
  <c r="AU362" i="6" s="1"/>
  <c r="AU363" i="6" s="1"/>
  <c r="AU364" i="6" s="1"/>
  <c r="AU365" i="6" s="1"/>
  <c r="AU366" i="6" s="1"/>
  <c r="AU367" i="6" s="1"/>
  <c r="AU368" i="6" s="1"/>
  <c r="AU369" i="6" s="1"/>
  <c r="AU370" i="6" s="1"/>
  <c r="AU371" i="6" s="1"/>
  <c r="AU372" i="6" s="1"/>
  <c r="AU373" i="6" s="1"/>
  <c r="AU374" i="6" s="1"/>
  <c r="AU375" i="6" s="1"/>
  <c r="AU376" i="6" s="1"/>
  <c r="AU377" i="6" s="1"/>
  <c r="AU378" i="6" s="1"/>
  <c r="AU379" i="6" s="1"/>
  <c r="AU380" i="6" s="1"/>
  <c r="AU381" i="6" s="1"/>
  <c r="AU382" i="6" s="1"/>
  <c r="AU383" i="6" s="1"/>
  <c r="AU384" i="6" s="1"/>
  <c r="AU385" i="6" s="1"/>
  <c r="AU386" i="6" s="1"/>
  <c r="AU387" i="6" s="1"/>
  <c r="AU388" i="6" s="1"/>
  <c r="AU389" i="6" s="1"/>
  <c r="AU390" i="6" s="1"/>
  <c r="AU391" i="6" s="1"/>
  <c r="AU392" i="6" s="1"/>
  <c r="AU393" i="6" s="1"/>
  <c r="AU394" i="6" s="1"/>
  <c r="AU395" i="6" s="1"/>
  <c r="AU396" i="6" s="1"/>
  <c r="AU397" i="6" s="1"/>
  <c r="AU398" i="6" s="1"/>
  <c r="AU399" i="6" s="1"/>
  <c r="AU400" i="6" s="1"/>
  <c r="AU401" i="6" s="1"/>
  <c r="AS3" i="6"/>
  <c r="AS4" i="6" s="1"/>
  <c r="AS5" i="6" s="1"/>
  <c r="AS6" i="6" s="1"/>
  <c r="AS7" i="6" s="1"/>
  <c r="AS8" i="6" s="1"/>
  <c r="AS9" i="6" s="1"/>
  <c r="AS10" i="6" s="1"/>
  <c r="AS11" i="6" s="1"/>
  <c r="AS12" i="6" s="1"/>
  <c r="AS13" i="6" s="1"/>
  <c r="AS14" i="6" s="1"/>
  <c r="AS15" i="6" s="1"/>
  <c r="AS16" i="6" s="1"/>
  <c r="AS17" i="6" s="1"/>
  <c r="AS18" i="6" s="1"/>
  <c r="AS19" i="6" s="1"/>
  <c r="AS20" i="6" s="1"/>
  <c r="AS21" i="6" s="1"/>
  <c r="AS22" i="6" s="1"/>
  <c r="AS23" i="6" s="1"/>
  <c r="AS24" i="6" s="1"/>
  <c r="AS25" i="6" s="1"/>
  <c r="AS26" i="6" s="1"/>
  <c r="AS27" i="6" s="1"/>
  <c r="AS28" i="6" s="1"/>
  <c r="AS29" i="6" s="1"/>
  <c r="AS30" i="6" s="1"/>
  <c r="AS31" i="6" s="1"/>
  <c r="AS32" i="6" s="1"/>
  <c r="AS33" i="6" s="1"/>
  <c r="AS34" i="6" s="1"/>
  <c r="AS35" i="6" s="1"/>
  <c r="AS36" i="6" s="1"/>
  <c r="AS37" i="6" s="1"/>
  <c r="AS38" i="6" s="1"/>
  <c r="AS39" i="6" s="1"/>
  <c r="AS40" i="6" s="1"/>
  <c r="AS41" i="6" s="1"/>
  <c r="AS42" i="6" s="1"/>
  <c r="AS43" i="6" s="1"/>
  <c r="AS44" i="6" s="1"/>
  <c r="AS45" i="6" s="1"/>
  <c r="AS46" i="6" s="1"/>
  <c r="AS47" i="6" s="1"/>
  <c r="AS48" i="6" s="1"/>
  <c r="AS49" i="6" s="1"/>
  <c r="AS50" i="6" s="1"/>
  <c r="AS51" i="6" s="1"/>
  <c r="AS52" i="6" s="1"/>
  <c r="AS53" i="6" s="1"/>
  <c r="AS54" i="6" s="1"/>
  <c r="AS55" i="6" s="1"/>
  <c r="AS56" i="6" s="1"/>
  <c r="AS57" i="6" s="1"/>
  <c r="AS58" i="6" s="1"/>
  <c r="AS59" i="6" s="1"/>
  <c r="AS60" i="6" s="1"/>
  <c r="AS61" i="6" s="1"/>
  <c r="AS62" i="6" s="1"/>
  <c r="AS63" i="6" s="1"/>
  <c r="AS64" i="6" s="1"/>
  <c r="AS65" i="6" s="1"/>
  <c r="AS66" i="6" s="1"/>
  <c r="AS67" i="6" s="1"/>
  <c r="AS68" i="6" s="1"/>
  <c r="AS69" i="6" s="1"/>
  <c r="AS70" i="6" s="1"/>
  <c r="AS71" i="6" s="1"/>
  <c r="AS72" i="6" s="1"/>
  <c r="AS73" i="6" s="1"/>
  <c r="AS74" i="6" s="1"/>
  <c r="AS75" i="6" s="1"/>
  <c r="AS76" i="6" s="1"/>
  <c r="AS77" i="6" s="1"/>
  <c r="AS78" i="6" s="1"/>
  <c r="AS79" i="6" s="1"/>
  <c r="AS80" i="6" s="1"/>
  <c r="AS81" i="6" s="1"/>
  <c r="AS82" i="6" s="1"/>
  <c r="AS83" i="6" s="1"/>
  <c r="AS84" i="6" s="1"/>
  <c r="AS85" i="6" s="1"/>
  <c r="AS86" i="6" s="1"/>
  <c r="AS87" i="6" s="1"/>
  <c r="AS88" i="6" s="1"/>
  <c r="AS89" i="6" s="1"/>
  <c r="AS90" i="6" s="1"/>
  <c r="AS91" i="6" s="1"/>
  <c r="AS92" i="6" s="1"/>
  <c r="AS93" i="6" s="1"/>
  <c r="AS94" i="6" s="1"/>
  <c r="AS95" i="6" s="1"/>
  <c r="AS96" i="6" s="1"/>
  <c r="AS97" i="6" s="1"/>
  <c r="AS98" i="6" s="1"/>
  <c r="AS99" i="6" s="1"/>
  <c r="AS100" i="6" s="1"/>
  <c r="AS101" i="6" s="1"/>
  <c r="AS102" i="6" s="1"/>
  <c r="AS103" i="6" s="1"/>
  <c r="AS104" i="6" s="1"/>
  <c r="AS105" i="6" s="1"/>
  <c r="AS106" i="6" s="1"/>
  <c r="AS107" i="6" s="1"/>
  <c r="AS108" i="6" s="1"/>
  <c r="AS109" i="6" s="1"/>
  <c r="AS110" i="6" s="1"/>
  <c r="AS111" i="6" s="1"/>
  <c r="AS112" i="6" s="1"/>
  <c r="AS113" i="6" s="1"/>
  <c r="AS114" i="6" s="1"/>
  <c r="AS115" i="6" s="1"/>
  <c r="AS116" i="6" s="1"/>
  <c r="AS117" i="6" s="1"/>
  <c r="AS118" i="6" s="1"/>
  <c r="AS119" i="6" s="1"/>
  <c r="AS120" i="6" s="1"/>
  <c r="AS121" i="6" s="1"/>
  <c r="AS122" i="6" s="1"/>
  <c r="AS123" i="6" s="1"/>
  <c r="AS124" i="6" s="1"/>
  <c r="AS125" i="6" s="1"/>
  <c r="AS126" i="6" s="1"/>
  <c r="AS127" i="6" s="1"/>
  <c r="AS128" i="6" s="1"/>
  <c r="AS129" i="6" s="1"/>
  <c r="AS130" i="6" s="1"/>
  <c r="AS131" i="6" s="1"/>
  <c r="AS132" i="6" s="1"/>
  <c r="AS133" i="6" s="1"/>
  <c r="AS134" i="6" s="1"/>
  <c r="AS135" i="6" s="1"/>
  <c r="AS136" i="6" s="1"/>
  <c r="AS137" i="6" s="1"/>
  <c r="AS138" i="6" s="1"/>
  <c r="AS139" i="6" s="1"/>
  <c r="AS140" i="6" s="1"/>
  <c r="AS141" i="6" s="1"/>
  <c r="AS142" i="6" s="1"/>
  <c r="AS143" i="6" s="1"/>
  <c r="AS144" i="6" s="1"/>
  <c r="AS145" i="6" s="1"/>
  <c r="AS146" i="6" s="1"/>
  <c r="AS147" i="6" s="1"/>
  <c r="AS148" i="6" s="1"/>
  <c r="AS149" i="6" s="1"/>
  <c r="AS150" i="6" s="1"/>
  <c r="AS151" i="6" s="1"/>
  <c r="AS152" i="6" s="1"/>
  <c r="AS153" i="6" s="1"/>
  <c r="AS154" i="6" s="1"/>
  <c r="AS155" i="6" s="1"/>
  <c r="AS156" i="6" s="1"/>
  <c r="AS157" i="6" s="1"/>
  <c r="AS158" i="6" s="1"/>
  <c r="AS159" i="6" s="1"/>
  <c r="AS160" i="6" s="1"/>
  <c r="AS161" i="6" s="1"/>
  <c r="AS162" i="6" s="1"/>
  <c r="AS163" i="6" s="1"/>
  <c r="AS164" i="6" s="1"/>
  <c r="AS165" i="6" s="1"/>
  <c r="AS166" i="6" s="1"/>
  <c r="AS167" i="6" s="1"/>
  <c r="AS168" i="6" s="1"/>
  <c r="AS169" i="6" s="1"/>
  <c r="AS170" i="6" s="1"/>
  <c r="AS171" i="6" s="1"/>
  <c r="AS172" i="6" s="1"/>
  <c r="AS173" i="6" s="1"/>
  <c r="AS174" i="6" s="1"/>
  <c r="AS175" i="6" s="1"/>
  <c r="AS176" i="6" s="1"/>
  <c r="AS177" i="6" s="1"/>
  <c r="AS178" i="6" s="1"/>
  <c r="AS179" i="6" s="1"/>
  <c r="AS180" i="6" s="1"/>
  <c r="AS181" i="6" s="1"/>
  <c r="AS182" i="6" s="1"/>
  <c r="AS183" i="6" s="1"/>
  <c r="AS184" i="6" s="1"/>
  <c r="AS185" i="6" s="1"/>
  <c r="AS186" i="6" s="1"/>
  <c r="AS187" i="6" s="1"/>
  <c r="AS188" i="6" s="1"/>
  <c r="AS189" i="6" s="1"/>
  <c r="AS190" i="6" s="1"/>
  <c r="AS191" i="6" s="1"/>
  <c r="AS192" i="6" s="1"/>
  <c r="AS193" i="6" s="1"/>
  <c r="AS194" i="6" s="1"/>
  <c r="AS195" i="6" s="1"/>
  <c r="AS196" i="6" s="1"/>
  <c r="AS197" i="6" s="1"/>
  <c r="AS198" i="6" s="1"/>
  <c r="AS199" i="6" s="1"/>
  <c r="AS200" i="6" s="1"/>
  <c r="AS201" i="6" s="1"/>
  <c r="AS202" i="6" s="1"/>
  <c r="AS203" i="6" s="1"/>
  <c r="AS204" i="6" s="1"/>
  <c r="AS205" i="6" s="1"/>
  <c r="AS206" i="6" s="1"/>
  <c r="AS207" i="6" s="1"/>
  <c r="AS208" i="6" s="1"/>
  <c r="AS209" i="6" s="1"/>
  <c r="AS210" i="6" s="1"/>
  <c r="AS211" i="6" s="1"/>
  <c r="AS212" i="6" s="1"/>
  <c r="AS213" i="6" s="1"/>
  <c r="AS214" i="6" s="1"/>
  <c r="AS215" i="6" s="1"/>
  <c r="AS216" i="6" s="1"/>
  <c r="AS217" i="6" s="1"/>
  <c r="AS218" i="6" s="1"/>
  <c r="AS219" i="6" s="1"/>
  <c r="AS220" i="6" s="1"/>
  <c r="AS221" i="6" s="1"/>
  <c r="AS222" i="6" s="1"/>
  <c r="AS223" i="6" s="1"/>
  <c r="AS224" i="6" s="1"/>
  <c r="AS225" i="6" s="1"/>
  <c r="AS226" i="6" s="1"/>
  <c r="AS227" i="6" s="1"/>
  <c r="AS228" i="6" s="1"/>
  <c r="AS229" i="6" s="1"/>
  <c r="AS230" i="6" s="1"/>
  <c r="AS231" i="6" s="1"/>
  <c r="AS232" i="6" s="1"/>
  <c r="AS233" i="6" s="1"/>
  <c r="AS234" i="6" s="1"/>
  <c r="AS235" i="6" s="1"/>
  <c r="AS236" i="6" s="1"/>
  <c r="AS237" i="6" s="1"/>
  <c r="AS238" i="6" s="1"/>
  <c r="AS239" i="6" s="1"/>
  <c r="AS240" i="6" s="1"/>
  <c r="AS241" i="6" s="1"/>
  <c r="AS242" i="6" s="1"/>
  <c r="AS243" i="6" s="1"/>
  <c r="AS244" i="6" s="1"/>
  <c r="AS245" i="6" s="1"/>
  <c r="AS246" i="6" s="1"/>
  <c r="AS247" i="6" s="1"/>
  <c r="AS248" i="6" s="1"/>
  <c r="AS249" i="6" s="1"/>
  <c r="AS250" i="6" s="1"/>
  <c r="AS251" i="6" s="1"/>
  <c r="AS252" i="6" s="1"/>
  <c r="AS253" i="6" s="1"/>
  <c r="AS254" i="6" s="1"/>
  <c r="AS255" i="6" s="1"/>
  <c r="AS256" i="6" s="1"/>
  <c r="AS257" i="6" s="1"/>
  <c r="AS258" i="6" s="1"/>
  <c r="AS259" i="6" s="1"/>
  <c r="AS260" i="6" s="1"/>
  <c r="AS261" i="6" s="1"/>
  <c r="AS262" i="6" s="1"/>
  <c r="AS263" i="6" s="1"/>
  <c r="AS264" i="6" s="1"/>
  <c r="AS265" i="6" s="1"/>
  <c r="AS266" i="6" s="1"/>
  <c r="AS267" i="6" s="1"/>
  <c r="AS268" i="6" s="1"/>
  <c r="AS269" i="6" s="1"/>
  <c r="AS270" i="6" s="1"/>
  <c r="AS271" i="6" s="1"/>
  <c r="AS272" i="6" s="1"/>
  <c r="AS273" i="6" s="1"/>
  <c r="AS274" i="6" s="1"/>
  <c r="AS275" i="6" s="1"/>
  <c r="AS276" i="6" s="1"/>
  <c r="AS277" i="6" s="1"/>
  <c r="AS278" i="6" s="1"/>
  <c r="AS279" i="6" s="1"/>
  <c r="AS280" i="6" s="1"/>
  <c r="AS281" i="6" s="1"/>
  <c r="AS282" i="6" s="1"/>
  <c r="AS283" i="6" s="1"/>
  <c r="AS284" i="6" s="1"/>
  <c r="AS285" i="6" s="1"/>
  <c r="AS286" i="6" s="1"/>
  <c r="AS287" i="6" s="1"/>
  <c r="AS288" i="6" s="1"/>
  <c r="AS289" i="6" s="1"/>
  <c r="AS290" i="6" s="1"/>
  <c r="AS291" i="6" s="1"/>
  <c r="AS292" i="6" s="1"/>
  <c r="AS293" i="6" s="1"/>
  <c r="AS294" i="6" s="1"/>
  <c r="AS295" i="6" s="1"/>
  <c r="AS296" i="6" s="1"/>
  <c r="AS297" i="6" s="1"/>
  <c r="AS298" i="6" s="1"/>
  <c r="AS299" i="6" s="1"/>
  <c r="AS300" i="6" s="1"/>
  <c r="AS301" i="6" s="1"/>
  <c r="AS302" i="6" s="1"/>
  <c r="AS303" i="6" s="1"/>
  <c r="AS304" i="6" s="1"/>
  <c r="AS305" i="6" s="1"/>
  <c r="AS306" i="6" s="1"/>
  <c r="AS307" i="6" s="1"/>
  <c r="AS308" i="6" s="1"/>
  <c r="AS309" i="6" s="1"/>
  <c r="AS310" i="6" s="1"/>
  <c r="AS311" i="6" s="1"/>
  <c r="AS312" i="6" s="1"/>
  <c r="AS313" i="6" s="1"/>
  <c r="AS314" i="6" s="1"/>
  <c r="AS315" i="6" s="1"/>
  <c r="AS316" i="6" s="1"/>
  <c r="AS317" i="6" s="1"/>
  <c r="AS318" i="6" s="1"/>
  <c r="AS319" i="6" s="1"/>
  <c r="AS320" i="6" s="1"/>
  <c r="AS321" i="6" s="1"/>
  <c r="AS322" i="6" s="1"/>
  <c r="AS323" i="6" s="1"/>
  <c r="AS324" i="6" s="1"/>
  <c r="AS325" i="6" s="1"/>
  <c r="AS326" i="6" s="1"/>
  <c r="AS327" i="6" s="1"/>
  <c r="AS328" i="6" s="1"/>
  <c r="AS329" i="6" s="1"/>
  <c r="AS330" i="6" s="1"/>
  <c r="AS331" i="6" s="1"/>
  <c r="AS332" i="6" s="1"/>
  <c r="AS333" i="6" s="1"/>
  <c r="AS334" i="6" s="1"/>
  <c r="AS335" i="6" s="1"/>
  <c r="AS336" i="6" s="1"/>
  <c r="AS337" i="6" s="1"/>
  <c r="AS338" i="6" s="1"/>
  <c r="AS339" i="6" s="1"/>
  <c r="AS340" i="6" s="1"/>
  <c r="AS341" i="6" s="1"/>
  <c r="AS342" i="6" s="1"/>
  <c r="AS343" i="6" s="1"/>
  <c r="AS344" i="6" s="1"/>
  <c r="AS345" i="6" s="1"/>
  <c r="AS346" i="6" s="1"/>
  <c r="AS347" i="6" s="1"/>
  <c r="AS348" i="6" s="1"/>
  <c r="AS349" i="6" s="1"/>
  <c r="AS350" i="6" s="1"/>
  <c r="AS351" i="6" s="1"/>
  <c r="AS352" i="6" s="1"/>
  <c r="AS353" i="6" s="1"/>
  <c r="AS354" i="6" s="1"/>
  <c r="AS355" i="6" s="1"/>
  <c r="AS356" i="6" s="1"/>
  <c r="AS357" i="6" s="1"/>
  <c r="AS358" i="6" s="1"/>
  <c r="AS359" i="6" s="1"/>
  <c r="AS360" i="6" s="1"/>
  <c r="AS361" i="6" s="1"/>
  <c r="AS362" i="6" s="1"/>
  <c r="AS363" i="6" s="1"/>
  <c r="AS364" i="6" s="1"/>
  <c r="AS365" i="6" s="1"/>
  <c r="AS366" i="6" s="1"/>
  <c r="AS367" i="6" s="1"/>
  <c r="AS368" i="6" s="1"/>
  <c r="AS369" i="6" s="1"/>
  <c r="AS370" i="6" s="1"/>
  <c r="AS371" i="6" s="1"/>
  <c r="AS372" i="6" s="1"/>
  <c r="AS373" i="6" s="1"/>
  <c r="AS374" i="6" s="1"/>
  <c r="AS375" i="6" s="1"/>
  <c r="AS376" i="6" s="1"/>
  <c r="AS377" i="6" s="1"/>
  <c r="AS378" i="6" s="1"/>
  <c r="AS379" i="6" s="1"/>
  <c r="AS380" i="6" s="1"/>
  <c r="AS381" i="6" s="1"/>
  <c r="AS382" i="6" s="1"/>
  <c r="AS383" i="6" s="1"/>
  <c r="AS384" i="6" s="1"/>
  <c r="AS385" i="6" s="1"/>
  <c r="AS386" i="6" s="1"/>
  <c r="AS387" i="6" s="1"/>
  <c r="AS388" i="6" s="1"/>
  <c r="AS389" i="6" s="1"/>
  <c r="AS390" i="6" s="1"/>
  <c r="AS391" i="6" s="1"/>
  <c r="AS392" i="6" s="1"/>
  <c r="AS393" i="6" s="1"/>
  <c r="AS394" i="6" s="1"/>
  <c r="AS395" i="6" s="1"/>
  <c r="AS396" i="6" s="1"/>
  <c r="AS397" i="6" s="1"/>
  <c r="AS398" i="6" s="1"/>
  <c r="AS399" i="6" s="1"/>
  <c r="AS400" i="6" s="1"/>
  <c r="AS401" i="6" s="1"/>
  <c r="AQ3" i="6"/>
  <c r="AQ4" i="6" s="1"/>
  <c r="AQ5" i="6" s="1"/>
  <c r="AQ6" i="6" s="1"/>
  <c r="AQ7" i="6" s="1"/>
  <c r="AQ8" i="6" s="1"/>
  <c r="AQ9" i="6" s="1"/>
  <c r="AQ10" i="6" s="1"/>
  <c r="AQ11" i="6" s="1"/>
  <c r="AQ12" i="6" s="1"/>
  <c r="AQ13" i="6" s="1"/>
  <c r="AQ14" i="6" s="1"/>
  <c r="AQ15" i="6" s="1"/>
  <c r="AQ16" i="6" s="1"/>
  <c r="AQ17" i="6" s="1"/>
  <c r="AQ18" i="6" s="1"/>
  <c r="AQ19" i="6" s="1"/>
  <c r="AQ20" i="6" s="1"/>
  <c r="AQ21" i="6" s="1"/>
  <c r="AQ22" i="6" s="1"/>
  <c r="AQ23" i="6" s="1"/>
  <c r="AQ24" i="6" s="1"/>
  <c r="AQ25" i="6" s="1"/>
  <c r="AQ26" i="6" s="1"/>
  <c r="AQ27" i="6" s="1"/>
  <c r="AQ28" i="6" s="1"/>
  <c r="AQ29" i="6" s="1"/>
  <c r="AQ30" i="6" s="1"/>
  <c r="AQ31" i="6" s="1"/>
  <c r="AQ32" i="6" s="1"/>
  <c r="AQ33" i="6" s="1"/>
  <c r="AQ34" i="6" s="1"/>
  <c r="AQ35" i="6" s="1"/>
  <c r="AQ36" i="6" s="1"/>
  <c r="AQ37" i="6" s="1"/>
  <c r="AQ38" i="6" s="1"/>
  <c r="AQ39" i="6" s="1"/>
  <c r="AQ40" i="6" s="1"/>
  <c r="AQ41" i="6" s="1"/>
  <c r="AQ42" i="6" s="1"/>
  <c r="AQ43" i="6" s="1"/>
  <c r="AQ44" i="6" s="1"/>
  <c r="AQ45" i="6" s="1"/>
  <c r="AQ46" i="6" s="1"/>
  <c r="AQ47" i="6" s="1"/>
  <c r="AQ48" i="6" s="1"/>
  <c r="AQ49" i="6" s="1"/>
  <c r="AQ50" i="6" s="1"/>
  <c r="AQ51" i="6" s="1"/>
  <c r="AQ52" i="6" s="1"/>
  <c r="AQ53" i="6" s="1"/>
  <c r="AQ54" i="6" s="1"/>
  <c r="AQ55" i="6" s="1"/>
  <c r="AQ56" i="6" s="1"/>
  <c r="AQ57" i="6" s="1"/>
  <c r="AQ58" i="6" s="1"/>
  <c r="AQ59" i="6" s="1"/>
  <c r="AQ60" i="6" s="1"/>
  <c r="AQ61" i="6" s="1"/>
  <c r="AQ62" i="6" s="1"/>
  <c r="AQ63" i="6" s="1"/>
  <c r="AQ64" i="6" s="1"/>
  <c r="AQ65" i="6" s="1"/>
  <c r="AQ66" i="6" s="1"/>
  <c r="AQ67" i="6" s="1"/>
  <c r="AQ68" i="6" s="1"/>
  <c r="AQ69" i="6" s="1"/>
  <c r="AQ70" i="6" s="1"/>
  <c r="AQ71" i="6" s="1"/>
  <c r="AQ72" i="6" s="1"/>
  <c r="AQ73" i="6" s="1"/>
  <c r="AQ74" i="6" s="1"/>
  <c r="AQ75" i="6" s="1"/>
  <c r="AQ76" i="6" s="1"/>
  <c r="AQ77" i="6" s="1"/>
  <c r="AQ78" i="6" s="1"/>
  <c r="AQ79" i="6" s="1"/>
  <c r="AQ80" i="6" s="1"/>
  <c r="AQ81" i="6" s="1"/>
  <c r="AQ82" i="6" s="1"/>
  <c r="AQ83" i="6" s="1"/>
  <c r="AQ84" i="6" s="1"/>
  <c r="AQ85" i="6" s="1"/>
  <c r="AQ86" i="6" s="1"/>
  <c r="AQ87" i="6" s="1"/>
  <c r="AQ88" i="6" s="1"/>
  <c r="AQ89" i="6" s="1"/>
  <c r="AQ90" i="6" s="1"/>
  <c r="AQ91" i="6" s="1"/>
  <c r="AQ92" i="6" s="1"/>
  <c r="AQ93" i="6" s="1"/>
  <c r="AQ94" i="6" s="1"/>
  <c r="AQ95" i="6" s="1"/>
  <c r="AQ96" i="6" s="1"/>
  <c r="AQ97" i="6" s="1"/>
  <c r="AQ98" i="6" s="1"/>
  <c r="AQ99" i="6" s="1"/>
  <c r="AQ100" i="6" s="1"/>
  <c r="AQ101" i="6" s="1"/>
  <c r="AQ102" i="6" s="1"/>
  <c r="AQ103" i="6" s="1"/>
  <c r="AQ104" i="6" s="1"/>
  <c r="AQ105" i="6" s="1"/>
  <c r="AQ106" i="6" s="1"/>
  <c r="AQ107" i="6" s="1"/>
  <c r="AQ108" i="6" s="1"/>
  <c r="AQ109" i="6" s="1"/>
  <c r="AQ110" i="6" s="1"/>
  <c r="AQ111" i="6" s="1"/>
  <c r="AQ112" i="6" s="1"/>
  <c r="AQ113" i="6" s="1"/>
  <c r="AQ114" i="6" s="1"/>
  <c r="AQ115" i="6" s="1"/>
  <c r="AQ116" i="6" s="1"/>
  <c r="AQ117" i="6" s="1"/>
  <c r="AQ118" i="6" s="1"/>
  <c r="AQ119" i="6" s="1"/>
  <c r="AQ120" i="6" s="1"/>
  <c r="AQ121" i="6" s="1"/>
  <c r="AQ122" i="6" s="1"/>
  <c r="AQ123" i="6" s="1"/>
  <c r="AQ124" i="6" s="1"/>
  <c r="AQ125" i="6" s="1"/>
  <c r="AQ126" i="6" s="1"/>
  <c r="AQ127" i="6" s="1"/>
  <c r="AQ128" i="6" s="1"/>
  <c r="AQ129" i="6" s="1"/>
  <c r="AQ130" i="6" s="1"/>
  <c r="AQ131" i="6" s="1"/>
  <c r="AQ132" i="6" s="1"/>
  <c r="AQ133" i="6" s="1"/>
  <c r="AQ134" i="6" s="1"/>
  <c r="AQ135" i="6" s="1"/>
  <c r="AQ136" i="6" s="1"/>
  <c r="AQ137" i="6" s="1"/>
  <c r="AQ138" i="6" s="1"/>
  <c r="AQ139" i="6" s="1"/>
  <c r="AQ140" i="6" s="1"/>
  <c r="AQ141" i="6" s="1"/>
  <c r="AQ142" i="6" s="1"/>
  <c r="AQ143" i="6" s="1"/>
  <c r="AQ144" i="6" s="1"/>
  <c r="AQ145" i="6" s="1"/>
  <c r="AQ146" i="6" s="1"/>
  <c r="AQ147" i="6" s="1"/>
  <c r="AQ148" i="6" s="1"/>
  <c r="AQ149" i="6" s="1"/>
  <c r="AQ150" i="6" s="1"/>
  <c r="AQ151" i="6" s="1"/>
  <c r="AQ152" i="6" s="1"/>
  <c r="AQ153" i="6" s="1"/>
  <c r="AQ154" i="6" s="1"/>
  <c r="AQ155" i="6" s="1"/>
  <c r="AQ156" i="6" s="1"/>
  <c r="AQ157" i="6" s="1"/>
  <c r="AQ158" i="6" s="1"/>
  <c r="AQ159" i="6" s="1"/>
  <c r="AQ160" i="6" s="1"/>
  <c r="AQ161" i="6" s="1"/>
  <c r="AQ162" i="6" s="1"/>
  <c r="AQ163" i="6" s="1"/>
  <c r="AQ164" i="6" s="1"/>
  <c r="AQ165" i="6" s="1"/>
  <c r="AQ166" i="6" s="1"/>
  <c r="AQ167" i="6" s="1"/>
  <c r="AQ168" i="6" s="1"/>
  <c r="AQ169" i="6" s="1"/>
  <c r="AQ170" i="6" s="1"/>
  <c r="AQ171" i="6" s="1"/>
  <c r="AQ172" i="6" s="1"/>
  <c r="AQ173" i="6" s="1"/>
  <c r="AQ174" i="6" s="1"/>
  <c r="AQ175" i="6" s="1"/>
  <c r="AQ176" i="6" s="1"/>
  <c r="AQ177" i="6" s="1"/>
  <c r="AQ178" i="6" s="1"/>
  <c r="AQ179" i="6" s="1"/>
  <c r="AQ180" i="6" s="1"/>
  <c r="AQ181" i="6" s="1"/>
  <c r="AQ182" i="6" s="1"/>
  <c r="AQ183" i="6" s="1"/>
  <c r="AQ184" i="6" s="1"/>
  <c r="AQ185" i="6" s="1"/>
  <c r="AQ186" i="6" s="1"/>
  <c r="AQ187" i="6" s="1"/>
  <c r="AQ188" i="6" s="1"/>
  <c r="AQ189" i="6" s="1"/>
  <c r="AQ190" i="6" s="1"/>
  <c r="AQ191" i="6" s="1"/>
  <c r="AQ192" i="6" s="1"/>
  <c r="AQ193" i="6" s="1"/>
  <c r="AQ194" i="6" s="1"/>
  <c r="AQ195" i="6" s="1"/>
  <c r="AQ196" i="6" s="1"/>
  <c r="AQ197" i="6" s="1"/>
  <c r="AQ198" i="6" s="1"/>
  <c r="AQ199" i="6" s="1"/>
  <c r="AQ200" i="6" s="1"/>
  <c r="AQ201" i="6" s="1"/>
  <c r="AQ202" i="6" s="1"/>
  <c r="AQ203" i="6" s="1"/>
  <c r="AQ204" i="6" s="1"/>
  <c r="AQ205" i="6" s="1"/>
  <c r="AQ206" i="6" s="1"/>
  <c r="AQ207" i="6" s="1"/>
  <c r="AQ208" i="6" s="1"/>
  <c r="AQ209" i="6" s="1"/>
  <c r="AQ210" i="6" s="1"/>
  <c r="AQ211" i="6" s="1"/>
  <c r="AQ212" i="6" s="1"/>
  <c r="AQ213" i="6" s="1"/>
  <c r="AQ214" i="6" s="1"/>
  <c r="AQ215" i="6" s="1"/>
  <c r="AQ216" i="6" s="1"/>
  <c r="AQ217" i="6" s="1"/>
  <c r="AQ218" i="6" s="1"/>
  <c r="AQ219" i="6" s="1"/>
  <c r="AQ220" i="6" s="1"/>
  <c r="AQ221" i="6" s="1"/>
  <c r="AQ222" i="6" s="1"/>
  <c r="AQ223" i="6" s="1"/>
  <c r="AQ224" i="6" s="1"/>
  <c r="AQ225" i="6" s="1"/>
  <c r="AQ226" i="6" s="1"/>
  <c r="AQ227" i="6" s="1"/>
  <c r="AQ228" i="6" s="1"/>
  <c r="AQ229" i="6" s="1"/>
  <c r="AQ230" i="6" s="1"/>
  <c r="AQ231" i="6" s="1"/>
  <c r="AQ232" i="6" s="1"/>
  <c r="AQ233" i="6" s="1"/>
  <c r="AQ234" i="6" s="1"/>
  <c r="AQ235" i="6" s="1"/>
  <c r="AQ236" i="6" s="1"/>
  <c r="AQ237" i="6" s="1"/>
  <c r="AQ238" i="6" s="1"/>
  <c r="AQ239" i="6" s="1"/>
  <c r="AQ240" i="6" s="1"/>
  <c r="AQ241" i="6" s="1"/>
  <c r="AQ242" i="6" s="1"/>
  <c r="AQ243" i="6" s="1"/>
  <c r="AQ244" i="6" s="1"/>
  <c r="AQ245" i="6" s="1"/>
  <c r="AQ246" i="6" s="1"/>
  <c r="AQ247" i="6" s="1"/>
  <c r="AQ248" i="6" s="1"/>
  <c r="AQ249" i="6" s="1"/>
  <c r="AQ250" i="6" s="1"/>
  <c r="AQ251" i="6" s="1"/>
  <c r="AQ252" i="6" s="1"/>
  <c r="AQ253" i="6" s="1"/>
  <c r="AQ254" i="6" s="1"/>
  <c r="AQ255" i="6" s="1"/>
  <c r="AQ256" i="6" s="1"/>
  <c r="AQ257" i="6" s="1"/>
  <c r="AQ258" i="6" s="1"/>
  <c r="AQ259" i="6" s="1"/>
  <c r="AQ260" i="6" s="1"/>
  <c r="AQ261" i="6" s="1"/>
  <c r="AQ262" i="6" s="1"/>
  <c r="AQ263" i="6" s="1"/>
  <c r="AQ264" i="6" s="1"/>
  <c r="AQ265" i="6" s="1"/>
  <c r="AQ266" i="6" s="1"/>
  <c r="AQ267" i="6" s="1"/>
  <c r="AQ268" i="6" s="1"/>
  <c r="AQ269" i="6" s="1"/>
  <c r="AQ270" i="6" s="1"/>
  <c r="AQ271" i="6" s="1"/>
  <c r="AQ272" i="6" s="1"/>
  <c r="AQ273" i="6" s="1"/>
  <c r="AQ274" i="6" s="1"/>
  <c r="AQ275" i="6" s="1"/>
  <c r="AQ276" i="6" s="1"/>
  <c r="AQ277" i="6" s="1"/>
  <c r="AQ278" i="6" s="1"/>
  <c r="AQ279" i="6" s="1"/>
  <c r="AQ280" i="6" s="1"/>
  <c r="AQ281" i="6" s="1"/>
  <c r="AQ282" i="6" s="1"/>
  <c r="AQ283" i="6" s="1"/>
  <c r="AQ284" i="6" s="1"/>
  <c r="AQ285" i="6" s="1"/>
  <c r="AQ286" i="6" s="1"/>
  <c r="AQ287" i="6" s="1"/>
  <c r="AQ288" i="6" s="1"/>
  <c r="AQ289" i="6" s="1"/>
  <c r="AQ290" i="6" s="1"/>
  <c r="AQ291" i="6" s="1"/>
  <c r="AQ292" i="6" s="1"/>
  <c r="AQ293" i="6" s="1"/>
  <c r="AQ294" i="6" s="1"/>
  <c r="AQ295" i="6" s="1"/>
  <c r="AQ296" i="6" s="1"/>
  <c r="AQ297" i="6" s="1"/>
  <c r="AQ298" i="6" s="1"/>
  <c r="AQ299" i="6" s="1"/>
  <c r="AQ300" i="6" s="1"/>
  <c r="AQ301" i="6" s="1"/>
  <c r="AQ302" i="6" s="1"/>
  <c r="AQ303" i="6" s="1"/>
  <c r="AQ304" i="6" s="1"/>
  <c r="AQ305" i="6" s="1"/>
  <c r="AQ306" i="6" s="1"/>
  <c r="AQ307" i="6" s="1"/>
  <c r="AQ308" i="6" s="1"/>
  <c r="AQ309" i="6" s="1"/>
  <c r="AQ310" i="6" s="1"/>
  <c r="AQ311" i="6" s="1"/>
  <c r="AQ312" i="6" s="1"/>
  <c r="AQ313" i="6" s="1"/>
  <c r="AQ314" i="6" s="1"/>
  <c r="AQ315" i="6" s="1"/>
  <c r="AQ316" i="6" s="1"/>
  <c r="AQ317" i="6" s="1"/>
  <c r="AQ318" i="6" s="1"/>
  <c r="AQ319" i="6" s="1"/>
  <c r="AQ320" i="6" s="1"/>
  <c r="AQ321" i="6" s="1"/>
  <c r="AQ322" i="6" s="1"/>
  <c r="AQ323" i="6" s="1"/>
  <c r="AQ324" i="6" s="1"/>
  <c r="AQ325" i="6" s="1"/>
  <c r="AQ326" i="6" s="1"/>
  <c r="AQ327" i="6" s="1"/>
  <c r="AQ328" i="6" s="1"/>
  <c r="AQ329" i="6" s="1"/>
  <c r="AQ330" i="6" s="1"/>
  <c r="AQ331" i="6" s="1"/>
  <c r="AQ332" i="6" s="1"/>
  <c r="AQ333" i="6" s="1"/>
  <c r="AQ334" i="6" s="1"/>
  <c r="AQ335" i="6" s="1"/>
  <c r="AQ336" i="6" s="1"/>
  <c r="AQ337" i="6" s="1"/>
  <c r="AQ338" i="6" s="1"/>
  <c r="AQ339" i="6" s="1"/>
  <c r="AQ340" i="6" s="1"/>
  <c r="AQ341" i="6" s="1"/>
  <c r="AQ342" i="6" s="1"/>
  <c r="AQ343" i="6" s="1"/>
  <c r="AQ344" i="6" s="1"/>
  <c r="AQ345" i="6" s="1"/>
  <c r="AQ346" i="6" s="1"/>
  <c r="AQ347" i="6" s="1"/>
  <c r="AQ348" i="6" s="1"/>
  <c r="AQ349" i="6" s="1"/>
  <c r="AQ350" i="6" s="1"/>
  <c r="AQ351" i="6" s="1"/>
  <c r="AQ352" i="6" s="1"/>
  <c r="AQ353" i="6" s="1"/>
  <c r="AQ354" i="6" s="1"/>
  <c r="AQ355" i="6" s="1"/>
  <c r="AQ356" i="6" s="1"/>
  <c r="AQ357" i="6" s="1"/>
  <c r="AQ358" i="6" s="1"/>
  <c r="AQ359" i="6" s="1"/>
  <c r="AQ360" i="6" s="1"/>
  <c r="AQ361" i="6" s="1"/>
  <c r="AQ362" i="6" s="1"/>
  <c r="AQ363" i="6" s="1"/>
  <c r="AQ364" i="6" s="1"/>
  <c r="AQ365" i="6" s="1"/>
  <c r="AQ366" i="6" s="1"/>
  <c r="AQ367" i="6" s="1"/>
  <c r="AQ368" i="6" s="1"/>
  <c r="AQ369" i="6" s="1"/>
  <c r="AQ370" i="6" s="1"/>
  <c r="AQ371" i="6" s="1"/>
  <c r="AQ372" i="6" s="1"/>
  <c r="AQ373" i="6" s="1"/>
  <c r="AQ374" i="6" s="1"/>
  <c r="AQ375" i="6" s="1"/>
  <c r="AQ376" i="6" s="1"/>
  <c r="AQ377" i="6" s="1"/>
  <c r="AQ378" i="6" s="1"/>
  <c r="AQ379" i="6" s="1"/>
  <c r="AQ380" i="6" s="1"/>
  <c r="AQ381" i="6" s="1"/>
  <c r="AQ382" i="6" s="1"/>
  <c r="AQ383" i="6" s="1"/>
  <c r="AQ384" i="6" s="1"/>
  <c r="AQ385" i="6" s="1"/>
  <c r="AQ386" i="6" s="1"/>
  <c r="AQ387" i="6" s="1"/>
  <c r="AQ388" i="6" s="1"/>
  <c r="AQ389" i="6" s="1"/>
  <c r="AQ390" i="6" s="1"/>
  <c r="AQ391" i="6" s="1"/>
  <c r="AQ392" i="6" s="1"/>
  <c r="AQ393" i="6" s="1"/>
  <c r="AQ394" i="6" s="1"/>
  <c r="AQ395" i="6" s="1"/>
  <c r="AQ396" i="6" s="1"/>
  <c r="AQ397" i="6" s="1"/>
  <c r="AQ398" i="6" s="1"/>
  <c r="AQ399" i="6" s="1"/>
  <c r="AQ400" i="6" s="1"/>
  <c r="AQ401" i="6" s="1"/>
  <c r="AO3" i="6"/>
  <c r="AO4" i="6" s="1"/>
  <c r="AO5" i="6" s="1"/>
  <c r="AO6" i="6" s="1"/>
  <c r="AO7" i="6" s="1"/>
  <c r="AO8" i="6" s="1"/>
  <c r="AO9" i="6" s="1"/>
  <c r="AO10" i="6" s="1"/>
  <c r="AO11" i="6" s="1"/>
  <c r="AO12" i="6" s="1"/>
  <c r="AO13" i="6" s="1"/>
  <c r="AO14" i="6" s="1"/>
  <c r="AO15" i="6" s="1"/>
  <c r="AO16" i="6" s="1"/>
  <c r="AO17" i="6" s="1"/>
  <c r="AO18" i="6" s="1"/>
  <c r="AO19" i="6" s="1"/>
  <c r="AO20" i="6" s="1"/>
  <c r="AO21" i="6" s="1"/>
  <c r="AO22" i="6" s="1"/>
  <c r="AO23" i="6" s="1"/>
  <c r="AO24" i="6" s="1"/>
  <c r="AO25" i="6" s="1"/>
  <c r="AO26" i="6" s="1"/>
  <c r="AO27" i="6" s="1"/>
  <c r="AO28" i="6" s="1"/>
  <c r="AO29" i="6" s="1"/>
  <c r="AO30" i="6" s="1"/>
  <c r="AO31" i="6" s="1"/>
  <c r="AO32" i="6" s="1"/>
  <c r="AO33" i="6" s="1"/>
  <c r="AO34" i="6" s="1"/>
  <c r="AO35" i="6" s="1"/>
  <c r="AO36" i="6" s="1"/>
  <c r="AO37" i="6" s="1"/>
  <c r="AO38" i="6" s="1"/>
  <c r="AO39" i="6" s="1"/>
  <c r="AO40" i="6" s="1"/>
  <c r="AO41" i="6" s="1"/>
  <c r="AO42" i="6" s="1"/>
  <c r="AO43" i="6" s="1"/>
  <c r="AO44" i="6" s="1"/>
  <c r="AO45" i="6" s="1"/>
  <c r="AO46" i="6" s="1"/>
  <c r="AO47" i="6" s="1"/>
  <c r="AO48" i="6" s="1"/>
  <c r="AO49" i="6" s="1"/>
  <c r="AO50" i="6" s="1"/>
  <c r="AO51" i="6" s="1"/>
  <c r="AO52" i="6" s="1"/>
  <c r="AO53" i="6" s="1"/>
  <c r="AO54" i="6" s="1"/>
  <c r="AO55" i="6" s="1"/>
  <c r="AO56" i="6" s="1"/>
  <c r="AO57" i="6" s="1"/>
  <c r="AO58" i="6" s="1"/>
  <c r="AO59" i="6" s="1"/>
  <c r="AO60" i="6" s="1"/>
  <c r="AO61" i="6" s="1"/>
  <c r="AO62" i="6" s="1"/>
  <c r="AO63" i="6" s="1"/>
  <c r="AO64" i="6" s="1"/>
  <c r="AO65" i="6" s="1"/>
  <c r="AO66" i="6" s="1"/>
  <c r="AO67" i="6" s="1"/>
  <c r="AO68" i="6" s="1"/>
  <c r="AO69" i="6" s="1"/>
  <c r="AO70" i="6" s="1"/>
  <c r="AO71" i="6" s="1"/>
  <c r="AO72" i="6" s="1"/>
  <c r="AO73" i="6" s="1"/>
  <c r="AO74" i="6" s="1"/>
  <c r="AO75" i="6" s="1"/>
  <c r="AO76" i="6" s="1"/>
  <c r="AO77" i="6" s="1"/>
  <c r="AO78" i="6" s="1"/>
  <c r="AO79" i="6" s="1"/>
  <c r="AO80" i="6" s="1"/>
  <c r="AO81" i="6" s="1"/>
  <c r="AO82" i="6" s="1"/>
  <c r="AO83" i="6" s="1"/>
  <c r="AO84" i="6" s="1"/>
  <c r="AO85" i="6" s="1"/>
  <c r="AO86" i="6" s="1"/>
  <c r="AO87" i="6" s="1"/>
  <c r="AO88" i="6" s="1"/>
  <c r="AO89" i="6" s="1"/>
  <c r="AO90" i="6" s="1"/>
  <c r="AO91" i="6" s="1"/>
  <c r="AO92" i="6" s="1"/>
  <c r="AO93" i="6" s="1"/>
  <c r="AO94" i="6" s="1"/>
  <c r="AO95" i="6" s="1"/>
  <c r="AO96" i="6" s="1"/>
  <c r="AO97" i="6" s="1"/>
  <c r="AO98" i="6" s="1"/>
  <c r="AO99" i="6" s="1"/>
  <c r="AO100" i="6" s="1"/>
  <c r="AO101" i="6" s="1"/>
  <c r="AO102" i="6" s="1"/>
  <c r="AO103" i="6" s="1"/>
  <c r="AO104" i="6" s="1"/>
  <c r="AO105" i="6" s="1"/>
  <c r="AO106" i="6" s="1"/>
  <c r="AO107" i="6" s="1"/>
  <c r="AO108" i="6" s="1"/>
  <c r="AO109" i="6" s="1"/>
  <c r="AO110" i="6" s="1"/>
  <c r="AO111" i="6" s="1"/>
  <c r="AO112" i="6" s="1"/>
  <c r="AO113" i="6" s="1"/>
  <c r="AO114" i="6" s="1"/>
  <c r="AO115" i="6" s="1"/>
  <c r="AO116" i="6" s="1"/>
  <c r="AO117" i="6" s="1"/>
  <c r="AO118" i="6" s="1"/>
  <c r="AO119" i="6" s="1"/>
  <c r="AO120" i="6" s="1"/>
  <c r="AO121" i="6" s="1"/>
  <c r="AO122" i="6" s="1"/>
  <c r="AO123" i="6" s="1"/>
  <c r="AO124" i="6" s="1"/>
  <c r="AO125" i="6" s="1"/>
  <c r="AO126" i="6" s="1"/>
  <c r="AO127" i="6" s="1"/>
  <c r="AO128" i="6" s="1"/>
  <c r="AO129" i="6" s="1"/>
  <c r="AO130" i="6" s="1"/>
  <c r="AO131" i="6" s="1"/>
  <c r="AO132" i="6" s="1"/>
  <c r="AO133" i="6" s="1"/>
  <c r="AO134" i="6" s="1"/>
  <c r="AO135" i="6" s="1"/>
  <c r="AO136" i="6" s="1"/>
  <c r="AO137" i="6" s="1"/>
  <c r="AO138" i="6" s="1"/>
  <c r="AO139" i="6" s="1"/>
  <c r="AO140" i="6" s="1"/>
  <c r="AO141" i="6" s="1"/>
  <c r="AO142" i="6" s="1"/>
  <c r="AO143" i="6" s="1"/>
  <c r="AO144" i="6" s="1"/>
  <c r="AO145" i="6" s="1"/>
  <c r="AO146" i="6" s="1"/>
  <c r="AO147" i="6" s="1"/>
  <c r="AO148" i="6" s="1"/>
  <c r="AO149" i="6" s="1"/>
  <c r="AO150" i="6" s="1"/>
  <c r="AO151" i="6" s="1"/>
  <c r="AO152" i="6" s="1"/>
  <c r="AO153" i="6" s="1"/>
  <c r="AO154" i="6" s="1"/>
  <c r="AO155" i="6" s="1"/>
  <c r="AO156" i="6" s="1"/>
  <c r="AO157" i="6" s="1"/>
  <c r="AO158" i="6" s="1"/>
  <c r="AO159" i="6" s="1"/>
  <c r="AO160" i="6" s="1"/>
  <c r="AO161" i="6" s="1"/>
  <c r="AO162" i="6" s="1"/>
  <c r="AO163" i="6" s="1"/>
  <c r="AO164" i="6" s="1"/>
  <c r="AO165" i="6" s="1"/>
  <c r="AO166" i="6" s="1"/>
  <c r="AO167" i="6" s="1"/>
  <c r="AO168" i="6" s="1"/>
  <c r="AO169" i="6" s="1"/>
  <c r="AO170" i="6" s="1"/>
  <c r="AO171" i="6" s="1"/>
  <c r="AO172" i="6" s="1"/>
  <c r="AO173" i="6" s="1"/>
  <c r="AO174" i="6" s="1"/>
  <c r="AO175" i="6" s="1"/>
  <c r="AO176" i="6" s="1"/>
  <c r="AO177" i="6" s="1"/>
  <c r="AO178" i="6" s="1"/>
  <c r="AO179" i="6" s="1"/>
  <c r="AO180" i="6" s="1"/>
  <c r="AO181" i="6" s="1"/>
  <c r="AO182" i="6" s="1"/>
  <c r="AO183" i="6" s="1"/>
  <c r="AO184" i="6" s="1"/>
  <c r="AO185" i="6" s="1"/>
  <c r="AO186" i="6" s="1"/>
  <c r="AO187" i="6" s="1"/>
  <c r="AO188" i="6" s="1"/>
  <c r="AO189" i="6" s="1"/>
  <c r="AO190" i="6" s="1"/>
  <c r="AO191" i="6" s="1"/>
  <c r="AO192" i="6" s="1"/>
  <c r="AO193" i="6" s="1"/>
  <c r="AO194" i="6" s="1"/>
  <c r="AO195" i="6" s="1"/>
  <c r="AO196" i="6" s="1"/>
  <c r="AO197" i="6" s="1"/>
  <c r="AO198" i="6" s="1"/>
  <c r="AO199" i="6" s="1"/>
  <c r="AO200" i="6" s="1"/>
  <c r="AO201" i="6" s="1"/>
  <c r="AO202" i="6" s="1"/>
  <c r="AO203" i="6" s="1"/>
  <c r="AO204" i="6" s="1"/>
  <c r="AO205" i="6" s="1"/>
  <c r="AO206" i="6" s="1"/>
  <c r="AO207" i="6" s="1"/>
  <c r="AO208" i="6" s="1"/>
  <c r="AO209" i="6" s="1"/>
  <c r="AO210" i="6" s="1"/>
  <c r="AO211" i="6" s="1"/>
  <c r="AO212" i="6" s="1"/>
  <c r="AO213" i="6" s="1"/>
  <c r="AO214" i="6" s="1"/>
  <c r="AO215" i="6" s="1"/>
  <c r="AO216" i="6" s="1"/>
  <c r="AO217" i="6" s="1"/>
  <c r="AO218" i="6" s="1"/>
  <c r="AO219" i="6" s="1"/>
  <c r="AO220" i="6" s="1"/>
  <c r="AO221" i="6" s="1"/>
  <c r="AO222" i="6" s="1"/>
  <c r="AO223" i="6" s="1"/>
  <c r="AO224" i="6" s="1"/>
  <c r="AO225" i="6" s="1"/>
  <c r="AO226" i="6" s="1"/>
  <c r="AO227" i="6" s="1"/>
  <c r="AO228" i="6" s="1"/>
  <c r="AO229" i="6" s="1"/>
  <c r="AO230" i="6" s="1"/>
  <c r="AO231" i="6" s="1"/>
  <c r="AO232" i="6" s="1"/>
  <c r="AO233" i="6" s="1"/>
  <c r="AO234" i="6" s="1"/>
  <c r="AO235" i="6" s="1"/>
  <c r="AO236" i="6" s="1"/>
  <c r="AO237" i="6" s="1"/>
  <c r="AO238" i="6" s="1"/>
  <c r="AO239" i="6" s="1"/>
  <c r="AO240" i="6" s="1"/>
  <c r="AO241" i="6" s="1"/>
  <c r="AO242" i="6" s="1"/>
  <c r="AO243" i="6" s="1"/>
  <c r="AO244" i="6" s="1"/>
  <c r="AO245" i="6" s="1"/>
  <c r="AO246" i="6" s="1"/>
  <c r="AO247" i="6" s="1"/>
  <c r="AO248" i="6" s="1"/>
  <c r="AO249" i="6" s="1"/>
  <c r="AO250" i="6" s="1"/>
  <c r="AO251" i="6" s="1"/>
  <c r="AO252" i="6" s="1"/>
  <c r="AO253" i="6" s="1"/>
  <c r="AO254" i="6" s="1"/>
  <c r="AO255" i="6" s="1"/>
  <c r="AO256" i="6" s="1"/>
  <c r="AO257" i="6" s="1"/>
  <c r="AO258" i="6" s="1"/>
  <c r="AO259" i="6" s="1"/>
  <c r="AO260" i="6" s="1"/>
  <c r="AO261" i="6" s="1"/>
  <c r="AO262" i="6" s="1"/>
  <c r="AO263" i="6" s="1"/>
  <c r="AO264" i="6" s="1"/>
  <c r="AO265" i="6" s="1"/>
  <c r="AO266" i="6" s="1"/>
  <c r="AO267" i="6" s="1"/>
  <c r="AO268" i="6" s="1"/>
  <c r="AO269" i="6" s="1"/>
  <c r="AO270" i="6" s="1"/>
  <c r="AO271" i="6" s="1"/>
  <c r="AO272" i="6" s="1"/>
  <c r="AO273" i="6" s="1"/>
  <c r="AO274" i="6" s="1"/>
  <c r="AO275" i="6" s="1"/>
  <c r="AO276" i="6" s="1"/>
  <c r="AO277" i="6" s="1"/>
  <c r="AO278" i="6" s="1"/>
  <c r="AO279" i="6" s="1"/>
  <c r="AO280" i="6" s="1"/>
  <c r="AO281" i="6" s="1"/>
  <c r="AO282" i="6" s="1"/>
  <c r="AO283" i="6" s="1"/>
  <c r="AO284" i="6" s="1"/>
  <c r="AO285" i="6" s="1"/>
  <c r="AO286" i="6" s="1"/>
  <c r="AO287" i="6" s="1"/>
  <c r="AO288" i="6" s="1"/>
  <c r="AO289" i="6" s="1"/>
  <c r="AO290" i="6" s="1"/>
  <c r="AO291" i="6" s="1"/>
  <c r="AO292" i="6" s="1"/>
  <c r="AO293" i="6" s="1"/>
  <c r="AO294" i="6" s="1"/>
  <c r="AO295" i="6" s="1"/>
  <c r="AO296" i="6" s="1"/>
  <c r="AO297" i="6" s="1"/>
  <c r="AO298" i="6" s="1"/>
  <c r="AO299" i="6" s="1"/>
  <c r="AO300" i="6" s="1"/>
  <c r="AO301" i="6" s="1"/>
  <c r="AO302" i="6" s="1"/>
  <c r="AO303" i="6" s="1"/>
  <c r="AO304" i="6" s="1"/>
  <c r="AO305" i="6" s="1"/>
  <c r="AO306" i="6" s="1"/>
  <c r="AO307" i="6" s="1"/>
  <c r="AO308" i="6" s="1"/>
  <c r="AO309" i="6" s="1"/>
  <c r="AO310" i="6" s="1"/>
  <c r="AO311" i="6" s="1"/>
  <c r="AO312" i="6" s="1"/>
  <c r="AO313" i="6" s="1"/>
  <c r="AO314" i="6" s="1"/>
  <c r="AO315" i="6" s="1"/>
  <c r="AO316" i="6" s="1"/>
  <c r="AO317" i="6" s="1"/>
  <c r="AO318" i="6" s="1"/>
  <c r="AO319" i="6" s="1"/>
  <c r="AO320" i="6" s="1"/>
  <c r="AO321" i="6" s="1"/>
  <c r="AO322" i="6" s="1"/>
  <c r="AO323" i="6" s="1"/>
  <c r="AO324" i="6" s="1"/>
  <c r="AO325" i="6" s="1"/>
  <c r="AO326" i="6" s="1"/>
  <c r="AO327" i="6" s="1"/>
  <c r="AO328" i="6" s="1"/>
  <c r="AO329" i="6" s="1"/>
  <c r="AO330" i="6" s="1"/>
  <c r="AO331" i="6" s="1"/>
  <c r="AO332" i="6" s="1"/>
  <c r="AO333" i="6" s="1"/>
  <c r="AO334" i="6" s="1"/>
  <c r="AO335" i="6" s="1"/>
  <c r="AO336" i="6" s="1"/>
  <c r="AO337" i="6" s="1"/>
  <c r="AO338" i="6" s="1"/>
  <c r="AO339" i="6" s="1"/>
  <c r="AO340" i="6" s="1"/>
  <c r="AO341" i="6" s="1"/>
  <c r="AO342" i="6" s="1"/>
  <c r="AO343" i="6" s="1"/>
  <c r="AO344" i="6" s="1"/>
  <c r="AO345" i="6" s="1"/>
  <c r="AO346" i="6" s="1"/>
  <c r="AO347" i="6" s="1"/>
  <c r="AO348" i="6" s="1"/>
  <c r="AO349" i="6" s="1"/>
  <c r="AO350" i="6" s="1"/>
  <c r="AO351" i="6" s="1"/>
  <c r="AO352" i="6" s="1"/>
  <c r="AO353" i="6" s="1"/>
  <c r="AO354" i="6" s="1"/>
  <c r="AO355" i="6" s="1"/>
  <c r="AO356" i="6" s="1"/>
  <c r="AO357" i="6" s="1"/>
  <c r="AO358" i="6" s="1"/>
  <c r="AO359" i="6" s="1"/>
  <c r="AO360" i="6" s="1"/>
  <c r="AO361" i="6" s="1"/>
  <c r="AO362" i="6" s="1"/>
  <c r="AO363" i="6" s="1"/>
  <c r="AO364" i="6" s="1"/>
  <c r="AO365" i="6" s="1"/>
  <c r="AO366" i="6" s="1"/>
  <c r="AO367" i="6" s="1"/>
  <c r="AO368" i="6" s="1"/>
  <c r="AO369" i="6" s="1"/>
  <c r="AO370" i="6" s="1"/>
  <c r="AO371" i="6" s="1"/>
  <c r="AO372" i="6" s="1"/>
  <c r="AO373" i="6" s="1"/>
  <c r="AO374" i="6" s="1"/>
  <c r="AO375" i="6" s="1"/>
  <c r="AO376" i="6" s="1"/>
  <c r="AO377" i="6" s="1"/>
  <c r="AO378" i="6" s="1"/>
  <c r="AO379" i="6" s="1"/>
  <c r="AO380" i="6" s="1"/>
  <c r="AO381" i="6" s="1"/>
  <c r="AO382" i="6" s="1"/>
  <c r="AO383" i="6" s="1"/>
  <c r="AO384" i="6" s="1"/>
  <c r="AO385" i="6" s="1"/>
  <c r="AO386" i="6" s="1"/>
  <c r="AO387" i="6" s="1"/>
  <c r="AO388" i="6" s="1"/>
  <c r="AO389" i="6" s="1"/>
  <c r="AO390" i="6" s="1"/>
  <c r="AO391" i="6" s="1"/>
  <c r="AO392" i="6" s="1"/>
  <c r="AO393" i="6" s="1"/>
  <c r="AO394" i="6" s="1"/>
  <c r="AO395" i="6" s="1"/>
  <c r="AO396" i="6" s="1"/>
  <c r="AO397" i="6" s="1"/>
  <c r="AO398" i="6" s="1"/>
  <c r="AO399" i="6" s="1"/>
  <c r="AO400" i="6" s="1"/>
  <c r="AO401" i="6" s="1"/>
  <c r="AM3" i="6"/>
  <c r="AM4" i="6" s="1"/>
  <c r="AM5" i="6" s="1"/>
  <c r="AM6" i="6" s="1"/>
  <c r="AM7" i="6" s="1"/>
  <c r="AM8" i="6" s="1"/>
  <c r="AM9" i="6" s="1"/>
  <c r="AM10" i="6" s="1"/>
  <c r="AM11" i="6" s="1"/>
  <c r="AM12" i="6" s="1"/>
  <c r="AM13" i="6" s="1"/>
  <c r="AM14" i="6" s="1"/>
  <c r="AM15" i="6" s="1"/>
  <c r="AM16" i="6" s="1"/>
  <c r="AM17" i="6" s="1"/>
  <c r="AM18" i="6" s="1"/>
  <c r="AM19" i="6" s="1"/>
  <c r="AM20" i="6" s="1"/>
  <c r="AM21" i="6" s="1"/>
  <c r="AM22" i="6" s="1"/>
  <c r="AM23" i="6" s="1"/>
  <c r="AM24" i="6" s="1"/>
  <c r="AM25" i="6" s="1"/>
  <c r="AM26" i="6" s="1"/>
  <c r="AM27" i="6" s="1"/>
  <c r="AM28" i="6" s="1"/>
  <c r="AM29" i="6" s="1"/>
  <c r="AM30" i="6" s="1"/>
  <c r="AM31" i="6" s="1"/>
  <c r="AM32" i="6" s="1"/>
  <c r="AM33" i="6" s="1"/>
  <c r="AM34" i="6" s="1"/>
  <c r="AM35" i="6" s="1"/>
  <c r="AM36" i="6" s="1"/>
  <c r="AM37" i="6" s="1"/>
  <c r="AM38" i="6" s="1"/>
  <c r="AM39" i="6" s="1"/>
  <c r="AM40" i="6" s="1"/>
  <c r="AM41" i="6" s="1"/>
  <c r="AM42" i="6" s="1"/>
  <c r="AM43" i="6" s="1"/>
  <c r="AM44" i="6" s="1"/>
  <c r="AM45" i="6" s="1"/>
  <c r="AM46" i="6" s="1"/>
  <c r="AM47" i="6" s="1"/>
  <c r="AM48" i="6" s="1"/>
  <c r="AM49" i="6" s="1"/>
  <c r="AM50" i="6" s="1"/>
  <c r="AM51" i="6" s="1"/>
  <c r="AM52" i="6" s="1"/>
  <c r="AM53" i="6" s="1"/>
  <c r="AM54" i="6" s="1"/>
  <c r="AM55" i="6" s="1"/>
  <c r="AM56" i="6" s="1"/>
  <c r="AM57" i="6" s="1"/>
  <c r="AM58" i="6" s="1"/>
  <c r="AM59" i="6" s="1"/>
  <c r="AM60" i="6" s="1"/>
  <c r="AM61" i="6" s="1"/>
  <c r="AM62" i="6" s="1"/>
  <c r="AM63" i="6" s="1"/>
  <c r="AM64" i="6" s="1"/>
  <c r="AM65" i="6" s="1"/>
  <c r="AM66" i="6" s="1"/>
  <c r="AM67" i="6" s="1"/>
  <c r="AM68" i="6" s="1"/>
  <c r="AM69" i="6" s="1"/>
  <c r="AM70" i="6" s="1"/>
  <c r="AM71" i="6" s="1"/>
  <c r="AM72" i="6" s="1"/>
  <c r="AM73" i="6" s="1"/>
  <c r="AM74" i="6" s="1"/>
  <c r="AM75" i="6" s="1"/>
  <c r="AM76" i="6" s="1"/>
  <c r="AM77" i="6" s="1"/>
  <c r="AM78" i="6" s="1"/>
  <c r="AM79" i="6" s="1"/>
  <c r="AM80" i="6" s="1"/>
  <c r="AM81" i="6" s="1"/>
  <c r="AM82" i="6" s="1"/>
  <c r="AM83" i="6" s="1"/>
  <c r="AM84" i="6" s="1"/>
  <c r="AM85" i="6" s="1"/>
  <c r="AM86" i="6" s="1"/>
  <c r="AM87" i="6" s="1"/>
  <c r="AM88" i="6" s="1"/>
  <c r="AM89" i="6" s="1"/>
  <c r="AM90" i="6" s="1"/>
  <c r="AM91" i="6" s="1"/>
  <c r="AM92" i="6" s="1"/>
  <c r="AM93" i="6" s="1"/>
  <c r="AM94" i="6" s="1"/>
  <c r="AM95" i="6" s="1"/>
  <c r="AM96" i="6" s="1"/>
  <c r="AM97" i="6" s="1"/>
  <c r="AM98" i="6" s="1"/>
  <c r="AM99" i="6" s="1"/>
  <c r="AM100" i="6" s="1"/>
  <c r="AM101" i="6" s="1"/>
  <c r="AM102" i="6" s="1"/>
  <c r="AM103" i="6" s="1"/>
  <c r="AM104" i="6" s="1"/>
  <c r="AM105" i="6" s="1"/>
  <c r="AM106" i="6" s="1"/>
  <c r="AM107" i="6" s="1"/>
  <c r="AM108" i="6" s="1"/>
  <c r="AM109" i="6" s="1"/>
  <c r="AM110" i="6" s="1"/>
  <c r="AM111" i="6" s="1"/>
  <c r="AM112" i="6" s="1"/>
  <c r="AM113" i="6" s="1"/>
  <c r="AM114" i="6" s="1"/>
  <c r="AM115" i="6" s="1"/>
  <c r="AM116" i="6" s="1"/>
  <c r="AM117" i="6" s="1"/>
  <c r="AM118" i="6" s="1"/>
  <c r="AM119" i="6" s="1"/>
  <c r="AM120" i="6" s="1"/>
  <c r="AM121" i="6" s="1"/>
  <c r="AM122" i="6" s="1"/>
  <c r="AM123" i="6" s="1"/>
  <c r="AM124" i="6" s="1"/>
  <c r="AM125" i="6" s="1"/>
  <c r="AM126" i="6" s="1"/>
  <c r="AM127" i="6" s="1"/>
  <c r="AM128" i="6" s="1"/>
  <c r="AM129" i="6" s="1"/>
  <c r="AM130" i="6" s="1"/>
  <c r="AM131" i="6" s="1"/>
  <c r="AM132" i="6" s="1"/>
  <c r="AM133" i="6" s="1"/>
  <c r="AM134" i="6" s="1"/>
  <c r="AM135" i="6" s="1"/>
  <c r="AM136" i="6" s="1"/>
  <c r="AM137" i="6" s="1"/>
  <c r="AM138" i="6" s="1"/>
  <c r="AM139" i="6" s="1"/>
  <c r="AM140" i="6" s="1"/>
  <c r="AM141" i="6" s="1"/>
  <c r="AM142" i="6" s="1"/>
  <c r="AM143" i="6" s="1"/>
  <c r="AM144" i="6" s="1"/>
  <c r="AM145" i="6" s="1"/>
  <c r="AM146" i="6" s="1"/>
  <c r="AM147" i="6" s="1"/>
  <c r="AM148" i="6" s="1"/>
  <c r="AM149" i="6" s="1"/>
  <c r="AM150" i="6" s="1"/>
  <c r="AM151" i="6" s="1"/>
  <c r="AM152" i="6" s="1"/>
  <c r="AM153" i="6" s="1"/>
  <c r="AM154" i="6" s="1"/>
  <c r="AM155" i="6" s="1"/>
  <c r="AM156" i="6" s="1"/>
  <c r="AM157" i="6" s="1"/>
  <c r="AM158" i="6" s="1"/>
  <c r="AM159" i="6" s="1"/>
  <c r="AM160" i="6" s="1"/>
  <c r="AM161" i="6" s="1"/>
  <c r="AM162" i="6" s="1"/>
  <c r="AM163" i="6" s="1"/>
  <c r="AM164" i="6" s="1"/>
  <c r="AM165" i="6" s="1"/>
  <c r="AM166" i="6" s="1"/>
  <c r="AM167" i="6" s="1"/>
  <c r="AM168" i="6" s="1"/>
  <c r="AM169" i="6" s="1"/>
  <c r="AM170" i="6" s="1"/>
  <c r="AM171" i="6" s="1"/>
  <c r="AM172" i="6" s="1"/>
  <c r="AM173" i="6" s="1"/>
  <c r="AM174" i="6" s="1"/>
  <c r="AM175" i="6" s="1"/>
  <c r="AM176" i="6" s="1"/>
  <c r="AM177" i="6" s="1"/>
  <c r="AM178" i="6" s="1"/>
  <c r="AM179" i="6" s="1"/>
  <c r="AM180" i="6" s="1"/>
  <c r="AM181" i="6" s="1"/>
  <c r="AM182" i="6" s="1"/>
  <c r="AM183" i="6" s="1"/>
  <c r="AM184" i="6" s="1"/>
  <c r="AM185" i="6" s="1"/>
  <c r="AM186" i="6" s="1"/>
  <c r="AM187" i="6" s="1"/>
  <c r="AM188" i="6" s="1"/>
  <c r="AM189" i="6" s="1"/>
  <c r="AM190" i="6" s="1"/>
  <c r="AM191" i="6" s="1"/>
  <c r="AM192" i="6" s="1"/>
  <c r="AM193" i="6" s="1"/>
  <c r="AM194" i="6" s="1"/>
  <c r="AM195" i="6" s="1"/>
  <c r="AM196" i="6" s="1"/>
  <c r="AM197" i="6" s="1"/>
  <c r="AM198" i="6" s="1"/>
  <c r="AM199" i="6" s="1"/>
  <c r="AM200" i="6" s="1"/>
  <c r="AM201" i="6" s="1"/>
  <c r="AM202" i="6" s="1"/>
  <c r="AM203" i="6" s="1"/>
  <c r="AM204" i="6" s="1"/>
  <c r="AM205" i="6" s="1"/>
  <c r="AM206" i="6" s="1"/>
  <c r="AM207" i="6" s="1"/>
  <c r="AM208" i="6" s="1"/>
  <c r="AM209" i="6" s="1"/>
  <c r="AM210" i="6" s="1"/>
  <c r="AM211" i="6" s="1"/>
  <c r="AM212" i="6" s="1"/>
  <c r="AM213" i="6" s="1"/>
  <c r="AM214" i="6" s="1"/>
  <c r="AM215" i="6" s="1"/>
  <c r="AM216" i="6" s="1"/>
  <c r="AM217" i="6" s="1"/>
  <c r="AM218" i="6" s="1"/>
  <c r="AM219" i="6" s="1"/>
  <c r="AM220" i="6" s="1"/>
  <c r="AM221" i="6" s="1"/>
  <c r="AM222" i="6" s="1"/>
  <c r="AM223" i="6" s="1"/>
  <c r="AM224" i="6" s="1"/>
  <c r="AM225" i="6" s="1"/>
  <c r="AM226" i="6" s="1"/>
  <c r="AM227" i="6" s="1"/>
  <c r="AM228" i="6" s="1"/>
  <c r="AM229" i="6" s="1"/>
  <c r="AM230" i="6" s="1"/>
  <c r="AM231" i="6" s="1"/>
  <c r="AM232" i="6" s="1"/>
  <c r="AM233" i="6" s="1"/>
  <c r="AM234" i="6" s="1"/>
  <c r="AM235" i="6" s="1"/>
  <c r="AM236" i="6" s="1"/>
  <c r="AM237" i="6" s="1"/>
  <c r="AM238" i="6" s="1"/>
  <c r="AM239" i="6" s="1"/>
  <c r="AM240" i="6" s="1"/>
  <c r="AM241" i="6" s="1"/>
  <c r="AM242" i="6" s="1"/>
  <c r="AM243" i="6" s="1"/>
  <c r="AM244" i="6" s="1"/>
  <c r="AM245" i="6" s="1"/>
  <c r="AM246" i="6" s="1"/>
  <c r="AM247" i="6" s="1"/>
  <c r="AM248" i="6" s="1"/>
  <c r="AM249" i="6" s="1"/>
  <c r="AM250" i="6" s="1"/>
  <c r="AM251" i="6" s="1"/>
  <c r="AM252" i="6" s="1"/>
  <c r="AM253" i="6" s="1"/>
  <c r="AM254" i="6" s="1"/>
  <c r="AM255" i="6" s="1"/>
  <c r="AM256" i="6" s="1"/>
  <c r="AM257" i="6" s="1"/>
  <c r="AM258" i="6" s="1"/>
  <c r="AM259" i="6" s="1"/>
  <c r="AM260" i="6" s="1"/>
  <c r="AM261" i="6" s="1"/>
  <c r="AM262" i="6" s="1"/>
  <c r="AM263" i="6" s="1"/>
  <c r="AM264" i="6" s="1"/>
  <c r="AM265" i="6" s="1"/>
  <c r="AM266" i="6" s="1"/>
  <c r="AM267" i="6" s="1"/>
  <c r="AM268" i="6" s="1"/>
  <c r="AM269" i="6" s="1"/>
  <c r="AM270" i="6" s="1"/>
  <c r="AM271" i="6" s="1"/>
  <c r="AM272" i="6" s="1"/>
  <c r="AM273" i="6" s="1"/>
  <c r="AM274" i="6" s="1"/>
  <c r="AM275" i="6" s="1"/>
  <c r="AM276" i="6" s="1"/>
  <c r="AM277" i="6" s="1"/>
  <c r="AM278" i="6" s="1"/>
  <c r="AM279" i="6" s="1"/>
  <c r="AM280" i="6" s="1"/>
  <c r="AM281" i="6" s="1"/>
  <c r="AM282" i="6" s="1"/>
  <c r="AM283" i="6" s="1"/>
  <c r="AM284" i="6" s="1"/>
  <c r="AM285" i="6" s="1"/>
  <c r="AM286" i="6" s="1"/>
  <c r="AM287" i="6" s="1"/>
  <c r="AM288" i="6" s="1"/>
  <c r="AM289" i="6" s="1"/>
  <c r="AM290" i="6" s="1"/>
  <c r="AM291" i="6" s="1"/>
  <c r="AM292" i="6" s="1"/>
  <c r="AM293" i="6" s="1"/>
  <c r="AM294" i="6" s="1"/>
  <c r="AM295" i="6" s="1"/>
  <c r="AM296" i="6" s="1"/>
  <c r="AM297" i="6" s="1"/>
  <c r="AM298" i="6" s="1"/>
  <c r="AM299" i="6" s="1"/>
  <c r="AM300" i="6" s="1"/>
  <c r="AM301" i="6" s="1"/>
  <c r="AM302" i="6" s="1"/>
  <c r="AM303" i="6" s="1"/>
  <c r="AM304" i="6" s="1"/>
  <c r="AM305" i="6" s="1"/>
  <c r="AM306" i="6" s="1"/>
  <c r="AM307" i="6" s="1"/>
  <c r="AM308" i="6" s="1"/>
  <c r="AM309" i="6" s="1"/>
  <c r="AM310" i="6" s="1"/>
  <c r="AM311" i="6" s="1"/>
  <c r="AM312" i="6" s="1"/>
  <c r="AM313" i="6" s="1"/>
  <c r="AM314" i="6" s="1"/>
  <c r="AM315" i="6" s="1"/>
  <c r="AM316" i="6" s="1"/>
  <c r="AM317" i="6" s="1"/>
  <c r="AM318" i="6" s="1"/>
  <c r="AM319" i="6" s="1"/>
  <c r="AM320" i="6" s="1"/>
  <c r="AM321" i="6" s="1"/>
  <c r="AM322" i="6" s="1"/>
  <c r="AM323" i="6" s="1"/>
  <c r="AM324" i="6" s="1"/>
  <c r="AM325" i="6" s="1"/>
  <c r="AM326" i="6" s="1"/>
  <c r="AM327" i="6" s="1"/>
  <c r="AM328" i="6" s="1"/>
  <c r="AM329" i="6" s="1"/>
  <c r="AM330" i="6" s="1"/>
  <c r="AM331" i="6" s="1"/>
  <c r="AM332" i="6" s="1"/>
  <c r="AM333" i="6" s="1"/>
  <c r="AM334" i="6" s="1"/>
  <c r="AM335" i="6" s="1"/>
  <c r="AM336" i="6" s="1"/>
  <c r="AM337" i="6" s="1"/>
  <c r="AM338" i="6" s="1"/>
  <c r="AM339" i="6" s="1"/>
  <c r="AM340" i="6" s="1"/>
  <c r="AM341" i="6" s="1"/>
  <c r="AM342" i="6" s="1"/>
  <c r="AM343" i="6" s="1"/>
  <c r="AM344" i="6" s="1"/>
  <c r="AM345" i="6" s="1"/>
  <c r="AM346" i="6" s="1"/>
  <c r="AM347" i="6" s="1"/>
  <c r="AM348" i="6" s="1"/>
  <c r="AM349" i="6" s="1"/>
  <c r="AM350" i="6" s="1"/>
  <c r="AM351" i="6" s="1"/>
  <c r="AM352" i="6" s="1"/>
  <c r="AM353" i="6" s="1"/>
  <c r="AM354" i="6" s="1"/>
  <c r="AM355" i="6" s="1"/>
  <c r="AM356" i="6" s="1"/>
  <c r="AM357" i="6" s="1"/>
  <c r="AM358" i="6" s="1"/>
  <c r="AM359" i="6" s="1"/>
  <c r="AM360" i="6" s="1"/>
  <c r="AM361" i="6" s="1"/>
  <c r="AM362" i="6" s="1"/>
  <c r="AM363" i="6" s="1"/>
  <c r="AM364" i="6" s="1"/>
  <c r="AM365" i="6" s="1"/>
  <c r="AM366" i="6" s="1"/>
  <c r="AM367" i="6" s="1"/>
  <c r="AM368" i="6" s="1"/>
  <c r="AM369" i="6" s="1"/>
  <c r="AM370" i="6" s="1"/>
  <c r="AM371" i="6" s="1"/>
  <c r="AM372" i="6" s="1"/>
  <c r="AM373" i="6" s="1"/>
  <c r="AM374" i="6" s="1"/>
  <c r="AM375" i="6" s="1"/>
  <c r="AM376" i="6" s="1"/>
  <c r="AM377" i="6" s="1"/>
  <c r="AM378" i="6" s="1"/>
  <c r="AM379" i="6" s="1"/>
  <c r="AM380" i="6" s="1"/>
  <c r="AM381" i="6" s="1"/>
  <c r="AM382" i="6" s="1"/>
  <c r="AM383" i="6" s="1"/>
  <c r="AM384" i="6" s="1"/>
  <c r="AM385" i="6" s="1"/>
  <c r="AM386" i="6" s="1"/>
  <c r="AM387" i="6" s="1"/>
  <c r="AM388" i="6" s="1"/>
  <c r="AM389" i="6" s="1"/>
  <c r="AM390" i="6" s="1"/>
  <c r="AM391" i="6" s="1"/>
  <c r="AM392" i="6" s="1"/>
  <c r="AM393" i="6" s="1"/>
  <c r="AM394" i="6" s="1"/>
  <c r="AM395" i="6" s="1"/>
  <c r="AM396" i="6" s="1"/>
  <c r="AM397" i="6" s="1"/>
  <c r="AM398" i="6" s="1"/>
  <c r="AM399" i="6" s="1"/>
  <c r="AM400" i="6" s="1"/>
  <c r="AM401" i="6" s="1"/>
  <c r="AK3" i="6"/>
  <c r="AK4" i="6" s="1"/>
  <c r="AK5" i="6" s="1"/>
  <c r="AK6" i="6" s="1"/>
  <c r="AK7" i="6" s="1"/>
  <c r="AK8" i="6" s="1"/>
  <c r="AK9" i="6" s="1"/>
  <c r="AK10" i="6" s="1"/>
  <c r="AK11" i="6" s="1"/>
  <c r="AK12" i="6" s="1"/>
  <c r="AK13" i="6" s="1"/>
  <c r="AK14" i="6" s="1"/>
  <c r="AK15" i="6" s="1"/>
  <c r="AK16" i="6" s="1"/>
  <c r="AK17" i="6" s="1"/>
  <c r="AK18" i="6" s="1"/>
  <c r="AK19" i="6" s="1"/>
  <c r="AK20" i="6" s="1"/>
  <c r="AK21" i="6" s="1"/>
  <c r="AK22" i="6" s="1"/>
  <c r="AK23" i="6" s="1"/>
  <c r="AK24" i="6" s="1"/>
  <c r="AK25" i="6" s="1"/>
  <c r="AK26" i="6" s="1"/>
  <c r="AK27" i="6" s="1"/>
  <c r="AK28" i="6" s="1"/>
  <c r="AK29" i="6" s="1"/>
  <c r="AK30" i="6" s="1"/>
  <c r="AK31" i="6" s="1"/>
  <c r="AK32" i="6" s="1"/>
  <c r="AK33" i="6" s="1"/>
  <c r="AK34" i="6" s="1"/>
  <c r="AK35" i="6" s="1"/>
  <c r="AK36" i="6" s="1"/>
  <c r="AK37" i="6" s="1"/>
  <c r="AK38" i="6" s="1"/>
  <c r="AK39" i="6" s="1"/>
  <c r="AK40" i="6" s="1"/>
  <c r="AK41" i="6" s="1"/>
  <c r="AK42" i="6" s="1"/>
  <c r="AK43" i="6" s="1"/>
  <c r="AK44" i="6" s="1"/>
  <c r="AK45" i="6" s="1"/>
  <c r="AK46" i="6" s="1"/>
  <c r="AK47" i="6" s="1"/>
  <c r="AK48" i="6" s="1"/>
  <c r="AK49" i="6" s="1"/>
  <c r="AK50" i="6" s="1"/>
  <c r="AK51" i="6" s="1"/>
  <c r="AK52" i="6" s="1"/>
  <c r="AK53" i="6" s="1"/>
  <c r="AK54" i="6" s="1"/>
  <c r="AK55" i="6" s="1"/>
  <c r="AK56" i="6" s="1"/>
  <c r="AK57" i="6" s="1"/>
  <c r="AK58" i="6" s="1"/>
  <c r="AK59" i="6" s="1"/>
  <c r="AK60" i="6" s="1"/>
  <c r="AK61" i="6" s="1"/>
  <c r="AK62" i="6" s="1"/>
  <c r="AK63" i="6" s="1"/>
  <c r="AK64" i="6" s="1"/>
  <c r="AK65" i="6" s="1"/>
  <c r="AK66" i="6" s="1"/>
  <c r="AK67" i="6" s="1"/>
  <c r="AK68" i="6" s="1"/>
  <c r="AK69" i="6" s="1"/>
  <c r="AK70" i="6" s="1"/>
  <c r="AK71" i="6" s="1"/>
  <c r="AK72" i="6" s="1"/>
  <c r="AK73" i="6" s="1"/>
  <c r="AK74" i="6" s="1"/>
  <c r="AK75" i="6" s="1"/>
  <c r="AK76" i="6" s="1"/>
  <c r="AK77" i="6" s="1"/>
  <c r="AK78" i="6" s="1"/>
  <c r="AK79" i="6" s="1"/>
  <c r="AK80" i="6" s="1"/>
  <c r="AK81" i="6" s="1"/>
  <c r="AK82" i="6" s="1"/>
  <c r="AK83" i="6" s="1"/>
  <c r="AK84" i="6" s="1"/>
  <c r="AK85" i="6" s="1"/>
  <c r="AK86" i="6" s="1"/>
  <c r="AK87" i="6" s="1"/>
  <c r="AK88" i="6" s="1"/>
  <c r="AK89" i="6" s="1"/>
  <c r="AK90" i="6" s="1"/>
  <c r="AK91" i="6" s="1"/>
  <c r="AK92" i="6" s="1"/>
  <c r="AK93" i="6" s="1"/>
  <c r="AK94" i="6" s="1"/>
  <c r="AK95" i="6" s="1"/>
  <c r="AK96" i="6" s="1"/>
  <c r="AK97" i="6" s="1"/>
  <c r="AK98" i="6" s="1"/>
  <c r="AK99" i="6" s="1"/>
  <c r="AK100" i="6" s="1"/>
  <c r="AK101" i="6" s="1"/>
  <c r="AK102" i="6" s="1"/>
  <c r="AK103" i="6" s="1"/>
  <c r="AK104" i="6" s="1"/>
  <c r="AK105" i="6" s="1"/>
  <c r="AK106" i="6" s="1"/>
  <c r="AK107" i="6" s="1"/>
  <c r="AK108" i="6" s="1"/>
  <c r="AK109" i="6" s="1"/>
  <c r="AK110" i="6" s="1"/>
  <c r="AK111" i="6" s="1"/>
  <c r="AK112" i="6" s="1"/>
  <c r="AK113" i="6" s="1"/>
  <c r="AK114" i="6" s="1"/>
  <c r="AK115" i="6" s="1"/>
  <c r="AK116" i="6" s="1"/>
  <c r="AK117" i="6" s="1"/>
  <c r="AK118" i="6" s="1"/>
  <c r="AK119" i="6" s="1"/>
  <c r="AK120" i="6" s="1"/>
  <c r="AK121" i="6" s="1"/>
  <c r="AK122" i="6" s="1"/>
  <c r="AK123" i="6" s="1"/>
  <c r="AK124" i="6" s="1"/>
  <c r="AK125" i="6" s="1"/>
  <c r="AK126" i="6" s="1"/>
  <c r="AK127" i="6" s="1"/>
  <c r="AK128" i="6" s="1"/>
  <c r="AK129" i="6" s="1"/>
  <c r="AK130" i="6" s="1"/>
  <c r="AK131" i="6" s="1"/>
  <c r="AK132" i="6" s="1"/>
  <c r="AK133" i="6" s="1"/>
  <c r="AK134" i="6" s="1"/>
  <c r="AK135" i="6" s="1"/>
  <c r="AK136" i="6" s="1"/>
  <c r="AK137" i="6" s="1"/>
  <c r="AK138" i="6" s="1"/>
  <c r="AK139" i="6" s="1"/>
  <c r="AK140" i="6" s="1"/>
  <c r="AK141" i="6" s="1"/>
  <c r="AK142" i="6" s="1"/>
  <c r="AK143" i="6" s="1"/>
  <c r="AK144" i="6" s="1"/>
  <c r="AK145" i="6" s="1"/>
  <c r="AK146" i="6" s="1"/>
  <c r="AK147" i="6" s="1"/>
  <c r="AK148" i="6" s="1"/>
  <c r="AK149" i="6" s="1"/>
  <c r="AK150" i="6" s="1"/>
  <c r="AK151" i="6" s="1"/>
  <c r="AK152" i="6" s="1"/>
  <c r="AK153" i="6" s="1"/>
  <c r="AK154" i="6" s="1"/>
  <c r="AK155" i="6" s="1"/>
  <c r="AK156" i="6" s="1"/>
  <c r="AK157" i="6" s="1"/>
  <c r="AK158" i="6" s="1"/>
  <c r="AK159" i="6" s="1"/>
  <c r="AK160" i="6" s="1"/>
  <c r="AK161" i="6" s="1"/>
  <c r="AK162" i="6" s="1"/>
  <c r="AK163" i="6" s="1"/>
  <c r="AK164" i="6" s="1"/>
  <c r="AK165" i="6" s="1"/>
  <c r="AK166" i="6" s="1"/>
  <c r="AK167" i="6" s="1"/>
  <c r="AK168" i="6" s="1"/>
  <c r="AK169" i="6" s="1"/>
  <c r="AK170" i="6" s="1"/>
  <c r="AK171" i="6" s="1"/>
  <c r="AK172" i="6" s="1"/>
  <c r="AK173" i="6" s="1"/>
  <c r="AK174" i="6" s="1"/>
  <c r="AK175" i="6" s="1"/>
  <c r="AK176" i="6" s="1"/>
  <c r="AK177" i="6" s="1"/>
  <c r="AK178" i="6" s="1"/>
  <c r="AK179" i="6" s="1"/>
  <c r="AK180" i="6" s="1"/>
  <c r="AK181" i="6" s="1"/>
  <c r="AK182" i="6" s="1"/>
  <c r="AK183" i="6" s="1"/>
  <c r="AK184" i="6" s="1"/>
  <c r="AK185" i="6" s="1"/>
  <c r="AK186" i="6" s="1"/>
  <c r="AK187" i="6" s="1"/>
  <c r="AK188" i="6" s="1"/>
  <c r="AK189" i="6" s="1"/>
  <c r="AK190" i="6" s="1"/>
  <c r="AK191" i="6" s="1"/>
  <c r="AK192" i="6" s="1"/>
  <c r="AK193" i="6" s="1"/>
  <c r="AK194" i="6" s="1"/>
  <c r="AK195" i="6" s="1"/>
  <c r="AK196" i="6" s="1"/>
  <c r="AK197" i="6" s="1"/>
  <c r="AK198" i="6" s="1"/>
  <c r="AK199" i="6" s="1"/>
  <c r="AK200" i="6" s="1"/>
  <c r="AK201" i="6" s="1"/>
  <c r="AK202" i="6" s="1"/>
  <c r="AK203" i="6" s="1"/>
  <c r="AK204" i="6" s="1"/>
  <c r="AK205" i="6" s="1"/>
  <c r="AK206" i="6" s="1"/>
  <c r="AK207" i="6" s="1"/>
  <c r="AK208" i="6" s="1"/>
  <c r="AK209" i="6" s="1"/>
  <c r="AK210" i="6" s="1"/>
  <c r="AK211" i="6" s="1"/>
  <c r="AK212" i="6" s="1"/>
  <c r="AK213" i="6" s="1"/>
  <c r="AK214" i="6" s="1"/>
  <c r="AK215" i="6" s="1"/>
  <c r="AK216" i="6" s="1"/>
  <c r="AK217" i="6" s="1"/>
  <c r="AK218" i="6" s="1"/>
  <c r="AK219" i="6" s="1"/>
  <c r="AK220" i="6" s="1"/>
  <c r="AK221" i="6" s="1"/>
  <c r="AK222" i="6" s="1"/>
  <c r="AK223" i="6" s="1"/>
  <c r="AK224" i="6" s="1"/>
  <c r="AK225" i="6" s="1"/>
  <c r="AK226" i="6" s="1"/>
  <c r="AK227" i="6" s="1"/>
  <c r="AK228" i="6" s="1"/>
  <c r="AK229" i="6" s="1"/>
  <c r="AK230" i="6" s="1"/>
  <c r="AK231" i="6" s="1"/>
  <c r="AK232" i="6" s="1"/>
  <c r="AK233" i="6" s="1"/>
  <c r="AK234" i="6" s="1"/>
  <c r="AK235" i="6" s="1"/>
  <c r="AK236" i="6" s="1"/>
  <c r="AK237" i="6" s="1"/>
  <c r="AK238" i="6" s="1"/>
  <c r="AK239" i="6" s="1"/>
  <c r="AK240" i="6" s="1"/>
  <c r="AK241" i="6" s="1"/>
  <c r="AK242" i="6" s="1"/>
  <c r="AK243" i="6" s="1"/>
  <c r="AK244" i="6" s="1"/>
  <c r="AK245" i="6" s="1"/>
  <c r="AK246" i="6" s="1"/>
  <c r="AK247" i="6" s="1"/>
  <c r="AK248" i="6" s="1"/>
  <c r="AK249" i="6" s="1"/>
  <c r="AK250" i="6" s="1"/>
  <c r="AK251" i="6" s="1"/>
  <c r="AK252" i="6" s="1"/>
  <c r="AK253" i="6" s="1"/>
  <c r="AK254" i="6" s="1"/>
  <c r="AK255" i="6" s="1"/>
  <c r="AK256" i="6" s="1"/>
  <c r="AK257" i="6" s="1"/>
  <c r="AK258" i="6" s="1"/>
  <c r="AK259" i="6" s="1"/>
  <c r="AK260" i="6" s="1"/>
  <c r="AK261" i="6" s="1"/>
  <c r="AK262" i="6" s="1"/>
  <c r="AK263" i="6" s="1"/>
  <c r="AK264" i="6" s="1"/>
  <c r="AK265" i="6" s="1"/>
  <c r="AK266" i="6" s="1"/>
  <c r="AK267" i="6" s="1"/>
  <c r="AK268" i="6" s="1"/>
  <c r="AK269" i="6" s="1"/>
  <c r="AK270" i="6" s="1"/>
  <c r="AK271" i="6" s="1"/>
  <c r="AK272" i="6" s="1"/>
  <c r="AK273" i="6" s="1"/>
  <c r="AK274" i="6" s="1"/>
  <c r="AK275" i="6" s="1"/>
  <c r="AK276" i="6" s="1"/>
  <c r="AK277" i="6" s="1"/>
  <c r="AK278" i="6" s="1"/>
  <c r="AK279" i="6" s="1"/>
  <c r="AK280" i="6" s="1"/>
  <c r="AK281" i="6" s="1"/>
  <c r="AK282" i="6" s="1"/>
  <c r="AK283" i="6" s="1"/>
  <c r="AK284" i="6" s="1"/>
  <c r="AK285" i="6" s="1"/>
  <c r="AK286" i="6" s="1"/>
  <c r="AK287" i="6" s="1"/>
  <c r="AK288" i="6" s="1"/>
  <c r="AK289" i="6" s="1"/>
  <c r="AK290" i="6" s="1"/>
  <c r="AK291" i="6" s="1"/>
  <c r="AK292" i="6" s="1"/>
  <c r="AK293" i="6" s="1"/>
  <c r="AK294" i="6" s="1"/>
  <c r="AK295" i="6" s="1"/>
  <c r="AK296" i="6" s="1"/>
  <c r="AK297" i="6" s="1"/>
  <c r="AK298" i="6" s="1"/>
  <c r="AK299" i="6" s="1"/>
  <c r="AK300" i="6" s="1"/>
  <c r="AK301" i="6" s="1"/>
  <c r="AK302" i="6" s="1"/>
  <c r="AK303" i="6" s="1"/>
  <c r="AK304" i="6" s="1"/>
  <c r="AK305" i="6" s="1"/>
  <c r="AK306" i="6" s="1"/>
  <c r="AK307" i="6" s="1"/>
  <c r="AK308" i="6" s="1"/>
  <c r="AK309" i="6" s="1"/>
  <c r="AK310" i="6" s="1"/>
  <c r="AK311" i="6" s="1"/>
  <c r="AK312" i="6" s="1"/>
  <c r="AK313" i="6" s="1"/>
  <c r="AK314" i="6" s="1"/>
  <c r="AK315" i="6" s="1"/>
  <c r="AK316" i="6" s="1"/>
  <c r="AK317" i="6" s="1"/>
  <c r="AK318" i="6" s="1"/>
  <c r="AK319" i="6" s="1"/>
  <c r="AK320" i="6" s="1"/>
  <c r="AK321" i="6" s="1"/>
  <c r="AK322" i="6" s="1"/>
  <c r="AK323" i="6" s="1"/>
  <c r="AK324" i="6" s="1"/>
  <c r="AK325" i="6" s="1"/>
  <c r="AK326" i="6" s="1"/>
  <c r="AK327" i="6" s="1"/>
  <c r="AK328" i="6" s="1"/>
  <c r="AK329" i="6" s="1"/>
  <c r="AK330" i="6" s="1"/>
  <c r="AK331" i="6" s="1"/>
  <c r="AK332" i="6" s="1"/>
  <c r="AK333" i="6" s="1"/>
  <c r="AK334" i="6" s="1"/>
  <c r="AK335" i="6" s="1"/>
  <c r="AK336" i="6" s="1"/>
  <c r="AK337" i="6" s="1"/>
  <c r="AK338" i="6" s="1"/>
  <c r="AK339" i="6" s="1"/>
  <c r="AK340" i="6" s="1"/>
  <c r="AK341" i="6" s="1"/>
  <c r="AK342" i="6" s="1"/>
  <c r="AK343" i="6" s="1"/>
  <c r="AK344" i="6" s="1"/>
  <c r="AK345" i="6" s="1"/>
  <c r="AK346" i="6" s="1"/>
  <c r="AK347" i="6" s="1"/>
  <c r="AK348" i="6" s="1"/>
  <c r="AK349" i="6" s="1"/>
  <c r="AK350" i="6" s="1"/>
  <c r="AK351" i="6" s="1"/>
  <c r="AK352" i="6" s="1"/>
  <c r="AK353" i="6" s="1"/>
  <c r="AK354" i="6" s="1"/>
  <c r="AK355" i="6" s="1"/>
  <c r="AK356" i="6" s="1"/>
  <c r="AK357" i="6" s="1"/>
  <c r="AK358" i="6" s="1"/>
  <c r="AK359" i="6" s="1"/>
  <c r="AK360" i="6" s="1"/>
  <c r="AK361" i="6" s="1"/>
  <c r="AK362" i="6" s="1"/>
  <c r="AK363" i="6" s="1"/>
  <c r="AK364" i="6" s="1"/>
  <c r="AK365" i="6" s="1"/>
  <c r="AK366" i="6" s="1"/>
  <c r="AK367" i="6" s="1"/>
  <c r="AK368" i="6" s="1"/>
  <c r="AK369" i="6" s="1"/>
  <c r="AK370" i="6" s="1"/>
  <c r="AK371" i="6" s="1"/>
  <c r="AK372" i="6" s="1"/>
  <c r="AK373" i="6" s="1"/>
  <c r="AK374" i="6" s="1"/>
  <c r="AK375" i="6" s="1"/>
  <c r="AK376" i="6" s="1"/>
  <c r="AK377" i="6" s="1"/>
  <c r="AK378" i="6" s="1"/>
  <c r="AK379" i="6" s="1"/>
  <c r="AK380" i="6" s="1"/>
  <c r="AK381" i="6" s="1"/>
  <c r="AK382" i="6" s="1"/>
  <c r="AK383" i="6" s="1"/>
  <c r="AK384" i="6" s="1"/>
  <c r="AK385" i="6" s="1"/>
  <c r="AK386" i="6" s="1"/>
  <c r="AK387" i="6" s="1"/>
  <c r="AK388" i="6" s="1"/>
  <c r="AK389" i="6" s="1"/>
  <c r="AK390" i="6" s="1"/>
  <c r="AK391" i="6" s="1"/>
  <c r="AK392" i="6" s="1"/>
  <c r="AK393" i="6" s="1"/>
  <c r="AK394" i="6" s="1"/>
  <c r="AK395" i="6" s="1"/>
  <c r="AK396" i="6" s="1"/>
  <c r="AK397" i="6" s="1"/>
  <c r="AK398" i="6" s="1"/>
  <c r="AK399" i="6" s="1"/>
  <c r="AK400" i="6" s="1"/>
  <c r="AK401" i="6" s="1"/>
  <c r="AI3" i="6"/>
  <c r="AI4" i="6" s="1"/>
  <c r="AI5" i="6" s="1"/>
  <c r="AI6" i="6" s="1"/>
  <c r="AI7" i="6" s="1"/>
  <c r="AI8" i="6" s="1"/>
  <c r="AI9" i="6" s="1"/>
  <c r="AI10" i="6" s="1"/>
  <c r="AI11" i="6" s="1"/>
  <c r="AI12" i="6" s="1"/>
  <c r="AI13" i="6" s="1"/>
  <c r="AI14" i="6" s="1"/>
  <c r="AI15" i="6" s="1"/>
  <c r="AI16" i="6" s="1"/>
  <c r="AI17" i="6" s="1"/>
  <c r="AI18" i="6" s="1"/>
  <c r="AI19" i="6" s="1"/>
  <c r="AI20" i="6" s="1"/>
  <c r="AI21" i="6" s="1"/>
  <c r="AI22" i="6" s="1"/>
  <c r="AI23" i="6" s="1"/>
  <c r="AI24" i="6" s="1"/>
  <c r="AI25" i="6" s="1"/>
  <c r="AI26" i="6" s="1"/>
  <c r="AI27" i="6" s="1"/>
  <c r="AI28" i="6" s="1"/>
  <c r="AI29" i="6" s="1"/>
  <c r="AI30" i="6" s="1"/>
  <c r="AI31" i="6" s="1"/>
  <c r="AI32" i="6" s="1"/>
  <c r="AI33" i="6" s="1"/>
  <c r="AI34" i="6" s="1"/>
  <c r="AI35" i="6" s="1"/>
  <c r="AI36" i="6" s="1"/>
  <c r="AI37" i="6" s="1"/>
  <c r="AI38" i="6" s="1"/>
  <c r="AI39" i="6" s="1"/>
  <c r="AI40" i="6" s="1"/>
  <c r="AI41" i="6" s="1"/>
  <c r="AI42" i="6" s="1"/>
  <c r="AI43" i="6" s="1"/>
  <c r="AI44" i="6" s="1"/>
  <c r="AI45" i="6" s="1"/>
  <c r="AI46" i="6" s="1"/>
  <c r="AI47" i="6" s="1"/>
  <c r="AI48" i="6" s="1"/>
  <c r="AI49" i="6" s="1"/>
  <c r="AI50" i="6" s="1"/>
  <c r="AI51" i="6" s="1"/>
  <c r="AI52" i="6" s="1"/>
  <c r="AI53" i="6" s="1"/>
  <c r="AI54" i="6" s="1"/>
  <c r="AI55" i="6" s="1"/>
  <c r="AI56" i="6" s="1"/>
  <c r="AI57" i="6" s="1"/>
  <c r="AI58" i="6" s="1"/>
  <c r="AI59" i="6" s="1"/>
  <c r="AI60" i="6" s="1"/>
  <c r="AI61" i="6" s="1"/>
  <c r="AI62" i="6" s="1"/>
  <c r="AI63" i="6" s="1"/>
  <c r="AI64" i="6" s="1"/>
  <c r="AI65" i="6" s="1"/>
  <c r="AI66" i="6" s="1"/>
  <c r="AI67" i="6" s="1"/>
  <c r="AI68" i="6" s="1"/>
  <c r="AI69" i="6" s="1"/>
  <c r="AI70" i="6" s="1"/>
  <c r="AI71" i="6" s="1"/>
  <c r="AI72" i="6" s="1"/>
  <c r="AI73" i="6" s="1"/>
  <c r="AI74" i="6" s="1"/>
  <c r="AI75" i="6" s="1"/>
  <c r="AI76" i="6" s="1"/>
  <c r="AI77" i="6" s="1"/>
  <c r="AI78" i="6" s="1"/>
  <c r="AI79" i="6" s="1"/>
  <c r="AI80" i="6" s="1"/>
  <c r="AI81" i="6" s="1"/>
  <c r="AI82" i="6" s="1"/>
  <c r="AI83" i="6" s="1"/>
  <c r="AI84" i="6" s="1"/>
  <c r="AI85" i="6" s="1"/>
  <c r="AI86" i="6" s="1"/>
  <c r="AI87" i="6" s="1"/>
  <c r="AI88" i="6" s="1"/>
  <c r="AI89" i="6" s="1"/>
  <c r="AI90" i="6" s="1"/>
  <c r="AI91" i="6" s="1"/>
  <c r="AI92" i="6" s="1"/>
  <c r="AI93" i="6" s="1"/>
  <c r="AI94" i="6" s="1"/>
  <c r="AI95" i="6" s="1"/>
  <c r="AI96" i="6" s="1"/>
  <c r="AI97" i="6" s="1"/>
  <c r="AI98" i="6" s="1"/>
  <c r="AI99" i="6" s="1"/>
  <c r="AI100" i="6" s="1"/>
  <c r="AI101" i="6" s="1"/>
  <c r="AI102" i="6" s="1"/>
  <c r="AI103" i="6" s="1"/>
  <c r="AI104" i="6" s="1"/>
  <c r="AI105" i="6" s="1"/>
  <c r="AI106" i="6" s="1"/>
  <c r="AI107" i="6" s="1"/>
  <c r="AI108" i="6" s="1"/>
  <c r="AI109" i="6" s="1"/>
  <c r="AI110" i="6" s="1"/>
  <c r="AI111" i="6" s="1"/>
  <c r="AI112" i="6" s="1"/>
  <c r="AI113" i="6" s="1"/>
  <c r="AI114" i="6" s="1"/>
  <c r="AI115" i="6" s="1"/>
  <c r="AI116" i="6" s="1"/>
  <c r="AI117" i="6" s="1"/>
  <c r="AI118" i="6" s="1"/>
  <c r="AI119" i="6" s="1"/>
  <c r="AI120" i="6" s="1"/>
  <c r="AI121" i="6" s="1"/>
  <c r="AI122" i="6" s="1"/>
  <c r="AI123" i="6" s="1"/>
  <c r="AI124" i="6" s="1"/>
  <c r="AI125" i="6" s="1"/>
  <c r="AI126" i="6" s="1"/>
  <c r="AI127" i="6" s="1"/>
  <c r="AI128" i="6" s="1"/>
  <c r="AI129" i="6" s="1"/>
  <c r="AI130" i="6" s="1"/>
  <c r="AI131" i="6" s="1"/>
  <c r="AI132" i="6" s="1"/>
  <c r="AI133" i="6" s="1"/>
  <c r="AI134" i="6" s="1"/>
  <c r="AI135" i="6" s="1"/>
  <c r="AI136" i="6" s="1"/>
  <c r="AI137" i="6" s="1"/>
  <c r="AI138" i="6" s="1"/>
  <c r="AI139" i="6" s="1"/>
  <c r="AI140" i="6" s="1"/>
  <c r="AI141" i="6" s="1"/>
  <c r="AI142" i="6" s="1"/>
  <c r="AI143" i="6" s="1"/>
  <c r="AI144" i="6" s="1"/>
  <c r="AI145" i="6" s="1"/>
  <c r="AI146" i="6" s="1"/>
  <c r="AI147" i="6" s="1"/>
  <c r="AI148" i="6" s="1"/>
  <c r="AI149" i="6" s="1"/>
  <c r="AI150" i="6" s="1"/>
  <c r="AI151" i="6" s="1"/>
  <c r="AI152" i="6" s="1"/>
  <c r="AI153" i="6" s="1"/>
  <c r="AI154" i="6" s="1"/>
  <c r="AI155" i="6" s="1"/>
  <c r="AI156" i="6" s="1"/>
  <c r="AI157" i="6" s="1"/>
  <c r="AI158" i="6" s="1"/>
  <c r="AI159" i="6" s="1"/>
  <c r="AI160" i="6" s="1"/>
  <c r="AI161" i="6" s="1"/>
  <c r="AI162" i="6" s="1"/>
  <c r="AI163" i="6" s="1"/>
  <c r="AI164" i="6" s="1"/>
  <c r="AI165" i="6" s="1"/>
  <c r="AI166" i="6" s="1"/>
  <c r="AI167" i="6" s="1"/>
  <c r="AI168" i="6" s="1"/>
  <c r="AI169" i="6" s="1"/>
  <c r="AI170" i="6" s="1"/>
  <c r="AI171" i="6" s="1"/>
  <c r="AI172" i="6" s="1"/>
  <c r="AI173" i="6" s="1"/>
  <c r="AI174" i="6" s="1"/>
  <c r="AI175" i="6" s="1"/>
  <c r="AI176" i="6" s="1"/>
  <c r="AI177" i="6" s="1"/>
  <c r="AI178" i="6" s="1"/>
  <c r="AI179" i="6" s="1"/>
  <c r="AI180" i="6" s="1"/>
  <c r="AI181" i="6" s="1"/>
  <c r="AI182" i="6" s="1"/>
  <c r="AI183" i="6" s="1"/>
  <c r="AI184" i="6" s="1"/>
  <c r="AI185" i="6" s="1"/>
  <c r="AI186" i="6" s="1"/>
  <c r="AI187" i="6" s="1"/>
  <c r="AI188" i="6" s="1"/>
  <c r="AI189" i="6" s="1"/>
  <c r="AI190" i="6" s="1"/>
  <c r="AI191" i="6" s="1"/>
  <c r="AI192" i="6" s="1"/>
  <c r="AI193" i="6" s="1"/>
  <c r="AI194" i="6" s="1"/>
  <c r="AI195" i="6" s="1"/>
  <c r="AI196" i="6" s="1"/>
  <c r="AI197" i="6" s="1"/>
  <c r="AI198" i="6" s="1"/>
  <c r="AI199" i="6" s="1"/>
  <c r="AI200" i="6" s="1"/>
  <c r="AI201" i="6" s="1"/>
  <c r="AI202" i="6" s="1"/>
  <c r="AI203" i="6" s="1"/>
  <c r="AI204" i="6" s="1"/>
  <c r="AI205" i="6" s="1"/>
  <c r="AI206" i="6" s="1"/>
  <c r="AI207" i="6" s="1"/>
  <c r="AI208" i="6" s="1"/>
  <c r="AI209" i="6" s="1"/>
  <c r="AI210" i="6" s="1"/>
  <c r="AI211" i="6" s="1"/>
  <c r="AI212" i="6" s="1"/>
  <c r="AI213" i="6" s="1"/>
  <c r="AI214" i="6" s="1"/>
  <c r="AI215" i="6" s="1"/>
  <c r="AI216" i="6" s="1"/>
  <c r="AI217" i="6" s="1"/>
  <c r="AI218" i="6" s="1"/>
  <c r="AI219" i="6" s="1"/>
  <c r="AI220" i="6" s="1"/>
  <c r="AI221" i="6" s="1"/>
  <c r="AI222" i="6" s="1"/>
  <c r="AI223" i="6" s="1"/>
  <c r="AI224" i="6" s="1"/>
  <c r="AI225" i="6" s="1"/>
  <c r="AI226" i="6" s="1"/>
  <c r="AI227" i="6" s="1"/>
  <c r="AI228" i="6" s="1"/>
  <c r="AI229" i="6" s="1"/>
  <c r="AI230" i="6" s="1"/>
  <c r="AI231" i="6" s="1"/>
  <c r="AI232" i="6" s="1"/>
  <c r="AI233" i="6" s="1"/>
  <c r="AI234" i="6" s="1"/>
  <c r="AI235" i="6" s="1"/>
  <c r="AI236" i="6" s="1"/>
  <c r="AI237" i="6" s="1"/>
  <c r="AI238" i="6" s="1"/>
  <c r="AI239" i="6" s="1"/>
  <c r="AI240" i="6" s="1"/>
  <c r="AI241" i="6" s="1"/>
  <c r="AI242" i="6" s="1"/>
  <c r="AI243" i="6" s="1"/>
  <c r="AI244" i="6" s="1"/>
  <c r="AI245" i="6" s="1"/>
  <c r="AI246" i="6" s="1"/>
  <c r="AI247" i="6" s="1"/>
  <c r="AI248" i="6" s="1"/>
  <c r="AI249" i="6" s="1"/>
  <c r="AI250" i="6" s="1"/>
  <c r="AI251" i="6" s="1"/>
  <c r="AI252" i="6" s="1"/>
  <c r="AI253" i="6" s="1"/>
  <c r="AI254" i="6" s="1"/>
  <c r="AI255" i="6" s="1"/>
  <c r="AI256" i="6" s="1"/>
  <c r="AI257" i="6" s="1"/>
  <c r="AI258" i="6" s="1"/>
  <c r="AI259" i="6" s="1"/>
  <c r="AI260" i="6" s="1"/>
  <c r="AI261" i="6" s="1"/>
  <c r="AI262" i="6" s="1"/>
  <c r="AI263" i="6" s="1"/>
  <c r="AI264" i="6" s="1"/>
  <c r="AI265" i="6" s="1"/>
  <c r="AI266" i="6" s="1"/>
  <c r="AI267" i="6" s="1"/>
  <c r="AI268" i="6" s="1"/>
  <c r="AI269" i="6" s="1"/>
  <c r="AI270" i="6" s="1"/>
  <c r="AI271" i="6" s="1"/>
  <c r="AI272" i="6" s="1"/>
  <c r="AI273" i="6" s="1"/>
  <c r="AI274" i="6" s="1"/>
  <c r="AI275" i="6" s="1"/>
  <c r="AI276" i="6" s="1"/>
  <c r="AI277" i="6" s="1"/>
  <c r="AI278" i="6" s="1"/>
  <c r="AI279" i="6" s="1"/>
  <c r="AI280" i="6" s="1"/>
  <c r="AI281" i="6" s="1"/>
  <c r="AI282" i="6" s="1"/>
  <c r="AI283" i="6" s="1"/>
  <c r="AI284" i="6" s="1"/>
  <c r="AI285" i="6" s="1"/>
  <c r="AI286" i="6" s="1"/>
  <c r="AI287" i="6" s="1"/>
  <c r="AI288" i="6" s="1"/>
  <c r="AI289" i="6" s="1"/>
  <c r="AI290" i="6" s="1"/>
  <c r="AI291" i="6" s="1"/>
  <c r="AI292" i="6" s="1"/>
  <c r="AI293" i="6" s="1"/>
  <c r="AI294" i="6" s="1"/>
  <c r="AI295" i="6" s="1"/>
  <c r="AI296" i="6" s="1"/>
  <c r="AI297" i="6" s="1"/>
  <c r="AI298" i="6" s="1"/>
  <c r="AI299" i="6" s="1"/>
  <c r="AI300" i="6" s="1"/>
  <c r="AI301" i="6" s="1"/>
  <c r="AI302" i="6" s="1"/>
  <c r="AI303" i="6" s="1"/>
  <c r="AI304" i="6" s="1"/>
  <c r="AI305" i="6" s="1"/>
  <c r="AI306" i="6" s="1"/>
  <c r="AI307" i="6" s="1"/>
  <c r="AI308" i="6" s="1"/>
  <c r="AI309" i="6" s="1"/>
  <c r="AI310" i="6" s="1"/>
  <c r="AI311" i="6" s="1"/>
  <c r="AI312" i="6" s="1"/>
  <c r="AI313" i="6" s="1"/>
  <c r="AI314" i="6" s="1"/>
  <c r="AI315" i="6" s="1"/>
  <c r="AI316" i="6" s="1"/>
  <c r="AI317" i="6" s="1"/>
  <c r="AI318" i="6" s="1"/>
  <c r="AI319" i="6" s="1"/>
  <c r="AI320" i="6" s="1"/>
  <c r="AI321" i="6" s="1"/>
  <c r="AI322" i="6" s="1"/>
  <c r="AI323" i="6" s="1"/>
  <c r="AI324" i="6" s="1"/>
  <c r="AI325" i="6" s="1"/>
  <c r="AI326" i="6" s="1"/>
  <c r="AI327" i="6" s="1"/>
  <c r="AI328" i="6" s="1"/>
  <c r="AI329" i="6" s="1"/>
  <c r="AI330" i="6" s="1"/>
  <c r="AI331" i="6" s="1"/>
  <c r="AI332" i="6" s="1"/>
  <c r="AI333" i="6" s="1"/>
  <c r="AI334" i="6" s="1"/>
  <c r="AI335" i="6" s="1"/>
  <c r="AI336" i="6" s="1"/>
  <c r="AI337" i="6" s="1"/>
  <c r="AI338" i="6" s="1"/>
  <c r="AI339" i="6" s="1"/>
  <c r="AI340" i="6" s="1"/>
  <c r="AI341" i="6" s="1"/>
  <c r="AI342" i="6" s="1"/>
  <c r="AI343" i="6" s="1"/>
  <c r="AI344" i="6" s="1"/>
  <c r="AI345" i="6" s="1"/>
  <c r="AI346" i="6" s="1"/>
  <c r="AI347" i="6" s="1"/>
  <c r="AI348" i="6" s="1"/>
  <c r="AI349" i="6" s="1"/>
  <c r="AI350" i="6" s="1"/>
  <c r="AI351" i="6" s="1"/>
  <c r="AI352" i="6" s="1"/>
  <c r="AI353" i="6" s="1"/>
  <c r="AI354" i="6" s="1"/>
  <c r="AI355" i="6" s="1"/>
  <c r="AI356" i="6" s="1"/>
  <c r="AI357" i="6" s="1"/>
  <c r="AI358" i="6" s="1"/>
  <c r="AI359" i="6" s="1"/>
  <c r="AI360" i="6" s="1"/>
  <c r="AI361" i="6" s="1"/>
  <c r="AI362" i="6" s="1"/>
  <c r="AI363" i="6" s="1"/>
  <c r="AI364" i="6" s="1"/>
  <c r="AI365" i="6" s="1"/>
  <c r="AI366" i="6" s="1"/>
  <c r="AI367" i="6" s="1"/>
  <c r="AI368" i="6" s="1"/>
  <c r="AI369" i="6" s="1"/>
  <c r="AI370" i="6" s="1"/>
  <c r="AI371" i="6" s="1"/>
  <c r="AI372" i="6" s="1"/>
  <c r="AI373" i="6" s="1"/>
  <c r="AI374" i="6" s="1"/>
  <c r="AI375" i="6" s="1"/>
  <c r="AI376" i="6" s="1"/>
  <c r="AI377" i="6" s="1"/>
  <c r="AI378" i="6" s="1"/>
  <c r="AI379" i="6" s="1"/>
  <c r="AI380" i="6" s="1"/>
  <c r="AI381" i="6" s="1"/>
  <c r="AI382" i="6" s="1"/>
  <c r="AI383" i="6" s="1"/>
  <c r="AI384" i="6" s="1"/>
  <c r="AI385" i="6" s="1"/>
  <c r="AI386" i="6" s="1"/>
  <c r="AI387" i="6" s="1"/>
  <c r="AI388" i="6" s="1"/>
  <c r="AI389" i="6" s="1"/>
  <c r="AI390" i="6" s="1"/>
  <c r="AI391" i="6" s="1"/>
  <c r="AI392" i="6" s="1"/>
  <c r="AI393" i="6" s="1"/>
  <c r="AI394" i="6" s="1"/>
  <c r="AI395" i="6" s="1"/>
  <c r="AI396" i="6" s="1"/>
  <c r="AI397" i="6" s="1"/>
  <c r="AI398" i="6" s="1"/>
  <c r="AI399" i="6" s="1"/>
  <c r="AI400" i="6" s="1"/>
  <c r="AI401" i="6" s="1"/>
  <c r="AG3" i="6"/>
  <c r="AG4" i="6" s="1"/>
  <c r="AG5" i="6" s="1"/>
  <c r="AG6" i="6" s="1"/>
  <c r="AG7" i="6" s="1"/>
  <c r="AG8" i="6" s="1"/>
  <c r="AG9" i="6" s="1"/>
  <c r="AG10" i="6" s="1"/>
  <c r="AG11" i="6" s="1"/>
  <c r="AG12" i="6" s="1"/>
  <c r="AG13" i="6" s="1"/>
  <c r="AG14" i="6" s="1"/>
  <c r="AG15" i="6" s="1"/>
  <c r="AG16" i="6" s="1"/>
  <c r="AG17" i="6" s="1"/>
  <c r="AG18" i="6" s="1"/>
  <c r="AG19" i="6" s="1"/>
  <c r="AG20" i="6" s="1"/>
  <c r="AG21" i="6" s="1"/>
  <c r="AG22" i="6" s="1"/>
  <c r="AG23" i="6" s="1"/>
  <c r="AG24" i="6" s="1"/>
  <c r="AG25" i="6" s="1"/>
  <c r="AG26" i="6" s="1"/>
  <c r="AG27" i="6" s="1"/>
  <c r="AG28" i="6" s="1"/>
  <c r="AG29" i="6" s="1"/>
  <c r="AG30" i="6" s="1"/>
  <c r="AG31" i="6" s="1"/>
  <c r="AG32" i="6" s="1"/>
  <c r="AG33" i="6" s="1"/>
  <c r="AG34" i="6" s="1"/>
  <c r="AG35" i="6" s="1"/>
  <c r="AG36" i="6" s="1"/>
  <c r="AG37" i="6" s="1"/>
  <c r="AG38" i="6" s="1"/>
  <c r="AG39" i="6" s="1"/>
  <c r="AG40" i="6" s="1"/>
  <c r="AG41" i="6" s="1"/>
  <c r="AG42" i="6" s="1"/>
  <c r="AG43" i="6" s="1"/>
  <c r="AG44" i="6" s="1"/>
  <c r="AG45" i="6" s="1"/>
  <c r="AG46" i="6" s="1"/>
  <c r="AG47" i="6" s="1"/>
  <c r="AG48" i="6" s="1"/>
  <c r="AG49" i="6" s="1"/>
  <c r="AG50" i="6" s="1"/>
  <c r="AG51" i="6" s="1"/>
  <c r="AG52" i="6" s="1"/>
  <c r="AG53" i="6" s="1"/>
  <c r="AG54" i="6" s="1"/>
  <c r="AG55" i="6" s="1"/>
  <c r="AG56" i="6" s="1"/>
  <c r="AG57" i="6" s="1"/>
  <c r="AG58" i="6" s="1"/>
  <c r="AG59" i="6" s="1"/>
  <c r="AG60" i="6" s="1"/>
  <c r="AG61" i="6" s="1"/>
  <c r="AG62" i="6" s="1"/>
  <c r="AG63" i="6" s="1"/>
  <c r="AG64" i="6" s="1"/>
  <c r="AG65" i="6" s="1"/>
  <c r="AG66" i="6" s="1"/>
  <c r="AG67" i="6" s="1"/>
  <c r="AG68" i="6" s="1"/>
  <c r="AG69" i="6" s="1"/>
  <c r="AG70" i="6" s="1"/>
  <c r="AG71" i="6" s="1"/>
  <c r="AG72" i="6" s="1"/>
  <c r="AG73" i="6" s="1"/>
  <c r="AG74" i="6" s="1"/>
  <c r="AG75" i="6" s="1"/>
  <c r="AG76" i="6" s="1"/>
  <c r="AG77" i="6" s="1"/>
  <c r="AG78" i="6" s="1"/>
  <c r="AG79" i="6" s="1"/>
  <c r="AG80" i="6" s="1"/>
  <c r="AG81" i="6" s="1"/>
  <c r="AG82" i="6" s="1"/>
  <c r="AG83" i="6" s="1"/>
  <c r="AG84" i="6" s="1"/>
  <c r="AG85" i="6" s="1"/>
  <c r="AG86" i="6" s="1"/>
  <c r="AG87" i="6" s="1"/>
  <c r="AG88" i="6" s="1"/>
  <c r="AG89" i="6" s="1"/>
  <c r="AG90" i="6" s="1"/>
  <c r="AG91" i="6" s="1"/>
  <c r="AG92" i="6" s="1"/>
  <c r="AG93" i="6" s="1"/>
  <c r="AG94" i="6" s="1"/>
  <c r="AG95" i="6" s="1"/>
  <c r="AG96" i="6" s="1"/>
  <c r="AG97" i="6" s="1"/>
  <c r="AG98" i="6" s="1"/>
  <c r="AG99" i="6" s="1"/>
  <c r="AG100" i="6" s="1"/>
  <c r="AG101" i="6" s="1"/>
  <c r="AG102" i="6" s="1"/>
  <c r="AG103" i="6" s="1"/>
  <c r="AG104" i="6" s="1"/>
  <c r="AG105" i="6" s="1"/>
  <c r="AG106" i="6" s="1"/>
  <c r="AG107" i="6" s="1"/>
  <c r="AG108" i="6" s="1"/>
  <c r="AG109" i="6" s="1"/>
  <c r="AG110" i="6" s="1"/>
  <c r="AG111" i="6" s="1"/>
  <c r="AG112" i="6" s="1"/>
  <c r="AG113" i="6" s="1"/>
  <c r="AG114" i="6" s="1"/>
  <c r="AG115" i="6" s="1"/>
  <c r="AG116" i="6" s="1"/>
  <c r="AG117" i="6" s="1"/>
  <c r="AG118" i="6" s="1"/>
  <c r="AG119" i="6" s="1"/>
  <c r="AG120" i="6" s="1"/>
  <c r="AG121" i="6" s="1"/>
  <c r="AG122" i="6" s="1"/>
  <c r="AG123" i="6" s="1"/>
  <c r="AG124" i="6" s="1"/>
  <c r="AG125" i="6" s="1"/>
  <c r="AG126" i="6" s="1"/>
  <c r="AG127" i="6" s="1"/>
  <c r="AG128" i="6" s="1"/>
  <c r="AG129" i="6" s="1"/>
  <c r="AG130" i="6" s="1"/>
  <c r="AG131" i="6" s="1"/>
  <c r="AG132" i="6" s="1"/>
  <c r="AG133" i="6" s="1"/>
  <c r="AG134" i="6" s="1"/>
  <c r="AG135" i="6" s="1"/>
  <c r="AG136" i="6" s="1"/>
  <c r="AG137" i="6" s="1"/>
  <c r="AG138" i="6" s="1"/>
  <c r="AG139" i="6" s="1"/>
  <c r="AG140" i="6" s="1"/>
  <c r="AG141" i="6" s="1"/>
  <c r="AG142" i="6" s="1"/>
  <c r="AG143" i="6" s="1"/>
  <c r="AG144" i="6" s="1"/>
  <c r="AG145" i="6" s="1"/>
  <c r="AG146" i="6" s="1"/>
  <c r="AG147" i="6" s="1"/>
  <c r="AG148" i="6" s="1"/>
  <c r="AG149" i="6" s="1"/>
  <c r="AG150" i="6" s="1"/>
  <c r="AG151" i="6" s="1"/>
  <c r="AG152" i="6" s="1"/>
  <c r="AG153" i="6" s="1"/>
  <c r="AG154" i="6" s="1"/>
  <c r="AG155" i="6" s="1"/>
  <c r="AG156" i="6" s="1"/>
  <c r="AG157" i="6" s="1"/>
  <c r="AG158" i="6" s="1"/>
  <c r="AG159" i="6" s="1"/>
  <c r="AG160" i="6" s="1"/>
  <c r="AG161" i="6" s="1"/>
  <c r="AG162" i="6" s="1"/>
  <c r="AG163" i="6" s="1"/>
  <c r="AG164" i="6" s="1"/>
  <c r="AG165" i="6" s="1"/>
  <c r="AG166" i="6" s="1"/>
  <c r="AG167" i="6" s="1"/>
  <c r="AG168" i="6" s="1"/>
  <c r="AG169" i="6" s="1"/>
  <c r="AG170" i="6" s="1"/>
  <c r="AG171" i="6" s="1"/>
  <c r="AG172" i="6" s="1"/>
  <c r="AG173" i="6" s="1"/>
  <c r="AG174" i="6" s="1"/>
  <c r="AG175" i="6" s="1"/>
  <c r="AG176" i="6" s="1"/>
  <c r="AG177" i="6" s="1"/>
  <c r="AG178" i="6" s="1"/>
  <c r="AG179" i="6" s="1"/>
  <c r="AG180" i="6" s="1"/>
  <c r="AG181" i="6" s="1"/>
  <c r="AG182" i="6" s="1"/>
  <c r="AG183" i="6" s="1"/>
  <c r="AG184" i="6" s="1"/>
  <c r="AG185" i="6" s="1"/>
  <c r="AG186" i="6" s="1"/>
  <c r="AG187" i="6" s="1"/>
  <c r="AG188" i="6" s="1"/>
  <c r="AG189" i="6" s="1"/>
  <c r="AG190" i="6" s="1"/>
  <c r="AG191" i="6" s="1"/>
  <c r="AG192" i="6" s="1"/>
  <c r="AG193" i="6" s="1"/>
  <c r="AG194" i="6" s="1"/>
  <c r="AG195" i="6" s="1"/>
  <c r="AG196" i="6" s="1"/>
  <c r="AG197" i="6" s="1"/>
  <c r="AG198" i="6" s="1"/>
  <c r="AG199" i="6" s="1"/>
  <c r="AG200" i="6" s="1"/>
  <c r="AG201" i="6" s="1"/>
  <c r="AG202" i="6" s="1"/>
  <c r="AG203" i="6" s="1"/>
  <c r="AG204" i="6" s="1"/>
  <c r="AG205" i="6" s="1"/>
  <c r="AG206" i="6" s="1"/>
  <c r="AG207" i="6" s="1"/>
  <c r="AG208" i="6" s="1"/>
  <c r="AG209" i="6" s="1"/>
  <c r="AG210" i="6" s="1"/>
  <c r="AG211" i="6" s="1"/>
  <c r="AG212" i="6" s="1"/>
  <c r="AG213" i="6" s="1"/>
  <c r="AG214" i="6" s="1"/>
  <c r="AG215" i="6" s="1"/>
  <c r="AG216" i="6" s="1"/>
  <c r="AG217" i="6" s="1"/>
  <c r="AG218" i="6" s="1"/>
  <c r="AG219" i="6" s="1"/>
  <c r="AG220" i="6" s="1"/>
  <c r="AG221" i="6" s="1"/>
  <c r="AG222" i="6" s="1"/>
  <c r="AG223" i="6" s="1"/>
  <c r="AG224" i="6" s="1"/>
  <c r="AG225" i="6" s="1"/>
  <c r="AG226" i="6" s="1"/>
  <c r="AG227" i="6" s="1"/>
  <c r="AG228" i="6" s="1"/>
  <c r="AG229" i="6" s="1"/>
  <c r="AG230" i="6" s="1"/>
  <c r="AG231" i="6" s="1"/>
  <c r="AG232" i="6" s="1"/>
  <c r="AG233" i="6" s="1"/>
  <c r="AG234" i="6" s="1"/>
  <c r="AG235" i="6" s="1"/>
  <c r="AG236" i="6" s="1"/>
  <c r="AG237" i="6" s="1"/>
  <c r="AG238" i="6" s="1"/>
  <c r="AG239" i="6" s="1"/>
  <c r="AG240" i="6" s="1"/>
  <c r="AG241" i="6" s="1"/>
  <c r="AG242" i="6" s="1"/>
  <c r="AG243" i="6" s="1"/>
  <c r="AG244" i="6" s="1"/>
  <c r="AG245" i="6" s="1"/>
  <c r="AG246" i="6" s="1"/>
  <c r="AG247" i="6" s="1"/>
  <c r="AG248" i="6" s="1"/>
  <c r="AG249" i="6" s="1"/>
  <c r="AG250" i="6" s="1"/>
  <c r="AG251" i="6" s="1"/>
  <c r="AG252" i="6" s="1"/>
  <c r="AG253" i="6" s="1"/>
  <c r="AG254" i="6" s="1"/>
  <c r="AG255" i="6" s="1"/>
  <c r="AG256" i="6" s="1"/>
  <c r="AG257" i="6" s="1"/>
  <c r="AG258" i="6" s="1"/>
  <c r="AG259" i="6" s="1"/>
  <c r="AG260" i="6" s="1"/>
  <c r="AG261" i="6" s="1"/>
  <c r="AG262" i="6" s="1"/>
  <c r="AG263" i="6" s="1"/>
  <c r="AG264" i="6" s="1"/>
  <c r="AG265" i="6" s="1"/>
  <c r="AG266" i="6" s="1"/>
  <c r="AG267" i="6" s="1"/>
  <c r="AG268" i="6" s="1"/>
  <c r="AG269" i="6" s="1"/>
  <c r="AG270" i="6" s="1"/>
  <c r="AG271" i="6" s="1"/>
  <c r="AG272" i="6" s="1"/>
  <c r="AG273" i="6" s="1"/>
  <c r="AG274" i="6" s="1"/>
  <c r="AG275" i="6" s="1"/>
  <c r="AG276" i="6" s="1"/>
  <c r="AG277" i="6" s="1"/>
  <c r="AG278" i="6" s="1"/>
  <c r="AG279" i="6" s="1"/>
  <c r="AG280" i="6" s="1"/>
  <c r="AG281" i="6" s="1"/>
  <c r="AG282" i="6" s="1"/>
  <c r="AG283" i="6" s="1"/>
  <c r="AG284" i="6" s="1"/>
  <c r="AG285" i="6" s="1"/>
  <c r="AG286" i="6" s="1"/>
  <c r="AG287" i="6" s="1"/>
  <c r="AG288" i="6" s="1"/>
  <c r="AG289" i="6" s="1"/>
  <c r="AG290" i="6" s="1"/>
  <c r="AG291" i="6" s="1"/>
  <c r="AG292" i="6" s="1"/>
  <c r="AG293" i="6" s="1"/>
  <c r="AG294" i="6" s="1"/>
  <c r="AG295" i="6" s="1"/>
  <c r="AG296" i="6" s="1"/>
  <c r="AG297" i="6" s="1"/>
  <c r="AG298" i="6" s="1"/>
  <c r="AG299" i="6" s="1"/>
  <c r="AG300" i="6" s="1"/>
  <c r="AG301" i="6" s="1"/>
  <c r="AG302" i="6" s="1"/>
  <c r="AG303" i="6" s="1"/>
  <c r="AG304" i="6" s="1"/>
  <c r="AG305" i="6" s="1"/>
  <c r="AG306" i="6" s="1"/>
  <c r="AG307" i="6" s="1"/>
  <c r="AG308" i="6" s="1"/>
  <c r="AG309" i="6" s="1"/>
  <c r="AG310" i="6" s="1"/>
  <c r="AG311" i="6" s="1"/>
  <c r="AG312" i="6" s="1"/>
  <c r="AG313" i="6" s="1"/>
  <c r="AG314" i="6" s="1"/>
  <c r="AG315" i="6" s="1"/>
  <c r="AG316" i="6" s="1"/>
  <c r="AG317" i="6" s="1"/>
  <c r="AG318" i="6" s="1"/>
  <c r="AG319" i="6" s="1"/>
  <c r="AG320" i="6" s="1"/>
  <c r="AG321" i="6" s="1"/>
  <c r="AG322" i="6" s="1"/>
  <c r="AG323" i="6" s="1"/>
  <c r="AG324" i="6" s="1"/>
  <c r="AG325" i="6" s="1"/>
  <c r="AG326" i="6" s="1"/>
  <c r="AG327" i="6" s="1"/>
  <c r="AG328" i="6" s="1"/>
  <c r="AG329" i="6" s="1"/>
  <c r="AG330" i="6" s="1"/>
  <c r="AG331" i="6" s="1"/>
  <c r="AG332" i="6" s="1"/>
  <c r="AG333" i="6" s="1"/>
  <c r="AG334" i="6" s="1"/>
  <c r="AG335" i="6" s="1"/>
  <c r="AG336" i="6" s="1"/>
  <c r="AG337" i="6" s="1"/>
  <c r="AG338" i="6" s="1"/>
  <c r="AG339" i="6" s="1"/>
  <c r="AG340" i="6" s="1"/>
  <c r="AG341" i="6" s="1"/>
  <c r="AG342" i="6" s="1"/>
  <c r="AG343" i="6" s="1"/>
  <c r="AG344" i="6" s="1"/>
  <c r="AG345" i="6" s="1"/>
  <c r="AG346" i="6" s="1"/>
  <c r="AG347" i="6" s="1"/>
  <c r="AG348" i="6" s="1"/>
  <c r="AG349" i="6" s="1"/>
  <c r="AG350" i="6" s="1"/>
  <c r="AG351" i="6" s="1"/>
  <c r="AG352" i="6" s="1"/>
  <c r="AG353" i="6" s="1"/>
  <c r="AG354" i="6" s="1"/>
  <c r="AG355" i="6" s="1"/>
  <c r="AG356" i="6" s="1"/>
  <c r="AG357" i="6" s="1"/>
  <c r="AG358" i="6" s="1"/>
  <c r="AG359" i="6" s="1"/>
  <c r="AG360" i="6" s="1"/>
  <c r="AG361" i="6" s="1"/>
  <c r="AG362" i="6" s="1"/>
  <c r="AG363" i="6" s="1"/>
  <c r="AG364" i="6" s="1"/>
  <c r="AG365" i="6" s="1"/>
  <c r="AG366" i="6" s="1"/>
  <c r="AG367" i="6" s="1"/>
  <c r="AG368" i="6" s="1"/>
  <c r="AG369" i="6" s="1"/>
  <c r="AG370" i="6" s="1"/>
  <c r="AG371" i="6" s="1"/>
  <c r="AG372" i="6" s="1"/>
  <c r="AG373" i="6" s="1"/>
  <c r="AG374" i="6" s="1"/>
  <c r="AG375" i="6" s="1"/>
  <c r="AG376" i="6" s="1"/>
  <c r="AG377" i="6" s="1"/>
  <c r="AG378" i="6" s="1"/>
  <c r="AG379" i="6" s="1"/>
  <c r="AG380" i="6" s="1"/>
  <c r="AG381" i="6" s="1"/>
  <c r="AG382" i="6" s="1"/>
  <c r="AG383" i="6" s="1"/>
  <c r="AG384" i="6" s="1"/>
  <c r="AG385" i="6" s="1"/>
  <c r="AG386" i="6" s="1"/>
  <c r="AG387" i="6" s="1"/>
  <c r="AG388" i="6" s="1"/>
  <c r="AG389" i="6" s="1"/>
  <c r="AG390" i="6" s="1"/>
  <c r="AG391" i="6" s="1"/>
  <c r="AG392" i="6" s="1"/>
  <c r="AG393" i="6" s="1"/>
  <c r="AG394" i="6" s="1"/>
  <c r="AG395" i="6" s="1"/>
  <c r="AG396" i="6" s="1"/>
  <c r="AG397" i="6" s="1"/>
  <c r="AG398" i="6" s="1"/>
  <c r="AG399" i="6" s="1"/>
  <c r="AG400" i="6" s="1"/>
  <c r="AG401" i="6" s="1"/>
  <c r="AC3" i="6"/>
  <c r="AC4" i="6" s="1"/>
  <c r="AC5" i="6" s="1"/>
  <c r="AC6" i="6" s="1"/>
  <c r="AC7" i="6" s="1"/>
  <c r="AC8" i="6" s="1"/>
  <c r="AC9" i="6" s="1"/>
  <c r="AC10" i="6" s="1"/>
  <c r="AC11" i="6" s="1"/>
  <c r="AC12" i="6" s="1"/>
  <c r="AC13" i="6" s="1"/>
  <c r="AC14" i="6" s="1"/>
  <c r="AC15" i="6" s="1"/>
  <c r="AC16" i="6" s="1"/>
  <c r="AC17" i="6" s="1"/>
  <c r="AC18" i="6" s="1"/>
  <c r="AC19" i="6" s="1"/>
  <c r="AC20" i="6" s="1"/>
  <c r="AC21" i="6" s="1"/>
  <c r="AC22" i="6" s="1"/>
  <c r="AC23" i="6" s="1"/>
  <c r="AC24" i="6" s="1"/>
  <c r="AC25" i="6" s="1"/>
  <c r="AC26" i="6" s="1"/>
  <c r="AC27" i="6" s="1"/>
  <c r="AC28" i="6" s="1"/>
  <c r="AC29" i="6" s="1"/>
  <c r="AC30" i="6" s="1"/>
  <c r="AC31" i="6" s="1"/>
  <c r="AC32" i="6" s="1"/>
  <c r="AC33" i="6" s="1"/>
  <c r="AC34" i="6" s="1"/>
  <c r="AC35" i="6" s="1"/>
  <c r="AC36" i="6" s="1"/>
  <c r="AC37" i="6" s="1"/>
  <c r="AC38" i="6" s="1"/>
  <c r="AC39" i="6" s="1"/>
  <c r="AC40" i="6" s="1"/>
  <c r="AC41" i="6" s="1"/>
  <c r="AC42" i="6" s="1"/>
  <c r="AC43" i="6" s="1"/>
  <c r="AC44" i="6" s="1"/>
  <c r="AC45" i="6" s="1"/>
  <c r="AC46" i="6" s="1"/>
  <c r="AC47" i="6" s="1"/>
  <c r="AC48" i="6" s="1"/>
  <c r="AC49" i="6" s="1"/>
  <c r="AC50" i="6" s="1"/>
  <c r="AC51" i="6" s="1"/>
  <c r="AC52" i="6" s="1"/>
  <c r="AC53" i="6" s="1"/>
  <c r="AC54" i="6" s="1"/>
  <c r="AC55" i="6" s="1"/>
  <c r="AC56" i="6" s="1"/>
  <c r="AC57" i="6" s="1"/>
  <c r="AC58" i="6" s="1"/>
  <c r="AC59" i="6" s="1"/>
  <c r="AC60" i="6" s="1"/>
  <c r="AC61" i="6" s="1"/>
  <c r="AC62" i="6" s="1"/>
  <c r="AC63" i="6" s="1"/>
  <c r="AC64" i="6" s="1"/>
  <c r="AC65" i="6" s="1"/>
  <c r="AC66" i="6" s="1"/>
  <c r="AC67" i="6" s="1"/>
  <c r="AC68" i="6" s="1"/>
  <c r="AC69" i="6" s="1"/>
  <c r="AC70" i="6" s="1"/>
  <c r="AC71" i="6" s="1"/>
  <c r="AC72" i="6" s="1"/>
  <c r="AC73" i="6" s="1"/>
  <c r="AC74" i="6" s="1"/>
  <c r="AC75" i="6" s="1"/>
  <c r="AC76" i="6" s="1"/>
  <c r="AC77" i="6" s="1"/>
  <c r="AC78" i="6" s="1"/>
  <c r="AC79" i="6" s="1"/>
  <c r="AC80" i="6" s="1"/>
  <c r="AC81" i="6" s="1"/>
  <c r="AC82" i="6" s="1"/>
  <c r="AC83" i="6" s="1"/>
  <c r="AC84" i="6" s="1"/>
  <c r="AC85" i="6" s="1"/>
  <c r="AC86" i="6" s="1"/>
  <c r="AC87" i="6" s="1"/>
  <c r="AC88" i="6" s="1"/>
  <c r="AC89" i="6" s="1"/>
  <c r="AC90" i="6" s="1"/>
  <c r="AC91" i="6" s="1"/>
  <c r="AC92" i="6" s="1"/>
  <c r="AC93" i="6" s="1"/>
  <c r="AC94" i="6" s="1"/>
  <c r="AC95" i="6" s="1"/>
  <c r="AC96" i="6" s="1"/>
  <c r="AC97" i="6" s="1"/>
  <c r="AC98" i="6" s="1"/>
  <c r="AC99" i="6" s="1"/>
  <c r="AC100" i="6" s="1"/>
  <c r="AC101" i="6" s="1"/>
  <c r="AC102" i="6" s="1"/>
  <c r="AC103" i="6" s="1"/>
  <c r="AC104" i="6" s="1"/>
  <c r="AC105" i="6" s="1"/>
  <c r="AC106" i="6" s="1"/>
  <c r="AC107" i="6" s="1"/>
  <c r="AC108" i="6" s="1"/>
  <c r="AC109" i="6" s="1"/>
  <c r="AC110" i="6" s="1"/>
  <c r="AC111" i="6" s="1"/>
  <c r="AC112" i="6" s="1"/>
  <c r="AC113" i="6" s="1"/>
  <c r="AC114" i="6" s="1"/>
  <c r="AC115" i="6" s="1"/>
  <c r="AC116" i="6" s="1"/>
  <c r="AC117" i="6" s="1"/>
  <c r="AC118" i="6" s="1"/>
  <c r="AC119" i="6" s="1"/>
  <c r="AC120" i="6" s="1"/>
  <c r="AC121" i="6" s="1"/>
  <c r="AC122" i="6" s="1"/>
  <c r="AC123" i="6" s="1"/>
  <c r="AC124" i="6" s="1"/>
  <c r="AC125" i="6" s="1"/>
  <c r="AC126" i="6" s="1"/>
  <c r="AC127" i="6" s="1"/>
  <c r="AC128" i="6" s="1"/>
  <c r="AC129" i="6" s="1"/>
  <c r="AC130" i="6" s="1"/>
  <c r="AC131" i="6" s="1"/>
  <c r="AC132" i="6" s="1"/>
  <c r="AC133" i="6" s="1"/>
  <c r="AC134" i="6" s="1"/>
  <c r="AC135" i="6" s="1"/>
  <c r="AC136" i="6" s="1"/>
  <c r="AC137" i="6" s="1"/>
  <c r="AC138" i="6" s="1"/>
  <c r="AC139" i="6" s="1"/>
  <c r="AC140" i="6" s="1"/>
  <c r="AC141" i="6" s="1"/>
  <c r="AC142" i="6" s="1"/>
  <c r="AC143" i="6" s="1"/>
  <c r="AC144" i="6" s="1"/>
  <c r="AC145" i="6" s="1"/>
  <c r="AC146" i="6" s="1"/>
  <c r="AC147" i="6" s="1"/>
  <c r="AC148" i="6" s="1"/>
  <c r="AC149" i="6" s="1"/>
  <c r="AC150" i="6" s="1"/>
  <c r="AC151" i="6" s="1"/>
  <c r="AC152" i="6" s="1"/>
  <c r="AC153" i="6" s="1"/>
  <c r="AC154" i="6" s="1"/>
  <c r="AC155" i="6" s="1"/>
  <c r="AC156" i="6" s="1"/>
  <c r="AC157" i="6" s="1"/>
  <c r="AC158" i="6" s="1"/>
  <c r="AC159" i="6" s="1"/>
  <c r="AC160" i="6" s="1"/>
  <c r="AC161" i="6" s="1"/>
  <c r="AC162" i="6" s="1"/>
  <c r="AC163" i="6" s="1"/>
  <c r="AC164" i="6" s="1"/>
  <c r="AC165" i="6" s="1"/>
  <c r="AC166" i="6" s="1"/>
  <c r="AC167" i="6" s="1"/>
  <c r="AC168" i="6" s="1"/>
  <c r="AC169" i="6" s="1"/>
  <c r="AC170" i="6" s="1"/>
  <c r="AC171" i="6" s="1"/>
  <c r="AC172" i="6" s="1"/>
  <c r="AC173" i="6" s="1"/>
  <c r="AC174" i="6" s="1"/>
  <c r="AC175" i="6" s="1"/>
  <c r="AC176" i="6" s="1"/>
  <c r="AC177" i="6" s="1"/>
  <c r="AC178" i="6" s="1"/>
  <c r="AC179" i="6" s="1"/>
  <c r="AC180" i="6" s="1"/>
  <c r="AC181" i="6" s="1"/>
  <c r="AC182" i="6" s="1"/>
  <c r="AC183" i="6" s="1"/>
  <c r="AC184" i="6" s="1"/>
  <c r="AC185" i="6" s="1"/>
  <c r="AC186" i="6" s="1"/>
  <c r="AC187" i="6" s="1"/>
  <c r="AC188" i="6" s="1"/>
  <c r="AC189" i="6" s="1"/>
  <c r="AC190" i="6" s="1"/>
  <c r="AC191" i="6" s="1"/>
  <c r="AC192" i="6" s="1"/>
  <c r="AC193" i="6" s="1"/>
  <c r="AC194" i="6" s="1"/>
  <c r="AC195" i="6" s="1"/>
  <c r="AC196" i="6" s="1"/>
  <c r="AC197" i="6" s="1"/>
  <c r="AC198" i="6" s="1"/>
  <c r="AC199" i="6" s="1"/>
  <c r="AC200" i="6" s="1"/>
  <c r="AC201" i="6" s="1"/>
  <c r="AC202" i="6" s="1"/>
  <c r="AC203" i="6" s="1"/>
  <c r="AC204" i="6" s="1"/>
  <c r="AC205" i="6" s="1"/>
  <c r="AC206" i="6" s="1"/>
  <c r="AC207" i="6" s="1"/>
  <c r="AC208" i="6" s="1"/>
  <c r="AC209" i="6" s="1"/>
  <c r="AC210" i="6" s="1"/>
  <c r="AC211" i="6" s="1"/>
  <c r="AC212" i="6" s="1"/>
  <c r="AC213" i="6" s="1"/>
  <c r="AC214" i="6" s="1"/>
  <c r="AC215" i="6" s="1"/>
  <c r="AC216" i="6" s="1"/>
  <c r="AC217" i="6" s="1"/>
  <c r="AC218" i="6" s="1"/>
  <c r="AC219" i="6" s="1"/>
  <c r="AC220" i="6" s="1"/>
  <c r="AC221" i="6" s="1"/>
  <c r="AC222" i="6" s="1"/>
  <c r="AC223" i="6" s="1"/>
  <c r="AC224" i="6" s="1"/>
  <c r="AC225" i="6" s="1"/>
  <c r="AC226" i="6" s="1"/>
  <c r="AC227" i="6" s="1"/>
  <c r="AC228" i="6" s="1"/>
  <c r="AC229" i="6" s="1"/>
  <c r="AC230" i="6" s="1"/>
  <c r="AC231" i="6" s="1"/>
  <c r="AC232" i="6" s="1"/>
  <c r="AC233" i="6" s="1"/>
  <c r="AC234" i="6" s="1"/>
  <c r="AC235" i="6" s="1"/>
  <c r="AC236" i="6" s="1"/>
  <c r="AC237" i="6" s="1"/>
  <c r="AC238" i="6" s="1"/>
  <c r="AC239" i="6" s="1"/>
  <c r="AC240" i="6" s="1"/>
  <c r="AC241" i="6" s="1"/>
  <c r="AC242" i="6" s="1"/>
  <c r="AC243" i="6" s="1"/>
  <c r="AC244" i="6" s="1"/>
  <c r="AC245" i="6" s="1"/>
  <c r="AC246" i="6" s="1"/>
  <c r="AC247" i="6" s="1"/>
  <c r="AC248" i="6" s="1"/>
  <c r="AC249" i="6" s="1"/>
  <c r="AC250" i="6" s="1"/>
  <c r="AC251" i="6" s="1"/>
  <c r="AC252" i="6" s="1"/>
  <c r="AC253" i="6" s="1"/>
  <c r="AC254" i="6" s="1"/>
  <c r="AC255" i="6" s="1"/>
  <c r="AC256" i="6" s="1"/>
  <c r="AC257" i="6" s="1"/>
  <c r="AC258" i="6" s="1"/>
  <c r="AC259" i="6" s="1"/>
  <c r="AC260" i="6" s="1"/>
  <c r="AC261" i="6" s="1"/>
  <c r="AC262" i="6" s="1"/>
  <c r="AC263" i="6" s="1"/>
  <c r="AC264" i="6" s="1"/>
  <c r="AC265" i="6" s="1"/>
  <c r="AC266" i="6" s="1"/>
  <c r="AC267" i="6" s="1"/>
  <c r="AC268" i="6" s="1"/>
  <c r="AC269" i="6" s="1"/>
  <c r="AC270" i="6" s="1"/>
  <c r="AC271" i="6" s="1"/>
  <c r="AC272" i="6" s="1"/>
  <c r="AC273" i="6" s="1"/>
  <c r="AC274" i="6" s="1"/>
  <c r="AC275" i="6" s="1"/>
  <c r="AC276" i="6" s="1"/>
  <c r="AC277" i="6" s="1"/>
  <c r="AC278" i="6" s="1"/>
  <c r="AC279" i="6" s="1"/>
  <c r="AC280" i="6" s="1"/>
  <c r="AC281" i="6" s="1"/>
  <c r="AC282" i="6" s="1"/>
  <c r="AC283" i="6" s="1"/>
  <c r="AC284" i="6" s="1"/>
  <c r="AC285" i="6" s="1"/>
  <c r="AC286" i="6" s="1"/>
  <c r="AC287" i="6" s="1"/>
  <c r="AC288" i="6" s="1"/>
  <c r="AC289" i="6" s="1"/>
  <c r="AC290" i="6" s="1"/>
  <c r="AC291" i="6" s="1"/>
  <c r="AC292" i="6" s="1"/>
  <c r="AC293" i="6" s="1"/>
  <c r="AC294" i="6" s="1"/>
  <c r="AC295" i="6" s="1"/>
  <c r="AC296" i="6" s="1"/>
  <c r="AC297" i="6" s="1"/>
  <c r="AC298" i="6" s="1"/>
  <c r="AC299" i="6" s="1"/>
  <c r="AC300" i="6" s="1"/>
  <c r="AC301" i="6" s="1"/>
  <c r="AC302" i="6" s="1"/>
  <c r="AC303" i="6" s="1"/>
  <c r="AC304" i="6" s="1"/>
  <c r="AC305" i="6" s="1"/>
  <c r="AC306" i="6" s="1"/>
  <c r="AC307" i="6" s="1"/>
  <c r="AC308" i="6" s="1"/>
  <c r="AC309" i="6" s="1"/>
  <c r="AC310" i="6" s="1"/>
  <c r="AC311" i="6" s="1"/>
  <c r="AC312" i="6" s="1"/>
  <c r="AC313" i="6" s="1"/>
  <c r="AC314" i="6" s="1"/>
  <c r="AC315" i="6" s="1"/>
  <c r="AC316" i="6" s="1"/>
  <c r="AC317" i="6" s="1"/>
  <c r="AC318" i="6" s="1"/>
  <c r="AC319" i="6" s="1"/>
  <c r="AC320" i="6" s="1"/>
  <c r="AC321" i="6" s="1"/>
  <c r="AC322" i="6" s="1"/>
  <c r="AC323" i="6" s="1"/>
  <c r="AC324" i="6" s="1"/>
  <c r="AC325" i="6" s="1"/>
  <c r="AC326" i="6" s="1"/>
  <c r="AC327" i="6" s="1"/>
  <c r="AC328" i="6" s="1"/>
  <c r="AC329" i="6" s="1"/>
  <c r="AC330" i="6" s="1"/>
  <c r="AC331" i="6" s="1"/>
  <c r="AC332" i="6" s="1"/>
  <c r="AC333" i="6" s="1"/>
  <c r="AC334" i="6" s="1"/>
  <c r="AC335" i="6" s="1"/>
  <c r="AC336" i="6" s="1"/>
  <c r="AC337" i="6" s="1"/>
  <c r="AC338" i="6" s="1"/>
  <c r="AC339" i="6" s="1"/>
  <c r="AC340" i="6" s="1"/>
  <c r="AC341" i="6" s="1"/>
  <c r="AC342" i="6" s="1"/>
  <c r="AC343" i="6" s="1"/>
  <c r="AC344" i="6" s="1"/>
  <c r="AC345" i="6" s="1"/>
  <c r="AC346" i="6" s="1"/>
  <c r="AC347" i="6" s="1"/>
  <c r="AC348" i="6" s="1"/>
  <c r="AC349" i="6" s="1"/>
  <c r="AC350" i="6" s="1"/>
  <c r="AC351" i="6" s="1"/>
  <c r="AC352" i="6" s="1"/>
  <c r="AC353" i="6" s="1"/>
  <c r="AC354" i="6" s="1"/>
  <c r="AC355" i="6" s="1"/>
  <c r="AC356" i="6" s="1"/>
  <c r="AC357" i="6" s="1"/>
  <c r="AC358" i="6" s="1"/>
  <c r="AC359" i="6" s="1"/>
  <c r="AC360" i="6" s="1"/>
  <c r="AC361" i="6" s="1"/>
  <c r="AC362" i="6" s="1"/>
  <c r="AC363" i="6" s="1"/>
  <c r="AC364" i="6" s="1"/>
  <c r="AC365" i="6" s="1"/>
  <c r="AC366" i="6" s="1"/>
  <c r="AC367" i="6" s="1"/>
  <c r="AC368" i="6" s="1"/>
  <c r="AC369" i="6" s="1"/>
  <c r="AC370" i="6" s="1"/>
  <c r="AC371" i="6" s="1"/>
  <c r="AC372" i="6" s="1"/>
  <c r="AC373" i="6" s="1"/>
  <c r="AC374" i="6" s="1"/>
  <c r="AC375" i="6" s="1"/>
  <c r="AC376" i="6" s="1"/>
  <c r="AC377" i="6" s="1"/>
  <c r="AC378" i="6" s="1"/>
  <c r="AC379" i="6" s="1"/>
  <c r="AC380" i="6" s="1"/>
  <c r="AC381" i="6" s="1"/>
  <c r="AC382" i="6" s="1"/>
  <c r="AC383" i="6" s="1"/>
  <c r="AC384" i="6" s="1"/>
  <c r="AC385" i="6" s="1"/>
  <c r="AC386" i="6" s="1"/>
  <c r="AC387" i="6" s="1"/>
  <c r="AC388" i="6" s="1"/>
  <c r="AC389" i="6" s="1"/>
  <c r="AC390" i="6" s="1"/>
  <c r="AC391" i="6" s="1"/>
  <c r="AC392" i="6" s="1"/>
  <c r="AC393" i="6" s="1"/>
  <c r="AC394" i="6" s="1"/>
  <c r="AC395" i="6" s="1"/>
  <c r="AC396" i="6" s="1"/>
  <c r="AC397" i="6" s="1"/>
  <c r="AC398" i="6" s="1"/>
  <c r="AC399" i="6" s="1"/>
  <c r="AC400" i="6" s="1"/>
  <c r="AC401" i="6" s="1"/>
  <c r="AA3" i="6"/>
  <c r="AA4" i="6" s="1"/>
  <c r="AA5" i="6" s="1"/>
  <c r="AA6" i="6" s="1"/>
  <c r="AA7" i="6" s="1"/>
  <c r="AA8" i="6" s="1"/>
  <c r="AA9" i="6" s="1"/>
  <c r="AA10" i="6" s="1"/>
  <c r="AA11" i="6" s="1"/>
  <c r="AA12" i="6" s="1"/>
  <c r="AA13" i="6" s="1"/>
  <c r="AA14" i="6" s="1"/>
  <c r="AA15" i="6" s="1"/>
  <c r="AA16" i="6" s="1"/>
  <c r="AA17" i="6" s="1"/>
  <c r="AA18" i="6" s="1"/>
  <c r="AA19" i="6" s="1"/>
  <c r="AA20" i="6" s="1"/>
  <c r="AA21" i="6" s="1"/>
  <c r="AA22" i="6" s="1"/>
  <c r="AA23" i="6" s="1"/>
  <c r="AA24" i="6" s="1"/>
  <c r="AA25" i="6" s="1"/>
  <c r="AA26" i="6" s="1"/>
  <c r="AA27" i="6" s="1"/>
  <c r="AA28" i="6" s="1"/>
  <c r="AA29" i="6" s="1"/>
  <c r="AA30" i="6" s="1"/>
  <c r="AA31" i="6" s="1"/>
  <c r="AA32" i="6" s="1"/>
  <c r="AA33" i="6" s="1"/>
  <c r="AA34" i="6" s="1"/>
  <c r="AA35" i="6" s="1"/>
  <c r="AA36" i="6" s="1"/>
  <c r="AA37" i="6" s="1"/>
  <c r="AA38" i="6" s="1"/>
  <c r="AA39" i="6" s="1"/>
  <c r="AA40" i="6" s="1"/>
  <c r="AA41" i="6" s="1"/>
  <c r="AA42" i="6" s="1"/>
  <c r="AA43" i="6" s="1"/>
  <c r="AA44" i="6" s="1"/>
  <c r="AA45" i="6" s="1"/>
  <c r="AA46" i="6" s="1"/>
  <c r="AA47" i="6" s="1"/>
  <c r="AA48" i="6" s="1"/>
  <c r="AA49" i="6" s="1"/>
  <c r="AA50" i="6" s="1"/>
  <c r="AA51" i="6" s="1"/>
  <c r="AA52" i="6" s="1"/>
  <c r="AA53" i="6" s="1"/>
  <c r="AA54" i="6" s="1"/>
  <c r="AA55" i="6" s="1"/>
  <c r="AA56" i="6" s="1"/>
  <c r="AA57" i="6" s="1"/>
  <c r="AA58" i="6" s="1"/>
  <c r="AA59" i="6" s="1"/>
  <c r="AA60" i="6" s="1"/>
  <c r="AA61" i="6" s="1"/>
  <c r="AA62" i="6" s="1"/>
  <c r="AA63" i="6" s="1"/>
  <c r="AA64" i="6" s="1"/>
  <c r="AA65" i="6" s="1"/>
  <c r="AA66" i="6" s="1"/>
  <c r="AA67" i="6" s="1"/>
  <c r="AA68" i="6" s="1"/>
  <c r="AA69" i="6" s="1"/>
  <c r="AA70" i="6" s="1"/>
  <c r="AA71" i="6" s="1"/>
  <c r="AA72" i="6" s="1"/>
  <c r="AA73" i="6" s="1"/>
  <c r="AA74" i="6" s="1"/>
  <c r="AA75" i="6" s="1"/>
  <c r="AA76" i="6" s="1"/>
  <c r="AA77" i="6" s="1"/>
  <c r="AA78" i="6" s="1"/>
  <c r="AA79" i="6" s="1"/>
  <c r="AA80" i="6" s="1"/>
  <c r="AA81" i="6" s="1"/>
  <c r="AA82" i="6" s="1"/>
  <c r="AA83" i="6" s="1"/>
  <c r="AA84" i="6" s="1"/>
  <c r="AA85" i="6" s="1"/>
  <c r="AA86" i="6" s="1"/>
  <c r="AA87" i="6" s="1"/>
  <c r="AA88" i="6" s="1"/>
  <c r="AA89" i="6" s="1"/>
  <c r="AA90" i="6" s="1"/>
  <c r="AA91" i="6" s="1"/>
  <c r="AA92" i="6" s="1"/>
  <c r="AA93" i="6" s="1"/>
  <c r="AA94" i="6" s="1"/>
  <c r="AA95" i="6" s="1"/>
  <c r="AA96" i="6" s="1"/>
  <c r="AA97" i="6" s="1"/>
  <c r="AA98" i="6" s="1"/>
  <c r="AA99" i="6" s="1"/>
  <c r="AA100" i="6" s="1"/>
  <c r="AA101" i="6" s="1"/>
  <c r="AA102" i="6" s="1"/>
  <c r="AA103" i="6" s="1"/>
  <c r="AA104" i="6" s="1"/>
  <c r="AA105" i="6" s="1"/>
  <c r="AA106" i="6" s="1"/>
  <c r="AA107" i="6" s="1"/>
  <c r="AA108" i="6" s="1"/>
  <c r="AA109" i="6" s="1"/>
  <c r="AA110" i="6" s="1"/>
  <c r="AA111" i="6" s="1"/>
  <c r="AA112" i="6" s="1"/>
  <c r="AA113" i="6" s="1"/>
  <c r="AA114" i="6" s="1"/>
  <c r="AA115" i="6" s="1"/>
  <c r="AA116" i="6" s="1"/>
  <c r="AA117" i="6" s="1"/>
  <c r="AA118" i="6" s="1"/>
  <c r="AA119" i="6" s="1"/>
  <c r="AA120" i="6" s="1"/>
  <c r="AA121" i="6" s="1"/>
  <c r="AA122" i="6" s="1"/>
  <c r="AA123" i="6" s="1"/>
  <c r="AA124" i="6" s="1"/>
  <c r="AA125" i="6" s="1"/>
  <c r="AA126" i="6" s="1"/>
  <c r="AA127" i="6" s="1"/>
  <c r="AA128" i="6" s="1"/>
  <c r="AA129" i="6" s="1"/>
  <c r="AA130" i="6" s="1"/>
  <c r="AA131" i="6" s="1"/>
  <c r="AA132" i="6" s="1"/>
  <c r="AA133" i="6" s="1"/>
  <c r="AA134" i="6" s="1"/>
  <c r="AA135" i="6" s="1"/>
  <c r="AA136" i="6" s="1"/>
  <c r="AA137" i="6" s="1"/>
  <c r="AA138" i="6" s="1"/>
  <c r="AA139" i="6" s="1"/>
  <c r="AA140" i="6" s="1"/>
  <c r="AA141" i="6" s="1"/>
  <c r="AA142" i="6" s="1"/>
  <c r="AA143" i="6" s="1"/>
  <c r="AA144" i="6" s="1"/>
  <c r="AA145" i="6" s="1"/>
  <c r="AA146" i="6" s="1"/>
  <c r="AA147" i="6" s="1"/>
  <c r="AA148" i="6" s="1"/>
  <c r="AA149" i="6" s="1"/>
  <c r="AA150" i="6" s="1"/>
  <c r="AA151" i="6" s="1"/>
  <c r="AA152" i="6" s="1"/>
  <c r="AA153" i="6" s="1"/>
  <c r="AA154" i="6" s="1"/>
  <c r="AA155" i="6" s="1"/>
  <c r="AA156" i="6" s="1"/>
  <c r="AA157" i="6" s="1"/>
  <c r="AA158" i="6" s="1"/>
  <c r="AA159" i="6" s="1"/>
  <c r="AA160" i="6" s="1"/>
  <c r="AA161" i="6" s="1"/>
  <c r="AA162" i="6" s="1"/>
  <c r="AA163" i="6" s="1"/>
  <c r="AA164" i="6" s="1"/>
  <c r="AA165" i="6" s="1"/>
  <c r="AA166" i="6" s="1"/>
  <c r="AA167" i="6" s="1"/>
  <c r="AA168" i="6" s="1"/>
  <c r="AA169" i="6" s="1"/>
  <c r="AA170" i="6" s="1"/>
  <c r="AA171" i="6" s="1"/>
  <c r="AA172" i="6" s="1"/>
  <c r="AA173" i="6" s="1"/>
  <c r="AA174" i="6" s="1"/>
  <c r="AA175" i="6" s="1"/>
  <c r="AA176" i="6" s="1"/>
  <c r="AA177" i="6" s="1"/>
  <c r="AA178" i="6" s="1"/>
  <c r="AA179" i="6" s="1"/>
  <c r="AA180" i="6" s="1"/>
  <c r="AA181" i="6" s="1"/>
  <c r="AA182" i="6" s="1"/>
  <c r="AA183" i="6" s="1"/>
  <c r="AA184" i="6" s="1"/>
  <c r="AA185" i="6" s="1"/>
  <c r="AA186" i="6" s="1"/>
  <c r="AA187" i="6" s="1"/>
  <c r="AA188" i="6" s="1"/>
  <c r="AA189" i="6" s="1"/>
  <c r="AA190" i="6" s="1"/>
  <c r="AA191" i="6" s="1"/>
  <c r="AA192" i="6" s="1"/>
  <c r="AA193" i="6" s="1"/>
  <c r="AA194" i="6" s="1"/>
  <c r="AA195" i="6" s="1"/>
  <c r="AA196" i="6" s="1"/>
  <c r="AA197" i="6" s="1"/>
  <c r="AA198" i="6" s="1"/>
  <c r="AA199" i="6" s="1"/>
  <c r="AA200" i="6" s="1"/>
  <c r="AA201" i="6" s="1"/>
  <c r="AA202" i="6" s="1"/>
  <c r="AA203" i="6" s="1"/>
  <c r="AA204" i="6" s="1"/>
  <c r="AA205" i="6" s="1"/>
  <c r="AA206" i="6" s="1"/>
  <c r="AA207" i="6" s="1"/>
  <c r="AA208" i="6" s="1"/>
  <c r="AA209" i="6" s="1"/>
  <c r="AA210" i="6" s="1"/>
  <c r="AA211" i="6" s="1"/>
  <c r="AA212" i="6" s="1"/>
  <c r="AA213" i="6" s="1"/>
  <c r="AA214" i="6" s="1"/>
  <c r="AA215" i="6" s="1"/>
  <c r="AA216" i="6" s="1"/>
  <c r="AA217" i="6" s="1"/>
  <c r="AA218" i="6" s="1"/>
  <c r="AA219" i="6" s="1"/>
  <c r="AA220" i="6" s="1"/>
  <c r="AA221" i="6" s="1"/>
  <c r="AA222" i="6" s="1"/>
  <c r="AA223" i="6" s="1"/>
  <c r="AA224" i="6" s="1"/>
  <c r="AA225" i="6" s="1"/>
  <c r="AA226" i="6" s="1"/>
  <c r="AA227" i="6" s="1"/>
  <c r="AA228" i="6" s="1"/>
  <c r="AA229" i="6" s="1"/>
  <c r="AA230" i="6" s="1"/>
  <c r="AA231" i="6" s="1"/>
  <c r="AA232" i="6" s="1"/>
  <c r="AA233" i="6" s="1"/>
  <c r="AA234" i="6" s="1"/>
  <c r="AA235" i="6" s="1"/>
  <c r="AA236" i="6" s="1"/>
  <c r="AA237" i="6" s="1"/>
  <c r="AA238" i="6" s="1"/>
  <c r="AA239" i="6" s="1"/>
  <c r="AA240" i="6" s="1"/>
  <c r="AA241" i="6" s="1"/>
  <c r="AA242" i="6" s="1"/>
  <c r="AA243" i="6" s="1"/>
  <c r="AA244" i="6" s="1"/>
  <c r="AA245" i="6" s="1"/>
  <c r="AA246" i="6" s="1"/>
  <c r="AA247" i="6" s="1"/>
  <c r="AA248" i="6" s="1"/>
  <c r="AA249" i="6" s="1"/>
  <c r="AA250" i="6" s="1"/>
  <c r="AA251" i="6" s="1"/>
  <c r="AA252" i="6" s="1"/>
  <c r="AA253" i="6" s="1"/>
  <c r="AA254" i="6" s="1"/>
  <c r="AA255" i="6" s="1"/>
  <c r="AA256" i="6" s="1"/>
  <c r="AA257" i="6" s="1"/>
  <c r="AA258" i="6" s="1"/>
  <c r="AA259" i="6" s="1"/>
  <c r="AA260" i="6" s="1"/>
  <c r="AA261" i="6" s="1"/>
  <c r="AA262" i="6" s="1"/>
  <c r="AA263" i="6" s="1"/>
  <c r="AA264" i="6" s="1"/>
  <c r="AA265" i="6" s="1"/>
  <c r="AA266" i="6" s="1"/>
  <c r="AA267" i="6" s="1"/>
  <c r="AA268" i="6" s="1"/>
  <c r="AA269" i="6" s="1"/>
  <c r="AA270" i="6" s="1"/>
  <c r="AA271" i="6" s="1"/>
  <c r="AA272" i="6" s="1"/>
  <c r="AA273" i="6" s="1"/>
  <c r="AA274" i="6" s="1"/>
  <c r="AA275" i="6" s="1"/>
  <c r="AA276" i="6" s="1"/>
  <c r="AA277" i="6" s="1"/>
  <c r="AA278" i="6" s="1"/>
  <c r="AA279" i="6" s="1"/>
  <c r="AA280" i="6" s="1"/>
  <c r="AA281" i="6" s="1"/>
  <c r="AA282" i="6" s="1"/>
  <c r="AA283" i="6" s="1"/>
  <c r="AA284" i="6" s="1"/>
  <c r="AA285" i="6" s="1"/>
  <c r="AA286" i="6" s="1"/>
  <c r="AA287" i="6" s="1"/>
  <c r="AA288" i="6" s="1"/>
  <c r="AA289" i="6" s="1"/>
  <c r="AA290" i="6" s="1"/>
  <c r="AA291" i="6" s="1"/>
  <c r="AA292" i="6" s="1"/>
  <c r="AA293" i="6" s="1"/>
  <c r="AA294" i="6" s="1"/>
  <c r="AA295" i="6" s="1"/>
  <c r="AA296" i="6" s="1"/>
  <c r="AA297" i="6" s="1"/>
  <c r="AA298" i="6" s="1"/>
  <c r="AA299" i="6" s="1"/>
  <c r="AA300" i="6" s="1"/>
  <c r="AA301" i="6" s="1"/>
  <c r="AA302" i="6" s="1"/>
  <c r="AA303" i="6" s="1"/>
  <c r="AA304" i="6" s="1"/>
  <c r="AA305" i="6" s="1"/>
  <c r="AA306" i="6" s="1"/>
  <c r="AA307" i="6" s="1"/>
  <c r="AA308" i="6" s="1"/>
  <c r="AA309" i="6" s="1"/>
  <c r="AA310" i="6" s="1"/>
  <c r="AA311" i="6" s="1"/>
  <c r="AA312" i="6" s="1"/>
  <c r="AA313" i="6" s="1"/>
  <c r="AA314" i="6" s="1"/>
  <c r="AA315" i="6" s="1"/>
  <c r="AA316" i="6" s="1"/>
  <c r="AA317" i="6" s="1"/>
  <c r="AA318" i="6" s="1"/>
  <c r="AA319" i="6" s="1"/>
  <c r="AA320" i="6" s="1"/>
  <c r="AA321" i="6" s="1"/>
  <c r="AA322" i="6" s="1"/>
  <c r="AA323" i="6" s="1"/>
  <c r="AA324" i="6" s="1"/>
  <c r="AA325" i="6" s="1"/>
  <c r="AA326" i="6" s="1"/>
  <c r="AA327" i="6" s="1"/>
  <c r="AA328" i="6" s="1"/>
  <c r="AA329" i="6" s="1"/>
  <c r="AA330" i="6" s="1"/>
  <c r="AA331" i="6" s="1"/>
  <c r="AA332" i="6" s="1"/>
  <c r="AA333" i="6" s="1"/>
  <c r="AA334" i="6" s="1"/>
  <c r="AA335" i="6" s="1"/>
  <c r="AA336" i="6" s="1"/>
  <c r="AA337" i="6" s="1"/>
  <c r="AA338" i="6" s="1"/>
  <c r="AA339" i="6" s="1"/>
  <c r="AA340" i="6" s="1"/>
  <c r="AA341" i="6" s="1"/>
  <c r="AA342" i="6" s="1"/>
  <c r="AA343" i="6" s="1"/>
  <c r="AA344" i="6" s="1"/>
  <c r="AA345" i="6" s="1"/>
  <c r="AA346" i="6" s="1"/>
  <c r="AA347" i="6" s="1"/>
  <c r="AA348" i="6" s="1"/>
  <c r="AA349" i="6" s="1"/>
  <c r="AA350" i="6" s="1"/>
  <c r="AA351" i="6" s="1"/>
  <c r="AA352" i="6" s="1"/>
  <c r="AA353" i="6" s="1"/>
  <c r="AA354" i="6" s="1"/>
  <c r="AA355" i="6" s="1"/>
  <c r="AA356" i="6" s="1"/>
  <c r="AA357" i="6" s="1"/>
  <c r="AA358" i="6" s="1"/>
  <c r="AA359" i="6" s="1"/>
  <c r="AA360" i="6" s="1"/>
  <c r="AA361" i="6" s="1"/>
  <c r="AA362" i="6" s="1"/>
  <c r="AA363" i="6" s="1"/>
  <c r="AA364" i="6" s="1"/>
  <c r="AA365" i="6" s="1"/>
  <c r="AA366" i="6" s="1"/>
  <c r="AA367" i="6" s="1"/>
  <c r="AA368" i="6" s="1"/>
  <c r="AA369" i="6" s="1"/>
  <c r="AA370" i="6" s="1"/>
  <c r="AA371" i="6" s="1"/>
  <c r="AA372" i="6" s="1"/>
  <c r="AA373" i="6" s="1"/>
  <c r="AA374" i="6" s="1"/>
  <c r="AA375" i="6" s="1"/>
  <c r="AA376" i="6" s="1"/>
  <c r="AA377" i="6" s="1"/>
  <c r="AA378" i="6" s="1"/>
  <c r="AA379" i="6" s="1"/>
  <c r="AA380" i="6" s="1"/>
  <c r="AA381" i="6" s="1"/>
  <c r="AA382" i="6" s="1"/>
  <c r="AA383" i="6" s="1"/>
  <c r="AA384" i="6" s="1"/>
  <c r="AA385" i="6" s="1"/>
  <c r="AA386" i="6" s="1"/>
  <c r="AA387" i="6" s="1"/>
  <c r="AA388" i="6" s="1"/>
  <c r="AA389" i="6" s="1"/>
  <c r="AA390" i="6" s="1"/>
  <c r="AA391" i="6" s="1"/>
  <c r="AA392" i="6" s="1"/>
  <c r="AA393" i="6" s="1"/>
  <c r="AA394" i="6" s="1"/>
  <c r="AA395" i="6" s="1"/>
  <c r="AA396" i="6" s="1"/>
  <c r="AA397" i="6" s="1"/>
  <c r="AA398" i="6" s="1"/>
  <c r="AA399" i="6" s="1"/>
  <c r="AA400" i="6" s="1"/>
  <c r="AA401" i="6" s="1"/>
  <c r="Y3" i="6"/>
  <c r="Y4" i="6" s="1"/>
  <c r="Y5" i="6" s="1"/>
  <c r="Y6" i="6" s="1"/>
  <c r="Y7" i="6" s="1"/>
  <c r="Y8" i="6" s="1"/>
  <c r="Y9" i="6" s="1"/>
  <c r="Y10" i="6" s="1"/>
  <c r="Y11" i="6" s="1"/>
  <c r="Y12" i="6" s="1"/>
  <c r="Y13" i="6" s="1"/>
  <c r="Y14" i="6" s="1"/>
  <c r="Y15" i="6" s="1"/>
  <c r="Y16" i="6" s="1"/>
  <c r="Y17" i="6" s="1"/>
  <c r="Y18" i="6" s="1"/>
  <c r="Y19" i="6" s="1"/>
  <c r="Y20" i="6" s="1"/>
  <c r="Y21" i="6" s="1"/>
  <c r="Y22" i="6" s="1"/>
  <c r="Y23" i="6" s="1"/>
  <c r="Y24" i="6" s="1"/>
  <c r="Y25" i="6" s="1"/>
  <c r="Y26" i="6" s="1"/>
  <c r="Y27" i="6" s="1"/>
  <c r="Y28" i="6" s="1"/>
  <c r="Y29" i="6" s="1"/>
  <c r="Y30" i="6" s="1"/>
  <c r="Y31" i="6" s="1"/>
  <c r="Y32" i="6" s="1"/>
  <c r="Y33" i="6" s="1"/>
  <c r="Y34" i="6" s="1"/>
  <c r="Y35" i="6" s="1"/>
  <c r="Y36" i="6" s="1"/>
  <c r="Y37" i="6" s="1"/>
  <c r="Y38" i="6" s="1"/>
  <c r="Y39" i="6" s="1"/>
  <c r="Y40" i="6" s="1"/>
  <c r="Y41" i="6" s="1"/>
  <c r="Y42" i="6" s="1"/>
  <c r="Y43" i="6" s="1"/>
  <c r="Y44" i="6" s="1"/>
  <c r="Y45" i="6" s="1"/>
  <c r="Y46" i="6" s="1"/>
  <c r="Y47" i="6" s="1"/>
  <c r="Y48" i="6" s="1"/>
  <c r="Y49" i="6" s="1"/>
  <c r="Y50" i="6" s="1"/>
  <c r="Y51" i="6" s="1"/>
  <c r="Y52" i="6" s="1"/>
  <c r="Y53" i="6" s="1"/>
  <c r="Y54" i="6" s="1"/>
  <c r="Y55" i="6" s="1"/>
  <c r="Y56" i="6" s="1"/>
  <c r="Y57" i="6" s="1"/>
  <c r="Y58" i="6" s="1"/>
  <c r="Y59" i="6" s="1"/>
  <c r="Y60" i="6" s="1"/>
  <c r="Y61" i="6" s="1"/>
  <c r="Y62" i="6" s="1"/>
  <c r="Y63" i="6" s="1"/>
  <c r="Y64" i="6" s="1"/>
  <c r="Y65" i="6" s="1"/>
  <c r="Y66" i="6" s="1"/>
  <c r="Y67" i="6" s="1"/>
  <c r="Y68" i="6" s="1"/>
  <c r="Y69" i="6" s="1"/>
  <c r="Y70" i="6" s="1"/>
  <c r="Y71" i="6" s="1"/>
  <c r="Y72" i="6" s="1"/>
  <c r="Y73" i="6" s="1"/>
  <c r="Y74" i="6" s="1"/>
  <c r="Y75" i="6" s="1"/>
  <c r="Y76" i="6" s="1"/>
  <c r="Y77" i="6" s="1"/>
  <c r="Y78" i="6" s="1"/>
  <c r="Y79" i="6" s="1"/>
  <c r="Y80" i="6" s="1"/>
  <c r="Y81" i="6" s="1"/>
  <c r="Y82" i="6" s="1"/>
  <c r="Y83" i="6" s="1"/>
  <c r="Y84" i="6" s="1"/>
  <c r="Y85" i="6" s="1"/>
  <c r="Y86" i="6" s="1"/>
  <c r="Y87" i="6" s="1"/>
  <c r="Y88" i="6" s="1"/>
  <c r="Y89" i="6" s="1"/>
  <c r="Y90" i="6" s="1"/>
  <c r="Y91" i="6" s="1"/>
  <c r="Y92" i="6" s="1"/>
  <c r="Y93" i="6" s="1"/>
  <c r="Y94" i="6" s="1"/>
  <c r="Y95" i="6" s="1"/>
  <c r="Y96" i="6" s="1"/>
  <c r="Y97" i="6" s="1"/>
  <c r="Y98" i="6" s="1"/>
  <c r="Y99" i="6" s="1"/>
  <c r="Y100" i="6" s="1"/>
  <c r="Y101" i="6" s="1"/>
  <c r="Y102" i="6" s="1"/>
  <c r="Y103" i="6" s="1"/>
  <c r="Y104" i="6" s="1"/>
  <c r="Y105" i="6" s="1"/>
  <c r="Y106" i="6" s="1"/>
  <c r="Y107" i="6" s="1"/>
  <c r="Y108" i="6" s="1"/>
  <c r="Y109" i="6" s="1"/>
  <c r="Y110" i="6" s="1"/>
  <c r="Y111" i="6" s="1"/>
  <c r="Y112" i="6" s="1"/>
  <c r="Y113" i="6" s="1"/>
  <c r="Y114" i="6" s="1"/>
  <c r="Y115" i="6" s="1"/>
  <c r="Y116" i="6" s="1"/>
  <c r="Y117" i="6" s="1"/>
  <c r="Y118" i="6" s="1"/>
  <c r="Y119" i="6" s="1"/>
  <c r="Y120" i="6" s="1"/>
  <c r="Y121" i="6" s="1"/>
  <c r="Y122" i="6" s="1"/>
  <c r="Y123" i="6" s="1"/>
  <c r="Y124" i="6" s="1"/>
  <c r="Y125" i="6" s="1"/>
  <c r="Y126" i="6" s="1"/>
  <c r="Y127" i="6" s="1"/>
  <c r="Y128" i="6" s="1"/>
  <c r="Y129" i="6" s="1"/>
  <c r="Y130" i="6" s="1"/>
  <c r="Y131" i="6" s="1"/>
  <c r="Y132" i="6" s="1"/>
  <c r="Y133" i="6" s="1"/>
  <c r="Y134" i="6" s="1"/>
  <c r="Y135" i="6" s="1"/>
  <c r="Y136" i="6" s="1"/>
  <c r="Y137" i="6" s="1"/>
  <c r="Y138" i="6" s="1"/>
  <c r="Y139" i="6" s="1"/>
  <c r="Y140" i="6" s="1"/>
  <c r="Y141" i="6" s="1"/>
  <c r="Y142" i="6" s="1"/>
  <c r="Y143" i="6" s="1"/>
  <c r="Y144" i="6" s="1"/>
  <c r="Y145" i="6" s="1"/>
  <c r="Y146" i="6" s="1"/>
  <c r="Y147" i="6" s="1"/>
  <c r="Y148" i="6" s="1"/>
  <c r="Y149" i="6" s="1"/>
  <c r="Y150" i="6" s="1"/>
  <c r="Y151" i="6" s="1"/>
  <c r="Y152" i="6" s="1"/>
  <c r="Y153" i="6" s="1"/>
  <c r="Y154" i="6" s="1"/>
  <c r="Y155" i="6" s="1"/>
  <c r="Y156" i="6" s="1"/>
  <c r="Y157" i="6" s="1"/>
  <c r="Y158" i="6" s="1"/>
  <c r="Y159" i="6" s="1"/>
  <c r="Y160" i="6" s="1"/>
  <c r="Y161" i="6" s="1"/>
  <c r="Y162" i="6" s="1"/>
  <c r="Y163" i="6" s="1"/>
  <c r="Y164" i="6" s="1"/>
  <c r="Y165" i="6" s="1"/>
  <c r="Y166" i="6" s="1"/>
  <c r="Y167" i="6" s="1"/>
  <c r="Y168" i="6" s="1"/>
  <c r="Y169" i="6" s="1"/>
  <c r="Y170" i="6" s="1"/>
  <c r="Y171" i="6" s="1"/>
  <c r="Y172" i="6" s="1"/>
  <c r="Y173" i="6" s="1"/>
  <c r="Y174" i="6" s="1"/>
  <c r="Y175" i="6" s="1"/>
  <c r="Y176" i="6" s="1"/>
  <c r="Y177" i="6" s="1"/>
  <c r="Y178" i="6" s="1"/>
  <c r="Y179" i="6" s="1"/>
  <c r="Y180" i="6" s="1"/>
  <c r="Y181" i="6" s="1"/>
  <c r="Y182" i="6" s="1"/>
  <c r="Y183" i="6" s="1"/>
  <c r="Y184" i="6" s="1"/>
  <c r="Y185" i="6" s="1"/>
  <c r="Y186" i="6" s="1"/>
  <c r="Y187" i="6" s="1"/>
  <c r="Y188" i="6" s="1"/>
  <c r="Y189" i="6" s="1"/>
  <c r="Y190" i="6" s="1"/>
  <c r="Y191" i="6" s="1"/>
  <c r="Y192" i="6" s="1"/>
  <c r="Y193" i="6" s="1"/>
  <c r="Y194" i="6" s="1"/>
  <c r="Y195" i="6" s="1"/>
  <c r="Y196" i="6" s="1"/>
  <c r="Y197" i="6" s="1"/>
  <c r="Y198" i="6" s="1"/>
  <c r="Y199" i="6" s="1"/>
  <c r="Y200" i="6" s="1"/>
  <c r="Y201" i="6" s="1"/>
  <c r="Y202" i="6" s="1"/>
  <c r="Y203" i="6" s="1"/>
  <c r="Y204" i="6" s="1"/>
  <c r="Y205" i="6" s="1"/>
  <c r="Y206" i="6" s="1"/>
  <c r="Y207" i="6" s="1"/>
  <c r="Y208" i="6" s="1"/>
  <c r="Y209" i="6" s="1"/>
  <c r="Y210" i="6" s="1"/>
  <c r="Y211" i="6" s="1"/>
  <c r="Y212" i="6" s="1"/>
  <c r="Y213" i="6" s="1"/>
  <c r="Y214" i="6" s="1"/>
  <c r="Y215" i="6" s="1"/>
  <c r="Y216" i="6" s="1"/>
  <c r="Y217" i="6" s="1"/>
  <c r="Y218" i="6" s="1"/>
  <c r="Y219" i="6" s="1"/>
  <c r="Y220" i="6" s="1"/>
  <c r="Y221" i="6" s="1"/>
  <c r="Y222" i="6" s="1"/>
  <c r="Y223" i="6" s="1"/>
  <c r="Y224" i="6" s="1"/>
  <c r="Y225" i="6" s="1"/>
  <c r="Y226" i="6" s="1"/>
  <c r="Y227" i="6" s="1"/>
  <c r="Y228" i="6" s="1"/>
  <c r="Y229" i="6" s="1"/>
  <c r="Y230" i="6" s="1"/>
  <c r="Y231" i="6" s="1"/>
  <c r="Y232" i="6" s="1"/>
  <c r="Y233" i="6" s="1"/>
  <c r="Y234" i="6" s="1"/>
  <c r="Y235" i="6" s="1"/>
  <c r="Y236" i="6" s="1"/>
  <c r="Y237" i="6" s="1"/>
  <c r="Y238" i="6" s="1"/>
  <c r="Y239" i="6" s="1"/>
  <c r="Y240" i="6" s="1"/>
  <c r="Y241" i="6" s="1"/>
  <c r="Y242" i="6" s="1"/>
  <c r="Y243" i="6" s="1"/>
  <c r="Y244" i="6" s="1"/>
  <c r="Y245" i="6" s="1"/>
  <c r="Y246" i="6" s="1"/>
  <c r="Y247" i="6" s="1"/>
  <c r="Y248" i="6" s="1"/>
  <c r="Y249" i="6" s="1"/>
  <c r="Y250" i="6" s="1"/>
  <c r="Y251" i="6" s="1"/>
  <c r="Y252" i="6" s="1"/>
  <c r="Y253" i="6" s="1"/>
  <c r="Y254" i="6" s="1"/>
  <c r="Y255" i="6" s="1"/>
  <c r="Y256" i="6" s="1"/>
  <c r="Y257" i="6" s="1"/>
  <c r="Y258" i="6" s="1"/>
  <c r="Y259" i="6" s="1"/>
  <c r="Y260" i="6" s="1"/>
  <c r="Y261" i="6" s="1"/>
  <c r="Y262" i="6" s="1"/>
  <c r="Y263" i="6" s="1"/>
  <c r="Y264" i="6" s="1"/>
  <c r="Y265" i="6" s="1"/>
  <c r="Y266" i="6" s="1"/>
  <c r="Y267" i="6" s="1"/>
  <c r="Y268" i="6" s="1"/>
  <c r="Y269" i="6" s="1"/>
  <c r="Y270" i="6" s="1"/>
  <c r="Y271" i="6" s="1"/>
  <c r="Y272" i="6" s="1"/>
  <c r="Y273" i="6" s="1"/>
  <c r="Y274" i="6" s="1"/>
  <c r="Y275" i="6" s="1"/>
  <c r="Y276" i="6" s="1"/>
  <c r="Y277" i="6" s="1"/>
  <c r="Y278" i="6" s="1"/>
  <c r="Y279" i="6" s="1"/>
  <c r="Y280" i="6" s="1"/>
  <c r="Y281" i="6" s="1"/>
  <c r="Y282" i="6" s="1"/>
  <c r="Y283" i="6" s="1"/>
  <c r="Y284" i="6" s="1"/>
  <c r="Y285" i="6" s="1"/>
  <c r="Y286" i="6" s="1"/>
  <c r="Y287" i="6" s="1"/>
  <c r="Y288" i="6" s="1"/>
  <c r="Y289" i="6" s="1"/>
  <c r="Y290" i="6" s="1"/>
  <c r="Y291" i="6" s="1"/>
  <c r="Y292" i="6" s="1"/>
  <c r="Y293" i="6" s="1"/>
  <c r="Y294" i="6" s="1"/>
  <c r="Y295" i="6" s="1"/>
  <c r="Y296" i="6" s="1"/>
  <c r="Y297" i="6" s="1"/>
  <c r="Y298" i="6" s="1"/>
  <c r="Y299" i="6" s="1"/>
  <c r="Y300" i="6" s="1"/>
  <c r="Y301" i="6" s="1"/>
  <c r="Y302" i="6" s="1"/>
  <c r="Y303" i="6" s="1"/>
  <c r="Y304" i="6" s="1"/>
  <c r="Y305" i="6" s="1"/>
  <c r="Y306" i="6" s="1"/>
  <c r="Y307" i="6" s="1"/>
  <c r="Y308" i="6" s="1"/>
  <c r="Y309" i="6" s="1"/>
  <c r="Y310" i="6" s="1"/>
  <c r="Y311" i="6" s="1"/>
  <c r="Y312" i="6" s="1"/>
  <c r="Y313" i="6" s="1"/>
  <c r="Y314" i="6" s="1"/>
  <c r="Y315" i="6" s="1"/>
  <c r="Y316" i="6" s="1"/>
  <c r="Y317" i="6" s="1"/>
  <c r="Y318" i="6" s="1"/>
  <c r="Y319" i="6" s="1"/>
  <c r="Y320" i="6" s="1"/>
  <c r="Y321" i="6" s="1"/>
  <c r="Y322" i="6" s="1"/>
  <c r="Y323" i="6" s="1"/>
  <c r="Y324" i="6" s="1"/>
  <c r="Y325" i="6" s="1"/>
  <c r="Y326" i="6" s="1"/>
  <c r="Y327" i="6" s="1"/>
  <c r="Y328" i="6" s="1"/>
  <c r="Y329" i="6" s="1"/>
  <c r="Y330" i="6" s="1"/>
  <c r="Y331" i="6" s="1"/>
  <c r="Y332" i="6" s="1"/>
  <c r="Y333" i="6" s="1"/>
  <c r="Y334" i="6" s="1"/>
  <c r="Y335" i="6" s="1"/>
  <c r="Y336" i="6" s="1"/>
  <c r="Y337" i="6" s="1"/>
  <c r="Y338" i="6" s="1"/>
  <c r="Y339" i="6" s="1"/>
  <c r="Y340" i="6" s="1"/>
  <c r="Y341" i="6" s="1"/>
  <c r="Y342" i="6" s="1"/>
  <c r="Y343" i="6" s="1"/>
  <c r="Y344" i="6" s="1"/>
  <c r="Y345" i="6" s="1"/>
  <c r="Y346" i="6" s="1"/>
  <c r="Y347" i="6" s="1"/>
  <c r="Y348" i="6" s="1"/>
  <c r="Y349" i="6" s="1"/>
  <c r="Y350" i="6" s="1"/>
  <c r="Y351" i="6" s="1"/>
  <c r="Y352" i="6" s="1"/>
  <c r="Y353" i="6" s="1"/>
  <c r="Y354" i="6" s="1"/>
  <c r="Y355" i="6" s="1"/>
  <c r="Y356" i="6" s="1"/>
  <c r="Y357" i="6" s="1"/>
  <c r="Y358" i="6" s="1"/>
  <c r="Y359" i="6" s="1"/>
  <c r="Y360" i="6" s="1"/>
  <c r="Y361" i="6" s="1"/>
  <c r="Y362" i="6" s="1"/>
  <c r="Y363" i="6" s="1"/>
  <c r="Y364" i="6" s="1"/>
  <c r="Y365" i="6" s="1"/>
  <c r="Y366" i="6" s="1"/>
  <c r="Y367" i="6" s="1"/>
  <c r="Y368" i="6" s="1"/>
  <c r="Y369" i="6" s="1"/>
  <c r="Y370" i="6" s="1"/>
  <c r="Y371" i="6" s="1"/>
  <c r="Y372" i="6" s="1"/>
  <c r="Y373" i="6" s="1"/>
  <c r="Y374" i="6" s="1"/>
  <c r="Y375" i="6" s="1"/>
  <c r="Y376" i="6" s="1"/>
  <c r="Y377" i="6" s="1"/>
  <c r="Y378" i="6" s="1"/>
  <c r="Y379" i="6" s="1"/>
  <c r="Y380" i="6" s="1"/>
  <c r="Y381" i="6" s="1"/>
  <c r="Y382" i="6" s="1"/>
  <c r="Y383" i="6" s="1"/>
  <c r="Y384" i="6" s="1"/>
  <c r="Y385" i="6" s="1"/>
  <c r="Y386" i="6" s="1"/>
  <c r="Y387" i="6" s="1"/>
  <c r="Y388" i="6" s="1"/>
  <c r="Y389" i="6" s="1"/>
  <c r="Y390" i="6" s="1"/>
  <c r="Y391" i="6" s="1"/>
  <c r="Y392" i="6" s="1"/>
  <c r="Y393" i="6" s="1"/>
  <c r="Y394" i="6" s="1"/>
  <c r="Y395" i="6" s="1"/>
  <c r="Y396" i="6" s="1"/>
  <c r="Y397" i="6" s="1"/>
  <c r="Y398" i="6" s="1"/>
  <c r="Y399" i="6" s="1"/>
  <c r="Y400" i="6" s="1"/>
  <c r="Y401" i="6" s="1"/>
  <c r="W3" i="6"/>
  <c r="W4" i="6" s="1"/>
  <c r="W5" i="6" s="1"/>
  <c r="W6" i="6" s="1"/>
  <c r="W7" i="6" s="1"/>
  <c r="W8" i="6" s="1"/>
  <c r="W9" i="6" s="1"/>
  <c r="W10" i="6" s="1"/>
  <c r="W11" i="6" s="1"/>
  <c r="W12" i="6" s="1"/>
  <c r="W13" i="6" s="1"/>
  <c r="W14" i="6" s="1"/>
  <c r="W15" i="6" s="1"/>
  <c r="W16" i="6" s="1"/>
  <c r="W17" i="6" s="1"/>
  <c r="W18" i="6" s="1"/>
  <c r="W19" i="6" s="1"/>
  <c r="W20" i="6" s="1"/>
  <c r="W21" i="6" s="1"/>
  <c r="W22" i="6" s="1"/>
  <c r="W23" i="6" s="1"/>
  <c r="W24" i="6" s="1"/>
  <c r="W25" i="6" s="1"/>
  <c r="W26" i="6" s="1"/>
  <c r="W27" i="6" s="1"/>
  <c r="W28" i="6" s="1"/>
  <c r="W29" i="6" s="1"/>
  <c r="W30" i="6" s="1"/>
  <c r="W31" i="6" s="1"/>
  <c r="W32" i="6" s="1"/>
  <c r="W33" i="6" s="1"/>
  <c r="W34" i="6" s="1"/>
  <c r="W35" i="6" s="1"/>
  <c r="W36" i="6" s="1"/>
  <c r="W37" i="6" s="1"/>
  <c r="W38" i="6" s="1"/>
  <c r="W39" i="6" s="1"/>
  <c r="W40" i="6" s="1"/>
  <c r="W41" i="6" s="1"/>
  <c r="W42" i="6" s="1"/>
  <c r="W43" i="6" s="1"/>
  <c r="W44" i="6" s="1"/>
  <c r="W45" i="6" s="1"/>
  <c r="W46" i="6" s="1"/>
  <c r="W47" i="6" s="1"/>
  <c r="W48" i="6" s="1"/>
  <c r="W49" i="6" s="1"/>
  <c r="W50" i="6" s="1"/>
  <c r="W51" i="6" s="1"/>
  <c r="W52" i="6" s="1"/>
  <c r="W53" i="6" s="1"/>
  <c r="W54" i="6" s="1"/>
  <c r="W55" i="6" s="1"/>
  <c r="W56" i="6" s="1"/>
  <c r="W57" i="6" s="1"/>
  <c r="W58" i="6" s="1"/>
  <c r="W59" i="6" s="1"/>
  <c r="W60" i="6" s="1"/>
  <c r="W61" i="6" s="1"/>
  <c r="W62" i="6" s="1"/>
  <c r="W63" i="6" s="1"/>
  <c r="W64" i="6" s="1"/>
  <c r="W65" i="6" s="1"/>
  <c r="W66" i="6" s="1"/>
  <c r="W67" i="6" s="1"/>
  <c r="W68" i="6" s="1"/>
  <c r="W69" i="6" s="1"/>
  <c r="W70" i="6" s="1"/>
  <c r="W71" i="6" s="1"/>
  <c r="W72" i="6" s="1"/>
  <c r="W73" i="6" s="1"/>
  <c r="W74" i="6" s="1"/>
  <c r="W75" i="6" s="1"/>
  <c r="W76" i="6" s="1"/>
  <c r="W77" i="6" s="1"/>
  <c r="W78" i="6" s="1"/>
  <c r="W79" i="6" s="1"/>
  <c r="W80" i="6" s="1"/>
  <c r="W81" i="6" s="1"/>
  <c r="W82" i="6" s="1"/>
  <c r="W83" i="6" s="1"/>
  <c r="W84" i="6" s="1"/>
  <c r="W85" i="6" s="1"/>
  <c r="W86" i="6" s="1"/>
  <c r="W87" i="6" s="1"/>
  <c r="W88" i="6" s="1"/>
  <c r="W89" i="6" s="1"/>
  <c r="W90" i="6" s="1"/>
  <c r="W91" i="6" s="1"/>
  <c r="W92" i="6" s="1"/>
  <c r="W93" i="6" s="1"/>
  <c r="W94" i="6" s="1"/>
  <c r="W95" i="6" s="1"/>
  <c r="W96" i="6" s="1"/>
  <c r="W97" i="6" s="1"/>
  <c r="W98" i="6" s="1"/>
  <c r="W99" i="6" s="1"/>
  <c r="W100" i="6" s="1"/>
  <c r="W101" i="6" s="1"/>
  <c r="W102" i="6" s="1"/>
  <c r="W103" i="6" s="1"/>
  <c r="W104" i="6" s="1"/>
  <c r="W105" i="6" s="1"/>
  <c r="W106" i="6" s="1"/>
  <c r="W107" i="6" s="1"/>
  <c r="W108" i="6" s="1"/>
  <c r="W109" i="6" s="1"/>
  <c r="W110" i="6" s="1"/>
  <c r="W111" i="6" s="1"/>
  <c r="W112" i="6" s="1"/>
  <c r="W113" i="6" s="1"/>
  <c r="W114" i="6" s="1"/>
  <c r="W115" i="6" s="1"/>
  <c r="W116" i="6" s="1"/>
  <c r="W117" i="6" s="1"/>
  <c r="W118" i="6" s="1"/>
  <c r="W119" i="6" s="1"/>
  <c r="W120" i="6" s="1"/>
  <c r="W121" i="6" s="1"/>
  <c r="W122" i="6" s="1"/>
  <c r="W123" i="6" s="1"/>
  <c r="W124" i="6" s="1"/>
  <c r="W125" i="6" s="1"/>
  <c r="W126" i="6" s="1"/>
  <c r="W127" i="6" s="1"/>
  <c r="W128" i="6" s="1"/>
  <c r="W129" i="6" s="1"/>
  <c r="W130" i="6" s="1"/>
  <c r="W131" i="6" s="1"/>
  <c r="W132" i="6" s="1"/>
  <c r="W133" i="6" s="1"/>
  <c r="W134" i="6" s="1"/>
  <c r="W135" i="6" s="1"/>
  <c r="W136" i="6" s="1"/>
  <c r="W137" i="6" s="1"/>
  <c r="W138" i="6" s="1"/>
  <c r="W139" i="6" s="1"/>
  <c r="W140" i="6" s="1"/>
  <c r="W141" i="6" s="1"/>
  <c r="W142" i="6" s="1"/>
  <c r="W143" i="6" s="1"/>
  <c r="W144" i="6" s="1"/>
  <c r="W145" i="6" s="1"/>
  <c r="W146" i="6" s="1"/>
  <c r="W147" i="6" s="1"/>
  <c r="W148" i="6" s="1"/>
  <c r="W149" i="6" s="1"/>
  <c r="W150" i="6" s="1"/>
  <c r="W151" i="6" s="1"/>
  <c r="W152" i="6" s="1"/>
  <c r="W153" i="6" s="1"/>
  <c r="W154" i="6" s="1"/>
  <c r="W155" i="6" s="1"/>
  <c r="W156" i="6" s="1"/>
  <c r="W157" i="6" s="1"/>
  <c r="W158" i="6" s="1"/>
  <c r="W159" i="6" s="1"/>
  <c r="W160" i="6" s="1"/>
  <c r="W161" i="6" s="1"/>
  <c r="W162" i="6" s="1"/>
  <c r="W163" i="6" s="1"/>
  <c r="W164" i="6" s="1"/>
  <c r="W165" i="6" s="1"/>
  <c r="W166" i="6" s="1"/>
  <c r="W167" i="6" s="1"/>
  <c r="W168" i="6" s="1"/>
  <c r="W169" i="6" s="1"/>
  <c r="W170" i="6" s="1"/>
  <c r="W171" i="6" s="1"/>
  <c r="W172" i="6" s="1"/>
  <c r="W173" i="6" s="1"/>
  <c r="W174" i="6" s="1"/>
  <c r="W175" i="6" s="1"/>
  <c r="W176" i="6" s="1"/>
  <c r="W177" i="6" s="1"/>
  <c r="W178" i="6" s="1"/>
  <c r="W179" i="6" s="1"/>
  <c r="W180" i="6" s="1"/>
  <c r="W181" i="6" s="1"/>
  <c r="W182" i="6" s="1"/>
  <c r="W183" i="6" s="1"/>
  <c r="W184" i="6" s="1"/>
  <c r="W185" i="6" s="1"/>
  <c r="W186" i="6" s="1"/>
  <c r="W187" i="6" s="1"/>
  <c r="W188" i="6" s="1"/>
  <c r="W189" i="6" s="1"/>
  <c r="W190" i="6" s="1"/>
  <c r="W191" i="6" s="1"/>
  <c r="W192" i="6" s="1"/>
  <c r="W193" i="6" s="1"/>
  <c r="W194" i="6" s="1"/>
  <c r="W195" i="6" s="1"/>
  <c r="W196" i="6" s="1"/>
  <c r="W197" i="6" s="1"/>
  <c r="W198" i="6" s="1"/>
  <c r="W199" i="6" s="1"/>
  <c r="W200" i="6" s="1"/>
  <c r="W201" i="6" s="1"/>
  <c r="W202" i="6" s="1"/>
  <c r="W203" i="6" s="1"/>
  <c r="W204" i="6" s="1"/>
  <c r="W205" i="6" s="1"/>
  <c r="W206" i="6" s="1"/>
  <c r="W207" i="6" s="1"/>
  <c r="W208" i="6" s="1"/>
  <c r="W209" i="6" s="1"/>
  <c r="W210" i="6" s="1"/>
  <c r="W211" i="6" s="1"/>
  <c r="W212" i="6" s="1"/>
  <c r="W213" i="6" s="1"/>
  <c r="W214" i="6" s="1"/>
  <c r="W215" i="6" s="1"/>
  <c r="W216" i="6" s="1"/>
  <c r="W217" i="6" s="1"/>
  <c r="W218" i="6" s="1"/>
  <c r="W219" i="6" s="1"/>
  <c r="W220" i="6" s="1"/>
  <c r="W221" i="6" s="1"/>
  <c r="W222" i="6" s="1"/>
  <c r="W223" i="6" s="1"/>
  <c r="W224" i="6" s="1"/>
  <c r="W225" i="6" s="1"/>
  <c r="W226" i="6" s="1"/>
  <c r="W227" i="6" s="1"/>
  <c r="W228" i="6" s="1"/>
  <c r="W229" i="6" s="1"/>
  <c r="W230" i="6" s="1"/>
  <c r="W231" i="6" s="1"/>
  <c r="W232" i="6" s="1"/>
  <c r="W233" i="6" s="1"/>
  <c r="W234" i="6" s="1"/>
  <c r="W235" i="6" s="1"/>
  <c r="W236" i="6" s="1"/>
  <c r="W237" i="6" s="1"/>
  <c r="W238" i="6" s="1"/>
  <c r="W239" i="6" s="1"/>
  <c r="W240" i="6" s="1"/>
  <c r="W241" i="6" s="1"/>
  <c r="W242" i="6" s="1"/>
  <c r="W243" i="6" s="1"/>
  <c r="W244" i="6" s="1"/>
  <c r="W245" i="6" s="1"/>
  <c r="W246" i="6" s="1"/>
  <c r="W247" i="6" s="1"/>
  <c r="W248" i="6" s="1"/>
  <c r="W249" i="6" s="1"/>
  <c r="W250" i="6" s="1"/>
  <c r="W251" i="6" s="1"/>
  <c r="W252" i="6" s="1"/>
  <c r="W253" i="6" s="1"/>
  <c r="W254" i="6" s="1"/>
  <c r="W255" i="6" s="1"/>
  <c r="W256" i="6" s="1"/>
  <c r="W257" i="6" s="1"/>
  <c r="W258" i="6" s="1"/>
  <c r="W259" i="6" s="1"/>
  <c r="W260" i="6" s="1"/>
  <c r="W261" i="6" s="1"/>
  <c r="W262" i="6" s="1"/>
  <c r="W263" i="6" s="1"/>
  <c r="W264" i="6" s="1"/>
  <c r="W265" i="6" s="1"/>
  <c r="W266" i="6" s="1"/>
  <c r="W267" i="6" s="1"/>
  <c r="W268" i="6" s="1"/>
  <c r="W269" i="6" s="1"/>
  <c r="W270" i="6" s="1"/>
  <c r="W271" i="6" s="1"/>
  <c r="W272" i="6" s="1"/>
  <c r="W273" i="6" s="1"/>
  <c r="W274" i="6" s="1"/>
  <c r="W275" i="6" s="1"/>
  <c r="W276" i="6" s="1"/>
  <c r="W277" i="6" s="1"/>
  <c r="W278" i="6" s="1"/>
  <c r="W279" i="6" s="1"/>
  <c r="W280" i="6" s="1"/>
  <c r="W281" i="6" s="1"/>
  <c r="W282" i="6" s="1"/>
  <c r="W283" i="6" s="1"/>
  <c r="W284" i="6" s="1"/>
  <c r="W285" i="6" s="1"/>
  <c r="W286" i="6" s="1"/>
  <c r="W287" i="6" s="1"/>
  <c r="W288" i="6" s="1"/>
  <c r="W289" i="6" s="1"/>
  <c r="W290" i="6" s="1"/>
  <c r="W291" i="6" s="1"/>
  <c r="W292" i="6" s="1"/>
  <c r="W293" i="6" s="1"/>
  <c r="W294" i="6" s="1"/>
  <c r="W295" i="6" s="1"/>
  <c r="W296" i="6" s="1"/>
  <c r="W297" i="6" s="1"/>
  <c r="W298" i="6" s="1"/>
  <c r="W299" i="6" s="1"/>
  <c r="W300" i="6" s="1"/>
  <c r="W301" i="6" s="1"/>
  <c r="W302" i="6" s="1"/>
  <c r="W303" i="6" s="1"/>
  <c r="W304" i="6" s="1"/>
  <c r="W305" i="6" s="1"/>
  <c r="W306" i="6" s="1"/>
  <c r="W307" i="6" s="1"/>
  <c r="W308" i="6" s="1"/>
  <c r="W309" i="6" s="1"/>
  <c r="W310" i="6" s="1"/>
  <c r="W311" i="6" s="1"/>
  <c r="W312" i="6" s="1"/>
  <c r="W313" i="6" s="1"/>
  <c r="W314" i="6" s="1"/>
  <c r="W315" i="6" s="1"/>
  <c r="W316" i="6" s="1"/>
  <c r="W317" i="6" s="1"/>
  <c r="W318" i="6" s="1"/>
  <c r="W319" i="6" s="1"/>
  <c r="W320" i="6" s="1"/>
  <c r="W321" i="6" s="1"/>
  <c r="W322" i="6" s="1"/>
  <c r="W323" i="6" s="1"/>
  <c r="W324" i="6" s="1"/>
  <c r="W325" i="6" s="1"/>
  <c r="W326" i="6" s="1"/>
  <c r="W327" i="6" s="1"/>
  <c r="W328" i="6" s="1"/>
  <c r="W329" i="6" s="1"/>
  <c r="W330" i="6" s="1"/>
  <c r="W331" i="6" s="1"/>
  <c r="W332" i="6" s="1"/>
  <c r="W333" i="6" s="1"/>
  <c r="W334" i="6" s="1"/>
  <c r="W335" i="6" s="1"/>
  <c r="W336" i="6" s="1"/>
  <c r="W337" i="6" s="1"/>
  <c r="W338" i="6" s="1"/>
  <c r="W339" i="6" s="1"/>
  <c r="W340" i="6" s="1"/>
  <c r="W341" i="6" s="1"/>
  <c r="W342" i="6" s="1"/>
  <c r="W343" i="6" s="1"/>
  <c r="W344" i="6" s="1"/>
  <c r="W345" i="6" s="1"/>
  <c r="W346" i="6" s="1"/>
  <c r="W347" i="6" s="1"/>
  <c r="W348" i="6" s="1"/>
  <c r="W349" i="6" s="1"/>
  <c r="W350" i="6" s="1"/>
  <c r="W351" i="6" s="1"/>
  <c r="W352" i="6" s="1"/>
  <c r="W353" i="6" s="1"/>
  <c r="W354" i="6" s="1"/>
  <c r="W355" i="6" s="1"/>
  <c r="W356" i="6" s="1"/>
  <c r="W357" i="6" s="1"/>
  <c r="W358" i="6" s="1"/>
  <c r="W359" i="6" s="1"/>
  <c r="W360" i="6" s="1"/>
  <c r="W361" i="6" s="1"/>
  <c r="W362" i="6" s="1"/>
  <c r="W363" i="6" s="1"/>
  <c r="W364" i="6" s="1"/>
  <c r="W365" i="6" s="1"/>
  <c r="W366" i="6" s="1"/>
  <c r="W367" i="6" s="1"/>
  <c r="W368" i="6" s="1"/>
  <c r="W369" i="6" s="1"/>
  <c r="W370" i="6" s="1"/>
  <c r="W371" i="6" s="1"/>
  <c r="W372" i="6" s="1"/>
  <c r="W373" i="6" s="1"/>
  <c r="W374" i="6" s="1"/>
  <c r="W375" i="6" s="1"/>
  <c r="W376" i="6" s="1"/>
  <c r="W377" i="6" s="1"/>
  <c r="W378" i="6" s="1"/>
  <c r="W379" i="6" s="1"/>
  <c r="W380" i="6" s="1"/>
  <c r="W381" i="6" s="1"/>
  <c r="W382" i="6" s="1"/>
  <c r="W383" i="6" s="1"/>
  <c r="W384" i="6" s="1"/>
  <c r="W385" i="6" s="1"/>
  <c r="W386" i="6" s="1"/>
  <c r="W387" i="6" s="1"/>
  <c r="W388" i="6" s="1"/>
  <c r="W389" i="6" s="1"/>
  <c r="W390" i="6" s="1"/>
  <c r="W391" i="6" s="1"/>
  <c r="W392" i="6" s="1"/>
  <c r="W393" i="6" s="1"/>
  <c r="W394" i="6" s="1"/>
  <c r="W395" i="6" s="1"/>
  <c r="W396" i="6" s="1"/>
  <c r="W397" i="6" s="1"/>
  <c r="W398" i="6" s="1"/>
  <c r="W399" i="6" s="1"/>
  <c r="W400" i="6" s="1"/>
  <c r="W401" i="6" s="1"/>
  <c r="U3" i="6"/>
  <c r="U4" i="6" s="1"/>
  <c r="U5" i="6" s="1"/>
  <c r="U6" i="6" s="1"/>
  <c r="U7" i="6" s="1"/>
  <c r="U8" i="6" s="1"/>
  <c r="U9" i="6" s="1"/>
  <c r="U10" i="6" s="1"/>
  <c r="U11" i="6" s="1"/>
  <c r="U12" i="6" s="1"/>
  <c r="U13" i="6" s="1"/>
  <c r="U14" i="6" s="1"/>
  <c r="U15" i="6" s="1"/>
  <c r="U16" i="6" s="1"/>
  <c r="U17" i="6" s="1"/>
  <c r="U18" i="6" s="1"/>
  <c r="U19" i="6" s="1"/>
  <c r="U20" i="6" s="1"/>
  <c r="U21" i="6" s="1"/>
  <c r="U22" i="6" s="1"/>
  <c r="U23" i="6" s="1"/>
  <c r="U24" i="6" s="1"/>
  <c r="U25" i="6" s="1"/>
  <c r="U26" i="6" s="1"/>
  <c r="U27" i="6" s="1"/>
  <c r="U28" i="6" s="1"/>
  <c r="U29" i="6" s="1"/>
  <c r="U30" i="6" s="1"/>
  <c r="U31" i="6" s="1"/>
  <c r="U32" i="6" s="1"/>
  <c r="U33" i="6" s="1"/>
  <c r="U34" i="6" s="1"/>
  <c r="U35" i="6" s="1"/>
  <c r="U36" i="6" s="1"/>
  <c r="U37" i="6" s="1"/>
  <c r="U38" i="6" s="1"/>
  <c r="U39" i="6" s="1"/>
  <c r="U40" i="6" s="1"/>
  <c r="U41" i="6" s="1"/>
  <c r="U42" i="6" s="1"/>
  <c r="U43" i="6" s="1"/>
  <c r="U44" i="6" s="1"/>
  <c r="U45" i="6" s="1"/>
  <c r="U46" i="6" s="1"/>
  <c r="U47" i="6" s="1"/>
  <c r="U48" i="6" s="1"/>
  <c r="U49" i="6" s="1"/>
  <c r="U50" i="6" s="1"/>
  <c r="U51" i="6" s="1"/>
  <c r="U52" i="6" s="1"/>
  <c r="U53" i="6" s="1"/>
  <c r="U54" i="6" s="1"/>
  <c r="U55" i="6" s="1"/>
  <c r="U56" i="6" s="1"/>
  <c r="U57" i="6" s="1"/>
  <c r="U58" i="6" s="1"/>
  <c r="U59" i="6" s="1"/>
  <c r="U60" i="6" s="1"/>
  <c r="U61" i="6" s="1"/>
  <c r="U62" i="6" s="1"/>
  <c r="U63" i="6" s="1"/>
  <c r="U64" i="6" s="1"/>
  <c r="U65" i="6" s="1"/>
  <c r="U66" i="6" s="1"/>
  <c r="U67" i="6" s="1"/>
  <c r="U68" i="6" s="1"/>
  <c r="U69" i="6" s="1"/>
  <c r="U70" i="6" s="1"/>
  <c r="U71" i="6" s="1"/>
  <c r="U72" i="6" s="1"/>
  <c r="U73" i="6" s="1"/>
  <c r="U74" i="6" s="1"/>
  <c r="U75" i="6" s="1"/>
  <c r="U76" i="6" s="1"/>
  <c r="U77" i="6" s="1"/>
  <c r="U78" i="6" s="1"/>
  <c r="U79" i="6" s="1"/>
  <c r="U80" i="6" s="1"/>
  <c r="U81" i="6" s="1"/>
  <c r="U82" i="6" s="1"/>
  <c r="U83" i="6" s="1"/>
  <c r="U84" i="6" s="1"/>
  <c r="U85" i="6" s="1"/>
  <c r="U86" i="6" s="1"/>
  <c r="U87" i="6" s="1"/>
  <c r="U88" i="6" s="1"/>
  <c r="U89" i="6" s="1"/>
  <c r="U90" i="6" s="1"/>
  <c r="U91" i="6" s="1"/>
  <c r="U92" i="6" s="1"/>
  <c r="U93" i="6" s="1"/>
  <c r="U94" i="6" s="1"/>
  <c r="U95" i="6" s="1"/>
  <c r="U96" i="6" s="1"/>
  <c r="U97" i="6" s="1"/>
  <c r="U98" i="6" s="1"/>
  <c r="U99" i="6" s="1"/>
  <c r="U100" i="6" s="1"/>
  <c r="U101" i="6" s="1"/>
  <c r="U102" i="6" s="1"/>
  <c r="U103" i="6" s="1"/>
  <c r="U104" i="6" s="1"/>
  <c r="U105" i="6" s="1"/>
  <c r="U106" i="6" s="1"/>
  <c r="U107" i="6" s="1"/>
  <c r="U108" i="6" s="1"/>
  <c r="U109" i="6" s="1"/>
  <c r="U110" i="6" s="1"/>
  <c r="U111" i="6" s="1"/>
  <c r="U112" i="6" s="1"/>
  <c r="U113" i="6" s="1"/>
  <c r="U114" i="6" s="1"/>
  <c r="U115" i="6" s="1"/>
  <c r="U116" i="6" s="1"/>
  <c r="U117" i="6" s="1"/>
  <c r="U118" i="6" s="1"/>
  <c r="U119" i="6" s="1"/>
  <c r="U120" i="6" s="1"/>
  <c r="U121" i="6" s="1"/>
  <c r="U122" i="6" s="1"/>
  <c r="U123" i="6" s="1"/>
  <c r="U124" i="6" s="1"/>
  <c r="U125" i="6" s="1"/>
  <c r="U126" i="6" s="1"/>
  <c r="U127" i="6" s="1"/>
  <c r="U128" i="6" s="1"/>
  <c r="U129" i="6" s="1"/>
  <c r="U130" i="6" s="1"/>
  <c r="U131" i="6" s="1"/>
  <c r="U132" i="6" s="1"/>
  <c r="U133" i="6" s="1"/>
  <c r="U134" i="6" s="1"/>
  <c r="U135" i="6" s="1"/>
  <c r="U136" i="6" s="1"/>
  <c r="U137" i="6" s="1"/>
  <c r="U138" i="6" s="1"/>
  <c r="U139" i="6" s="1"/>
  <c r="U140" i="6" s="1"/>
  <c r="U141" i="6" s="1"/>
  <c r="U142" i="6" s="1"/>
  <c r="U143" i="6" s="1"/>
  <c r="U144" i="6" s="1"/>
  <c r="U145" i="6" s="1"/>
  <c r="U146" i="6" s="1"/>
  <c r="U147" i="6" s="1"/>
  <c r="U148" i="6" s="1"/>
  <c r="U149" i="6" s="1"/>
  <c r="U150" i="6" s="1"/>
  <c r="U151" i="6" s="1"/>
  <c r="U152" i="6" s="1"/>
  <c r="U153" i="6" s="1"/>
  <c r="U154" i="6" s="1"/>
  <c r="U155" i="6" s="1"/>
  <c r="U156" i="6" s="1"/>
  <c r="U157" i="6" s="1"/>
  <c r="U158" i="6" s="1"/>
  <c r="U159" i="6" s="1"/>
  <c r="U160" i="6" s="1"/>
  <c r="U161" i="6" s="1"/>
  <c r="U162" i="6" s="1"/>
  <c r="U163" i="6" s="1"/>
  <c r="U164" i="6" s="1"/>
  <c r="U165" i="6" s="1"/>
  <c r="U166" i="6" s="1"/>
  <c r="U167" i="6" s="1"/>
  <c r="U168" i="6" s="1"/>
  <c r="U169" i="6" s="1"/>
  <c r="U170" i="6" s="1"/>
  <c r="U171" i="6" s="1"/>
  <c r="U172" i="6" s="1"/>
  <c r="U173" i="6" s="1"/>
  <c r="U174" i="6" s="1"/>
  <c r="U175" i="6" s="1"/>
  <c r="U176" i="6" s="1"/>
  <c r="U177" i="6" s="1"/>
  <c r="U178" i="6" s="1"/>
  <c r="U179" i="6" s="1"/>
  <c r="U180" i="6" s="1"/>
  <c r="U181" i="6" s="1"/>
  <c r="U182" i="6" s="1"/>
  <c r="U183" i="6" s="1"/>
  <c r="U184" i="6" s="1"/>
  <c r="U185" i="6" s="1"/>
  <c r="U186" i="6" s="1"/>
  <c r="U187" i="6" s="1"/>
  <c r="U188" i="6" s="1"/>
  <c r="U189" i="6" s="1"/>
  <c r="U190" i="6" s="1"/>
  <c r="U191" i="6" s="1"/>
  <c r="U192" i="6" s="1"/>
  <c r="U193" i="6" s="1"/>
  <c r="U194" i="6" s="1"/>
  <c r="U195" i="6" s="1"/>
  <c r="U196" i="6" s="1"/>
  <c r="U197" i="6" s="1"/>
  <c r="U198" i="6" s="1"/>
  <c r="U199" i="6" s="1"/>
  <c r="U200" i="6" s="1"/>
  <c r="U201" i="6" s="1"/>
  <c r="U202" i="6" s="1"/>
  <c r="U203" i="6" s="1"/>
  <c r="U204" i="6" s="1"/>
  <c r="U205" i="6" s="1"/>
  <c r="U206" i="6" s="1"/>
  <c r="U207" i="6" s="1"/>
  <c r="U208" i="6" s="1"/>
  <c r="U209" i="6" s="1"/>
  <c r="U210" i="6" s="1"/>
  <c r="U211" i="6" s="1"/>
  <c r="U212" i="6" s="1"/>
  <c r="U213" i="6" s="1"/>
  <c r="U214" i="6" s="1"/>
  <c r="U215" i="6" s="1"/>
  <c r="U216" i="6" s="1"/>
  <c r="U217" i="6" s="1"/>
  <c r="U218" i="6" s="1"/>
  <c r="U219" i="6" s="1"/>
  <c r="U220" i="6" s="1"/>
  <c r="U221" i="6" s="1"/>
  <c r="U222" i="6" s="1"/>
  <c r="U223" i="6" s="1"/>
  <c r="U224" i="6" s="1"/>
  <c r="U225" i="6" s="1"/>
  <c r="U226" i="6" s="1"/>
  <c r="U227" i="6" s="1"/>
  <c r="U228" i="6" s="1"/>
  <c r="U229" i="6" s="1"/>
  <c r="U230" i="6" s="1"/>
  <c r="U231" i="6" s="1"/>
  <c r="U232" i="6" s="1"/>
  <c r="U233" i="6" s="1"/>
  <c r="U234" i="6" s="1"/>
  <c r="U235" i="6" s="1"/>
  <c r="U236" i="6" s="1"/>
  <c r="U237" i="6" s="1"/>
  <c r="U238" i="6" s="1"/>
  <c r="U239" i="6" s="1"/>
  <c r="U240" i="6" s="1"/>
  <c r="U241" i="6" s="1"/>
  <c r="U242" i="6" s="1"/>
  <c r="U243" i="6" s="1"/>
  <c r="U244" i="6" s="1"/>
  <c r="U245" i="6" s="1"/>
  <c r="U246" i="6" s="1"/>
  <c r="U247" i="6" s="1"/>
  <c r="U248" i="6" s="1"/>
  <c r="U249" i="6" s="1"/>
  <c r="U250" i="6" s="1"/>
  <c r="U251" i="6" s="1"/>
  <c r="U252" i="6" s="1"/>
  <c r="U253" i="6" s="1"/>
  <c r="U254" i="6" s="1"/>
  <c r="U255" i="6" s="1"/>
  <c r="U256" i="6" s="1"/>
  <c r="U257" i="6" s="1"/>
  <c r="U258" i="6" s="1"/>
  <c r="U259" i="6" s="1"/>
  <c r="U260" i="6" s="1"/>
  <c r="U261" i="6" s="1"/>
  <c r="U262" i="6" s="1"/>
  <c r="U263" i="6" s="1"/>
  <c r="U264" i="6" s="1"/>
  <c r="U265" i="6" s="1"/>
  <c r="U266" i="6" s="1"/>
  <c r="U267" i="6" s="1"/>
  <c r="U268" i="6" s="1"/>
  <c r="U269" i="6" s="1"/>
  <c r="U270" i="6" s="1"/>
  <c r="U271" i="6" s="1"/>
  <c r="U272" i="6" s="1"/>
  <c r="U273" i="6" s="1"/>
  <c r="U274" i="6" s="1"/>
  <c r="U275" i="6" s="1"/>
  <c r="U276" i="6" s="1"/>
  <c r="U277" i="6" s="1"/>
  <c r="U278" i="6" s="1"/>
  <c r="U279" i="6" s="1"/>
  <c r="U280" i="6" s="1"/>
  <c r="U281" i="6" s="1"/>
  <c r="U282" i="6" s="1"/>
  <c r="U283" i="6" s="1"/>
  <c r="U284" i="6" s="1"/>
  <c r="U285" i="6" s="1"/>
  <c r="U286" i="6" s="1"/>
  <c r="U287" i="6" s="1"/>
  <c r="U288" i="6" s="1"/>
  <c r="U289" i="6" s="1"/>
  <c r="U290" i="6" s="1"/>
  <c r="U291" i="6" s="1"/>
  <c r="U292" i="6" s="1"/>
  <c r="U293" i="6" s="1"/>
  <c r="U294" i="6" s="1"/>
  <c r="U295" i="6" s="1"/>
  <c r="U296" i="6" s="1"/>
  <c r="U297" i="6" s="1"/>
  <c r="U298" i="6" s="1"/>
  <c r="U299" i="6" s="1"/>
  <c r="U300" i="6" s="1"/>
  <c r="U301" i="6" s="1"/>
  <c r="U302" i="6" s="1"/>
  <c r="U303" i="6" s="1"/>
  <c r="U304" i="6" s="1"/>
  <c r="U305" i="6" s="1"/>
  <c r="U306" i="6" s="1"/>
  <c r="U307" i="6" s="1"/>
  <c r="U308" i="6" s="1"/>
  <c r="U309" i="6" s="1"/>
  <c r="U310" i="6" s="1"/>
  <c r="U311" i="6" s="1"/>
  <c r="U312" i="6" s="1"/>
  <c r="U313" i="6" s="1"/>
  <c r="U314" i="6" s="1"/>
  <c r="U315" i="6" s="1"/>
  <c r="U316" i="6" s="1"/>
  <c r="U317" i="6" s="1"/>
  <c r="U318" i="6" s="1"/>
  <c r="U319" i="6" s="1"/>
  <c r="U320" i="6" s="1"/>
  <c r="U321" i="6" s="1"/>
  <c r="U322" i="6" s="1"/>
  <c r="U323" i="6" s="1"/>
  <c r="U324" i="6" s="1"/>
  <c r="U325" i="6" s="1"/>
  <c r="U326" i="6" s="1"/>
  <c r="U327" i="6" s="1"/>
  <c r="U328" i="6" s="1"/>
  <c r="U329" i="6" s="1"/>
  <c r="U330" i="6" s="1"/>
  <c r="U331" i="6" s="1"/>
  <c r="U332" i="6" s="1"/>
  <c r="U333" i="6" s="1"/>
  <c r="U334" i="6" s="1"/>
  <c r="U335" i="6" s="1"/>
  <c r="U336" i="6" s="1"/>
  <c r="U337" i="6" s="1"/>
  <c r="U338" i="6" s="1"/>
  <c r="U339" i="6" s="1"/>
  <c r="U340" i="6" s="1"/>
  <c r="U341" i="6" s="1"/>
  <c r="U342" i="6" s="1"/>
  <c r="U343" i="6" s="1"/>
  <c r="U344" i="6" s="1"/>
  <c r="U345" i="6" s="1"/>
  <c r="U346" i="6" s="1"/>
  <c r="U347" i="6" s="1"/>
  <c r="U348" i="6" s="1"/>
  <c r="U349" i="6" s="1"/>
  <c r="U350" i="6" s="1"/>
  <c r="U351" i="6" s="1"/>
  <c r="U352" i="6" s="1"/>
  <c r="U353" i="6" s="1"/>
  <c r="U354" i="6" s="1"/>
  <c r="U355" i="6" s="1"/>
  <c r="U356" i="6" s="1"/>
  <c r="U357" i="6" s="1"/>
  <c r="U358" i="6" s="1"/>
  <c r="U359" i="6" s="1"/>
  <c r="U360" i="6" s="1"/>
  <c r="U361" i="6" s="1"/>
  <c r="U362" i="6" s="1"/>
  <c r="U363" i="6" s="1"/>
  <c r="U364" i="6" s="1"/>
  <c r="U365" i="6" s="1"/>
  <c r="U366" i="6" s="1"/>
  <c r="U367" i="6" s="1"/>
  <c r="U368" i="6" s="1"/>
  <c r="U369" i="6" s="1"/>
  <c r="U370" i="6" s="1"/>
  <c r="U371" i="6" s="1"/>
  <c r="U372" i="6" s="1"/>
  <c r="U373" i="6" s="1"/>
  <c r="U374" i="6" s="1"/>
  <c r="U375" i="6" s="1"/>
  <c r="U376" i="6" s="1"/>
  <c r="U377" i="6" s="1"/>
  <c r="U378" i="6" s="1"/>
  <c r="U379" i="6" s="1"/>
  <c r="U380" i="6" s="1"/>
  <c r="U381" i="6" s="1"/>
  <c r="U382" i="6" s="1"/>
  <c r="U383" i="6" s="1"/>
  <c r="U384" i="6" s="1"/>
  <c r="U385" i="6" s="1"/>
  <c r="U386" i="6" s="1"/>
  <c r="U387" i="6" s="1"/>
  <c r="U388" i="6" s="1"/>
  <c r="U389" i="6" s="1"/>
  <c r="U390" i="6" s="1"/>
  <c r="U391" i="6" s="1"/>
  <c r="U392" i="6" s="1"/>
  <c r="U393" i="6" s="1"/>
  <c r="U394" i="6" s="1"/>
  <c r="U395" i="6" s="1"/>
  <c r="U396" i="6" s="1"/>
  <c r="U397" i="6" s="1"/>
  <c r="U398" i="6" s="1"/>
  <c r="U399" i="6" s="1"/>
  <c r="U400" i="6" s="1"/>
  <c r="U401" i="6" s="1"/>
  <c r="S3" i="6"/>
  <c r="S4" i="6" s="1"/>
  <c r="S5" i="6" s="1"/>
  <c r="S6" i="6" s="1"/>
  <c r="S7" i="6" s="1"/>
  <c r="S8" i="6" s="1"/>
  <c r="S9" i="6" s="1"/>
  <c r="S10" i="6" s="1"/>
  <c r="S11" i="6" s="1"/>
  <c r="S12" i="6" s="1"/>
  <c r="S13" i="6" s="1"/>
  <c r="S14" i="6" s="1"/>
  <c r="S15" i="6" s="1"/>
  <c r="S16" i="6" s="1"/>
  <c r="S17" i="6" s="1"/>
  <c r="S18" i="6" s="1"/>
  <c r="S19" i="6" s="1"/>
  <c r="S20" i="6" s="1"/>
  <c r="S21" i="6" s="1"/>
  <c r="S22" i="6" s="1"/>
  <c r="S23" i="6" s="1"/>
  <c r="S24" i="6" s="1"/>
  <c r="S25" i="6" s="1"/>
  <c r="S26" i="6" s="1"/>
  <c r="S27" i="6" s="1"/>
  <c r="S28" i="6" s="1"/>
  <c r="S29" i="6" s="1"/>
  <c r="S30" i="6" s="1"/>
  <c r="S31" i="6" s="1"/>
  <c r="S32" i="6" s="1"/>
  <c r="S33" i="6" s="1"/>
  <c r="S34" i="6" s="1"/>
  <c r="S35" i="6" s="1"/>
  <c r="S36" i="6" s="1"/>
  <c r="S37" i="6" s="1"/>
  <c r="S38" i="6" s="1"/>
  <c r="S39" i="6" s="1"/>
  <c r="S40" i="6" s="1"/>
  <c r="S41" i="6" s="1"/>
  <c r="S42" i="6" s="1"/>
  <c r="S43" i="6" s="1"/>
  <c r="S44" i="6" s="1"/>
  <c r="S45" i="6" s="1"/>
  <c r="S46" i="6" s="1"/>
  <c r="S47" i="6" s="1"/>
  <c r="S48" i="6" s="1"/>
  <c r="S49" i="6" s="1"/>
  <c r="S50" i="6" s="1"/>
  <c r="S51" i="6" s="1"/>
  <c r="S52" i="6" s="1"/>
  <c r="S53" i="6" s="1"/>
  <c r="S54" i="6" s="1"/>
  <c r="S55" i="6" s="1"/>
  <c r="S56" i="6" s="1"/>
  <c r="S57" i="6" s="1"/>
  <c r="S58" i="6" s="1"/>
  <c r="S59" i="6" s="1"/>
  <c r="S60" i="6" s="1"/>
  <c r="S61" i="6" s="1"/>
  <c r="S62" i="6" s="1"/>
  <c r="S63" i="6" s="1"/>
  <c r="S64" i="6" s="1"/>
  <c r="S65" i="6" s="1"/>
  <c r="S66" i="6" s="1"/>
  <c r="S67" i="6" s="1"/>
  <c r="S68" i="6" s="1"/>
  <c r="S69" i="6" s="1"/>
  <c r="S70" i="6" s="1"/>
  <c r="S71" i="6" s="1"/>
  <c r="S72" i="6" s="1"/>
  <c r="S73" i="6" s="1"/>
  <c r="S74" i="6" s="1"/>
  <c r="S75" i="6" s="1"/>
  <c r="S76" i="6" s="1"/>
  <c r="S77" i="6" s="1"/>
  <c r="S78" i="6" s="1"/>
  <c r="S79" i="6" s="1"/>
  <c r="S80" i="6" s="1"/>
  <c r="S81" i="6" s="1"/>
  <c r="S82" i="6" s="1"/>
  <c r="S83" i="6" s="1"/>
  <c r="S84" i="6" s="1"/>
  <c r="S85" i="6" s="1"/>
  <c r="S86" i="6" s="1"/>
  <c r="S87" i="6" s="1"/>
  <c r="S88" i="6" s="1"/>
  <c r="S89" i="6" s="1"/>
  <c r="S90" i="6" s="1"/>
  <c r="S91" i="6" s="1"/>
  <c r="S92" i="6" s="1"/>
  <c r="S93" i="6" s="1"/>
  <c r="S94" i="6" s="1"/>
  <c r="S95" i="6" s="1"/>
  <c r="S96" i="6" s="1"/>
  <c r="S97" i="6" s="1"/>
  <c r="S98" i="6" s="1"/>
  <c r="S99" i="6" s="1"/>
  <c r="S100" i="6" s="1"/>
  <c r="S101" i="6" s="1"/>
  <c r="S102" i="6" s="1"/>
  <c r="S103" i="6" s="1"/>
  <c r="S104" i="6" s="1"/>
  <c r="S105" i="6" s="1"/>
  <c r="S106" i="6" s="1"/>
  <c r="S107" i="6" s="1"/>
  <c r="S108" i="6" s="1"/>
  <c r="S109" i="6" s="1"/>
  <c r="S110" i="6" s="1"/>
  <c r="S111" i="6" s="1"/>
  <c r="S112" i="6" s="1"/>
  <c r="S113" i="6" s="1"/>
  <c r="S114" i="6" s="1"/>
  <c r="S115" i="6" s="1"/>
  <c r="S116" i="6" s="1"/>
  <c r="S117" i="6" s="1"/>
  <c r="S118" i="6" s="1"/>
  <c r="S119" i="6" s="1"/>
  <c r="S120" i="6" s="1"/>
  <c r="S121" i="6" s="1"/>
  <c r="S122" i="6" s="1"/>
  <c r="S123" i="6" s="1"/>
  <c r="S124" i="6" s="1"/>
  <c r="S125" i="6" s="1"/>
  <c r="S126" i="6" s="1"/>
  <c r="S127" i="6" s="1"/>
  <c r="S128" i="6" s="1"/>
  <c r="S129" i="6" s="1"/>
  <c r="S130" i="6" s="1"/>
  <c r="S131" i="6" s="1"/>
  <c r="S132" i="6" s="1"/>
  <c r="S133" i="6" s="1"/>
  <c r="S134" i="6" s="1"/>
  <c r="S135" i="6" s="1"/>
  <c r="S136" i="6" s="1"/>
  <c r="S137" i="6" s="1"/>
  <c r="S138" i="6" s="1"/>
  <c r="S139" i="6" s="1"/>
  <c r="S140" i="6" s="1"/>
  <c r="S141" i="6" s="1"/>
  <c r="S142" i="6" s="1"/>
  <c r="S143" i="6" s="1"/>
  <c r="S144" i="6" s="1"/>
  <c r="S145" i="6" s="1"/>
  <c r="S146" i="6" s="1"/>
  <c r="S147" i="6" s="1"/>
  <c r="S148" i="6" s="1"/>
  <c r="S149" i="6" s="1"/>
  <c r="S150" i="6" s="1"/>
  <c r="S151" i="6" s="1"/>
  <c r="S152" i="6" s="1"/>
  <c r="S153" i="6" s="1"/>
  <c r="S154" i="6" s="1"/>
  <c r="S155" i="6" s="1"/>
  <c r="S156" i="6" s="1"/>
  <c r="S157" i="6" s="1"/>
  <c r="S158" i="6" s="1"/>
  <c r="S159" i="6" s="1"/>
  <c r="S160" i="6" s="1"/>
  <c r="S161" i="6" s="1"/>
  <c r="S162" i="6" s="1"/>
  <c r="S163" i="6" s="1"/>
  <c r="S164" i="6" s="1"/>
  <c r="S165" i="6" s="1"/>
  <c r="S166" i="6" s="1"/>
  <c r="S167" i="6" s="1"/>
  <c r="S168" i="6" s="1"/>
  <c r="S169" i="6" s="1"/>
  <c r="S170" i="6" s="1"/>
  <c r="S171" i="6" s="1"/>
  <c r="S172" i="6" s="1"/>
  <c r="S173" i="6" s="1"/>
  <c r="S174" i="6" s="1"/>
  <c r="S175" i="6" s="1"/>
  <c r="S176" i="6" s="1"/>
  <c r="S177" i="6" s="1"/>
  <c r="S178" i="6" s="1"/>
  <c r="S179" i="6" s="1"/>
  <c r="S180" i="6" s="1"/>
  <c r="S181" i="6" s="1"/>
  <c r="S182" i="6" s="1"/>
  <c r="S183" i="6" s="1"/>
  <c r="S184" i="6" s="1"/>
  <c r="S185" i="6" s="1"/>
  <c r="S186" i="6" s="1"/>
  <c r="S187" i="6" s="1"/>
  <c r="S188" i="6" s="1"/>
  <c r="S189" i="6" s="1"/>
  <c r="S190" i="6" s="1"/>
  <c r="S191" i="6" s="1"/>
  <c r="S192" i="6" s="1"/>
  <c r="S193" i="6" s="1"/>
  <c r="S194" i="6" s="1"/>
  <c r="S195" i="6" s="1"/>
  <c r="S196" i="6" s="1"/>
  <c r="S197" i="6" s="1"/>
  <c r="S198" i="6" s="1"/>
  <c r="S199" i="6" s="1"/>
  <c r="S200" i="6" s="1"/>
  <c r="S201" i="6" s="1"/>
  <c r="S202" i="6" s="1"/>
  <c r="S203" i="6" s="1"/>
  <c r="S204" i="6" s="1"/>
  <c r="S205" i="6" s="1"/>
  <c r="S206" i="6" s="1"/>
  <c r="S207" i="6" s="1"/>
  <c r="S208" i="6" s="1"/>
  <c r="S209" i="6" s="1"/>
  <c r="S210" i="6" s="1"/>
  <c r="S211" i="6" s="1"/>
  <c r="S212" i="6" s="1"/>
  <c r="S213" i="6" s="1"/>
  <c r="S214" i="6" s="1"/>
  <c r="S215" i="6" s="1"/>
  <c r="S216" i="6" s="1"/>
  <c r="S217" i="6" s="1"/>
  <c r="S218" i="6" s="1"/>
  <c r="S219" i="6" s="1"/>
  <c r="S220" i="6" s="1"/>
  <c r="S221" i="6" s="1"/>
  <c r="S222" i="6" s="1"/>
  <c r="S223" i="6" s="1"/>
  <c r="S224" i="6" s="1"/>
  <c r="S225" i="6" s="1"/>
  <c r="S226" i="6" s="1"/>
  <c r="S227" i="6" s="1"/>
  <c r="S228" i="6" s="1"/>
  <c r="S229" i="6" s="1"/>
  <c r="S230" i="6" s="1"/>
  <c r="S231" i="6" s="1"/>
  <c r="S232" i="6" s="1"/>
  <c r="S233" i="6" s="1"/>
  <c r="S234" i="6" s="1"/>
  <c r="S235" i="6" s="1"/>
  <c r="S236" i="6" s="1"/>
  <c r="S237" i="6" s="1"/>
  <c r="S238" i="6" s="1"/>
  <c r="S239" i="6" s="1"/>
  <c r="S240" i="6" s="1"/>
  <c r="S241" i="6" s="1"/>
  <c r="S242" i="6" s="1"/>
  <c r="S243" i="6" s="1"/>
  <c r="S244" i="6" s="1"/>
  <c r="S245" i="6" s="1"/>
  <c r="S246" i="6" s="1"/>
  <c r="S247" i="6" s="1"/>
  <c r="S248" i="6" s="1"/>
  <c r="S249" i="6" s="1"/>
  <c r="S250" i="6" s="1"/>
  <c r="S251" i="6" s="1"/>
  <c r="S252" i="6" s="1"/>
  <c r="S253" i="6" s="1"/>
  <c r="S254" i="6" s="1"/>
  <c r="S255" i="6" s="1"/>
  <c r="S256" i="6" s="1"/>
  <c r="S257" i="6" s="1"/>
  <c r="S258" i="6" s="1"/>
  <c r="S259" i="6" s="1"/>
  <c r="S260" i="6" s="1"/>
  <c r="S261" i="6" s="1"/>
  <c r="S262" i="6" s="1"/>
  <c r="S263" i="6" s="1"/>
  <c r="S264" i="6" s="1"/>
  <c r="S265" i="6" s="1"/>
  <c r="S266" i="6" s="1"/>
  <c r="S267" i="6" s="1"/>
  <c r="S268" i="6" s="1"/>
  <c r="S269" i="6" s="1"/>
  <c r="S270" i="6" s="1"/>
  <c r="S271" i="6" s="1"/>
  <c r="S272" i="6" s="1"/>
  <c r="S273" i="6" s="1"/>
  <c r="S274" i="6" s="1"/>
  <c r="S275" i="6" s="1"/>
  <c r="S276" i="6" s="1"/>
  <c r="S277" i="6" s="1"/>
  <c r="S278" i="6" s="1"/>
  <c r="S279" i="6" s="1"/>
  <c r="S280" i="6" s="1"/>
  <c r="S281" i="6" s="1"/>
  <c r="S282" i="6" s="1"/>
  <c r="S283" i="6" s="1"/>
  <c r="S284" i="6" s="1"/>
  <c r="S285" i="6" s="1"/>
  <c r="S286" i="6" s="1"/>
  <c r="S287" i="6" s="1"/>
  <c r="S288" i="6" s="1"/>
  <c r="S289" i="6" s="1"/>
  <c r="S290" i="6" s="1"/>
  <c r="S291" i="6" s="1"/>
  <c r="S292" i="6" s="1"/>
  <c r="S293" i="6" s="1"/>
  <c r="S294" i="6" s="1"/>
  <c r="S295" i="6" s="1"/>
  <c r="S296" i="6" s="1"/>
  <c r="S297" i="6" s="1"/>
  <c r="S298" i="6" s="1"/>
  <c r="S299" i="6" s="1"/>
  <c r="S300" i="6" s="1"/>
  <c r="S301" i="6" s="1"/>
  <c r="S302" i="6" s="1"/>
  <c r="S303" i="6" s="1"/>
  <c r="S304" i="6" s="1"/>
  <c r="S305" i="6" s="1"/>
  <c r="S306" i="6" s="1"/>
  <c r="S307" i="6" s="1"/>
  <c r="S308" i="6" s="1"/>
  <c r="S309" i="6" s="1"/>
  <c r="S310" i="6" s="1"/>
  <c r="S311" i="6" s="1"/>
  <c r="S312" i="6" s="1"/>
  <c r="S313" i="6" s="1"/>
  <c r="S314" i="6" s="1"/>
  <c r="S315" i="6" s="1"/>
  <c r="S316" i="6" s="1"/>
  <c r="S317" i="6" s="1"/>
  <c r="S318" i="6" s="1"/>
  <c r="S319" i="6" s="1"/>
  <c r="S320" i="6" s="1"/>
  <c r="S321" i="6" s="1"/>
  <c r="S322" i="6" s="1"/>
  <c r="S323" i="6" s="1"/>
  <c r="S324" i="6" s="1"/>
  <c r="S325" i="6" s="1"/>
  <c r="S326" i="6" s="1"/>
  <c r="S327" i="6" s="1"/>
  <c r="S328" i="6" s="1"/>
  <c r="S329" i="6" s="1"/>
  <c r="S330" i="6" s="1"/>
  <c r="S331" i="6" s="1"/>
  <c r="S332" i="6" s="1"/>
  <c r="S333" i="6" s="1"/>
  <c r="S334" i="6" s="1"/>
  <c r="S335" i="6" s="1"/>
  <c r="S336" i="6" s="1"/>
  <c r="S337" i="6" s="1"/>
  <c r="S338" i="6" s="1"/>
  <c r="S339" i="6" s="1"/>
  <c r="S340" i="6" s="1"/>
  <c r="S341" i="6" s="1"/>
  <c r="S342" i="6" s="1"/>
  <c r="S343" i="6" s="1"/>
  <c r="S344" i="6" s="1"/>
  <c r="S345" i="6" s="1"/>
  <c r="S346" i="6" s="1"/>
  <c r="S347" i="6" s="1"/>
  <c r="S348" i="6" s="1"/>
  <c r="S349" i="6" s="1"/>
  <c r="S350" i="6" s="1"/>
  <c r="S351" i="6" s="1"/>
  <c r="S352" i="6" s="1"/>
  <c r="S353" i="6" s="1"/>
  <c r="S354" i="6" s="1"/>
  <c r="S355" i="6" s="1"/>
  <c r="S356" i="6" s="1"/>
  <c r="S357" i="6" s="1"/>
  <c r="S358" i="6" s="1"/>
  <c r="S359" i="6" s="1"/>
  <c r="S360" i="6" s="1"/>
  <c r="S361" i="6" s="1"/>
  <c r="S362" i="6" s="1"/>
  <c r="S363" i="6" s="1"/>
  <c r="S364" i="6" s="1"/>
  <c r="S365" i="6" s="1"/>
  <c r="S366" i="6" s="1"/>
  <c r="S367" i="6" s="1"/>
  <c r="S368" i="6" s="1"/>
  <c r="S369" i="6" s="1"/>
  <c r="S370" i="6" s="1"/>
  <c r="S371" i="6" s="1"/>
  <c r="S372" i="6" s="1"/>
  <c r="S373" i="6" s="1"/>
  <c r="S374" i="6" s="1"/>
  <c r="S375" i="6" s="1"/>
  <c r="S376" i="6" s="1"/>
  <c r="S377" i="6" s="1"/>
  <c r="S378" i="6" s="1"/>
  <c r="S379" i="6" s="1"/>
  <c r="S380" i="6" s="1"/>
  <c r="S381" i="6" s="1"/>
  <c r="S382" i="6" s="1"/>
  <c r="S383" i="6" s="1"/>
  <c r="S384" i="6" s="1"/>
  <c r="S385" i="6" s="1"/>
  <c r="S386" i="6" s="1"/>
  <c r="S387" i="6" s="1"/>
  <c r="S388" i="6" s="1"/>
  <c r="S389" i="6" s="1"/>
  <c r="S390" i="6" s="1"/>
  <c r="S391" i="6" s="1"/>
  <c r="S392" i="6" s="1"/>
  <c r="S393" i="6" s="1"/>
  <c r="S394" i="6" s="1"/>
  <c r="S395" i="6" s="1"/>
  <c r="S396" i="6" s="1"/>
  <c r="S397" i="6" s="1"/>
  <c r="S398" i="6" s="1"/>
  <c r="S399" i="6" s="1"/>
  <c r="S400" i="6" s="1"/>
  <c r="S401" i="6" s="1"/>
  <c r="AC3" i="7"/>
  <c r="AC4" i="7" s="1"/>
  <c r="AC5" i="7" s="1"/>
  <c r="AC6" i="7" s="1"/>
  <c r="AC7" i="7" s="1"/>
  <c r="AC8" i="7" s="1"/>
  <c r="AC9" i="7" s="1"/>
  <c r="AC10" i="7" s="1"/>
  <c r="AC11" i="7" s="1"/>
  <c r="AC12" i="7" s="1"/>
  <c r="AC13" i="7" s="1"/>
  <c r="AC14" i="7" s="1"/>
  <c r="AC15" i="7" s="1"/>
  <c r="AC16" i="7" s="1"/>
  <c r="AC17" i="7" s="1"/>
  <c r="AC18" i="7" s="1"/>
  <c r="AC19" i="7" s="1"/>
  <c r="AC20" i="7" s="1"/>
  <c r="AC21" i="7" s="1"/>
  <c r="AC22" i="7" s="1"/>
  <c r="AC23" i="7" s="1"/>
  <c r="AC24" i="7" s="1"/>
  <c r="AC25" i="7" s="1"/>
  <c r="AC26" i="7" s="1"/>
  <c r="AC27" i="7" s="1"/>
  <c r="AC28" i="7" s="1"/>
  <c r="AC29" i="7" s="1"/>
  <c r="AC30" i="7" s="1"/>
  <c r="AC31" i="7" s="1"/>
  <c r="AC32" i="7" s="1"/>
  <c r="AC33" i="7" s="1"/>
  <c r="AC34" i="7" s="1"/>
  <c r="AC35" i="7" s="1"/>
  <c r="AC36" i="7" s="1"/>
  <c r="AC37" i="7" s="1"/>
  <c r="AC38" i="7" s="1"/>
  <c r="AC39" i="7" s="1"/>
  <c r="AC40" i="7" s="1"/>
  <c r="AC41" i="7" s="1"/>
  <c r="AC42" i="7" s="1"/>
  <c r="AC43" i="7" s="1"/>
  <c r="AC44" i="7" s="1"/>
  <c r="AC45" i="7" s="1"/>
  <c r="AC46" i="7" s="1"/>
  <c r="AC47" i="7" s="1"/>
  <c r="AC48" i="7" s="1"/>
  <c r="AC49" i="7" s="1"/>
  <c r="AC50" i="7" s="1"/>
  <c r="AA3" i="7"/>
  <c r="AA4" i="7" s="1"/>
  <c r="AA5" i="7" s="1"/>
  <c r="AA6" i="7" s="1"/>
  <c r="AA7" i="7" s="1"/>
  <c r="AA8" i="7" s="1"/>
  <c r="AA9" i="7" s="1"/>
  <c r="AA10" i="7" s="1"/>
  <c r="AA11" i="7" s="1"/>
  <c r="AA12" i="7" s="1"/>
  <c r="AA13" i="7" s="1"/>
  <c r="AA14" i="7" s="1"/>
  <c r="AA15" i="7" s="1"/>
  <c r="AA16" i="7" s="1"/>
  <c r="AA17" i="7" s="1"/>
  <c r="AA18" i="7" s="1"/>
  <c r="AA19" i="7" s="1"/>
  <c r="AA20" i="7" s="1"/>
  <c r="AA21" i="7" s="1"/>
  <c r="AA22" i="7" s="1"/>
  <c r="AA23" i="7" s="1"/>
  <c r="AA24" i="7" s="1"/>
  <c r="AA25" i="7" s="1"/>
  <c r="AA26" i="7" s="1"/>
  <c r="AA27" i="7" s="1"/>
  <c r="AA28" i="7" s="1"/>
  <c r="AA29" i="7" s="1"/>
  <c r="AA30" i="7" s="1"/>
  <c r="AA31" i="7" s="1"/>
  <c r="AA32" i="7" s="1"/>
  <c r="AA33" i="7" s="1"/>
  <c r="AA34" i="7" s="1"/>
  <c r="AA35" i="7" s="1"/>
  <c r="AA36" i="7" s="1"/>
  <c r="AA37" i="7" s="1"/>
  <c r="AA38" i="7" s="1"/>
  <c r="AA39" i="7" s="1"/>
  <c r="AA40" i="7" s="1"/>
  <c r="AA41" i="7" s="1"/>
  <c r="AA42" i="7" s="1"/>
  <c r="AA43" i="7" s="1"/>
  <c r="AA44" i="7" s="1"/>
  <c r="AA45" i="7" s="1"/>
  <c r="AA46" i="7" s="1"/>
  <c r="AA47" i="7" s="1"/>
  <c r="AA48" i="7" s="1"/>
  <c r="AA49" i="7" s="1"/>
  <c r="AA50" i="7" s="1"/>
  <c r="Y3" i="7"/>
  <c r="Y4" i="7" s="1"/>
  <c r="Y5" i="7" s="1"/>
  <c r="Y6" i="7" s="1"/>
  <c r="Y7" i="7" s="1"/>
  <c r="Y8" i="7" s="1"/>
  <c r="Y9" i="7" s="1"/>
  <c r="Y10" i="7" s="1"/>
  <c r="Y11" i="7" s="1"/>
  <c r="Y12" i="7" s="1"/>
  <c r="Y13" i="7" s="1"/>
  <c r="Y14" i="7" s="1"/>
  <c r="Y15" i="7" s="1"/>
  <c r="Y16" i="7" s="1"/>
  <c r="Y17" i="7" s="1"/>
  <c r="Y18" i="7" s="1"/>
  <c r="Y19" i="7" s="1"/>
  <c r="Y20" i="7" s="1"/>
  <c r="Y21" i="7" s="1"/>
  <c r="Y22" i="7" s="1"/>
  <c r="Y23" i="7" s="1"/>
  <c r="Y24" i="7" s="1"/>
  <c r="Y25" i="7" s="1"/>
  <c r="Y26" i="7" s="1"/>
  <c r="Y27" i="7" s="1"/>
  <c r="Y28" i="7" s="1"/>
  <c r="Y29" i="7" s="1"/>
  <c r="Y30" i="7" s="1"/>
  <c r="Y31" i="7" s="1"/>
  <c r="Y32" i="7" s="1"/>
  <c r="Y33" i="7" s="1"/>
  <c r="Y34" i="7" s="1"/>
  <c r="Y35" i="7" s="1"/>
  <c r="Y36" i="7" s="1"/>
  <c r="Y37" i="7" s="1"/>
  <c r="Y38" i="7" s="1"/>
  <c r="Y39" i="7" s="1"/>
  <c r="Y40" i="7" s="1"/>
  <c r="Y41" i="7" s="1"/>
  <c r="Y42" i="7" s="1"/>
  <c r="Y43" i="7" s="1"/>
  <c r="Y44" i="7" s="1"/>
  <c r="Y45" i="7" s="1"/>
  <c r="Y46" i="7" s="1"/>
  <c r="Y47" i="7" s="1"/>
  <c r="Y48" i="7" s="1"/>
  <c r="Y49" i="7" s="1"/>
  <c r="Y50" i="7" s="1"/>
  <c r="W3" i="7"/>
  <c r="W4" i="7" s="1"/>
  <c r="W5" i="7" s="1"/>
  <c r="W6" i="7" s="1"/>
  <c r="W7" i="7" s="1"/>
  <c r="W8" i="7" s="1"/>
  <c r="W9" i="7" s="1"/>
  <c r="W10" i="7" s="1"/>
  <c r="W11" i="7" s="1"/>
  <c r="W12" i="7" s="1"/>
  <c r="W13" i="7" s="1"/>
  <c r="W14" i="7" s="1"/>
  <c r="W15" i="7" s="1"/>
  <c r="W16" i="7" s="1"/>
  <c r="W17" i="7" s="1"/>
  <c r="W18" i="7" s="1"/>
  <c r="W19" i="7" s="1"/>
  <c r="W20" i="7" s="1"/>
  <c r="W21" i="7" s="1"/>
  <c r="W22" i="7" s="1"/>
  <c r="W23" i="7" s="1"/>
  <c r="W24" i="7" s="1"/>
  <c r="W25" i="7" s="1"/>
  <c r="W26" i="7" s="1"/>
  <c r="W27" i="7" s="1"/>
  <c r="W28" i="7" s="1"/>
  <c r="W29" i="7" s="1"/>
  <c r="W30" i="7" s="1"/>
  <c r="W31" i="7" s="1"/>
  <c r="W32" i="7" s="1"/>
  <c r="W33" i="7" s="1"/>
  <c r="W34" i="7" s="1"/>
  <c r="W35" i="7" s="1"/>
  <c r="W36" i="7" s="1"/>
  <c r="W37" i="7" s="1"/>
  <c r="W38" i="7" s="1"/>
  <c r="W39" i="7" s="1"/>
  <c r="W40" i="7" s="1"/>
  <c r="W41" i="7" s="1"/>
  <c r="W42" i="7" s="1"/>
  <c r="W43" i="7" s="1"/>
  <c r="W44" i="7" s="1"/>
  <c r="W45" i="7" s="1"/>
  <c r="W46" i="7" s="1"/>
  <c r="W47" i="7" s="1"/>
  <c r="W48" i="7" s="1"/>
  <c r="W49" i="7" s="1"/>
  <c r="W50" i="7" s="1"/>
  <c r="U3" i="7"/>
  <c r="U4" i="7" s="1"/>
  <c r="U5" i="7" s="1"/>
  <c r="U6" i="7" s="1"/>
  <c r="U7" i="7" s="1"/>
  <c r="U8" i="7" s="1"/>
  <c r="U9" i="7" s="1"/>
  <c r="U10" i="7" s="1"/>
  <c r="U11" i="7" s="1"/>
  <c r="U12" i="7" s="1"/>
  <c r="U13" i="7" s="1"/>
  <c r="U14" i="7" s="1"/>
  <c r="U15" i="7" s="1"/>
  <c r="U16" i="7" s="1"/>
  <c r="U17" i="7" s="1"/>
  <c r="U18" i="7" s="1"/>
  <c r="U19" i="7" s="1"/>
  <c r="U20" i="7" s="1"/>
  <c r="U21" i="7" s="1"/>
  <c r="U22" i="7" s="1"/>
  <c r="U23" i="7" s="1"/>
  <c r="U24" i="7" s="1"/>
  <c r="U25" i="7" s="1"/>
  <c r="U26" i="7" s="1"/>
  <c r="U27" i="7" s="1"/>
  <c r="U28" i="7" s="1"/>
  <c r="U29" i="7" s="1"/>
  <c r="U30" i="7" s="1"/>
  <c r="U31" i="7" s="1"/>
  <c r="U32" i="7" s="1"/>
  <c r="U33" i="7" s="1"/>
  <c r="U34" i="7" s="1"/>
  <c r="U35" i="7" s="1"/>
  <c r="U36" i="7" s="1"/>
  <c r="U37" i="7" s="1"/>
  <c r="U38" i="7" s="1"/>
  <c r="U39" i="7" s="1"/>
  <c r="U40" i="7" s="1"/>
  <c r="U41" i="7" s="1"/>
  <c r="U42" i="7" s="1"/>
  <c r="U43" i="7" s="1"/>
  <c r="U44" i="7" s="1"/>
  <c r="U45" i="7" s="1"/>
  <c r="U46" i="7" s="1"/>
  <c r="U47" i="7" s="1"/>
  <c r="U48" i="7" s="1"/>
  <c r="U49" i="7" s="1"/>
  <c r="U50" i="7" s="1"/>
  <c r="U51" i="7" s="1"/>
  <c r="U52" i="7" s="1"/>
  <c r="U53" i="7" s="1"/>
  <c r="U54" i="7" s="1"/>
  <c r="U55" i="7" s="1"/>
  <c r="U56" i="7" s="1"/>
  <c r="U57" i="7" s="1"/>
  <c r="U58" i="7" s="1"/>
  <c r="U59" i="7" s="1"/>
  <c r="U60" i="7" s="1"/>
  <c r="U61" i="7" s="1"/>
  <c r="U62" i="7" s="1"/>
  <c r="U63" i="7" s="1"/>
  <c r="U64" i="7" s="1"/>
  <c r="U65" i="7" s="1"/>
  <c r="U66" i="7" s="1"/>
  <c r="U67" i="7" s="1"/>
  <c r="U68" i="7" s="1"/>
  <c r="U69" i="7" s="1"/>
  <c r="U70" i="7" s="1"/>
  <c r="U71" i="7" s="1"/>
  <c r="U72" i="7" s="1"/>
  <c r="U73" i="7" s="1"/>
  <c r="U74" i="7" s="1"/>
  <c r="U75" i="7" s="1"/>
  <c r="U76" i="7" s="1"/>
  <c r="U77" i="7" s="1"/>
  <c r="U78" i="7" s="1"/>
  <c r="U79" i="7" s="1"/>
  <c r="U80" i="7" s="1"/>
  <c r="U81" i="7" s="1"/>
  <c r="U82" i="7" s="1"/>
  <c r="U83" i="7" s="1"/>
  <c r="U84" i="7" s="1"/>
  <c r="U85" i="7" s="1"/>
  <c r="U86" i="7" s="1"/>
  <c r="U87" i="7" s="1"/>
  <c r="U88" i="7" s="1"/>
  <c r="U89" i="7" s="1"/>
  <c r="U90" i="7" s="1"/>
  <c r="U91" i="7" s="1"/>
  <c r="U92" i="7" s="1"/>
  <c r="U93" i="7" s="1"/>
  <c r="U94" i="7" s="1"/>
  <c r="U95" i="7" s="1"/>
  <c r="U96" i="7" s="1"/>
  <c r="U97" i="7" s="1"/>
  <c r="U98" i="7" s="1"/>
  <c r="U99" i="7" s="1"/>
  <c r="U100" i="7" s="1"/>
  <c r="U101" i="7" s="1"/>
  <c r="U102" i="7" s="1"/>
  <c r="U103" i="7" s="1"/>
  <c r="U104" i="7" s="1"/>
  <c r="U105" i="7" s="1"/>
  <c r="U106" i="7" s="1"/>
  <c r="U107" i="7" s="1"/>
  <c r="U108" i="7" s="1"/>
  <c r="U109" i="7" s="1"/>
  <c r="U110" i="7" s="1"/>
  <c r="U111" i="7" s="1"/>
  <c r="U112" i="7" s="1"/>
  <c r="U113" i="7" s="1"/>
  <c r="U114" i="7" s="1"/>
  <c r="U115" i="7" s="1"/>
  <c r="U116" i="7" s="1"/>
  <c r="U117" i="7" s="1"/>
  <c r="U118" i="7" s="1"/>
  <c r="U119" i="7" s="1"/>
  <c r="U120" i="7" s="1"/>
  <c r="U121" i="7" s="1"/>
  <c r="U122" i="7" s="1"/>
  <c r="U123" i="7" s="1"/>
  <c r="U124" i="7" s="1"/>
  <c r="U125" i="7" s="1"/>
  <c r="U126" i="7" s="1"/>
  <c r="U127" i="7" s="1"/>
  <c r="U128" i="7" s="1"/>
  <c r="U129" i="7" s="1"/>
  <c r="U130" i="7" s="1"/>
  <c r="U131" i="7" s="1"/>
  <c r="U132" i="7" s="1"/>
  <c r="U133" i="7" s="1"/>
  <c r="U134" i="7" s="1"/>
  <c r="U135" i="7" s="1"/>
  <c r="U136" i="7" s="1"/>
  <c r="U137" i="7" s="1"/>
  <c r="U138" i="7" s="1"/>
  <c r="U139" i="7" s="1"/>
  <c r="U140" i="7" s="1"/>
  <c r="U141" i="7" s="1"/>
  <c r="U142" i="7" s="1"/>
  <c r="U143" i="7" s="1"/>
  <c r="U144" i="7" s="1"/>
  <c r="U145" i="7" s="1"/>
  <c r="U146" i="7" s="1"/>
  <c r="U147" i="7" s="1"/>
  <c r="U148" i="7" s="1"/>
  <c r="U149" i="7" s="1"/>
  <c r="U150" i="7" s="1"/>
  <c r="U151" i="7" s="1"/>
  <c r="U152" i="7" s="1"/>
  <c r="U153" i="7" s="1"/>
  <c r="U154" i="7" s="1"/>
  <c r="U155" i="7" s="1"/>
  <c r="U156" i="7" s="1"/>
  <c r="U157" i="7" s="1"/>
  <c r="U158" i="7" s="1"/>
  <c r="U159" i="7" s="1"/>
  <c r="U160" i="7" s="1"/>
  <c r="U161" i="7" s="1"/>
  <c r="U162" i="7" s="1"/>
  <c r="U163" i="7" s="1"/>
  <c r="U164" i="7" s="1"/>
  <c r="U165" i="7" s="1"/>
  <c r="U166" i="7" s="1"/>
  <c r="U167" i="7" s="1"/>
  <c r="U168" i="7" s="1"/>
  <c r="U169" i="7" s="1"/>
  <c r="U170" i="7" s="1"/>
  <c r="U171" i="7" s="1"/>
  <c r="U172" i="7" s="1"/>
  <c r="U173" i="7" s="1"/>
  <c r="U174" i="7" s="1"/>
  <c r="U175" i="7" s="1"/>
  <c r="U176" i="7" s="1"/>
  <c r="U177" i="7" s="1"/>
  <c r="U178" i="7" s="1"/>
  <c r="U179" i="7" s="1"/>
  <c r="U180" i="7" s="1"/>
  <c r="U181" i="7" s="1"/>
  <c r="U182" i="7" s="1"/>
  <c r="U183" i="7" s="1"/>
  <c r="U184" i="7" s="1"/>
  <c r="U185" i="7" s="1"/>
  <c r="U186" i="7" s="1"/>
  <c r="U187" i="7" s="1"/>
  <c r="U188" i="7" s="1"/>
  <c r="U189" i="7" s="1"/>
  <c r="U190" i="7" s="1"/>
  <c r="U191" i="7" s="1"/>
  <c r="U192" i="7" s="1"/>
  <c r="U193" i="7" s="1"/>
  <c r="U194" i="7" s="1"/>
  <c r="U195" i="7" s="1"/>
  <c r="U196" i="7" s="1"/>
  <c r="U197" i="7" s="1"/>
  <c r="U198" i="7" s="1"/>
  <c r="U199" i="7" s="1"/>
  <c r="U200" i="7" s="1"/>
  <c r="U201" i="7" s="1"/>
  <c r="U202" i="7" s="1"/>
  <c r="U203" i="7" s="1"/>
  <c r="U204" i="7" s="1"/>
  <c r="U205" i="7" s="1"/>
  <c r="U206" i="7" s="1"/>
  <c r="U207" i="7" s="1"/>
  <c r="U208" i="7" s="1"/>
  <c r="U209" i="7" s="1"/>
  <c r="U210" i="7" s="1"/>
  <c r="U211" i="7" s="1"/>
  <c r="U212" i="7" s="1"/>
  <c r="U213" i="7" s="1"/>
  <c r="U214" i="7" s="1"/>
  <c r="U215" i="7" s="1"/>
  <c r="U216" i="7" s="1"/>
  <c r="U217" i="7" s="1"/>
  <c r="U218" i="7" s="1"/>
  <c r="U219" i="7" s="1"/>
  <c r="U220" i="7" s="1"/>
  <c r="U221" i="7" s="1"/>
  <c r="U222" i="7" s="1"/>
  <c r="U223" i="7" s="1"/>
  <c r="U224" i="7" s="1"/>
  <c r="U225" i="7" s="1"/>
  <c r="U226" i="7" s="1"/>
  <c r="U227" i="7" s="1"/>
  <c r="U228" i="7" s="1"/>
  <c r="U229" i="7" s="1"/>
  <c r="U230" i="7" s="1"/>
  <c r="U231" i="7" s="1"/>
  <c r="U232" i="7" s="1"/>
  <c r="U233" i="7" s="1"/>
  <c r="U234" i="7" s="1"/>
  <c r="U235" i="7" s="1"/>
  <c r="U236" i="7" s="1"/>
  <c r="U237" i="7" s="1"/>
  <c r="U238" i="7" s="1"/>
  <c r="U239" i="7" s="1"/>
  <c r="U240" i="7" s="1"/>
  <c r="U241" i="7" s="1"/>
  <c r="U242" i="7" s="1"/>
  <c r="U243" i="7" s="1"/>
  <c r="U244" i="7" s="1"/>
  <c r="U245" i="7" s="1"/>
  <c r="U246" i="7" s="1"/>
  <c r="U247" i="7" s="1"/>
  <c r="U248" i="7" s="1"/>
  <c r="U249" i="7" s="1"/>
  <c r="U250" i="7" s="1"/>
  <c r="U251" i="7" s="1"/>
  <c r="U252" i="7" s="1"/>
  <c r="U253" i="7" s="1"/>
  <c r="U254" i="7" s="1"/>
  <c r="U255" i="7" s="1"/>
  <c r="U256" i="7" s="1"/>
  <c r="U257" i="7" s="1"/>
  <c r="U258" i="7" s="1"/>
  <c r="U259" i="7" s="1"/>
  <c r="U260" i="7" s="1"/>
  <c r="U261" i="7" s="1"/>
  <c r="U262" i="7" s="1"/>
  <c r="U263" i="7" s="1"/>
  <c r="U264" i="7" s="1"/>
  <c r="U265" i="7" s="1"/>
  <c r="U266" i="7" s="1"/>
  <c r="U267" i="7" s="1"/>
  <c r="U268" i="7" s="1"/>
  <c r="U269" i="7" s="1"/>
  <c r="U270" i="7" s="1"/>
  <c r="U271" i="7" s="1"/>
  <c r="U272" i="7" s="1"/>
  <c r="U273" i="7" s="1"/>
  <c r="U274" i="7" s="1"/>
  <c r="U275" i="7" s="1"/>
  <c r="U276" i="7" s="1"/>
  <c r="U277" i="7" s="1"/>
  <c r="U278" i="7" s="1"/>
  <c r="U279" i="7" s="1"/>
  <c r="U280" i="7" s="1"/>
  <c r="U281" i="7" s="1"/>
  <c r="U282" i="7" s="1"/>
  <c r="U283" i="7" s="1"/>
  <c r="U284" i="7" s="1"/>
  <c r="U285" i="7" s="1"/>
  <c r="U286" i="7" s="1"/>
  <c r="U287" i="7" s="1"/>
  <c r="U288" i="7" s="1"/>
  <c r="U289" i="7" s="1"/>
  <c r="U290" i="7" s="1"/>
  <c r="U291" i="7" s="1"/>
  <c r="U292" i="7" s="1"/>
  <c r="U293" i="7" s="1"/>
  <c r="U294" i="7" s="1"/>
  <c r="U295" i="7" s="1"/>
  <c r="U296" i="7" s="1"/>
  <c r="U297" i="7" s="1"/>
  <c r="U298" i="7" s="1"/>
  <c r="U299" i="7" s="1"/>
  <c r="U300" i="7" s="1"/>
  <c r="U301" i="7" s="1"/>
  <c r="U302" i="7" s="1"/>
  <c r="U303" i="7" s="1"/>
  <c r="U304" i="7" s="1"/>
  <c r="U305" i="7" s="1"/>
  <c r="U306" i="7" s="1"/>
  <c r="U307" i="7" s="1"/>
  <c r="U308" i="7" s="1"/>
  <c r="U309" i="7" s="1"/>
  <c r="U310" i="7" s="1"/>
  <c r="U311" i="7" s="1"/>
  <c r="U312" i="7" s="1"/>
  <c r="U313" i="7" s="1"/>
  <c r="U314" i="7" s="1"/>
  <c r="U315" i="7" s="1"/>
  <c r="U316" i="7" s="1"/>
  <c r="U317" i="7" s="1"/>
  <c r="U318" i="7" s="1"/>
  <c r="U319" i="7" s="1"/>
  <c r="U320" i="7" s="1"/>
  <c r="U321" i="7" s="1"/>
  <c r="U322" i="7" s="1"/>
  <c r="U323" i="7" s="1"/>
  <c r="U324" i="7" s="1"/>
  <c r="U325" i="7" s="1"/>
  <c r="U326" i="7" s="1"/>
  <c r="U327" i="7" s="1"/>
  <c r="U328" i="7" s="1"/>
  <c r="U329" i="7" s="1"/>
  <c r="U330" i="7" s="1"/>
  <c r="U331" i="7" s="1"/>
  <c r="U332" i="7" s="1"/>
  <c r="U333" i="7" s="1"/>
  <c r="U334" i="7" s="1"/>
  <c r="U335" i="7" s="1"/>
  <c r="U336" i="7" s="1"/>
  <c r="U337" i="7" s="1"/>
  <c r="U338" i="7" s="1"/>
  <c r="U339" i="7" s="1"/>
  <c r="U340" i="7" s="1"/>
  <c r="U341" i="7" s="1"/>
  <c r="U342" i="7" s="1"/>
  <c r="U343" i="7" s="1"/>
  <c r="U344" i="7" s="1"/>
  <c r="U345" i="7" s="1"/>
  <c r="U346" i="7" s="1"/>
  <c r="U347" i="7" s="1"/>
  <c r="U348" i="7" s="1"/>
  <c r="U349" i="7" s="1"/>
  <c r="U350" i="7" s="1"/>
  <c r="U351" i="7" s="1"/>
  <c r="U352" i="7" s="1"/>
  <c r="U353" i="7" s="1"/>
  <c r="U354" i="7" s="1"/>
  <c r="U355" i="7" s="1"/>
  <c r="U356" i="7" s="1"/>
  <c r="U357" i="7" s="1"/>
  <c r="U358" i="7" s="1"/>
  <c r="U359" i="7" s="1"/>
  <c r="U360" i="7" s="1"/>
  <c r="U361" i="7" s="1"/>
  <c r="U362" i="7" s="1"/>
  <c r="U363" i="7" s="1"/>
  <c r="U364" i="7" s="1"/>
  <c r="U365" i="7" s="1"/>
  <c r="U366" i="7" s="1"/>
  <c r="U367" i="7" s="1"/>
  <c r="U368" i="7" s="1"/>
  <c r="U369" i="7" s="1"/>
  <c r="U370" i="7" s="1"/>
  <c r="U371" i="7" s="1"/>
  <c r="U372" i="7" s="1"/>
  <c r="U373" i="7" s="1"/>
  <c r="U374" i="7" s="1"/>
  <c r="U375" i="7" s="1"/>
  <c r="U376" i="7" s="1"/>
  <c r="U377" i="7" s="1"/>
  <c r="U378" i="7" s="1"/>
  <c r="U379" i="7" s="1"/>
  <c r="U380" i="7" s="1"/>
  <c r="U381" i="7" s="1"/>
  <c r="U382" i="7" s="1"/>
  <c r="U383" i="7" s="1"/>
  <c r="U384" i="7" s="1"/>
  <c r="U385" i="7" s="1"/>
  <c r="U386" i="7" s="1"/>
  <c r="U387" i="7" s="1"/>
  <c r="U388" i="7" s="1"/>
  <c r="U389" i="7" s="1"/>
  <c r="U390" i="7" s="1"/>
  <c r="U391" i="7" s="1"/>
  <c r="U392" i="7" s="1"/>
  <c r="U393" i="7" s="1"/>
  <c r="U394" i="7" s="1"/>
  <c r="U395" i="7" s="1"/>
  <c r="U396" i="7" s="1"/>
  <c r="U397" i="7" s="1"/>
  <c r="U398" i="7" s="1"/>
  <c r="U399" i="7" s="1"/>
  <c r="S3" i="7"/>
  <c r="S4" i="7" s="1"/>
  <c r="S5" i="7" s="1"/>
  <c r="S6" i="7" s="1"/>
  <c r="S7" i="7" s="1"/>
  <c r="S8" i="7" s="1"/>
  <c r="S9" i="7" s="1"/>
  <c r="S10" i="7" s="1"/>
  <c r="S11" i="7" s="1"/>
  <c r="S12" i="7" s="1"/>
  <c r="S13" i="7" s="1"/>
  <c r="S14" i="7" s="1"/>
  <c r="S15" i="7" s="1"/>
  <c r="S16" i="7" s="1"/>
  <c r="S17" i="7" s="1"/>
  <c r="S18" i="7" s="1"/>
  <c r="S19" i="7" s="1"/>
  <c r="S20" i="7" s="1"/>
  <c r="S21" i="7" s="1"/>
  <c r="S22" i="7" s="1"/>
  <c r="S23" i="7" s="1"/>
  <c r="S24" i="7" s="1"/>
  <c r="S25" i="7" s="1"/>
  <c r="S26" i="7" s="1"/>
  <c r="S27" i="7" s="1"/>
  <c r="S28" i="7" s="1"/>
  <c r="S29" i="7" s="1"/>
  <c r="S30" i="7" s="1"/>
  <c r="S31" i="7" s="1"/>
  <c r="S32" i="7" s="1"/>
  <c r="S33" i="7" s="1"/>
  <c r="S34" i="7" s="1"/>
  <c r="S35" i="7" s="1"/>
  <c r="S36" i="7" s="1"/>
  <c r="S37" i="7" s="1"/>
  <c r="S38" i="7" s="1"/>
  <c r="S39" i="7" s="1"/>
  <c r="S40" i="7" s="1"/>
  <c r="S41" i="7" s="1"/>
  <c r="S42" i="7" s="1"/>
  <c r="S43" i="7" s="1"/>
  <c r="S44" i="7" s="1"/>
  <c r="S45" i="7" s="1"/>
  <c r="S46" i="7" s="1"/>
  <c r="S47" i="7" s="1"/>
  <c r="S48" i="7" s="1"/>
  <c r="S49" i="7" s="1"/>
  <c r="S50" i="7" s="1"/>
  <c r="S51" i="7" l="1"/>
  <c r="S52" i="7" s="1"/>
  <c r="S53" i="7" s="1"/>
  <c r="S54" i="7" s="1"/>
  <c r="S55" i="7" s="1"/>
  <c r="S56" i="7" s="1"/>
  <c r="S57" i="7" s="1"/>
  <c r="S58" i="7" s="1"/>
  <c r="S59" i="7" s="1"/>
  <c r="S60" i="7" s="1"/>
  <c r="S61" i="7" s="1"/>
  <c r="S62" i="7" s="1"/>
  <c r="S63" i="7" s="1"/>
  <c r="S64" i="7" s="1"/>
  <c r="S65" i="7" s="1"/>
  <c r="S66" i="7" s="1"/>
  <c r="S67" i="7" s="1"/>
  <c r="S68" i="7" s="1"/>
  <c r="S69" i="7" s="1"/>
  <c r="S70" i="7" s="1"/>
  <c r="S71" i="7" s="1"/>
  <c r="S72" i="7" s="1"/>
  <c r="S73" i="7" s="1"/>
  <c r="S74" i="7" s="1"/>
  <c r="S75" i="7" s="1"/>
  <c r="S76" i="7" s="1"/>
  <c r="S77" i="7" s="1"/>
  <c r="S78" i="7" s="1"/>
  <c r="S79" i="7" s="1"/>
  <c r="S80" i="7" s="1"/>
  <c r="S81" i="7" s="1"/>
  <c r="S82" i="7" s="1"/>
  <c r="S83" i="7" s="1"/>
  <c r="S84" i="7" s="1"/>
  <c r="S85" i="7" s="1"/>
  <c r="S86" i="7" s="1"/>
  <c r="S87" i="7" s="1"/>
  <c r="S88" i="7" s="1"/>
  <c r="S89" i="7" s="1"/>
  <c r="S90" i="7" s="1"/>
  <c r="S91" i="7" s="1"/>
  <c r="S92" i="7" s="1"/>
  <c r="S93" i="7" s="1"/>
  <c r="S94" i="7" s="1"/>
  <c r="S95" i="7" s="1"/>
  <c r="S96" i="7" s="1"/>
  <c r="S97" i="7" s="1"/>
  <c r="S98" i="7" s="1"/>
  <c r="S99" i="7" s="1"/>
  <c r="S100" i="7" s="1"/>
  <c r="S101" i="7" s="1"/>
  <c r="S102" i="7" s="1"/>
  <c r="S103" i="7" s="1"/>
  <c r="S104" i="7" s="1"/>
  <c r="S105" i="7" s="1"/>
  <c r="S106" i="7" s="1"/>
  <c r="S107" i="7" s="1"/>
  <c r="S108" i="7" s="1"/>
  <c r="S109" i="7" s="1"/>
  <c r="S110" i="7" s="1"/>
  <c r="S111" i="7" s="1"/>
  <c r="S112" i="7" s="1"/>
  <c r="S113" i="7" s="1"/>
  <c r="S114" i="7" s="1"/>
  <c r="S115" i="7" s="1"/>
  <c r="S116" i="7" s="1"/>
  <c r="S117" i="7" s="1"/>
  <c r="S118" i="7" s="1"/>
  <c r="S119" i="7" s="1"/>
  <c r="S120" i="7" s="1"/>
  <c r="S121" i="7" s="1"/>
  <c r="S122" i="7" s="1"/>
  <c r="S123" i="7" s="1"/>
  <c r="S124" i="7" s="1"/>
  <c r="S125" i="7" s="1"/>
  <c r="S126" i="7" s="1"/>
  <c r="S127" i="7" s="1"/>
  <c r="S128" i="7" s="1"/>
  <c r="S129" i="7" s="1"/>
  <c r="S130" i="7" s="1"/>
  <c r="S131" i="7" s="1"/>
  <c r="S132" i="7" s="1"/>
  <c r="S133" i="7" s="1"/>
  <c r="S134" i="7" s="1"/>
  <c r="S135" i="7" s="1"/>
  <c r="S136" i="7" s="1"/>
  <c r="S137" i="7" s="1"/>
  <c r="S138" i="7" s="1"/>
  <c r="S139" i="7" s="1"/>
  <c r="S140" i="7" s="1"/>
  <c r="S141" i="7" s="1"/>
  <c r="S142" i="7" s="1"/>
  <c r="S143" i="7" s="1"/>
  <c r="S144" i="7" s="1"/>
  <c r="S145" i="7" s="1"/>
  <c r="S146" i="7" s="1"/>
  <c r="S147" i="7" s="1"/>
  <c r="S148" i="7" s="1"/>
  <c r="S149" i="7" s="1"/>
  <c r="S150" i="7" s="1"/>
  <c r="S151" i="7" s="1"/>
  <c r="S152" i="7" s="1"/>
  <c r="S153" i="7" s="1"/>
  <c r="S154" i="7" s="1"/>
  <c r="S155" i="7" s="1"/>
  <c r="S156" i="7" s="1"/>
  <c r="S157" i="7" s="1"/>
  <c r="S158" i="7" s="1"/>
  <c r="S159" i="7" s="1"/>
  <c r="S160" i="7" s="1"/>
  <c r="S161" i="7" s="1"/>
  <c r="S162" i="7" s="1"/>
  <c r="S163" i="7" s="1"/>
  <c r="S164" i="7" s="1"/>
  <c r="S165" i="7" s="1"/>
  <c r="S166" i="7" s="1"/>
  <c r="S167" i="7" s="1"/>
  <c r="S168" i="7" s="1"/>
  <c r="S169" i="7" s="1"/>
  <c r="S170" i="7" s="1"/>
  <c r="S171" i="7" s="1"/>
  <c r="S172" i="7" s="1"/>
  <c r="S173" i="7" s="1"/>
  <c r="S174" i="7" s="1"/>
  <c r="S175" i="7" s="1"/>
  <c r="S176" i="7" s="1"/>
  <c r="S177" i="7" s="1"/>
  <c r="S178" i="7" s="1"/>
  <c r="S179" i="7" s="1"/>
  <c r="S180" i="7" s="1"/>
  <c r="S181" i="7" s="1"/>
  <c r="S182" i="7" s="1"/>
  <c r="S183" i="7" s="1"/>
  <c r="S184" i="7" s="1"/>
  <c r="S185" i="7" s="1"/>
  <c r="S186" i="7" s="1"/>
  <c r="S187" i="7" s="1"/>
  <c r="S188" i="7" s="1"/>
  <c r="S189" i="7" s="1"/>
  <c r="S190" i="7" s="1"/>
  <c r="S191" i="7" s="1"/>
  <c r="S192" i="7" s="1"/>
  <c r="S193" i="7" s="1"/>
  <c r="S194" i="7" s="1"/>
  <c r="S195" i="7" s="1"/>
  <c r="S196" i="7" s="1"/>
  <c r="S197" i="7" s="1"/>
  <c r="S198" i="7" s="1"/>
  <c r="S199" i="7" s="1"/>
  <c r="S200" i="7" s="1"/>
  <c r="S201" i="7" s="1"/>
  <c r="S202" i="7" s="1"/>
  <c r="S203" i="7" s="1"/>
  <c r="S204" i="7" s="1"/>
  <c r="S205" i="7" s="1"/>
  <c r="S206" i="7" s="1"/>
  <c r="S207" i="7" s="1"/>
  <c r="S208" i="7" s="1"/>
  <c r="S209" i="7" s="1"/>
  <c r="S210" i="7" s="1"/>
  <c r="S211" i="7" s="1"/>
  <c r="S212" i="7" s="1"/>
  <c r="S213" i="7" s="1"/>
  <c r="S214" i="7" s="1"/>
  <c r="S215" i="7" s="1"/>
  <c r="S216" i="7" s="1"/>
  <c r="S217" i="7" s="1"/>
  <c r="S218" i="7" s="1"/>
  <c r="S219" i="7" s="1"/>
  <c r="S220" i="7" s="1"/>
  <c r="S221" i="7" s="1"/>
  <c r="S222" i="7" s="1"/>
  <c r="S223" i="7" s="1"/>
  <c r="S224" i="7" s="1"/>
  <c r="S225" i="7" s="1"/>
  <c r="S226" i="7" s="1"/>
  <c r="S227" i="7" s="1"/>
  <c r="S228" i="7" s="1"/>
  <c r="S229" i="7" s="1"/>
  <c r="S230" i="7" s="1"/>
  <c r="S231" i="7" s="1"/>
  <c r="S232" i="7" s="1"/>
  <c r="S233" i="7" s="1"/>
  <c r="S234" i="7" s="1"/>
  <c r="S235" i="7" s="1"/>
  <c r="S236" i="7" s="1"/>
  <c r="S237" i="7" s="1"/>
  <c r="S238" i="7" s="1"/>
  <c r="S239" i="7" s="1"/>
  <c r="S240" i="7" s="1"/>
  <c r="S241" i="7" s="1"/>
  <c r="S242" i="7" s="1"/>
  <c r="S243" i="7" s="1"/>
  <c r="S244" i="7" s="1"/>
  <c r="S245" i="7" s="1"/>
  <c r="S246" i="7" s="1"/>
  <c r="S247" i="7" s="1"/>
  <c r="S248" i="7" s="1"/>
  <c r="S249" i="7" s="1"/>
  <c r="S250" i="7" s="1"/>
  <c r="S251" i="7" s="1"/>
  <c r="S252" i="7" s="1"/>
  <c r="S253" i="7" s="1"/>
  <c r="S254" i="7" s="1"/>
  <c r="S255" i="7" s="1"/>
  <c r="S256" i="7" s="1"/>
  <c r="S257" i="7" s="1"/>
  <c r="S258" i="7" s="1"/>
  <c r="S259" i="7" s="1"/>
  <c r="S260" i="7" s="1"/>
  <c r="S261" i="7" s="1"/>
  <c r="S262" i="7" s="1"/>
  <c r="S263" i="7" s="1"/>
  <c r="S264" i="7" s="1"/>
  <c r="S265" i="7" s="1"/>
  <c r="S266" i="7" s="1"/>
  <c r="S267" i="7" s="1"/>
  <c r="S268" i="7" s="1"/>
  <c r="S269" i="7" s="1"/>
  <c r="S270" i="7" s="1"/>
  <c r="S271" i="7" s="1"/>
  <c r="S272" i="7" s="1"/>
  <c r="S273" i="7" s="1"/>
  <c r="S274" i="7" s="1"/>
  <c r="S275" i="7" s="1"/>
  <c r="S276" i="7" s="1"/>
  <c r="S277" i="7" s="1"/>
  <c r="S278" i="7" s="1"/>
  <c r="S279" i="7" s="1"/>
  <c r="S280" i="7" s="1"/>
  <c r="S281" i="7" s="1"/>
  <c r="S282" i="7" s="1"/>
  <c r="S283" i="7" s="1"/>
  <c r="S284" i="7" s="1"/>
  <c r="S285" i="7" s="1"/>
  <c r="S286" i="7" s="1"/>
  <c r="S287" i="7" s="1"/>
  <c r="S288" i="7" s="1"/>
  <c r="S289" i="7" s="1"/>
  <c r="S290" i="7" s="1"/>
  <c r="S291" i="7" s="1"/>
  <c r="S292" i="7" s="1"/>
  <c r="S293" i="7" s="1"/>
  <c r="S294" i="7" s="1"/>
  <c r="S295" i="7" s="1"/>
  <c r="S296" i="7" s="1"/>
  <c r="S297" i="7" s="1"/>
  <c r="S298" i="7" s="1"/>
  <c r="S299" i="7" s="1"/>
  <c r="S300" i="7" s="1"/>
  <c r="S301" i="7" s="1"/>
  <c r="S302" i="7" s="1"/>
  <c r="S303" i="7" s="1"/>
  <c r="S304" i="7" s="1"/>
  <c r="S305" i="7" s="1"/>
  <c r="S306" i="7" s="1"/>
  <c r="S307" i="7" s="1"/>
  <c r="S308" i="7" s="1"/>
  <c r="S309" i="7" s="1"/>
  <c r="S310" i="7" s="1"/>
  <c r="S311" i="7" s="1"/>
  <c r="S312" i="7" s="1"/>
  <c r="S313" i="7" s="1"/>
  <c r="S314" i="7" s="1"/>
  <c r="S315" i="7" s="1"/>
  <c r="S316" i="7" s="1"/>
  <c r="S317" i="7" s="1"/>
  <c r="S318" i="7" s="1"/>
  <c r="S319" i="7" s="1"/>
  <c r="S320" i="7" s="1"/>
  <c r="S321" i="7" s="1"/>
  <c r="S322" i="7" s="1"/>
  <c r="S323" i="7" s="1"/>
  <c r="S324" i="7" s="1"/>
  <c r="S325" i="7" s="1"/>
  <c r="S326" i="7" s="1"/>
  <c r="S327" i="7" s="1"/>
  <c r="S328" i="7" s="1"/>
  <c r="S329" i="7" s="1"/>
  <c r="S330" i="7" s="1"/>
  <c r="S331" i="7" s="1"/>
  <c r="S332" i="7" s="1"/>
  <c r="S333" i="7" s="1"/>
  <c r="S334" i="7" s="1"/>
  <c r="S335" i="7" s="1"/>
  <c r="S336" i="7" s="1"/>
  <c r="S337" i="7" s="1"/>
  <c r="S338" i="7" s="1"/>
  <c r="S339" i="7" s="1"/>
  <c r="S340" i="7" s="1"/>
  <c r="S341" i="7" s="1"/>
  <c r="S342" i="7" s="1"/>
  <c r="S343" i="7" s="1"/>
  <c r="S344" i="7" s="1"/>
  <c r="S345" i="7" s="1"/>
  <c r="S346" i="7" s="1"/>
  <c r="S347" i="7" s="1"/>
  <c r="S348" i="7" s="1"/>
  <c r="S349" i="7" s="1"/>
  <c r="S350" i="7" s="1"/>
  <c r="S351" i="7" s="1"/>
  <c r="S352" i="7" s="1"/>
  <c r="S353" i="7" s="1"/>
  <c r="S354" i="7" s="1"/>
  <c r="S355" i="7" s="1"/>
  <c r="S356" i="7" s="1"/>
  <c r="S357" i="7" s="1"/>
  <c r="S358" i="7" s="1"/>
  <c r="S359" i="7" s="1"/>
  <c r="S360" i="7" s="1"/>
  <c r="S361" i="7" s="1"/>
  <c r="S362" i="7" s="1"/>
  <c r="S363" i="7" s="1"/>
  <c r="S364" i="7" s="1"/>
  <c r="S365" i="7" s="1"/>
  <c r="S366" i="7" s="1"/>
  <c r="S367" i="7" s="1"/>
  <c r="S368" i="7" s="1"/>
  <c r="S369" i="7" s="1"/>
  <c r="S370" i="7" s="1"/>
  <c r="S371" i="7" s="1"/>
  <c r="S372" i="7" s="1"/>
  <c r="S373" i="7" s="1"/>
  <c r="S374" i="7" s="1"/>
  <c r="S375" i="7" s="1"/>
  <c r="S376" i="7" s="1"/>
  <c r="S377" i="7" s="1"/>
  <c r="S378" i="7" s="1"/>
  <c r="S379" i="7" s="1"/>
  <c r="S380" i="7" s="1"/>
  <c r="S381" i="7" s="1"/>
  <c r="S382" i="7" s="1"/>
  <c r="S383" i="7" s="1"/>
  <c r="S384" i="7" s="1"/>
  <c r="S385" i="7" s="1"/>
  <c r="S386" i="7" s="1"/>
  <c r="S387" i="7" s="1"/>
  <c r="S388" i="7" s="1"/>
  <c r="S389" i="7" s="1"/>
  <c r="S390" i="7" s="1"/>
  <c r="S391" i="7" s="1"/>
  <c r="S392" i="7" s="1"/>
  <c r="S393" i="7" s="1"/>
  <c r="S394" i="7" s="1"/>
  <c r="S395" i="7" s="1"/>
  <c r="S396" i="7" s="1"/>
  <c r="S397" i="7" s="1"/>
  <c r="S398" i="7" s="1"/>
  <c r="S399" i="7" s="1"/>
  <c r="W51" i="7"/>
  <c r="W52" i="7" s="1"/>
  <c r="W53" i="7" s="1"/>
  <c r="W54" i="7" s="1"/>
  <c r="W55" i="7" s="1"/>
  <c r="W56" i="7" s="1"/>
  <c r="W57" i="7" s="1"/>
  <c r="W58" i="7" s="1"/>
  <c r="W59" i="7" s="1"/>
  <c r="W60" i="7" s="1"/>
  <c r="W61" i="7" s="1"/>
  <c r="W62" i="7" s="1"/>
  <c r="W63" i="7" s="1"/>
  <c r="W64" i="7" s="1"/>
  <c r="W65" i="7" s="1"/>
  <c r="W66" i="7" s="1"/>
  <c r="W67" i="7" s="1"/>
  <c r="W68" i="7" s="1"/>
  <c r="W69" i="7" s="1"/>
  <c r="W70" i="7" s="1"/>
  <c r="W71" i="7" s="1"/>
  <c r="W72" i="7" s="1"/>
  <c r="W73" i="7" s="1"/>
  <c r="W74" i="7" s="1"/>
  <c r="W75" i="7" s="1"/>
  <c r="W76" i="7" s="1"/>
  <c r="W77" i="7" s="1"/>
  <c r="W78" i="7" s="1"/>
  <c r="W79" i="7" s="1"/>
  <c r="W80" i="7" s="1"/>
  <c r="W81" i="7" s="1"/>
  <c r="W82" i="7" s="1"/>
  <c r="W83" i="7" s="1"/>
  <c r="W84" i="7" s="1"/>
  <c r="W85" i="7" s="1"/>
  <c r="W86" i="7" s="1"/>
  <c r="W87" i="7" s="1"/>
  <c r="W88" i="7" s="1"/>
  <c r="W89" i="7" s="1"/>
  <c r="W90" i="7" s="1"/>
  <c r="W91" i="7" s="1"/>
  <c r="W92" i="7" s="1"/>
  <c r="W93" i="7" s="1"/>
  <c r="W94" i="7" s="1"/>
  <c r="W95" i="7" s="1"/>
  <c r="W96" i="7" s="1"/>
  <c r="W97" i="7" s="1"/>
  <c r="W98" i="7" s="1"/>
  <c r="W99" i="7" s="1"/>
  <c r="W100" i="7" s="1"/>
  <c r="W101" i="7" s="1"/>
  <c r="W102" i="7" s="1"/>
  <c r="W103" i="7" s="1"/>
  <c r="W104" i="7" s="1"/>
  <c r="W105" i="7" s="1"/>
  <c r="W106" i="7" s="1"/>
  <c r="W107" i="7" s="1"/>
  <c r="W108" i="7" s="1"/>
  <c r="W109" i="7" s="1"/>
  <c r="W110" i="7" s="1"/>
  <c r="W111" i="7" s="1"/>
  <c r="W112" i="7" s="1"/>
  <c r="W113" i="7" s="1"/>
  <c r="W114" i="7" s="1"/>
  <c r="W115" i="7" s="1"/>
  <c r="W116" i="7" s="1"/>
  <c r="W117" i="7" s="1"/>
  <c r="W118" i="7" s="1"/>
  <c r="W119" i="7" s="1"/>
  <c r="W120" i="7" s="1"/>
  <c r="W121" i="7" s="1"/>
  <c r="W122" i="7" s="1"/>
  <c r="W123" i="7" s="1"/>
  <c r="W124" i="7" s="1"/>
  <c r="W125" i="7" s="1"/>
  <c r="W126" i="7" s="1"/>
  <c r="W127" i="7" s="1"/>
  <c r="W128" i="7" s="1"/>
  <c r="W129" i="7" s="1"/>
  <c r="W130" i="7" s="1"/>
  <c r="W131" i="7" s="1"/>
  <c r="W132" i="7" s="1"/>
  <c r="W133" i="7" s="1"/>
  <c r="W134" i="7" s="1"/>
  <c r="W135" i="7" s="1"/>
  <c r="W136" i="7" s="1"/>
  <c r="W137" i="7" s="1"/>
  <c r="W138" i="7" s="1"/>
  <c r="W139" i="7" s="1"/>
  <c r="W140" i="7" s="1"/>
  <c r="W141" i="7" s="1"/>
  <c r="W142" i="7" s="1"/>
  <c r="W143" i="7" s="1"/>
  <c r="W144" i="7" s="1"/>
  <c r="W145" i="7" s="1"/>
  <c r="W146" i="7" s="1"/>
  <c r="W147" i="7" s="1"/>
  <c r="W148" i="7" s="1"/>
  <c r="W149" i="7" s="1"/>
  <c r="W150" i="7" s="1"/>
  <c r="W151" i="7" s="1"/>
  <c r="W152" i="7" s="1"/>
  <c r="W153" i="7" s="1"/>
  <c r="W154" i="7" s="1"/>
  <c r="W155" i="7" s="1"/>
  <c r="W156" i="7" s="1"/>
  <c r="W157" i="7" s="1"/>
  <c r="W158" i="7" s="1"/>
  <c r="W159" i="7" s="1"/>
  <c r="W160" i="7" s="1"/>
  <c r="W161" i="7" s="1"/>
  <c r="W162" i="7" s="1"/>
  <c r="W163" i="7" s="1"/>
  <c r="W164" i="7" s="1"/>
  <c r="W165" i="7" s="1"/>
  <c r="W166" i="7" s="1"/>
  <c r="W167" i="7" s="1"/>
  <c r="W168" i="7" s="1"/>
  <c r="W169" i="7" s="1"/>
  <c r="W170" i="7" s="1"/>
  <c r="W171" i="7" s="1"/>
  <c r="W172" i="7" s="1"/>
  <c r="W173" i="7" s="1"/>
  <c r="W174" i="7" s="1"/>
  <c r="W175" i="7" s="1"/>
  <c r="W176" i="7" s="1"/>
  <c r="W177" i="7" s="1"/>
  <c r="W178" i="7" s="1"/>
  <c r="W179" i="7" s="1"/>
  <c r="W180" i="7" s="1"/>
  <c r="W181" i="7" s="1"/>
  <c r="W182" i="7" s="1"/>
  <c r="W183" i="7" s="1"/>
  <c r="W184" i="7" s="1"/>
  <c r="W185" i="7" s="1"/>
  <c r="W186" i="7" s="1"/>
  <c r="W187" i="7" s="1"/>
  <c r="W188" i="7" s="1"/>
  <c r="W189" i="7" s="1"/>
  <c r="W190" i="7" s="1"/>
  <c r="W191" i="7" s="1"/>
  <c r="W192" i="7" s="1"/>
  <c r="W193" i="7" s="1"/>
  <c r="W194" i="7" s="1"/>
  <c r="W195" i="7" s="1"/>
  <c r="W196" i="7" s="1"/>
  <c r="W197" i="7" s="1"/>
  <c r="W198" i="7" s="1"/>
  <c r="W199" i="7" s="1"/>
  <c r="W200" i="7" s="1"/>
  <c r="W201" i="7" s="1"/>
  <c r="W202" i="7" s="1"/>
  <c r="W203" i="7" s="1"/>
  <c r="W204" i="7" s="1"/>
  <c r="W205" i="7" s="1"/>
  <c r="W206" i="7" s="1"/>
  <c r="W207" i="7" s="1"/>
  <c r="W208" i="7" s="1"/>
  <c r="W209" i="7" s="1"/>
  <c r="W210" i="7" s="1"/>
  <c r="W211" i="7" s="1"/>
  <c r="W212" i="7" s="1"/>
  <c r="W213" i="7" s="1"/>
  <c r="W214" i="7" s="1"/>
  <c r="W215" i="7" s="1"/>
  <c r="W216" i="7" s="1"/>
  <c r="W217" i="7" s="1"/>
  <c r="W218" i="7" s="1"/>
  <c r="W219" i="7" s="1"/>
  <c r="W220" i="7" s="1"/>
  <c r="W221" i="7" s="1"/>
  <c r="W222" i="7" s="1"/>
  <c r="W223" i="7" s="1"/>
  <c r="W224" i="7" s="1"/>
  <c r="W225" i="7" s="1"/>
  <c r="W226" i="7" s="1"/>
  <c r="W227" i="7" s="1"/>
  <c r="W228" i="7" s="1"/>
  <c r="W229" i="7" s="1"/>
  <c r="W230" i="7" s="1"/>
  <c r="W231" i="7" s="1"/>
  <c r="W232" i="7" s="1"/>
  <c r="W233" i="7" s="1"/>
  <c r="W234" i="7" s="1"/>
  <c r="W235" i="7" s="1"/>
  <c r="W236" i="7" s="1"/>
  <c r="W237" i="7" s="1"/>
  <c r="W238" i="7" s="1"/>
  <c r="W239" i="7" s="1"/>
  <c r="W240" i="7" s="1"/>
  <c r="W241" i="7" s="1"/>
  <c r="W242" i="7" s="1"/>
  <c r="W243" i="7" s="1"/>
  <c r="W244" i="7" s="1"/>
  <c r="W245" i="7" s="1"/>
  <c r="W246" i="7" s="1"/>
  <c r="W247" i="7" s="1"/>
  <c r="W248" i="7" s="1"/>
  <c r="W249" i="7" s="1"/>
  <c r="W250" i="7" s="1"/>
  <c r="W251" i="7" s="1"/>
  <c r="W252" i="7" s="1"/>
  <c r="W253" i="7" s="1"/>
  <c r="W254" i="7" s="1"/>
  <c r="W255" i="7" s="1"/>
  <c r="W256" i="7" s="1"/>
  <c r="W257" i="7" s="1"/>
  <c r="W258" i="7" s="1"/>
  <c r="W259" i="7" s="1"/>
  <c r="W260" i="7" s="1"/>
  <c r="W261" i="7" s="1"/>
  <c r="W262" i="7" s="1"/>
  <c r="W263" i="7" s="1"/>
  <c r="W264" i="7" s="1"/>
  <c r="W265" i="7" s="1"/>
  <c r="W266" i="7" s="1"/>
  <c r="W267" i="7" s="1"/>
  <c r="W268" i="7" s="1"/>
  <c r="W269" i="7" s="1"/>
  <c r="W270" i="7" s="1"/>
  <c r="W271" i="7" s="1"/>
  <c r="W272" i="7" s="1"/>
  <c r="W273" i="7" s="1"/>
  <c r="W274" i="7" s="1"/>
  <c r="W275" i="7" s="1"/>
  <c r="W276" i="7" s="1"/>
  <c r="W277" i="7" s="1"/>
  <c r="W278" i="7" s="1"/>
  <c r="W279" i="7" s="1"/>
  <c r="W280" i="7" s="1"/>
  <c r="W281" i="7" s="1"/>
  <c r="W282" i="7" s="1"/>
  <c r="W283" i="7" s="1"/>
  <c r="W284" i="7" s="1"/>
  <c r="W285" i="7" s="1"/>
  <c r="W286" i="7" s="1"/>
  <c r="W287" i="7" s="1"/>
  <c r="W288" i="7" s="1"/>
  <c r="W289" i="7" s="1"/>
  <c r="W290" i="7" s="1"/>
  <c r="W291" i="7" s="1"/>
  <c r="W292" i="7" s="1"/>
  <c r="W293" i="7" s="1"/>
  <c r="W294" i="7" s="1"/>
  <c r="W295" i="7" s="1"/>
  <c r="W296" i="7" s="1"/>
  <c r="W297" i="7" s="1"/>
  <c r="W298" i="7" s="1"/>
  <c r="W299" i="7" s="1"/>
  <c r="W300" i="7" s="1"/>
  <c r="W301" i="7" s="1"/>
  <c r="W302" i="7" s="1"/>
  <c r="W303" i="7" s="1"/>
  <c r="W304" i="7" s="1"/>
  <c r="W305" i="7" s="1"/>
  <c r="W306" i="7" s="1"/>
  <c r="W307" i="7" s="1"/>
  <c r="W308" i="7" s="1"/>
  <c r="W309" i="7" s="1"/>
  <c r="W310" i="7" s="1"/>
  <c r="W311" i="7" s="1"/>
  <c r="W312" i="7" s="1"/>
  <c r="W313" i="7" s="1"/>
  <c r="W314" i="7" s="1"/>
  <c r="W315" i="7" s="1"/>
  <c r="W316" i="7" s="1"/>
  <c r="W317" i="7" s="1"/>
  <c r="W318" i="7" s="1"/>
  <c r="W319" i="7" s="1"/>
  <c r="W320" i="7" s="1"/>
  <c r="W321" i="7" s="1"/>
  <c r="W322" i="7" s="1"/>
  <c r="W323" i="7" s="1"/>
  <c r="W324" i="7" s="1"/>
  <c r="W325" i="7" s="1"/>
  <c r="W326" i="7" s="1"/>
  <c r="W327" i="7" s="1"/>
  <c r="W328" i="7" s="1"/>
  <c r="W329" i="7" s="1"/>
  <c r="W330" i="7" s="1"/>
  <c r="W331" i="7" s="1"/>
  <c r="W332" i="7" s="1"/>
  <c r="W333" i="7" s="1"/>
  <c r="W334" i="7" s="1"/>
  <c r="W335" i="7" s="1"/>
  <c r="W336" i="7" s="1"/>
  <c r="W337" i="7" s="1"/>
  <c r="W338" i="7" s="1"/>
  <c r="W339" i="7" s="1"/>
  <c r="W340" i="7" s="1"/>
  <c r="W341" i="7" s="1"/>
  <c r="W342" i="7" s="1"/>
  <c r="W343" i="7" s="1"/>
  <c r="W344" i="7" s="1"/>
  <c r="W345" i="7" s="1"/>
  <c r="W346" i="7" s="1"/>
  <c r="W347" i="7" s="1"/>
  <c r="W348" i="7" s="1"/>
  <c r="W349" i="7" s="1"/>
  <c r="W350" i="7" s="1"/>
  <c r="W351" i="7" s="1"/>
  <c r="W352" i="7" s="1"/>
  <c r="W353" i="7" s="1"/>
  <c r="W354" i="7" s="1"/>
  <c r="W355" i="7" s="1"/>
  <c r="W356" i="7" s="1"/>
  <c r="W357" i="7" s="1"/>
  <c r="W358" i="7" s="1"/>
  <c r="W359" i="7" s="1"/>
  <c r="W360" i="7" s="1"/>
  <c r="W361" i="7" s="1"/>
  <c r="W362" i="7" s="1"/>
  <c r="W363" i="7" s="1"/>
  <c r="W364" i="7" s="1"/>
  <c r="W365" i="7" s="1"/>
  <c r="W366" i="7" s="1"/>
  <c r="W367" i="7" s="1"/>
  <c r="W368" i="7" s="1"/>
  <c r="W369" i="7" s="1"/>
  <c r="W370" i="7" s="1"/>
  <c r="W371" i="7" s="1"/>
  <c r="W372" i="7" s="1"/>
  <c r="W373" i="7" s="1"/>
  <c r="W374" i="7" s="1"/>
  <c r="W375" i="7" s="1"/>
  <c r="W376" i="7" s="1"/>
  <c r="W377" i="7" s="1"/>
  <c r="W378" i="7" s="1"/>
  <c r="W379" i="7" s="1"/>
  <c r="W380" i="7" s="1"/>
  <c r="W381" i="7" s="1"/>
  <c r="W382" i="7" s="1"/>
  <c r="W383" i="7" s="1"/>
  <c r="W384" i="7" s="1"/>
  <c r="W385" i="7" s="1"/>
  <c r="W386" i="7" s="1"/>
  <c r="W387" i="7" s="1"/>
  <c r="W388" i="7" s="1"/>
  <c r="W389" i="7" s="1"/>
  <c r="W390" i="7" s="1"/>
  <c r="W391" i="7" s="1"/>
  <c r="W392" i="7" s="1"/>
  <c r="W393" i="7" s="1"/>
  <c r="W394" i="7" s="1"/>
  <c r="W395" i="7" s="1"/>
  <c r="W396" i="7" s="1"/>
  <c r="W397" i="7" s="1"/>
  <c r="W398" i="7" s="1"/>
  <c r="W399" i="7" s="1"/>
  <c r="AA51" i="7"/>
  <c r="AA52" i="7" s="1"/>
  <c r="AA53" i="7" s="1"/>
  <c r="AA54" i="7" s="1"/>
  <c r="AA55" i="7" s="1"/>
  <c r="AA56" i="7" s="1"/>
  <c r="AA57" i="7" s="1"/>
  <c r="AA58" i="7" s="1"/>
  <c r="AA59" i="7" s="1"/>
  <c r="AA60" i="7" s="1"/>
  <c r="AA61" i="7" s="1"/>
  <c r="AA62" i="7" s="1"/>
  <c r="AA63" i="7" s="1"/>
  <c r="AA64" i="7" s="1"/>
  <c r="AA65" i="7" s="1"/>
  <c r="AA66" i="7" s="1"/>
  <c r="AA67" i="7" s="1"/>
  <c r="AA68" i="7" s="1"/>
  <c r="AA69" i="7" s="1"/>
  <c r="AA70" i="7" s="1"/>
  <c r="AA71" i="7" s="1"/>
  <c r="AA72" i="7" s="1"/>
  <c r="AA73" i="7" s="1"/>
  <c r="AA74" i="7" s="1"/>
  <c r="AA75" i="7" s="1"/>
  <c r="AA76" i="7" s="1"/>
  <c r="AA77" i="7" s="1"/>
  <c r="AA78" i="7" s="1"/>
  <c r="AA79" i="7" s="1"/>
  <c r="AA80" i="7" s="1"/>
  <c r="AA81" i="7" s="1"/>
  <c r="AA82" i="7" s="1"/>
  <c r="AA83" i="7" s="1"/>
  <c r="AA84" i="7" s="1"/>
  <c r="AA85" i="7" s="1"/>
  <c r="AA86" i="7" s="1"/>
  <c r="AA87" i="7" s="1"/>
  <c r="AA88" i="7" s="1"/>
  <c r="AA89" i="7" s="1"/>
  <c r="AA90" i="7" s="1"/>
  <c r="AA91" i="7" s="1"/>
  <c r="AA92" i="7" s="1"/>
  <c r="AA93" i="7" s="1"/>
  <c r="AA94" i="7" s="1"/>
  <c r="AA95" i="7" s="1"/>
  <c r="AA96" i="7" s="1"/>
  <c r="AA97" i="7" s="1"/>
  <c r="AA98" i="7" s="1"/>
  <c r="AA99" i="7" s="1"/>
  <c r="AA100" i="7" s="1"/>
  <c r="AA101" i="7" s="1"/>
  <c r="AA102" i="7" s="1"/>
  <c r="AA103" i="7" s="1"/>
  <c r="AA104" i="7" s="1"/>
  <c r="AA105" i="7" s="1"/>
  <c r="AA106" i="7" s="1"/>
  <c r="AA107" i="7" s="1"/>
  <c r="AA108" i="7" s="1"/>
  <c r="AA109" i="7" s="1"/>
  <c r="AA110" i="7" s="1"/>
  <c r="AA111" i="7" s="1"/>
  <c r="AA112" i="7" s="1"/>
  <c r="AA113" i="7" s="1"/>
  <c r="AA114" i="7" s="1"/>
  <c r="AA115" i="7" s="1"/>
  <c r="AA116" i="7" s="1"/>
  <c r="AA117" i="7" s="1"/>
  <c r="AA118" i="7" s="1"/>
  <c r="AA119" i="7" s="1"/>
  <c r="AA120" i="7" s="1"/>
  <c r="AA121" i="7" s="1"/>
  <c r="AA122" i="7" s="1"/>
  <c r="AA123" i="7" s="1"/>
  <c r="AA124" i="7" s="1"/>
  <c r="AA125" i="7" s="1"/>
  <c r="AA126" i="7" s="1"/>
  <c r="AA127" i="7" s="1"/>
  <c r="AA128" i="7" s="1"/>
  <c r="AA129" i="7" s="1"/>
  <c r="AA130" i="7" s="1"/>
  <c r="AA131" i="7" s="1"/>
  <c r="AA132" i="7" s="1"/>
  <c r="AA133" i="7" s="1"/>
  <c r="AA134" i="7" s="1"/>
  <c r="AA135" i="7" s="1"/>
  <c r="AA136" i="7" s="1"/>
  <c r="AA137" i="7" s="1"/>
  <c r="AA138" i="7" s="1"/>
  <c r="AA139" i="7" s="1"/>
  <c r="AA140" i="7" s="1"/>
  <c r="AA141" i="7" s="1"/>
  <c r="AA142" i="7" s="1"/>
  <c r="AA143" i="7" s="1"/>
  <c r="AA144" i="7" s="1"/>
  <c r="AA145" i="7" s="1"/>
  <c r="AA146" i="7" s="1"/>
  <c r="AA147" i="7" s="1"/>
  <c r="AA148" i="7" s="1"/>
  <c r="AA149" i="7" s="1"/>
  <c r="AA150" i="7" s="1"/>
  <c r="AA151" i="7" s="1"/>
  <c r="AA152" i="7" s="1"/>
  <c r="AA153" i="7" s="1"/>
  <c r="AA154" i="7" s="1"/>
  <c r="AA155" i="7" s="1"/>
  <c r="AA156" i="7" s="1"/>
  <c r="AA157" i="7" s="1"/>
  <c r="AA158" i="7" s="1"/>
  <c r="AA159" i="7" s="1"/>
  <c r="AA160" i="7" s="1"/>
  <c r="AA161" i="7" s="1"/>
  <c r="AA162" i="7" s="1"/>
  <c r="AA163" i="7" s="1"/>
  <c r="AA164" i="7" s="1"/>
  <c r="AA165" i="7" s="1"/>
  <c r="AA166" i="7" s="1"/>
  <c r="AA167" i="7" s="1"/>
  <c r="AA168" i="7" s="1"/>
  <c r="AA169" i="7" s="1"/>
  <c r="AA170" i="7" s="1"/>
  <c r="AA171" i="7" s="1"/>
  <c r="AA172" i="7" s="1"/>
  <c r="AA173" i="7" s="1"/>
  <c r="AA174" i="7" s="1"/>
  <c r="AA175" i="7" s="1"/>
  <c r="AA176" i="7" s="1"/>
  <c r="AA177" i="7" s="1"/>
  <c r="AA178" i="7" s="1"/>
  <c r="AA179" i="7" s="1"/>
  <c r="AA180" i="7" s="1"/>
  <c r="AA181" i="7" s="1"/>
  <c r="AA182" i="7" s="1"/>
  <c r="AA183" i="7" s="1"/>
  <c r="AA184" i="7" s="1"/>
  <c r="AA185" i="7" s="1"/>
  <c r="AA186" i="7" s="1"/>
  <c r="AA187" i="7" s="1"/>
  <c r="AA188" i="7" s="1"/>
  <c r="AA189" i="7" s="1"/>
  <c r="AA190" i="7" s="1"/>
  <c r="AA191" i="7" s="1"/>
  <c r="AA192" i="7" s="1"/>
  <c r="AA193" i="7" s="1"/>
  <c r="AA194" i="7" s="1"/>
  <c r="AA195" i="7" s="1"/>
  <c r="AA196" i="7" s="1"/>
  <c r="AA197" i="7" s="1"/>
  <c r="AA198" i="7" s="1"/>
  <c r="AA199" i="7" s="1"/>
  <c r="AA200" i="7" s="1"/>
  <c r="AA201" i="7" s="1"/>
  <c r="AA202" i="7" s="1"/>
  <c r="AA203" i="7" s="1"/>
  <c r="AA204" i="7" s="1"/>
  <c r="AA205" i="7" s="1"/>
  <c r="AA206" i="7" s="1"/>
  <c r="AA207" i="7" s="1"/>
  <c r="AA208" i="7" s="1"/>
  <c r="AA209" i="7" s="1"/>
  <c r="AA210" i="7" s="1"/>
  <c r="AA211" i="7" s="1"/>
  <c r="AA212" i="7" s="1"/>
  <c r="AA213" i="7" s="1"/>
  <c r="AA214" i="7" s="1"/>
  <c r="AA215" i="7" s="1"/>
  <c r="AA216" i="7" s="1"/>
  <c r="AA217" i="7" s="1"/>
  <c r="AA218" i="7" s="1"/>
  <c r="AA219" i="7" s="1"/>
  <c r="AA220" i="7" s="1"/>
  <c r="AA221" i="7" s="1"/>
  <c r="AA222" i="7" s="1"/>
  <c r="AA223" i="7" s="1"/>
  <c r="AA224" i="7" s="1"/>
  <c r="AA225" i="7" s="1"/>
  <c r="AA226" i="7" s="1"/>
  <c r="AA227" i="7" s="1"/>
  <c r="AA228" i="7" s="1"/>
  <c r="AA229" i="7" s="1"/>
  <c r="AA230" i="7" s="1"/>
  <c r="AA231" i="7" s="1"/>
  <c r="AA232" i="7" s="1"/>
  <c r="AA233" i="7" s="1"/>
  <c r="AA234" i="7" s="1"/>
  <c r="AA235" i="7" s="1"/>
  <c r="AA236" i="7" s="1"/>
  <c r="AA237" i="7" s="1"/>
  <c r="AA238" i="7" s="1"/>
  <c r="AA239" i="7" s="1"/>
  <c r="AA240" i="7" s="1"/>
  <c r="AA241" i="7" s="1"/>
  <c r="AA242" i="7" s="1"/>
  <c r="AA243" i="7" s="1"/>
  <c r="AA244" i="7" s="1"/>
  <c r="AA245" i="7" s="1"/>
  <c r="AA246" i="7" s="1"/>
  <c r="AA247" i="7" s="1"/>
  <c r="AA248" i="7" s="1"/>
  <c r="AA249" i="7" s="1"/>
  <c r="AA250" i="7" s="1"/>
  <c r="AA251" i="7" s="1"/>
  <c r="AA252" i="7" s="1"/>
  <c r="AA253" i="7" s="1"/>
  <c r="AA254" i="7" s="1"/>
  <c r="AA255" i="7" s="1"/>
  <c r="AA256" i="7" s="1"/>
  <c r="AA257" i="7" s="1"/>
  <c r="AA258" i="7" s="1"/>
  <c r="AA259" i="7" s="1"/>
  <c r="AA260" i="7" s="1"/>
  <c r="AA261" i="7" s="1"/>
  <c r="AA262" i="7" s="1"/>
  <c r="AA263" i="7" s="1"/>
  <c r="AA264" i="7" s="1"/>
  <c r="AA265" i="7" s="1"/>
  <c r="AA266" i="7" s="1"/>
  <c r="AA267" i="7" s="1"/>
  <c r="AA268" i="7" s="1"/>
  <c r="AA269" i="7" s="1"/>
  <c r="AA270" i="7" s="1"/>
  <c r="AA271" i="7" s="1"/>
  <c r="AA272" i="7" s="1"/>
  <c r="AA273" i="7" s="1"/>
  <c r="AA274" i="7" s="1"/>
  <c r="AA275" i="7" s="1"/>
  <c r="AA276" i="7" s="1"/>
  <c r="AA277" i="7" s="1"/>
  <c r="AA278" i="7" s="1"/>
  <c r="AA279" i="7" s="1"/>
  <c r="AA280" i="7" s="1"/>
  <c r="AA281" i="7" s="1"/>
  <c r="AA282" i="7" s="1"/>
  <c r="AA283" i="7" s="1"/>
  <c r="AA284" i="7" s="1"/>
  <c r="AA285" i="7" s="1"/>
  <c r="AA286" i="7" s="1"/>
  <c r="AA287" i="7" s="1"/>
  <c r="AA288" i="7" s="1"/>
  <c r="AA289" i="7" s="1"/>
  <c r="AA290" i="7" s="1"/>
  <c r="AA291" i="7" s="1"/>
  <c r="AA292" i="7" s="1"/>
  <c r="AA293" i="7" s="1"/>
  <c r="AA294" i="7" s="1"/>
  <c r="AA295" i="7" s="1"/>
  <c r="AA296" i="7" s="1"/>
  <c r="AA297" i="7" s="1"/>
  <c r="AA298" i="7" s="1"/>
  <c r="AA299" i="7" s="1"/>
  <c r="AA300" i="7" s="1"/>
  <c r="AA301" i="7" s="1"/>
  <c r="AA302" i="7" s="1"/>
  <c r="AA303" i="7" s="1"/>
  <c r="AA304" i="7" s="1"/>
  <c r="AA305" i="7" s="1"/>
  <c r="AA306" i="7" s="1"/>
  <c r="AA307" i="7" s="1"/>
  <c r="AA308" i="7" s="1"/>
  <c r="AA309" i="7" s="1"/>
  <c r="AA310" i="7" s="1"/>
  <c r="AA311" i="7" s="1"/>
  <c r="AA312" i="7" s="1"/>
  <c r="AA313" i="7" s="1"/>
  <c r="AA314" i="7" s="1"/>
  <c r="AA315" i="7" s="1"/>
  <c r="AA316" i="7" s="1"/>
  <c r="AA317" i="7" s="1"/>
  <c r="AA318" i="7" s="1"/>
  <c r="AA319" i="7" s="1"/>
  <c r="AA320" i="7" s="1"/>
  <c r="AA321" i="7" s="1"/>
  <c r="AA322" i="7" s="1"/>
  <c r="AA323" i="7" s="1"/>
  <c r="AA324" i="7" s="1"/>
  <c r="AA325" i="7" s="1"/>
  <c r="AA326" i="7" s="1"/>
  <c r="AA327" i="7" s="1"/>
  <c r="AA328" i="7" s="1"/>
  <c r="AA329" i="7" s="1"/>
  <c r="AA330" i="7" s="1"/>
  <c r="AA331" i="7" s="1"/>
  <c r="AA332" i="7" s="1"/>
  <c r="AA333" i="7" s="1"/>
  <c r="AA334" i="7" s="1"/>
  <c r="AA335" i="7" s="1"/>
  <c r="AA336" i="7" s="1"/>
  <c r="AA337" i="7" s="1"/>
  <c r="AA338" i="7" s="1"/>
  <c r="AA339" i="7" s="1"/>
  <c r="AA340" i="7" s="1"/>
  <c r="AA341" i="7" s="1"/>
  <c r="AA342" i="7" s="1"/>
  <c r="AA343" i="7" s="1"/>
  <c r="AA344" i="7" s="1"/>
  <c r="AA345" i="7" s="1"/>
  <c r="AA346" i="7" s="1"/>
  <c r="AA347" i="7" s="1"/>
  <c r="AA348" i="7" s="1"/>
  <c r="AA349" i="7" s="1"/>
  <c r="AA350" i="7" s="1"/>
  <c r="AA351" i="7" s="1"/>
  <c r="AA352" i="7" s="1"/>
  <c r="AA353" i="7" s="1"/>
  <c r="AA354" i="7" s="1"/>
  <c r="AA355" i="7" s="1"/>
  <c r="AA356" i="7" s="1"/>
  <c r="AA357" i="7" s="1"/>
  <c r="AA358" i="7" s="1"/>
  <c r="AA359" i="7" s="1"/>
  <c r="AA360" i="7" s="1"/>
  <c r="AA361" i="7" s="1"/>
  <c r="AA362" i="7" s="1"/>
  <c r="AA363" i="7" s="1"/>
  <c r="AA364" i="7" s="1"/>
  <c r="AA365" i="7" s="1"/>
  <c r="AA366" i="7" s="1"/>
  <c r="AA367" i="7" s="1"/>
  <c r="AA368" i="7" s="1"/>
  <c r="AA369" i="7" s="1"/>
  <c r="AA370" i="7" s="1"/>
  <c r="AA371" i="7" s="1"/>
  <c r="AA372" i="7" s="1"/>
  <c r="AA373" i="7" s="1"/>
  <c r="AA374" i="7" s="1"/>
  <c r="AA375" i="7" s="1"/>
  <c r="AA376" i="7" s="1"/>
  <c r="AA377" i="7" s="1"/>
  <c r="AA378" i="7" s="1"/>
  <c r="AA379" i="7" s="1"/>
  <c r="AA380" i="7" s="1"/>
  <c r="AA381" i="7" s="1"/>
  <c r="AA382" i="7" s="1"/>
  <c r="AA383" i="7" s="1"/>
  <c r="AA384" i="7" s="1"/>
  <c r="AA385" i="7" s="1"/>
  <c r="AA386" i="7" s="1"/>
  <c r="AA387" i="7" s="1"/>
  <c r="AA388" i="7" s="1"/>
  <c r="AA389" i="7" s="1"/>
  <c r="AA390" i="7" s="1"/>
  <c r="AA391" i="7" s="1"/>
  <c r="AA392" i="7" s="1"/>
  <c r="AA393" i="7" s="1"/>
  <c r="AA394" i="7" s="1"/>
  <c r="AA395" i="7" s="1"/>
  <c r="AA396" i="7" s="1"/>
  <c r="AA397" i="7" s="1"/>
  <c r="AA398" i="7" s="1"/>
  <c r="AA399" i="7" s="1"/>
  <c r="Y51" i="7"/>
  <c r="Y52" i="7" s="1"/>
  <c r="Y53" i="7" s="1"/>
  <c r="Y54" i="7" s="1"/>
  <c r="Y55" i="7" s="1"/>
  <c r="Y56" i="7" s="1"/>
  <c r="Y57" i="7" s="1"/>
  <c r="Y58" i="7" s="1"/>
  <c r="Y59" i="7" s="1"/>
  <c r="Y60" i="7" s="1"/>
  <c r="Y61" i="7" s="1"/>
  <c r="Y62" i="7" s="1"/>
  <c r="Y63" i="7" s="1"/>
  <c r="Y64" i="7" s="1"/>
  <c r="Y65" i="7" s="1"/>
  <c r="Y66" i="7" s="1"/>
  <c r="Y67" i="7" s="1"/>
  <c r="Y68" i="7" s="1"/>
  <c r="Y69" i="7" s="1"/>
  <c r="Y70" i="7" s="1"/>
  <c r="Y71" i="7" s="1"/>
  <c r="Y72" i="7" s="1"/>
  <c r="Y73" i="7" s="1"/>
  <c r="Y74" i="7" s="1"/>
  <c r="Y75" i="7" s="1"/>
  <c r="Y76" i="7" s="1"/>
  <c r="Y77" i="7" s="1"/>
  <c r="Y78" i="7" s="1"/>
  <c r="Y79" i="7" s="1"/>
  <c r="Y80" i="7" s="1"/>
  <c r="Y81" i="7" s="1"/>
  <c r="Y82" i="7" s="1"/>
  <c r="Y83" i="7" s="1"/>
  <c r="Y84" i="7" s="1"/>
  <c r="Y85" i="7" s="1"/>
  <c r="Y86" i="7" s="1"/>
  <c r="Y87" i="7" s="1"/>
  <c r="Y88" i="7" s="1"/>
  <c r="Y89" i="7" s="1"/>
  <c r="Y90" i="7" s="1"/>
  <c r="Y91" i="7" s="1"/>
  <c r="Y92" i="7" s="1"/>
  <c r="Y93" i="7" s="1"/>
  <c r="Y94" i="7" s="1"/>
  <c r="Y95" i="7" s="1"/>
  <c r="Y96" i="7" s="1"/>
  <c r="Y97" i="7" s="1"/>
  <c r="Y98" i="7" s="1"/>
  <c r="Y99" i="7" s="1"/>
  <c r="Y100" i="7" s="1"/>
  <c r="Y101" i="7" s="1"/>
  <c r="Y102" i="7" s="1"/>
  <c r="Y103" i="7" s="1"/>
  <c r="Y104" i="7" s="1"/>
  <c r="Y105" i="7" s="1"/>
  <c r="Y106" i="7" s="1"/>
  <c r="Y107" i="7" s="1"/>
  <c r="Y108" i="7" s="1"/>
  <c r="Y109" i="7" s="1"/>
  <c r="Y110" i="7" s="1"/>
  <c r="Y111" i="7" s="1"/>
  <c r="Y112" i="7" s="1"/>
  <c r="Y113" i="7" s="1"/>
  <c r="Y114" i="7" s="1"/>
  <c r="Y115" i="7" s="1"/>
  <c r="Y116" i="7" s="1"/>
  <c r="Y117" i="7" s="1"/>
  <c r="Y118" i="7" s="1"/>
  <c r="Y119" i="7" s="1"/>
  <c r="Y120" i="7" s="1"/>
  <c r="Y121" i="7" s="1"/>
  <c r="Y122" i="7" s="1"/>
  <c r="Y123" i="7" s="1"/>
  <c r="Y124" i="7" s="1"/>
  <c r="Y125" i="7" s="1"/>
  <c r="Y126" i="7" s="1"/>
  <c r="Y127" i="7" s="1"/>
  <c r="Y128" i="7" s="1"/>
  <c r="Y129" i="7" s="1"/>
  <c r="Y130" i="7" s="1"/>
  <c r="Y131" i="7" s="1"/>
  <c r="Y132" i="7" s="1"/>
  <c r="Y133" i="7" s="1"/>
  <c r="Y134" i="7" s="1"/>
  <c r="Y135" i="7" s="1"/>
  <c r="Y136" i="7" s="1"/>
  <c r="Y137" i="7" s="1"/>
  <c r="Y138" i="7" s="1"/>
  <c r="Y139" i="7" s="1"/>
  <c r="Y140" i="7" s="1"/>
  <c r="Y141" i="7" s="1"/>
  <c r="Y142" i="7" s="1"/>
  <c r="Y143" i="7" s="1"/>
  <c r="Y144" i="7" s="1"/>
  <c r="Y145" i="7" s="1"/>
  <c r="Y146" i="7" s="1"/>
  <c r="Y147" i="7" s="1"/>
  <c r="Y148" i="7" s="1"/>
  <c r="Y149" i="7" s="1"/>
  <c r="Y150" i="7" s="1"/>
  <c r="Y151" i="7" s="1"/>
  <c r="Y152" i="7" s="1"/>
  <c r="Y153" i="7" s="1"/>
  <c r="Y154" i="7" s="1"/>
  <c r="Y155" i="7" s="1"/>
  <c r="Y156" i="7" s="1"/>
  <c r="Y157" i="7" s="1"/>
  <c r="Y158" i="7" s="1"/>
  <c r="Y159" i="7" s="1"/>
  <c r="Y160" i="7" s="1"/>
  <c r="Y161" i="7" s="1"/>
  <c r="Y162" i="7" s="1"/>
  <c r="Y163" i="7" s="1"/>
  <c r="Y164" i="7" s="1"/>
  <c r="Y165" i="7" s="1"/>
  <c r="Y166" i="7" s="1"/>
  <c r="Y167" i="7" s="1"/>
  <c r="Y168" i="7" s="1"/>
  <c r="Y169" i="7" s="1"/>
  <c r="Y170" i="7" s="1"/>
  <c r="Y171" i="7" s="1"/>
  <c r="Y172" i="7" s="1"/>
  <c r="Y173" i="7" s="1"/>
  <c r="Y174" i="7" s="1"/>
  <c r="Y175" i="7" s="1"/>
  <c r="Y176" i="7" s="1"/>
  <c r="Y177" i="7" s="1"/>
  <c r="Y178" i="7" s="1"/>
  <c r="Y179" i="7" s="1"/>
  <c r="Y180" i="7" s="1"/>
  <c r="Y181" i="7" s="1"/>
  <c r="Y182" i="7" s="1"/>
  <c r="Y183" i="7" s="1"/>
  <c r="Y184" i="7" s="1"/>
  <c r="Y185" i="7" s="1"/>
  <c r="Y186" i="7" s="1"/>
  <c r="Y187" i="7" s="1"/>
  <c r="Y188" i="7" s="1"/>
  <c r="Y189" i="7" s="1"/>
  <c r="Y190" i="7" s="1"/>
  <c r="Y191" i="7" s="1"/>
  <c r="Y192" i="7" s="1"/>
  <c r="Y193" i="7" s="1"/>
  <c r="Y194" i="7" s="1"/>
  <c r="Y195" i="7" s="1"/>
  <c r="Y196" i="7" s="1"/>
  <c r="Y197" i="7" s="1"/>
  <c r="Y198" i="7" s="1"/>
  <c r="Y199" i="7" s="1"/>
  <c r="Y200" i="7" s="1"/>
  <c r="Y201" i="7" s="1"/>
  <c r="Y202" i="7" s="1"/>
  <c r="Y203" i="7" s="1"/>
  <c r="Y204" i="7" s="1"/>
  <c r="Y205" i="7" s="1"/>
  <c r="Y206" i="7" s="1"/>
  <c r="Y207" i="7" s="1"/>
  <c r="Y208" i="7" s="1"/>
  <c r="Y209" i="7" s="1"/>
  <c r="Y210" i="7" s="1"/>
  <c r="Y211" i="7" s="1"/>
  <c r="Y212" i="7" s="1"/>
  <c r="Y213" i="7" s="1"/>
  <c r="Y214" i="7" s="1"/>
  <c r="Y215" i="7" s="1"/>
  <c r="Y216" i="7" s="1"/>
  <c r="Y217" i="7" s="1"/>
  <c r="Y218" i="7" s="1"/>
  <c r="Y219" i="7" s="1"/>
  <c r="Y220" i="7" s="1"/>
  <c r="Y221" i="7" s="1"/>
  <c r="Y222" i="7" s="1"/>
  <c r="Y223" i="7" s="1"/>
  <c r="Y224" i="7" s="1"/>
  <c r="Y225" i="7" s="1"/>
  <c r="Y226" i="7" s="1"/>
  <c r="Y227" i="7" s="1"/>
  <c r="Y228" i="7" s="1"/>
  <c r="Y229" i="7" s="1"/>
  <c r="Y230" i="7" s="1"/>
  <c r="Y231" i="7" s="1"/>
  <c r="Y232" i="7" s="1"/>
  <c r="Y233" i="7" s="1"/>
  <c r="Y234" i="7" s="1"/>
  <c r="Y235" i="7" s="1"/>
  <c r="Y236" i="7" s="1"/>
  <c r="Y237" i="7" s="1"/>
  <c r="Y238" i="7" s="1"/>
  <c r="Y239" i="7" s="1"/>
  <c r="Y240" i="7" s="1"/>
  <c r="Y241" i="7" s="1"/>
  <c r="Y242" i="7" s="1"/>
  <c r="Y243" i="7" s="1"/>
  <c r="Y244" i="7" s="1"/>
  <c r="Y245" i="7" s="1"/>
  <c r="Y246" i="7" s="1"/>
  <c r="Y247" i="7" s="1"/>
  <c r="Y248" i="7" s="1"/>
  <c r="Y249" i="7" s="1"/>
  <c r="Y250" i="7" s="1"/>
  <c r="Y251" i="7" s="1"/>
  <c r="Y252" i="7" s="1"/>
  <c r="Y253" i="7" s="1"/>
  <c r="Y254" i="7" s="1"/>
  <c r="Y255" i="7" s="1"/>
  <c r="Y256" i="7" s="1"/>
  <c r="Y257" i="7" s="1"/>
  <c r="Y258" i="7" s="1"/>
  <c r="Y259" i="7" s="1"/>
  <c r="Y260" i="7" s="1"/>
  <c r="Y261" i="7" s="1"/>
  <c r="Y262" i="7" s="1"/>
  <c r="Y263" i="7" s="1"/>
  <c r="Y264" i="7" s="1"/>
  <c r="Y265" i="7" s="1"/>
  <c r="Y266" i="7" s="1"/>
  <c r="Y267" i="7" s="1"/>
  <c r="Y268" i="7" s="1"/>
  <c r="Y269" i="7" s="1"/>
  <c r="Y270" i="7" s="1"/>
  <c r="Y271" i="7" s="1"/>
  <c r="Y272" i="7" s="1"/>
  <c r="Y273" i="7" s="1"/>
  <c r="Y274" i="7" s="1"/>
  <c r="Y275" i="7" s="1"/>
  <c r="Y276" i="7" s="1"/>
  <c r="Y277" i="7" s="1"/>
  <c r="Y278" i="7" s="1"/>
  <c r="Y279" i="7" s="1"/>
  <c r="Y280" i="7" s="1"/>
  <c r="Y281" i="7" s="1"/>
  <c r="Y282" i="7" s="1"/>
  <c r="Y283" i="7" s="1"/>
  <c r="Y284" i="7" s="1"/>
  <c r="Y285" i="7" s="1"/>
  <c r="Y286" i="7" s="1"/>
  <c r="Y287" i="7" s="1"/>
  <c r="Y288" i="7" s="1"/>
  <c r="Y289" i="7" s="1"/>
  <c r="Y290" i="7" s="1"/>
  <c r="Y291" i="7" s="1"/>
  <c r="Y292" i="7" s="1"/>
  <c r="Y293" i="7" s="1"/>
  <c r="Y294" i="7" s="1"/>
  <c r="Y295" i="7" s="1"/>
  <c r="Y296" i="7" s="1"/>
  <c r="Y297" i="7" s="1"/>
  <c r="Y298" i="7" s="1"/>
  <c r="Y299" i="7" s="1"/>
  <c r="Y300" i="7" s="1"/>
  <c r="Y301" i="7" s="1"/>
  <c r="Y302" i="7" s="1"/>
  <c r="Y303" i="7" s="1"/>
  <c r="Y304" i="7" s="1"/>
  <c r="Y305" i="7" s="1"/>
  <c r="Y306" i="7" s="1"/>
  <c r="Y307" i="7" s="1"/>
  <c r="Y308" i="7" s="1"/>
  <c r="Y309" i="7" s="1"/>
  <c r="Y310" i="7" s="1"/>
  <c r="Y311" i="7" s="1"/>
  <c r="Y312" i="7" s="1"/>
  <c r="Y313" i="7" s="1"/>
  <c r="Y314" i="7" s="1"/>
  <c r="Y315" i="7" s="1"/>
  <c r="Y316" i="7" s="1"/>
  <c r="Y317" i="7" s="1"/>
  <c r="Y318" i="7" s="1"/>
  <c r="Y319" i="7" s="1"/>
  <c r="Y320" i="7" s="1"/>
  <c r="Y321" i="7" s="1"/>
  <c r="Y322" i="7" s="1"/>
  <c r="Y323" i="7" s="1"/>
  <c r="Y324" i="7" s="1"/>
  <c r="Y325" i="7" s="1"/>
  <c r="Y326" i="7" s="1"/>
  <c r="Y327" i="7" s="1"/>
  <c r="Y328" i="7" s="1"/>
  <c r="Y329" i="7" s="1"/>
  <c r="Y330" i="7" s="1"/>
  <c r="Y331" i="7" s="1"/>
  <c r="Y332" i="7" s="1"/>
  <c r="Y333" i="7" s="1"/>
  <c r="Y334" i="7" s="1"/>
  <c r="Y335" i="7" s="1"/>
  <c r="Y336" i="7" s="1"/>
  <c r="Y337" i="7" s="1"/>
  <c r="Y338" i="7" s="1"/>
  <c r="Y339" i="7" s="1"/>
  <c r="Y340" i="7" s="1"/>
  <c r="Y341" i="7" s="1"/>
  <c r="Y342" i="7" s="1"/>
  <c r="Y343" i="7" s="1"/>
  <c r="Y344" i="7" s="1"/>
  <c r="Y345" i="7" s="1"/>
  <c r="Y346" i="7" s="1"/>
  <c r="Y347" i="7" s="1"/>
  <c r="Y348" i="7" s="1"/>
  <c r="Y349" i="7" s="1"/>
  <c r="Y350" i="7" s="1"/>
  <c r="Y351" i="7" s="1"/>
  <c r="Y352" i="7" s="1"/>
  <c r="Y353" i="7" s="1"/>
  <c r="Y354" i="7" s="1"/>
  <c r="Y355" i="7" s="1"/>
  <c r="Y356" i="7" s="1"/>
  <c r="Y357" i="7" s="1"/>
  <c r="Y358" i="7" s="1"/>
  <c r="Y359" i="7" s="1"/>
  <c r="Y360" i="7" s="1"/>
  <c r="Y361" i="7" s="1"/>
  <c r="Y362" i="7" s="1"/>
  <c r="Y363" i="7" s="1"/>
  <c r="Y364" i="7" s="1"/>
  <c r="Y365" i="7" s="1"/>
  <c r="Y366" i="7" s="1"/>
  <c r="Y367" i="7" s="1"/>
  <c r="Y368" i="7" s="1"/>
  <c r="Y369" i="7" s="1"/>
  <c r="Y370" i="7" s="1"/>
  <c r="Y371" i="7" s="1"/>
  <c r="Y372" i="7" s="1"/>
  <c r="Y373" i="7" s="1"/>
  <c r="Y374" i="7" s="1"/>
  <c r="Y375" i="7" s="1"/>
  <c r="Y376" i="7" s="1"/>
  <c r="Y377" i="7" s="1"/>
  <c r="Y378" i="7" s="1"/>
  <c r="Y379" i="7" s="1"/>
  <c r="Y380" i="7" s="1"/>
  <c r="Y381" i="7" s="1"/>
  <c r="Y382" i="7" s="1"/>
  <c r="Y383" i="7" s="1"/>
  <c r="Y384" i="7" s="1"/>
  <c r="Y385" i="7" s="1"/>
  <c r="Y386" i="7" s="1"/>
  <c r="Y387" i="7" s="1"/>
  <c r="Y388" i="7" s="1"/>
  <c r="Y389" i="7" s="1"/>
  <c r="Y390" i="7" s="1"/>
  <c r="Y391" i="7" s="1"/>
  <c r="Y392" i="7" s="1"/>
  <c r="Y393" i="7" s="1"/>
  <c r="Y394" i="7" s="1"/>
  <c r="Y395" i="7" s="1"/>
  <c r="Y396" i="7" s="1"/>
  <c r="Y397" i="7" s="1"/>
  <c r="Y398" i="7" s="1"/>
  <c r="Y399" i="7" s="1"/>
  <c r="AC51" i="7"/>
  <c r="AC52" i="7" s="1"/>
  <c r="AC53" i="7" s="1"/>
  <c r="AC54" i="7" s="1"/>
  <c r="AC55" i="7" s="1"/>
  <c r="AC56" i="7" s="1"/>
  <c r="AC57" i="7" s="1"/>
  <c r="AC58" i="7" s="1"/>
  <c r="AC59" i="7" s="1"/>
  <c r="AC60" i="7" s="1"/>
  <c r="AC61" i="7" s="1"/>
  <c r="AC62" i="7" s="1"/>
  <c r="AC63" i="7" s="1"/>
  <c r="AC64" i="7" s="1"/>
  <c r="AC65" i="7" s="1"/>
  <c r="AC66" i="7" s="1"/>
  <c r="AC67" i="7" s="1"/>
  <c r="AC68" i="7" s="1"/>
  <c r="AC69" i="7" s="1"/>
  <c r="AC70" i="7" s="1"/>
  <c r="AC71" i="7" s="1"/>
  <c r="AC72" i="7" s="1"/>
  <c r="AC73" i="7" s="1"/>
  <c r="AC74" i="7" s="1"/>
  <c r="AC75" i="7" s="1"/>
  <c r="AC76" i="7" s="1"/>
  <c r="AC77" i="7" s="1"/>
  <c r="AC78" i="7" s="1"/>
  <c r="AC79" i="7" s="1"/>
  <c r="AC80" i="7" s="1"/>
  <c r="AC81" i="7" s="1"/>
  <c r="AC82" i="7" s="1"/>
  <c r="AC83" i="7" s="1"/>
  <c r="AC84" i="7" s="1"/>
  <c r="AC85" i="7" s="1"/>
  <c r="AC86" i="7" s="1"/>
  <c r="AC87" i="7" s="1"/>
  <c r="AC88" i="7" s="1"/>
  <c r="AC89" i="7" s="1"/>
  <c r="AC90" i="7" s="1"/>
  <c r="AC91" i="7" s="1"/>
  <c r="AC92" i="7" s="1"/>
  <c r="AC93" i="7" s="1"/>
  <c r="AC94" i="7" s="1"/>
  <c r="AC95" i="7" s="1"/>
  <c r="AC96" i="7" s="1"/>
  <c r="AC97" i="7" s="1"/>
  <c r="AC98" i="7" s="1"/>
  <c r="AC99" i="7" s="1"/>
  <c r="AC100" i="7" s="1"/>
  <c r="AC101" i="7" s="1"/>
  <c r="AC102" i="7" s="1"/>
  <c r="AC103" i="7" s="1"/>
  <c r="AC104" i="7" s="1"/>
  <c r="AC105" i="7" s="1"/>
  <c r="AC106" i="7" s="1"/>
  <c r="AC107" i="7" s="1"/>
  <c r="AC108" i="7" s="1"/>
  <c r="AC109" i="7" s="1"/>
  <c r="AC110" i="7" s="1"/>
  <c r="AC111" i="7" s="1"/>
  <c r="AC112" i="7" s="1"/>
  <c r="AC113" i="7" s="1"/>
  <c r="AC114" i="7" s="1"/>
  <c r="AC115" i="7" s="1"/>
  <c r="AC116" i="7" s="1"/>
  <c r="AC117" i="7" s="1"/>
  <c r="AC118" i="7" s="1"/>
  <c r="AC119" i="7" s="1"/>
  <c r="AC120" i="7" s="1"/>
  <c r="AC121" i="7" s="1"/>
  <c r="AC122" i="7" s="1"/>
  <c r="AC123" i="7" s="1"/>
  <c r="AC124" i="7" s="1"/>
  <c r="AC125" i="7" s="1"/>
  <c r="AC126" i="7" s="1"/>
  <c r="AC127" i="7" s="1"/>
  <c r="AC128" i="7" s="1"/>
  <c r="AC129" i="7" s="1"/>
  <c r="AC130" i="7" s="1"/>
  <c r="AC131" i="7" s="1"/>
  <c r="AC132" i="7" s="1"/>
  <c r="AC133" i="7" s="1"/>
  <c r="AC134" i="7" s="1"/>
  <c r="AC135" i="7" s="1"/>
  <c r="AC136" i="7" s="1"/>
  <c r="AC137" i="7" s="1"/>
  <c r="AC138" i="7" s="1"/>
  <c r="AC139" i="7" s="1"/>
  <c r="AC140" i="7" s="1"/>
  <c r="AC141" i="7" s="1"/>
  <c r="AC142" i="7" s="1"/>
  <c r="AC143" i="7" s="1"/>
  <c r="AC144" i="7" s="1"/>
  <c r="AC145" i="7" s="1"/>
  <c r="AC146" i="7" s="1"/>
  <c r="AC147" i="7" s="1"/>
  <c r="AC148" i="7" s="1"/>
  <c r="AC149" i="7" s="1"/>
  <c r="AC150" i="7" s="1"/>
  <c r="AC151" i="7" s="1"/>
  <c r="AC152" i="7" s="1"/>
  <c r="AC153" i="7" s="1"/>
  <c r="AC154" i="7" s="1"/>
  <c r="AC155" i="7" s="1"/>
  <c r="AC156" i="7" s="1"/>
  <c r="AC157" i="7" s="1"/>
  <c r="AC158" i="7" s="1"/>
  <c r="AC159" i="7" s="1"/>
  <c r="AC160" i="7" s="1"/>
  <c r="AC161" i="7" s="1"/>
  <c r="AC162" i="7" s="1"/>
  <c r="AC163" i="7" s="1"/>
  <c r="AC164" i="7" s="1"/>
  <c r="AC165" i="7" s="1"/>
  <c r="AC166" i="7" s="1"/>
  <c r="AC167" i="7" s="1"/>
  <c r="AC168" i="7" s="1"/>
  <c r="AC169" i="7" s="1"/>
  <c r="AC170" i="7" s="1"/>
  <c r="AC171" i="7" s="1"/>
  <c r="AC172" i="7" s="1"/>
  <c r="AC173" i="7" s="1"/>
  <c r="AC174" i="7" s="1"/>
  <c r="AC175" i="7" s="1"/>
  <c r="AC176" i="7" s="1"/>
  <c r="AC177" i="7" s="1"/>
  <c r="AC178" i="7" s="1"/>
  <c r="AC179" i="7" s="1"/>
  <c r="AC180" i="7" s="1"/>
  <c r="AC181" i="7" s="1"/>
  <c r="AC182" i="7" s="1"/>
  <c r="AC183" i="7" s="1"/>
  <c r="AC184" i="7" s="1"/>
  <c r="AC185" i="7" s="1"/>
  <c r="AC186" i="7" s="1"/>
  <c r="AC187" i="7" s="1"/>
  <c r="AC188" i="7" s="1"/>
  <c r="AC189" i="7" s="1"/>
  <c r="AC190" i="7" s="1"/>
  <c r="AC191" i="7" s="1"/>
  <c r="AC192" i="7" s="1"/>
  <c r="AC193" i="7" s="1"/>
  <c r="AC194" i="7" s="1"/>
  <c r="AC195" i="7" s="1"/>
  <c r="AC196" i="7" s="1"/>
  <c r="AC197" i="7" s="1"/>
  <c r="AC198" i="7" s="1"/>
  <c r="AC199" i="7" s="1"/>
  <c r="AC200" i="7" s="1"/>
  <c r="AC201" i="7" s="1"/>
  <c r="AC202" i="7" s="1"/>
  <c r="AC203" i="7" s="1"/>
  <c r="AC204" i="7" s="1"/>
  <c r="AC205" i="7" s="1"/>
  <c r="AC206" i="7" s="1"/>
  <c r="AC207" i="7" s="1"/>
  <c r="AC208" i="7" s="1"/>
  <c r="AC209" i="7" s="1"/>
  <c r="AC210" i="7" s="1"/>
  <c r="AC211" i="7" s="1"/>
  <c r="AC212" i="7" s="1"/>
  <c r="AC213" i="7" s="1"/>
  <c r="AC214" i="7" s="1"/>
  <c r="AC215" i="7" s="1"/>
  <c r="AC216" i="7" s="1"/>
  <c r="AC217" i="7" s="1"/>
  <c r="AC218" i="7" s="1"/>
  <c r="AC219" i="7" s="1"/>
  <c r="AC220" i="7" s="1"/>
  <c r="AC221" i="7" s="1"/>
  <c r="AC222" i="7" s="1"/>
  <c r="AC223" i="7" s="1"/>
  <c r="AC224" i="7" s="1"/>
  <c r="AC225" i="7" s="1"/>
  <c r="AC226" i="7" s="1"/>
  <c r="AC227" i="7" s="1"/>
  <c r="AC228" i="7" s="1"/>
  <c r="AC229" i="7" s="1"/>
  <c r="AC230" i="7" s="1"/>
  <c r="AC231" i="7" s="1"/>
  <c r="AC232" i="7" s="1"/>
  <c r="AC233" i="7" s="1"/>
  <c r="AC234" i="7" s="1"/>
  <c r="AC235" i="7" s="1"/>
  <c r="AC236" i="7" s="1"/>
  <c r="AC237" i="7" s="1"/>
  <c r="AC238" i="7" s="1"/>
  <c r="AC239" i="7" s="1"/>
  <c r="AC240" i="7" s="1"/>
  <c r="AC241" i="7" s="1"/>
  <c r="AC242" i="7" s="1"/>
  <c r="AC243" i="7" s="1"/>
  <c r="AC244" i="7" s="1"/>
  <c r="AC245" i="7" s="1"/>
  <c r="AC246" i="7" s="1"/>
  <c r="AC247" i="7" s="1"/>
  <c r="AC248" i="7" s="1"/>
  <c r="AC249" i="7" s="1"/>
  <c r="AC250" i="7" s="1"/>
  <c r="AC251" i="7" s="1"/>
  <c r="AC252" i="7" s="1"/>
  <c r="AC253" i="7" s="1"/>
  <c r="AC254" i="7" s="1"/>
  <c r="AC255" i="7" s="1"/>
  <c r="AC256" i="7" s="1"/>
  <c r="AC257" i="7" s="1"/>
  <c r="AC258" i="7" s="1"/>
  <c r="AC259" i="7" s="1"/>
  <c r="AC260" i="7" s="1"/>
  <c r="AC261" i="7" s="1"/>
  <c r="AC262" i="7" s="1"/>
  <c r="AC263" i="7" s="1"/>
  <c r="AC264" i="7" s="1"/>
  <c r="AC265" i="7" s="1"/>
  <c r="AC266" i="7" s="1"/>
  <c r="AC267" i="7" s="1"/>
  <c r="AC268" i="7" s="1"/>
  <c r="AC269" i="7" s="1"/>
  <c r="AC270" i="7" s="1"/>
  <c r="AC271" i="7" s="1"/>
  <c r="AC272" i="7" s="1"/>
  <c r="AC273" i="7" s="1"/>
  <c r="AC274" i="7" s="1"/>
  <c r="AC275" i="7" s="1"/>
  <c r="AC276" i="7" s="1"/>
  <c r="AC277" i="7" s="1"/>
  <c r="AC278" i="7" s="1"/>
  <c r="AC279" i="7" s="1"/>
  <c r="AC280" i="7" s="1"/>
  <c r="AC281" i="7" s="1"/>
  <c r="AC282" i="7" s="1"/>
  <c r="AC283" i="7" s="1"/>
  <c r="AC284" i="7" s="1"/>
  <c r="AC285" i="7" s="1"/>
  <c r="AC286" i="7" s="1"/>
  <c r="AC287" i="7" s="1"/>
  <c r="AC288" i="7" s="1"/>
  <c r="AC289" i="7" s="1"/>
  <c r="AC290" i="7" s="1"/>
  <c r="AC291" i="7" s="1"/>
  <c r="AC292" i="7" s="1"/>
  <c r="AC293" i="7" s="1"/>
  <c r="AC294" i="7" s="1"/>
  <c r="AC295" i="7" s="1"/>
  <c r="AC296" i="7" s="1"/>
  <c r="AC297" i="7" s="1"/>
  <c r="AC298" i="7" s="1"/>
  <c r="AC299" i="7" s="1"/>
  <c r="AC300" i="7" s="1"/>
  <c r="AC301" i="7" s="1"/>
  <c r="AC302" i="7" s="1"/>
  <c r="AC303" i="7" s="1"/>
  <c r="AC304" i="7" s="1"/>
  <c r="AC305" i="7" s="1"/>
  <c r="AC306" i="7" s="1"/>
  <c r="AC307" i="7" s="1"/>
  <c r="AC308" i="7" s="1"/>
  <c r="AC309" i="7" s="1"/>
  <c r="AC310" i="7" s="1"/>
  <c r="AC311" i="7" s="1"/>
  <c r="AC312" i="7" s="1"/>
  <c r="AC313" i="7" s="1"/>
  <c r="AC314" i="7" s="1"/>
  <c r="AC315" i="7" s="1"/>
  <c r="AC316" i="7" s="1"/>
  <c r="AC317" i="7" s="1"/>
  <c r="AC318" i="7" s="1"/>
  <c r="AC319" i="7" s="1"/>
  <c r="AC320" i="7" s="1"/>
  <c r="AC321" i="7" s="1"/>
  <c r="AC322" i="7" s="1"/>
  <c r="AC323" i="7" s="1"/>
  <c r="AC324" i="7" s="1"/>
  <c r="AC325" i="7" s="1"/>
  <c r="AC326" i="7" s="1"/>
  <c r="AC327" i="7" s="1"/>
  <c r="AC328" i="7" s="1"/>
  <c r="AC329" i="7" s="1"/>
  <c r="AC330" i="7" s="1"/>
  <c r="AC331" i="7" s="1"/>
  <c r="AC332" i="7" s="1"/>
  <c r="AC333" i="7" s="1"/>
  <c r="AC334" i="7" s="1"/>
  <c r="AC335" i="7" s="1"/>
  <c r="AC336" i="7" s="1"/>
  <c r="AC337" i="7" s="1"/>
  <c r="AC338" i="7" s="1"/>
  <c r="AC339" i="7" s="1"/>
  <c r="AC340" i="7" s="1"/>
  <c r="AC341" i="7" s="1"/>
  <c r="AC342" i="7" s="1"/>
  <c r="AC343" i="7" s="1"/>
  <c r="AC344" i="7" s="1"/>
  <c r="AC345" i="7" s="1"/>
  <c r="AC346" i="7" s="1"/>
  <c r="AC347" i="7" s="1"/>
  <c r="AC348" i="7" s="1"/>
  <c r="AC349" i="7" s="1"/>
  <c r="AC350" i="7" s="1"/>
  <c r="AC351" i="7" s="1"/>
  <c r="AC352" i="7" s="1"/>
  <c r="AC353" i="7" s="1"/>
  <c r="AC354" i="7" s="1"/>
  <c r="AC355" i="7" s="1"/>
  <c r="AC356" i="7" s="1"/>
  <c r="AC357" i="7" s="1"/>
  <c r="AC358" i="7" s="1"/>
  <c r="AC359" i="7" s="1"/>
  <c r="AC360" i="7" s="1"/>
  <c r="AC361" i="7" s="1"/>
  <c r="AC362" i="7" s="1"/>
  <c r="AC363" i="7" s="1"/>
  <c r="AC364" i="7" s="1"/>
  <c r="AC365" i="7" s="1"/>
  <c r="AC366" i="7" s="1"/>
  <c r="AC367" i="7" s="1"/>
  <c r="AC368" i="7" s="1"/>
  <c r="AC369" i="7" s="1"/>
  <c r="AC370" i="7" s="1"/>
  <c r="AC371" i="7" s="1"/>
  <c r="AC372" i="7" s="1"/>
  <c r="AC373" i="7" s="1"/>
  <c r="AC374" i="7" s="1"/>
  <c r="AC375" i="7" s="1"/>
  <c r="AC376" i="7" s="1"/>
  <c r="AC377" i="7" s="1"/>
  <c r="AC378" i="7" s="1"/>
  <c r="AC379" i="7" s="1"/>
  <c r="AC380" i="7" s="1"/>
  <c r="AC381" i="7" s="1"/>
  <c r="AC382" i="7" s="1"/>
  <c r="AC383" i="7" s="1"/>
  <c r="AC384" i="7" s="1"/>
  <c r="AC385" i="7" s="1"/>
  <c r="AC386" i="7" s="1"/>
  <c r="AC387" i="7" s="1"/>
  <c r="AC388" i="7" s="1"/>
  <c r="AC389" i="7" s="1"/>
  <c r="AC390" i="7" s="1"/>
  <c r="AC391" i="7" s="1"/>
  <c r="AC392" i="7" s="1"/>
  <c r="AC393" i="7" s="1"/>
  <c r="AC394" i="7" s="1"/>
  <c r="AC395" i="7" s="1"/>
  <c r="AC396" i="7" s="1"/>
  <c r="AC397" i="7" s="1"/>
  <c r="AC398" i="7" s="1"/>
  <c r="AC399" i="7" s="1"/>
  <c r="A7" i="13"/>
  <c r="M7" i="13"/>
  <c r="M6" i="13" s="1"/>
  <c r="A14" i="13"/>
  <c r="A13" i="13"/>
  <c r="A11" i="13"/>
  <c r="A10" i="13"/>
  <c r="A9" i="13"/>
  <c r="A8" i="13"/>
  <c r="A12" i="13"/>
  <c r="E84" i="19"/>
  <c r="E54" i="19"/>
  <c r="G54" i="19" l="1"/>
  <c r="G55" i="19"/>
  <c r="G84" i="19"/>
  <c r="G85" i="19"/>
  <c r="O24" i="13"/>
  <c r="O22" i="13"/>
  <c r="AD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D43" i="6"/>
  <c r="AD44" i="6"/>
  <c r="AD45" i="6"/>
  <c r="AD46" i="6"/>
  <c r="AD47" i="6"/>
  <c r="AD48" i="6"/>
  <c r="AD49" i="6"/>
  <c r="AD50" i="6"/>
  <c r="AD51" i="6"/>
  <c r="AD52" i="6"/>
  <c r="AD53" i="6"/>
  <c r="AD54" i="6"/>
  <c r="AD55" i="6"/>
  <c r="AD56" i="6"/>
  <c r="AD57" i="6"/>
  <c r="AD58" i="6"/>
  <c r="AD59" i="6"/>
  <c r="AD60" i="6"/>
  <c r="AD61" i="6"/>
  <c r="AD62" i="6"/>
  <c r="AD63" i="6"/>
  <c r="AD64" i="6"/>
  <c r="AD65" i="6"/>
  <c r="AD66" i="6"/>
  <c r="AD67" i="6"/>
  <c r="AD68" i="6"/>
  <c r="AD69" i="6"/>
  <c r="AD70" i="6"/>
  <c r="AD71" i="6"/>
  <c r="AD72" i="6"/>
  <c r="AD73" i="6"/>
  <c r="AD74" i="6"/>
  <c r="AD75" i="6"/>
  <c r="AD76" i="6"/>
  <c r="AD77" i="6"/>
  <c r="AD78" i="6"/>
  <c r="AD79" i="6"/>
  <c r="AD80" i="6"/>
  <c r="AD81" i="6"/>
  <c r="AD82" i="6"/>
  <c r="AD83" i="6"/>
  <c r="AD84" i="6"/>
  <c r="AD85" i="6"/>
  <c r="AD86" i="6"/>
  <c r="AD87" i="6"/>
  <c r="AD88" i="6"/>
  <c r="AD89" i="6"/>
  <c r="AD90" i="6"/>
  <c r="AD91" i="6"/>
  <c r="AD92" i="6"/>
  <c r="AD93" i="6"/>
  <c r="AD94" i="6"/>
  <c r="AD95" i="6"/>
  <c r="AD96" i="6"/>
  <c r="AD97" i="6"/>
  <c r="AD98" i="6"/>
  <c r="AD99" i="6"/>
  <c r="AD100" i="6"/>
  <c r="AD101" i="6"/>
  <c r="AD102" i="6"/>
  <c r="AD103" i="6"/>
  <c r="AD104" i="6"/>
  <c r="AD105" i="6"/>
  <c r="AD106" i="6"/>
  <c r="AD107" i="6"/>
  <c r="AD108" i="6"/>
  <c r="AD109" i="6"/>
  <c r="AD110" i="6"/>
  <c r="AD111" i="6"/>
  <c r="AD112" i="6"/>
  <c r="AD113" i="6"/>
  <c r="AD114" i="6"/>
  <c r="AD115" i="6"/>
  <c r="AD116" i="6"/>
  <c r="AD117" i="6"/>
  <c r="AD118" i="6"/>
  <c r="AD119" i="6"/>
  <c r="AD120" i="6"/>
  <c r="AD121" i="6"/>
  <c r="AD122" i="6"/>
  <c r="AD123" i="6"/>
  <c r="AD124" i="6"/>
  <c r="AD125" i="6"/>
  <c r="AD126" i="6"/>
  <c r="AD127" i="6"/>
  <c r="AD128" i="6"/>
  <c r="AD129" i="6"/>
  <c r="AD130" i="6"/>
  <c r="AD131" i="6"/>
  <c r="AD132" i="6"/>
  <c r="AD133" i="6"/>
  <c r="AD134" i="6"/>
  <c r="AD135" i="6"/>
  <c r="AD136" i="6"/>
  <c r="AD137" i="6"/>
  <c r="AD138" i="6"/>
  <c r="AD139" i="6"/>
  <c r="AD140" i="6"/>
  <c r="AD141" i="6"/>
  <c r="AD142" i="6"/>
  <c r="AD143" i="6"/>
  <c r="AD144" i="6"/>
  <c r="AD145" i="6"/>
  <c r="AD146" i="6"/>
  <c r="AD147" i="6"/>
  <c r="AD148" i="6"/>
  <c r="AD149" i="6"/>
  <c r="AD150" i="6"/>
  <c r="AD151" i="6"/>
  <c r="AD152" i="6"/>
  <c r="AD153" i="6"/>
  <c r="AD154" i="6"/>
  <c r="AD155" i="6"/>
  <c r="AD156" i="6"/>
  <c r="AD157" i="6"/>
  <c r="AD158" i="6"/>
  <c r="AD159" i="6"/>
  <c r="AD160" i="6"/>
  <c r="AD161" i="6"/>
  <c r="AD162" i="6"/>
  <c r="AD163" i="6"/>
  <c r="AD164" i="6"/>
  <c r="AD165" i="6"/>
  <c r="AD166" i="6"/>
  <c r="AD167" i="6"/>
  <c r="AD168" i="6"/>
  <c r="AD169" i="6"/>
  <c r="AD170" i="6"/>
  <c r="AD171" i="6"/>
  <c r="AD172" i="6"/>
  <c r="AD173" i="6"/>
  <c r="AD174" i="6"/>
  <c r="AD175" i="6"/>
  <c r="AD176" i="6"/>
  <c r="AD177" i="6"/>
  <c r="AD178" i="6"/>
  <c r="AD179" i="6"/>
  <c r="AD180" i="6"/>
  <c r="AD181" i="6"/>
  <c r="AD182" i="6"/>
  <c r="AD183" i="6"/>
  <c r="AD184" i="6"/>
  <c r="AD185" i="6"/>
  <c r="AD186" i="6"/>
  <c r="AD187" i="6"/>
  <c r="AD188" i="6"/>
  <c r="AD189" i="6"/>
  <c r="AD190" i="6"/>
  <c r="AD191" i="6"/>
  <c r="AD192" i="6"/>
  <c r="AD193" i="6"/>
  <c r="AD194" i="6"/>
  <c r="AD195" i="6"/>
  <c r="AD196" i="6"/>
  <c r="AD197" i="6"/>
  <c r="AD198" i="6"/>
  <c r="AD199" i="6"/>
  <c r="AD200" i="6"/>
  <c r="AD201" i="6"/>
  <c r="AD202" i="6"/>
  <c r="AD203" i="6"/>
  <c r="AD204" i="6"/>
  <c r="AD205" i="6"/>
  <c r="AD206" i="6"/>
  <c r="AD207" i="6"/>
  <c r="AD208" i="6"/>
  <c r="AD209" i="6"/>
  <c r="AD210" i="6"/>
  <c r="AD211" i="6"/>
  <c r="AD212" i="6"/>
  <c r="AD213" i="6"/>
  <c r="AD214" i="6"/>
  <c r="AD215" i="6"/>
  <c r="AD216" i="6"/>
  <c r="AD217" i="6"/>
  <c r="AD218" i="6"/>
  <c r="AD219" i="6"/>
  <c r="AD220" i="6"/>
  <c r="AD221" i="6"/>
  <c r="AD222" i="6"/>
  <c r="AD223" i="6"/>
  <c r="AD224" i="6"/>
  <c r="AD225" i="6"/>
  <c r="AD226" i="6"/>
  <c r="AD227" i="6"/>
  <c r="AD228" i="6"/>
  <c r="AD229" i="6"/>
  <c r="AD230" i="6"/>
  <c r="AD231" i="6"/>
  <c r="AD232" i="6"/>
  <c r="AD233" i="6"/>
  <c r="AD234" i="6"/>
  <c r="AD235" i="6"/>
  <c r="AD236" i="6"/>
  <c r="AD237" i="6"/>
  <c r="AD238" i="6"/>
  <c r="AD239" i="6"/>
  <c r="AD240" i="6"/>
  <c r="AD241" i="6"/>
  <c r="AD242" i="6"/>
  <c r="AD243" i="6"/>
  <c r="AD244" i="6"/>
  <c r="AD245" i="6"/>
  <c r="AD246" i="6"/>
  <c r="AD247" i="6"/>
  <c r="AD248" i="6"/>
  <c r="AD249" i="6"/>
  <c r="AD250" i="6"/>
  <c r="AD251" i="6"/>
  <c r="AD252" i="6"/>
  <c r="AD253" i="6"/>
  <c r="AD254" i="6"/>
  <c r="AD255" i="6"/>
  <c r="AD256" i="6"/>
  <c r="AD257" i="6"/>
  <c r="AD258" i="6"/>
  <c r="AD259" i="6"/>
  <c r="AD260" i="6"/>
  <c r="AD261" i="6"/>
  <c r="AD262" i="6"/>
  <c r="AD263" i="6"/>
  <c r="AD264" i="6"/>
  <c r="AD265" i="6"/>
  <c r="AD266" i="6"/>
  <c r="AD267" i="6"/>
  <c r="AD268" i="6"/>
  <c r="AD269" i="6"/>
  <c r="AD270" i="6"/>
  <c r="AD271" i="6"/>
  <c r="AD272" i="6"/>
  <c r="AD273" i="6"/>
  <c r="AD274" i="6"/>
  <c r="AD275" i="6"/>
  <c r="AD276" i="6"/>
  <c r="AD277" i="6"/>
  <c r="AD278" i="6"/>
  <c r="AD279" i="6"/>
  <c r="AD280" i="6"/>
  <c r="AD281" i="6"/>
  <c r="AD282" i="6"/>
  <c r="AD283" i="6"/>
  <c r="AD284" i="6"/>
  <c r="AD285" i="6"/>
  <c r="AD286" i="6"/>
  <c r="AD287" i="6"/>
  <c r="AD288" i="6"/>
  <c r="AD289" i="6"/>
  <c r="AD290" i="6"/>
  <c r="AD291" i="6"/>
  <c r="AD292" i="6"/>
  <c r="AD293" i="6"/>
  <c r="AD294" i="6"/>
  <c r="AD295" i="6"/>
  <c r="AD296" i="6"/>
  <c r="AD297" i="6"/>
  <c r="AD298" i="6"/>
  <c r="AD299" i="6"/>
  <c r="AD300" i="6"/>
  <c r="AD301" i="6"/>
  <c r="AD302" i="6"/>
  <c r="AD303" i="6"/>
  <c r="AD304" i="6"/>
  <c r="AD305" i="6"/>
  <c r="AD306" i="6"/>
  <c r="AD307" i="6"/>
  <c r="AD308" i="6"/>
  <c r="AD309" i="6"/>
  <c r="AD310" i="6"/>
  <c r="AD311" i="6"/>
  <c r="AD312" i="6"/>
  <c r="AD313" i="6"/>
  <c r="AD314" i="6"/>
  <c r="AD315" i="6"/>
  <c r="AD316" i="6"/>
  <c r="AD317" i="6"/>
  <c r="AD318" i="6"/>
  <c r="AD319" i="6"/>
  <c r="AD320" i="6"/>
  <c r="AD321" i="6"/>
  <c r="AD322" i="6"/>
  <c r="AD323" i="6"/>
  <c r="AD324" i="6"/>
  <c r="AD325" i="6"/>
  <c r="AD326" i="6"/>
  <c r="AD327" i="6"/>
  <c r="AD328" i="6"/>
  <c r="AD329" i="6"/>
  <c r="AD330" i="6"/>
  <c r="AD331" i="6"/>
  <c r="AD332" i="6"/>
  <c r="AD333" i="6"/>
  <c r="AD334" i="6"/>
  <c r="AD335" i="6"/>
  <c r="AD336" i="6"/>
  <c r="AD337" i="6"/>
  <c r="AD338" i="6"/>
  <c r="AD339" i="6"/>
  <c r="AD340" i="6"/>
  <c r="AD341" i="6"/>
  <c r="AD342" i="6"/>
  <c r="AD343" i="6"/>
  <c r="AD344" i="6"/>
  <c r="AD345" i="6"/>
  <c r="AD346" i="6"/>
  <c r="AD347" i="6"/>
  <c r="AD348" i="6"/>
  <c r="AD349" i="6"/>
  <c r="AD350" i="6"/>
  <c r="AD351" i="6"/>
  <c r="AD352" i="6"/>
  <c r="AD353" i="6"/>
  <c r="AD354" i="6"/>
  <c r="AD355" i="6"/>
  <c r="AD356" i="6"/>
  <c r="AD357" i="6"/>
  <c r="AD358" i="6"/>
  <c r="AD359" i="6"/>
  <c r="AD360" i="6"/>
  <c r="AD361" i="6"/>
  <c r="AD362" i="6"/>
  <c r="AD363" i="6"/>
  <c r="AD364" i="6"/>
  <c r="AD365" i="6"/>
  <c r="AD366" i="6"/>
  <c r="AD367" i="6"/>
  <c r="AD368" i="6"/>
  <c r="AD369" i="6"/>
  <c r="AD370" i="6"/>
  <c r="AD371" i="6"/>
  <c r="AD372" i="6"/>
  <c r="AD373" i="6"/>
  <c r="AD374" i="6"/>
  <c r="AD375" i="6"/>
  <c r="AD376" i="6"/>
  <c r="AD377" i="6"/>
  <c r="AD378" i="6"/>
  <c r="AD379" i="6"/>
  <c r="AD380" i="6"/>
  <c r="AD381" i="6"/>
  <c r="AD382" i="6"/>
  <c r="AD383" i="6"/>
  <c r="AD384" i="6"/>
  <c r="AD385" i="6"/>
  <c r="AD386" i="6"/>
  <c r="AD387" i="6"/>
  <c r="AD388" i="6"/>
  <c r="AD389" i="6"/>
  <c r="AD390" i="6"/>
  <c r="AD391" i="6"/>
  <c r="AD392" i="6"/>
  <c r="AD393" i="6"/>
  <c r="AD394" i="6"/>
  <c r="AD395" i="6"/>
  <c r="AD396" i="6"/>
  <c r="AD397" i="6"/>
  <c r="AD398" i="6"/>
  <c r="AD399" i="6"/>
  <c r="AD400" i="6"/>
  <c r="AD401" i="6"/>
  <c r="AD3" i="6"/>
  <c r="AE3" i="6" s="1"/>
  <c r="AE4" i="6" l="1"/>
  <c r="AE5" i="6" s="1"/>
  <c r="AE6" i="6" s="1"/>
  <c r="AE7" i="6" s="1"/>
  <c r="AE8" i="6" s="1"/>
  <c r="AE9" i="6" s="1"/>
  <c r="AE10" i="6" s="1"/>
  <c r="AE11" i="6" s="1"/>
  <c r="AE12" i="6" s="1"/>
  <c r="AE13" i="6" s="1"/>
  <c r="AE14" i="6" s="1"/>
  <c r="AE15" i="6" s="1"/>
  <c r="AE16" i="6" s="1"/>
  <c r="AE17" i="6" s="1"/>
  <c r="AE18" i="6" s="1"/>
  <c r="AE19" i="6" s="1"/>
  <c r="AE20" i="6" s="1"/>
  <c r="AE21" i="6" s="1"/>
  <c r="AE22" i="6" s="1"/>
  <c r="AE23" i="6" s="1"/>
  <c r="AE24" i="6" s="1"/>
  <c r="AE25" i="6" s="1"/>
  <c r="AE26" i="6" s="1"/>
  <c r="AE27" i="6" s="1"/>
  <c r="AE28" i="6" s="1"/>
  <c r="AE29" i="6" s="1"/>
  <c r="AE30" i="6" s="1"/>
  <c r="AE31" i="6" s="1"/>
  <c r="AE32" i="6" s="1"/>
  <c r="AE33" i="6" s="1"/>
  <c r="AE34" i="6" s="1"/>
  <c r="AE35" i="6" s="1"/>
  <c r="AE36" i="6" s="1"/>
  <c r="AE37" i="6" s="1"/>
  <c r="AE38" i="6" s="1"/>
  <c r="AE39" i="6" s="1"/>
  <c r="AE40" i="6" s="1"/>
  <c r="AE41" i="6" s="1"/>
  <c r="AE42" i="6" s="1"/>
  <c r="AE43" i="6" s="1"/>
  <c r="AE44" i="6" s="1"/>
  <c r="AE45" i="6" s="1"/>
  <c r="AE46" i="6" s="1"/>
  <c r="AE47" i="6" s="1"/>
  <c r="AE48" i="6" s="1"/>
  <c r="AE49" i="6" s="1"/>
  <c r="AE50" i="6" s="1"/>
  <c r="AE51" i="6" s="1"/>
  <c r="AE52" i="6" s="1"/>
  <c r="AE53" i="6" s="1"/>
  <c r="AE54" i="6" s="1"/>
  <c r="AE55" i="6" s="1"/>
  <c r="AE56" i="6" s="1"/>
  <c r="AE57" i="6" s="1"/>
  <c r="AE58" i="6" s="1"/>
  <c r="AE59" i="6" s="1"/>
  <c r="AE60" i="6" s="1"/>
  <c r="AE61" i="6" s="1"/>
  <c r="AE62" i="6" s="1"/>
  <c r="AE63" i="6" s="1"/>
  <c r="AE64" i="6" s="1"/>
  <c r="AE65" i="6" s="1"/>
  <c r="AE66" i="6" s="1"/>
  <c r="AE67" i="6" s="1"/>
  <c r="AE68" i="6" s="1"/>
  <c r="AE69" i="6" s="1"/>
  <c r="AE70" i="6" s="1"/>
  <c r="AE71" i="6" s="1"/>
  <c r="AE72" i="6" s="1"/>
  <c r="AE73" i="6" s="1"/>
  <c r="AE74" i="6" s="1"/>
  <c r="AE75" i="6" s="1"/>
  <c r="AE76" i="6" s="1"/>
  <c r="AE77" i="6" s="1"/>
  <c r="AE78" i="6" s="1"/>
  <c r="AE79" i="6" s="1"/>
  <c r="AE80" i="6" s="1"/>
  <c r="AE81" i="6" s="1"/>
  <c r="AE82" i="6" s="1"/>
  <c r="AE83" i="6" s="1"/>
  <c r="AE84" i="6" s="1"/>
  <c r="AE85" i="6" s="1"/>
  <c r="AE86" i="6" s="1"/>
  <c r="AE87" i="6" s="1"/>
  <c r="AE88" i="6" s="1"/>
  <c r="AE89" i="6" s="1"/>
  <c r="AE90" i="6" s="1"/>
  <c r="AE91" i="6" s="1"/>
  <c r="AE92" i="6" s="1"/>
  <c r="AE93" i="6" s="1"/>
  <c r="AE94" i="6" s="1"/>
  <c r="AE95" i="6" s="1"/>
  <c r="AE96" i="6" s="1"/>
  <c r="AE97" i="6" s="1"/>
  <c r="AE98" i="6" s="1"/>
  <c r="AE99" i="6" s="1"/>
  <c r="AE100" i="6" s="1"/>
  <c r="AE101" i="6" s="1"/>
  <c r="AE102" i="6" s="1"/>
  <c r="AE103" i="6" s="1"/>
  <c r="AE104" i="6" s="1"/>
  <c r="AE105" i="6" s="1"/>
  <c r="AE106" i="6" s="1"/>
  <c r="AE107" i="6" s="1"/>
  <c r="AE108" i="6" s="1"/>
  <c r="AE109" i="6" s="1"/>
  <c r="AE110" i="6" s="1"/>
  <c r="AE111" i="6" s="1"/>
  <c r="AE112" i="6" s="1"/>
  <c r="AE113" i="6" s="1"/>
  <c r="AE114" i="6" s="1"/>
  <c r="AE115" i="6" s="1"/>
  <c r="AE116" i="6" s="1"/>
  <c r="AE117" i="6" s="1"/>
  <c r="AE118" i="6" s="1"/>
  <c r="AE119" i="6" s="1"/>
  <c r="AE120" i="6" s="1"/>
  <c r="AE121" i="6" s="1"/>
  <c r="AE122" i="6" s="1"/>
  <c r="AE123" i="6" s="1"/>
  <c r="AE124" i="6" s="1"/>
  <c r="AE125" i="6" s="1"/>
  <c r="AE126" i="6" s="1"/>
  <c r="AE127" i="6" s="1"/>
  <c r="AE128" i="6" s="1"/>
  <c r="AE129" i="6" s="1"/>
  <c r="AE130" i="6" s="1"/>
  <c r="AE131" i="6" s="1"/>
  <c r="AE132" i="6" s="1"/>
  <c r="AE133" i="6" s="1"/>
  <c r="AE134" i="6" s="1"/>
  <c r="AE135" i="6" s="1"/>
  <c r="AE136" i="6" s="1"/>
  <c r="AE137" i="6" s="1"/>
  <c r="AE138" i="6" s="1"/>
  <c r="AE139" i="6" s="1"/>
  <c r="AE140" i="6" s="1"/>
  <c r="AE141" i="6" s="1"/>
  <c r="AE142" i="6" s="1"/>
  <c r="AE143" i="6" s="1"/>
  <c r="AE144" i="6" s="1"/>
  <c r="AE145" i="6" s="1"/>
  <c r="AE146" i="6" s="1"/>
  <c r="AE147" i="6" s="1"/>
  <c r="AE148" i="6" s="1"/>
  <c r="AE149" i="6" s="1"/>
  <c r="AE150" i="6" s="1"/>
  <c r="AE151" i="6" s="1"/>
  <c r="AE152" i="6" s="1"/>
  <c r="AE153" i="6" s="1"/>
  <c r="AE154" i="6" s="1"/>
  <c r="AE155" i="6" s="1"/>
  <c r="AE156" i="6" s="1"/>
  <c r="AE157" i="6" s="1"/>
  <c r="AE158" i="6" s="1"/>
  <c r="AE159" i="6" s="1"/>
  <c r="AE160" i="6" s="1"/>
  <c r="AE161" i="6" s="1"/>
  <c r="AE162" i="6" s="1"/>
  <c r="AE163" i="6" s="1"/>
  <c r="AE164" i="6" s="1"/>
  <c r="AE165" i="6" s="1"/>
  <c r="AE166" i="6" s="1"/>
  <c r="AE167" i="6" s="1"/>
  <c r="AE168" i="6" s="1"/>
  <c r="AE169" i="6" s="1"/>
  <c r="AE170" i="6" s="1"/>
  <c r="AE171" i="6" s="1"/>
  <c r="AE172" i="6" s="1"/>
  <c r="AE173" i="6" s="1"/>
  <c r="AE174" i="6" s="1"/>
  <c r="AE175" i="6" s="1"/>
  <c r="AE176" i="6" s="1"/>
  <c r="AE177" i="6" s="1"/>
  <c r="AE178" i="6" s="1"/>
  <c r="AE179" i="6" s="1"/>
  <c r="AE180" i="6" s="1"/>
  <c r="AE181" i="6" s="1"/>
  <c r="AE182" i="6" s="1"/>
  <c r="AE183" i="6" s="1"/>
  <c r="AE184" i="6" s="1"/>
  <c r="AE185" i="6" s="1"/>
  <c r="AE186" i="6" s="1"/>
  <c r="AE187" i="6" s="1"/>
  <c r="AE188" i="6" s="1"/>
  <c r="AE189" i="6" s="1"/>
  <c r="AE190" i="6" s="1"/>
  <c r="AE191" i="6" s="1"/>
  <c r="AE192" i="6" s="1"/>
  <c r="AE193" i="6" s="1"/>
  <c r="AE194" i="6" s="1"/>
  <c r="AE195" i="6" s="1"/>
  <c r="AE196" i="6" s="1"/>
  <c r="AE197" i="6" s="1"/>
  <c r="AE198" i="6" s="1"/>
  <c r="AE199" i="6" s="1"/>
  <c r="AE200" i="6" s="1"/>
  <c r="AE201" i="6" s="1"/>
  <c r="AE202" i="6" s="1"/>
  <c r="AE203" i="6" s="1"/>
  <c r="AE204" i="6" s="1"/>
  <c r="AE205" i="6" s="1"/>
  <c r="AE206" i="6" s="1"/>
  <c r="AE207" i="6" s="1"/>
  <c r="AE208" i="6" s="1"/>
  <c r="AE209" i="6" s="1"/>
  <c r="AE210" i="6" s="1"/>
  <c r="AE211" i="6" s="1"/>
  <c r="AE212" i="6" s="1"/>
  <c r="AE213" i="6" s="1"/>
  <c r="AE214" i="6" s="1"/>
  <c r="AE215" i="6" s="1"/>
  <c r="AE216" i="6" s="1"/>
  <c r="AE217" i="6" s="1"/>
  <c r="AE218" i="6" s="1"/>
  <c r="AE219" i="6" s="1"/>
  <c r="AE220" i="6" s="1"/>
  <c r="AE221" i="6" s="1"/>
  <c r="AE222" i="6" s="1"/>
  <c r="AE223" i="6" s="1"/>
  <c r="AE224" i="6" s="1"/>
  <c r="AE225" i="6" s="1"/>
  <c r="AE226" i="6" s="1"/>
  <c r="AE227" i="6" s="1"/>
  <c r="AE228" i="6" s="1"/>
  <c r="AE229" i="6" s="1"/>
  <c r="AE230" i="6" s="1"/>
  <c r="AE231" i="6" s="1"/>
  <c r="AE232" i="6" s="1"/>
  <c r="AE233" i="6" s="1"/>
  <c r="AE234" i="6" s="1"/>
  <c r="AE235" i="6" s="1"/>
  <c r="AE236" i="6" s="1"/>
  <c r="AE237" i="6" s="1"/>
  <c r="AE238" i="6" s="1"/>
  <c r="AE239" i="6" s="1"/>
  <c r="AE240" i="6" s="1"/>
  <c r="AE241" i="6" s="1"/>
  <c r="AE242" i="6" s="1"/>
  <c r="AE243" i="6" s="1"/>
  <c r="AE244" i="6" s="1"/>
  <c r="AE245" i="6" s="1"/>
  <c r="AE246" i="6" s="1"/>
  <c r="AE247" i="6" s="1"/>
  <c r="AE248" i="6" s="1"/>
  <c r="AE249" i="6" s="1"/>
  <c r="AE250" i="6" s="1"/>
  <c r="AE251" i="6" s="1"/>
  <c r="AE252" i="6" s="1"/>
  <c r="AE253" i="6" s="1"/>
  <c r="AE254" i="6" s="1"/>
  <c r="AE255" i="6" s="1"/>
  <c r="AE256" i="6" s="1"/>
  <c r="AE257" i="6" s="1"/>
  <c r="AE258" i="6" s="1"/>
  <c r="AE259" i="6" s="1"/>
  <c r="AE260" i="6" s="1"/>
  <c r="AE261" i="6" s="1"/>
  <c r="AE262" i="6" s="1"/>
  <c r="AE263" i="6" s="1"/>
  <c r="AE264" i="6" s="1"/>
  <c r="AE265" i="6" s="1"/>
  <c r="AE266" i="6" s="1"/>
  <c r="AE267" i="6" s="1"/>
  <c r="AE268" i="6" s="1"/>
  <c r="AE269" i="6" s="1"/>
  <c r="AE270" i="6" s="1"/>
  <c r="AE271" i="6" s="1"/>
  <c r="AE272" i="6" s="1"/>
  <c r="AE273" i="6" s="1"/>
  <c r="AE274" i="6" s="1"/>
  <c r="AE275" i="6" s="1"/>
  <c r="AE276" i="6" s="1"/>
  <c r="AE277" i="6" s="1"/>
  <c r="AE278" i="6" s="1"/>
  <c r="AE279" i="6" s="1"/>
  <c r="AE280" i="6" s="1"/>
  <c r="AE281" i="6" s="1"/>
  <c r="AE282" i="6" s="1"/>
  <c r="AE283" i="6" s="1"/>
  <c r="AE284" i="6" s="1"/>
  <c r="AE285" i="6" s="1"/>
  <c r="AE286" i="6" s="1"/>
  <c r="AE287" i="6" s="1"/>
  <c r="AE288" i="6" s="1"/>
  <c r="AE289" i="6" s="1"/>
  <c r="AE290" i="6" s="1"/>
  <c r="AE291" i="6" s="1"/>
  <c r="AE292" i="6" s="1"/>
  <c r="AE293" i="6" s="1"/>
  <c r="AE294" i="6" s="1"/>
  <c r="AE295" i="6" s="1"/>
  <c r="AE296" i="6" s="1"/>
  <c r="AE297" i="6" s="1"/>
  <c r="AE298" i="6" s="1"/>
  <c r="AE299" i="6" s="1"/>
  <c r="AE300" i="6" s="1"/>
  <c r="AE301" i="6" s="1"/>
  <c r="AE302" i="6" s="1"/>
  <c r="AE303" i="6" s="1"/>
  <c r="AE304" i="6" s="1"/>
  <c r="AE305" i="6" s="1"/>
  <c r="AE306" i="6" s="1"/>
  <c r="AE307" i="6" s="1"/>
  <c r="AE308" i="6" s="1"/>
  <c r="AE309" i="6" s="1"/>
  <c r="AE310" i="6" s="1"/>
  <c r="AE311" i="6" s="1"/>
  <c r="AE312" i="6" s="1"/>
  <c r="AE313" i="6" s="1"/>
  <c r="AE314" i="6" s="1"/>
  <c r="AE315" i="6" s="1"/>
  <c r="AE316" i="6" s="1"/>
  <c r="AE317" i="6" s="1"/>
  <c r="AE318" i="6" s="1"/>
  <c r="AE319" i="6" s="1"/>
  <c r="AE320" i="6" s="1"/>
  <c r="AE321" i="6" s="1"/>
  <c r="AE322" i="6" s="1"/>
  <c r="AE323" i="6" s="1"/>
  <c r="AE324" i="6" s="1"/>
  <c r="AE325" i="6" s="1"/>
  <c r="AE326" i="6" s="1"/>
  <c r="AE327" i="6" s="1"/>
  <c r="AE328" i="6" s="1"/>
  <c r="AE329" i="6" s="1"/>
  <c r="AE330" i="6" s="1"/>
  <c r="AE331" i="6" s="1"/>
  <c r="AE332" i="6" s="1"/>
  <c r="AE333" i="6" s="1"/>
  <c r="AE334" i="6" s="1"/>
  <c r="AE335" i="6" s="1"/>
  <c r="AE336" i="6" s="1"/>
  <c r="AE337" i="6" s="1"/>
  <c r="AE338" i="6" s="1"/>
  <c r="AE339" i="6" s="1"/>
  <c r="AE340" i="6" s="1"/>
  <c r="AE341" i="6" s="1"/>
  <c r="AE342" i="6" s="1"/>
  <c r="AE343" i="6" s="1"/>
  <c r="AE344" i="6" s="1"/>
  <c r="AE345" i="6" s="1"/>
  <c r="AE346" i="6" s="1"/>
  <c r="AE347" i="6" s="1"/>
  <c r="AE348" i="6" s="1"/>
  <c r="AE349" i="6" s="1"/>
  <c r="AE350" i="6" s="1"/>
  <c r="AE351" i="6" s="1"/>
  <c r="AE352" i="6" s="1"/>
  <c r="AE353" i="6" s="1"/>
  <c r="AE354" i="6" s="1"/>
  <c r="AE355" i="6" s="1"/>
  <c r="AE356" i="6" s="1"/>
  <c r="AE357" i="6" s="1"/>
  <c r="AE358" i="6" s="1"/>
  <c r="AE359" i="6" s="1"/>
  <c r="AE360" i="6" s="1"/>
  <c r="AE361" i="6" s="1"/>
  <c r="AE362" i="6" s="1"/>
  <c r="AE363" i="6" s="1"/>
  <c r="AE364" i="6" s="1"/>
  <c r="AE365" i="6" s="1"/>
  <c r="AE366" i="6" s="1"/>
  <c r="AE367" i="6" s="1"/>
  <c r="AE368" i="6" s="1"/>
  <c r="AE369" i="6" s="1"/>
  <c r="AE370" i="6" s="1"/>
  <c r="AE371" i="6" s="1"/>
  <c r="AE372" i="6" s="1"/>
  <c r="AE373" i="6" s="1"/>
  <c r="AE374" i="6" s="1"/>
  <c r="AE375" i="6" s="1"/>
  <c r="AE376" i="6" s="1"/>
  <c r="AE377" i="6" s="1"/>
  <c r="AE378" i="6" s="1"/>
  <c r="AE379" i="6" s="1"/>
  <c r="AE380" i="6" s="1"/>
  <c r="AE381" i="6" s="1"/>
  <c r="AE382" i="6" s="1"/>
  <c r="AE383" i="6" s="1"/>
  <c r="AE384" i="6" s="1"/>
  <c r="AE385" i="6" s="1"/>
  <c r="AE386" i="6" s="1"/>
  <c r="AE387" i="6" s="1"/>
  <c r="AE388" i="6" s="1"/>
  <c r="AE389" i="6" s="1"/>
  <c r="AE390" i="6" s="1"/>
  <c r="AE391" i="6" s="1"/>
  <c r="AE392" i="6" s="1"/>
  <c r="AE393" i="6" s="1"/>
  <c r="AE394" i="6" s="1"/>
  <c r="AE395" i="6" s="1"/>
  <c r="AE396" i="6" s="1"/>
  <c r="AE397" i="6" s="1"/>
  <c r="AE398" i="6" s="1"/>
  <c r="AE399" i="6" s="1"/>
  <c r="AE400" i="6" s="1"/>
  <c r="AE401" i="6" s="1"/>
  <c r="AF400" i="7" l="1"/>
  <c r="AT400" i="7" l="1"/>
  <c r="AP402" i="6"/>
  <c r="AN402" i="6"/>
  <c r="AL402" i="6"/>
  <c r="AJ402" i="6"/>
  <c r="AH402" i="6"/>
  <c r="AF402" i="6"/>
  <c r="N16" i="13"/>
  <c r="O16" i="13" l="1"/>
  <c r="AZ402" i="6"/>
  <c r="AX402" i="6"/>
  <c r="AT402" i="6"/>
  <c r="N27" i="13"/>
  <c r="N25" i="13"/>
  <c r="N28" i="13"/>
  <c r="O27" i="13" l="1"/>
  <c r="O28" i="13"/>
  <c r="O25" i="13"/>
  <c r="AP400" i="7"/>
  <c r="AN400" i="7"/>
  <c r="AL400" i="7"/>
  <c r="AJ400" i="7"/>
  <c r="AH400" i="7"/>
  <c r="AE3" i="7"/>
  <c r="N23" i="13"/>
  <c r="N19" i="13"/>
  <c r="N18" i="13"/>
  <c r="N17" i="13"/>
  <c r="N21" i="13"/>
  <c r="O17" i="13" l="1"/>
  <c r="O21" i="13"/>
  <c r="O19" i="13"/>
  <c r="AE4" i="7"/>
  <c r="AE5" i="7" s="1"/>
  <c r="AE6" i="7" s="1"/>
  <c r="AE7" i="7" s="1"/>
  <c r="AE8" i="7" s="1"/>
  <c r="AE9" i="7" s="1"/>
  <c r="AE10" i="7" s="1"/>
  <c r="AE11" i="7" s="1"/>
  <c r="AE12" i="7" s="1"/>
  <c r="AE13" i="7" s="1"/>
  <c r="AE14" i="7" s="1"/>
  <c r="AE15" i="7" s="1"/>
  <c r="AE16" i="7" s="1"/>
  <c r="AE17" i="7" s="1"/>
  <c r="AE18" i="7" s="1"/>
  <c r="AE19" i="7" s="1"/>
  <c r="AE20" i="7" s="1"/>
  <c r="AE21" i="7" s="1"/>
  <c r="AE22" i="7" s="1"/>
  <c r="AE23" i="7" s="1"/>
  <c r="AE24" i="7" s="1"/>
  <c r="AE25" i="7" s="1"/>
  <c r="AE26" i="7" s="1"/>
  <c r="AE27" i="7" s="1"/>
  <c r="AE28" i="7" s="1"/>
  <c r="AE29" i="7" s="1"/>
  <c r="AE30" i="7" s="1"/>
  <c r="AE31" i="7" s="1"/>
  <c r="AE32" i="7" s="1"/>
  <c r="AE33" i="7" s="1"/>
  <c r="AE34" i="7" s="1"/>
  <c r="AE35" i="7" s="1"/>
  <c r="AE36" i="7" s="1"/>
  <c r="AE37" i="7" s="1"/>
  <c r="AE38" i="7" s="1"/>
  <c r="AE39" i="7" s="1"/>
  <c r="AE40" i="7" s="1"/>
  <c r="AE41" i="7" s="1"/>
  <c r="AE42" i="7" s="1"/>
  <c r="AE43" i="7" s="1"/>
  <c r="AE44" i="7" s="1"/>
  <c r="AE45" i="7" s="1"/>
  <c r="AE46" i="7" s="1"/>
  <c r="AE47" i="7" s="1"/>
  <c r="AE48" i="7" s="1"/>
  <c r="AE49" i="7" s="1"/>
  <c r="AE50" i="7" s="1"/>
  <c r="O18" i="13"/>
  <c r="O23" i="13"/>
  <c r="AB400" i="7"/>
  <c r="F14" i="14" s="1"/>
  <c r="Z400" i="7"/>
  <c r="F13" i="14" s="1"/>
  <c r="X400" i="7"/>
  <c r="F12" i="14" s="1"/>
  <c r="V400" i="7"/>
  <c r="F15" i="14" s="1"/>
  <c r="AB402" i="6"/>
  <c r="L14" i="14" s="1"/>
  <c r="Z402" i="6"/>
  <c r="L13" i="14" s="1"/>
  <c r="X402" i="6"/>
  <c r="L12" i="14" s="1"/>
  <c r="V402" i="6"/>
  <c r="L15" i="14" s="1"/>
  <c r="AE51" i="7" l="1"/>
  <c r="AE52" i="7" s="1"/>
  <c r="AE53" i="7" s="1"/>
  <c r="AE54" i="7" s="1"/>
  <c r="AE55" i="7" s="1"/>
  <c r="AE56" i="7" s="1"/>
  <c r="AE57" i="7" s="1"/>
  <c r="AE58" i="7" s="1"/>
  <c r="AE59" i="7" s="1"/>
  <c r="AE60" i="7" s="1"/>
  <c r="AE61" i="7" s="1"/>
  <c r="AE62" i="7" s="1"/>
  <c r="AE63" i="7" s="1"/>
  <c r="AE64" i="7" s="1"/>
  <c r="AE65" i="7" s="1"/>
  <c r="AE66" i="7" s="1"/>
  <c r="AE67" i="7" s="1"/>
  <c r="AE68" i="7" s="1"/>
  <c r="AE69" i="7" s="1"/>
  <c r="AE70" i="7" s="1"/>
  <c r="AE71" i="7" s="1"/>
  <c r="AE72" i="7" s="1"/>
  <c r="AE73" i="7" s="1"/>
  <c r="AE74" i="7" s="1"/>
  <c r="AE75" i="7" s="1"/>
  <c r="AE76" i="7" s="1"/>
  <c r="AE77" i="7" s="1"/>
  <c r="AE78" i="7" s="1"/>
  <c r="AE79" i="7" s="1"/>
  <c r="AE80" i="7" s="1"/>
  <c r="AE81" i="7" s="1"/>
  <c r="AE82" i="7" s="1"/>
  <c r="AE83" i="7" s="1"/>
  <c r="AE84" i="7" s="1"/>
  <c r="AE85" i="7" s="1"/>
  <c r="AE86" i="7" s="1"/>
  <c r="AE87" i="7" s="1"/>
  <c r="AE88" i="7" s="1"/>
  <c r="AE89" i="7" s="1"/>
  <c r="AE90" i="7" s="1"/>
  <c r="AE91" i="7" s="1"/>
  <c r="AE92" i="7" s="1"/>
  <c r="AE93" i="7" s="1"/>
  <c r="AE94" i="7" s="1"/>
  <c r="AE95" i="7" s="1"/>
  <c r="AE96" i="7" s="1"/>
  <c r="AE97" i="7" s="1"/>
  <c r="AE98" i="7" s="1"/>
  <c r="AE99" i="7" s="1"/>
  <c r="AE100" i="7" s="1"/>
  <c r="AE101" i="7" s="1"/>
  <c r="AE102" i="7" s="1"/>
  <c r="AE103" i="7" s="1"/>
  <c r="AE104" i="7" s="1"/>
  <c r="AE105" i="7" s="1"/>
  <c r="AE106" i="7" s="1"/>
  <c r="AE107" i="7" s="1"/>
  <c r="AE108" i="7" s="1"/>
  <c r="AE109" i="7" s="1"/>
  <c r="AE110" i="7" s="1"/>
  <c r="AE111" i="7" s="1"/>
  <c r="AE112" i="7" s="1"/>
  <c r="AE113" i="7" s="1"/>
  <c r="AE114" i="7" s="1"/>
  <c r="AE115" i="7" s="1"/>
  <c r="AE116" i="7" s="1"/>
  <c r="AE117" i="7" s="1"/>
  <c r="AE118" i="7" s="1"/>
  <c r="AE119" i="7" s="1"/>
  <c r="AE120" i="7" s="1"/>
  <c r="AE121" i="7" s="1"/>
  <c r="AE122" i="7" s="1"/>
  <c r="AE123" i="7" s="1"/>
  <c r="AE124" i="7" s="1"/>
  <c r="AE125" i="7" s="1"/>
  <c r="AE126" i="7" s="1"/>
  <c r="AE127" i="7" s="1"/>
  <c r="AE128" i="7" s="1"/>
  <c r="AE129" i="7" s="1"/>
  <c r="AE130" i="7" s="1"/>
  <c r="AE131" i="7" s="1"/>
  <c r="AE132" i="7" s="1"/>
  <c r="AE133" i="7" s="1"/>
  <c r="AE134" i="7" s="1"/>
  <c r="AE135" i="7" s="1"/>
  <c r="AE136" i="7" s="1"/>
  <c r="AE137" i="7" s="1"/>
  <c r="AE138" i="7" s="1"/>
  <c r="AE139" i="7" s="1"/>
  <c r="AE140" i="7" s="1"/>
  <c r="AE141" i="7" s="1"/>
  <c r="AE142" i="7" s="1"/>
  <c r="AE143" i="7" s="1"/>
  <c r="AE144" i="7" s="1"/>
  <c r="AE145" i="7" s="1"/>
  <c r="AE146" i="7" s="1"/>
  <c r="AE147" i="7" s="1"/>
  <c r="AE148" i="7" s="1"/>
  <c r="AE149" i="7" s="1"/>
  <c r="AE150" i="7" s="1"/>
  <c r="AE151" i="7" s="1"/>
  <c r="AE152" i="7" s="1"/>
  <c r="AE153" i="7" s="1"/>
  <c r="AE154" i="7" s="1"/>
  <c r="AE155" i="7" s="1"/>
  <c r="AE156" i="7" s="1"/>
  <c r="AE157" i="7" s="1"/>
  <c r="AE158" i="7" s="1"/>
  <c r="AE159" i="7" s="1"/>
  <c r="AE160" i="7" s="1"/>
  <c r="AE161" i="7" s="1"/>
  <c r="AE162" i="7" s="1"/>
  <c r="AE163" i="7" s="1"/>
  <c r="AE164" i="7" s="1"/>
  <c r="AE165" i="7" s="1"/>
  <c r="AE166" i="7" s="1"/>
  <c r="AE167" i="7" s="1"/>
  <c r="AE168" i="7" s="1"/>
  <c r="AE169" i="7" s="1"/>
  <c r="AE170" i="7" s="1"/>
  <c r="AE171" i="7" s="1"/>
  <c r="AE172" i="7" s="1"/>
  <c r="AE173" i="7" s="1"/>
  <c r="AE174" i="7" s="1"/>
  <c r="AE175" i="7" s="1"/>
  <c r="AE176" i="7" s="1"/>
  <c r="AE177" i="7" s="1"/>
  <c r="AE178" i="7" s="1"/>
  <c r="AE179" i="7" s="1"/>
  <c r="AE180" i="7" s="1"/>
  <c r="AE181" i="7" s="1"/>
  <c r="AE182" i="7" s="1"/>
  <c r="AE183" i="7" s="1"/>
  <c r="AE184" i="7" s="1"/>
  <c r="AE185" i="7" s="1"/>
  <c r="AE186" i="7" s="1"/>
  <c r="AE187" i="7" s="1"/>
  <c r="AE188" i="7" s="1"/>
  <c r="AE189" i="7" s="1"/>
  <c r="AE190" i="7" s="1"/>
  <c r="AE191" i="7" s="1"/>
  <c r="AE192" i="7" s="1"/>
  <c r="AE193" i="7" s="1"/>
  <c r="AE194" i="7" s="1"/>
  <c r="AE195" i="7" s="1"/>
  <c r="AE196" i="7" s="1"/>
  <c r="AE197" i="7" s="1"/>
  <c r="AE198" i="7" s="1"/>
  <c r="AE199" i="7" s="1"/>
  <c r="AE200" i="7" s="1"/>
  <c r="AE201" i="7" s="1"/>
  <c r="AE202" i="7" s="1"/>
  <c r="AE203" i="7" s="1"/>
  <c r="AE204" i="7" s="1"/>
  <c r="AE205" i="7" s="1"/>
  <c r="AE206" i="7" s="1"/>
  <c r="AE207" i="7" s="1"/>
  <c r="AE208" i="7" s="1"/>
  <c r="AE209" i="7" s="1"/>
  <c r="AE210" i="7" s="1"/>
  <c r="AE211" i="7" s="1"/>
  <c r="AE212" i="7" s="1"/>
  <c r="AE213" i="7" s="1"/>
  <c r="AE214" i="7" s="1"/>
  <c r="AE215" i="7" s="1"/>
  <c r="AE216" i="7" s="1"/>
  <c r="AE217" i="7" s="1"/>
  <c r="AE218" i="7" s="1"/>
  <c r="AE219" i="7" s="1"/>
  <c r="AE220" i="7" s="1"/>
  <c r="AE221" i="7" s="1"/>
  <c r="AE222" i="7" s="1"/>
  <c r="AE223" i="7" s="1"/>
  <c r="AE224" i="7" s="1"/>
  <c r="AE225" i="7" s="1"/>
  <c r="AE226" i="7" s="1"/>
  <c r="AE227" i="7" s="1"/>
  <c r="AE228" i="7" s="1"/>
  <c r="AE229" i="7" s="1"/>
  <c r="AE230" i="7" s="1"/>
  <c r="AE231" i="7" s="1"/>
  <c r="AE232" i="7" s="1"/>
  <c r="AE233" i="7" s="1"/>
  <c r="AE234" i="7" s="1"/>
  <c r="AE235" i="7" s="1"/>
  <c r="AE236" i="7" s="1"/>
  <c r="AE237" i="7" s="1"/>
  <c r="AE238" i="7" s="1"/>
  <c r="AE239" i="7" s="1"/>
  <c r="AE240" i="7" s="1"/>
  <c r="AE241" i="7" s="1"/>
  <c r="AE242" i="7" s="1"/>
  <c r="AE243" i="7" s="1"/>
  <c r="AE244" i="7" s="1"/>
  <c r="AE245" i="7" s="1"/>
  <c r="AE246" i="7" s="1"/>
  <c r="AE247" i="7" s="1"/>
  <c r="AE248" i="7" s="1"/>
  <c r="AE249" i="7" s="1"/>
  <c r="AE250" i="7" s="1"/>
  <c r="AE251" i="7" s="1"/>
  <c r="AE252" i="7" s="1"/>
  <c r="AE253" i="7" s="1"/>
  <c r="AE254" i="7" s="1"/>
  <c r="AE255" i="7" s="1"/>
  <c r="AE256" i="7" s="1"/>
  <c r="AE257" i="7" s="1"/>
  <c r="AE258" i="7" s="1"/>
  <c r="AE259" i="7" s="1"/>
  <c r="AE260" i="7" s="1"/>
  <c r="AE261" i="7" s="1"/>
  <c r="AE262" i="7" s="1"/>
  <c r="AE263" i="7" s="1"/>
  <c r="AE264" i="7" s="1"/>
  <c r="AE265" i="7" s="1"/>
  <c r="AE266" i="7" s="1"/>
  <c r="AE267" i="7" s="1"/>
  <c r="AE268" i="7" s="1"/>
  <c r="AE269" i="7" s="1"/>
  <c r="AE270" i="7" s="1"/>
  <c r="AE271" i="7" s="1"/>
  <c r="AE272" i="7" s="1"/>
  <c r="AE273" i="7" s="1"/>
  <c r="AE274" i="7" s="1"/>
  <c r="AE275" i="7" s="1"/>
  <c r="AE276" i="7" s="1"/>
  <c r="AE277" i="7" s="1"/>
  <c r="AE278" i="7" s="1"/>
  <c r="AE279" i="7" s="1"/>
  <c r="AE280" i="7" s="1"/>
  <c r="AE281" i="7" s="1"/>
  <c r="AE282" i="7" s="1"/>
  <c r="AE283" i="7" s="1"/>
  <c r="AE284" i="7" s="1"/>
  <c r="AE285" i="7" s="1"/>
  <c r="AE286" i="7" s="1"/>
  <c r="AE287" i="7" s="1"/>
  <c r="AE288" i="7" s="1"/>
  <c r="AE289" i="7" s="1"/>
  <c r="AE290" i="7" s="1"/>
  <c r="AE291" i="7" s="1"/>
  <c r="AE292" i="7" s="1"/>
  <c r="AE293" i="7" s="1"/>
  <c r="AE294" i="7" s="1"/>
  <c r="AE295" i="7" s="1"/>
  <c r="AE296" i="7" s="1"/>
  <c r="AE297" i="7" s="1"/>
  <c r="AE298" i="7" s="1"/>
  <c r="AE299" i="7" s="1"/>
  <c r="AE300" i="7" s="1"/>
  <c r="AE301" i="7" s="1"/>
  <c r="AE302" i="7" s="1"/>
  <c r="AE303" i="7" s="1"/>
  <c r="AE304" i="7" s="1"/>
  <c r="AE305" i="7" s="1"/>
  <c r="AE306" i="7" s="1"/>
  <c r="AE307" i="7" s="1"/>
  <c r="AE308" i="7" s="1"/>
  <c r="AE309" i="7" s="1"/>
  <c r="AE310" i="7" s="1"/>
  <c r="AE311" i="7" s="1"/>
  <c r="AE312" i="7" s="1"/>
  <c r="AE313" i="7" s="1"/>
  <c r="AE314" i="7" s="1"/>
  <c r="AE315" i="7" s="1"/>
  <c r="AE316" i="7" s="1"/>
  <c r="AE317" i="7" s="1"/>
  <c r="AE318" i="7" s="1"/>
  <c r="AE319" i="7" s="1"/>
  <c r="AE320" i="7" s="1"/>
  <c r="AE321" i="7" s="1"/>
  <c r="AE322" i="7" s="1"/>
  <c r="AE323" i="7" s="1"/>
  <c r="AE324" i="7" s="1"/>
  <c r="AE325" i="7" s="1"/>
  <c r="AE326" i="7" s="1"/>
  <c r="AE327" i="7" s="1"/>
  <c r="AE328" i="7" s="1"/>
  <c r="AE329" i="7" s="1"/>
  <c r="AE330" i="7" s="1"/>
  <c r="AE331" i="7" s="1"/>
  <c r="AE332" i="7" s="1"/>
  <c r="AE333" i="7" s="1"/>
  <c r="AE334" i="7" s="1"/>
  <c r="AE335" i="7" s="1"/>
  <c r="AE336" i="7" s="1"/>
  <c r="AE337" i="7" s="1"/>
  <c r="AE338" i="7" s="1"/>
  <c r="AE339" i="7" s="1"/>
  <c r="AE340" i="7" s="1"/>
  <c r="AE341" i="7" s="1"/>
  <c r="AE342" i="7" s="1"/>
  <c r="AE343" i="7" s="1"/>
  <c r="AE344" i="7" s="1"/>
  <c r="AE345" i="7" s="1"/>
  <c r="AE346" i="7" s="1"/>
  <c r="AE347" i="7" s="1"/>
  <c r="AE348" i="7" s="1"/>
  <c r="AE349" i="7" s="1"/>
  <c r="AE350" i="7" s="1"/>
  <c r="AE351" i="7" s="1"/>
  <c r="AE352" i="7" s="1"/>
  <c r="AE353" i="7" s="1"/>
  <c r="AE354" i="7" s="1"/>
  <c r="AE355" i="7" s="1"/>
  <c r="AE356" i="7" s="1"/>
  <c r="AE357" i="7" s="1"/>
  <c r="AE358" i="7" s="1"/>
  <c r="AE359" i="7" s="1"/>
  <c r="AE360" i="7" s="1"/>
  <c r="AE361" i="7" s="1"/>
  <c r="AE362" i="7" s="1"/>
  <c r="AE363" i="7" s="1"/>
  <c r="AE364" i="7" s="1"/>
  <c r="AE365" i="7" s="1"/>
  <c r="AE366" i="7" s="1"/>
  <c r="AE367" i="7" s="1"/>
  <c r="AE368" i="7" s="1"/>
  <c r="AE369" i="7" s="1"/>
  <c r="AE370" i="7" s="1"/>
  <c r="AE371" i="7" s="1"/>
  <c r="AE372" i="7" s="1"/>
  <c r="AE373" i="7" s="1"/>
  <c r="AE374" i="7" s="1"/>
  <c r="AE375" i="7" s="1"/>
  <c r="AE376" i="7" s="1"/>
  <c r="AE377" i="7" s="1"/>
  <c r="AE378" i="7" s="1"/>
  <c r="AE379" i="7" s="1"/>
  <c r="AE380" i="7" s="1"/>
  <c r="AE381" i="7" s="1"/>
  <c r="AE382" i="7" s="1"/>
  <c r="AE383" i="7" s="1"/>
  <c r="AE384" i="7" s="1"/>
  <c r="AE385" i="7" s="1"/>
  <c r="AE386" i="7" s="1"/>
  <c r="AE387" i="7" s="1"/>
  <c r="AE388" i="7" s="1"/>
  <c r="AE389" i="7" s="1"/>
  <c r="AE390" i="7" s="1"/>
  <c r="AE391" i="7" s="1"/>
  <c r="AE392" i="7" s="1"/>
  <c r="AE393" i="7" s="1"/>
  <c r="AE394" i="7" s="1"/>
  <c r="AE395" i="7" s="1"/>
  <c r="AE396" i="7" s="1"/>
  <c r="AE397" i="7" s="1"/>
  <c r="AE398" i="7" s="1"/>
  <c r="AE399" i="7" s="1"/>
  <c r="AD402" i="6"/>
  <c r="N15" i="13"/>
  <c r="O15" i="13" l="1"/>
  <c r="F16" i="14"/>
  <c r="F7" i="14" s="1"/>
  <c r="L16" i="14"/>
  <c r="L7" i="14" s="1"/>
  <c r="L11" i="14" s="1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Q4" i="7"/>
  <c r="Q3" i="7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3" i="6"/>
  <c r="H56" i="7" l="1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3" i="6"/>
  <c r="C4" i="7"/>
  <c r="D4" i="7"/>
  <c r="N4" i="7" s="1"/>
  <c r="E4" i="7"/>
  <c r="F4" i="7"/>
  <c r="K4" i="7" s="1"/>
  <c r="G4" i="7"/>
  <c r="C5" i="7"/>
  <c r="D5" i="7"/>
  <c r="N5" i="7" s="1"/>
  <c r="E5" i="7"/>
  <c r="F5" i="7"/>
  <c r="G5" i="7"/>
  <c r="C6" i="7"/>
  <c r="D6" i="7"/>
  <c r="N6" i="7" s="1"/>
  <c r="E6" i="7"/>
  <c r="F6" i="7"/>
  <c r="G6" i="7"/>
  <c r="C7" i="7"/>
  <c r="D7" i="7"/>
  <c r="N7" i="7" s="1"/>
  <c r="E7" i="7"/>
  <c r="F7" i="7"/>
  <c r="G7" i="7"/>
  <c r="C8" i="7"/>
  <c r="D8" i="7"/>
  <c r="N8" i="7" s="1"/>
  <c r="E8" i="7"/>
  <c r="F8" i="7"/>
  <c r="G8" i="7"/>
  <c r="C9" i="7"/>
  <c r="D9" i="7"/>
  <c r="N9" i="7" s="1"/>
  <c r="E9" i="7"/>
  <c r="F9" i="7"/>
  <c r="G9" i="7"/>
  <c r="C10" i="7"/>
  <c r="D10" i="7"/>
  <c r="N10" i="7" s="1"/>
  <c r="E10" i="7"/>
  <c r="F10" i="7"/>
  <c r="G10" i="7"/>
  <c r="C11" i="7"/>
  <c r="D11" i="7"/>
  <c r="N11" i="7" s="1"/>
  <c r="E11" i="7"/>
  <c r="F11" i="7"/>
  <c r="G11" i="7"/>
  <c r="C12" i="7"/>
  <c r="D12" i="7"/>
  <c r="N12" i="7" s="1"/>
  <c r="E12" i="7"/>
  <c r="F12" i="7"/>
  <c r="G12" i="7"/>
  <c r="C13" i="7"/>
  <c r="D13" i="7"/>
  <c r="N13" i="7" s="1"/>
  <c r="E13" i="7"/>
  <c r="F13" i="7"/>
  <c r="G13" i="7"/>
  <c r="C14" i="7"/>
  <c r="D14" i="7"/>
  <c r="N14" i="7" s="1"/>
  <c r="E14" i="7"/>
  <c r="F14" i="7"/>
  <c r="G14" i="7"/>
  <c r="C15" i="7"/>
  <c r="D15" i="7"/>
  <c r="N15" i="7" s="1"/>
  <c r="E15" i="7"/>
  <c r="F15" i="7"/>
  <c r="G15" i="7"/>
  <c r="C16" i="7"/>
  <c r="D16" i="7"/>
  <c r="N16" i="7" s="1"/>
  <c r="E16" i="7"/>
  <c r="F16" i="7"/>
  <c r="G16" i="7"/>
  <c r="C17" i="7"/>
  <c r="D17" i="7"/>
  <c r="N17" i="7" s="1"/>
  <c r="E17" i="7"/>
  <c r="F17" i="7"/>
  <c r="G17" i="7"/>
  <c r="C18" i="7"/>
  <c r="D18" i="7"/>
  <c r="N18" i="7" s="1"/>
  <c r="E18" i="7"/>
  <c r="F18" i="7"/>
  <c r="G18" i="7"/>
  <c r="C19" i="7"/>
  <c r="D19" i="7"/>
  <c r="N19" i="7" s="1"/>
  <c r="E19" i="7"/>
  <c r="F19" i="7"/>
  <c r="G19" i="7"/>
  <c r="C20" i="7"/>
  <c r="D20" i="7"/>
  <c r="N20" i="7" s="1"/>
  <c r="E20" i="7"/>
  <c r="F20" i="7"/>
  <c r="G20" i="7"/>
  <c r="C21" i="7"/>
  <c r="D21" i="7"/>
  <c r="N21" i="7" s="1"/>
  <c r="E21" i="7"/>
  <c r="F21" i="7"/>
  <c r="G21" i="7"/>
  <c r="C22" i="7"/>
  <c r="D22" i="7"/>
  <c r="N22" i="7" s="1"/>
  <c r="E22" i="7"/>
  <c r="F22" i="7"/>
  <c r="G22" i="7"/>
  <c r="C23" i="7"/>
  <c r="D23" i="7"/>
  <c r="N23" i="7" s="1"/>
  <c r="E23" i="7"/>
  <c r="F23" i="7"/>
  <c r="G23" i="7"/>
  <c r="C24" i="7"/>
  <c r="D24" i="7"/>
  <c r="N24" i="7" s="1"/>
  <c r="E24" i="7"/>
  <c r="F24" i="7"/>
  <c r="G24" i="7"/>
  <c r="C25" i="7"/>
  <c r="D25" i="7"/>
  <c r="N25" i="7" s="1"/>
  <c r="E25" i="7"/>
  <c r="F25" i="7"/>
  <c r="G25" i="7"/>
  <c r="C26" i="7"/>
  <c r="D26" i="7"/>
  <c r="N26" i="7" s="1"/>
  <c r="E26" i="7"/>
  <c r="F26" i="7"/>
  <c r="G26" i="7"/>
  <c r="C27" i="7"/>
  <c r="D27" i="7"/>
  <c r="N27" i="7" s="1"/>
  <c r="E27" i="7"/>
  <c r="F27" i="7"/>
  <c r="G27" i="7"/>
  <c r="C28" i="7"/>
  <c r="D28" i="7"/>
  <c r="N28" i="7" s="1"/>
  <c r="E28" i="7"/>
  <c r="F28" i="7"/>
  <c r="G28" i="7"/>
  <c r="C29" i="7"/>
  <c r="D29" i="7"/>
  <c r="N29" i="7" s="1"/>
  <c r="E29" i="7"/>
  <c r="F29" i="7"/>
  <c r="G29" i="7"/>
  <c r="C30" i="7"/>
  <c r="D30" i="7"/>
  <c r="N30" i="7" s="1"/>
  <c r="E30" i="7"/>
  <c r="F30" i="7"/>
  <c r="G30" i="7"/>
  <c r="C31" i="7"/>
  <c r="D31" i="7"/>
  <c r="N31" i="7" s="1"/>
  <c r="E31" i="7"/>
  <c r="F31" i="7"/>
  <c r="G31" i="7"/>
  <c r="C32" i="7"/>
  <c r="D32" i="7"/>
  <c r="N32" i="7" s="1"/>
  <c r="E32" i="7"/>
  <c r="F32" i="7"/>
  <c r="G32" i="7"/>
  <c r="C33" i="7"/>
  <c r="D33" i="7"/>
  <c r="N33" i="7" s="1"/>
  <c r="E33" i="7"/>
  <c r="F33" i="7"/>
  <c r="G33" i="7"/>
  <c r="C34" i="7"/>
  <c r="D34" i="7"/>
  <c r="N34" i="7" s="1"/>
  <c r="E34" i="7"/>
  <c r="F34" i="7"/>
  <c r="G34" i="7"/>
  <c r="C35" i="7"/>
  <c r="D35" i="7"/>
  <c r="N35" i="7" s="1"/>
  <c r="E35" i="7"/>
  <c r="F35" i="7"/>
  <c r="G35" i="7"/>
  <c r="C36" i="7"/>
  <c r="D36" i="7"/>
  <c r="N36" i="7" s="1"/>
  <c r="E36" i="7"/>
  <c r="F36" i="7"/>
  <c r="G36" i="7"/>
  <c r="C37" i="7"/>
  <c r="D37" i="7"/>
  <c r="N37" i="7" s="1"/>
  <c r="E37" i="7"/>
  <c r="F37" i="7"/>
  <c r="G37" i="7"/>
  <c r="C38" i="7"/>
  <c r="D38" i="7"/>
  <c r="N38" i="7" s="1"/>
  <c r="E38" i="7"/>
  <c r="F38" i="7"/>
  <c r="G38" i="7"/>
  <c r="C39" i="7"/>
  <c r="D39" i="7"/>
  <c r="N39" i="7" s="1"/>
  <c r="E39" i="7"/>
  <c r="F39" i="7"/>
  <c r="G39" i="7"/>
  <c r="C40" i="7"/>
  <c r="D40" i="7"/>
  <c r="N40" i="7" s="1"/>
  <c r="E40" i="7"/>
  <c r="F40" i="7"/>
  <c r="G40" i="7"/>
  <c r="C41" i="7"/>
  <c r="D41" i="7"/>
  <c r="N41" i="7" s="1"/>
  <c r="E41" i="7"/>
  <c r="F41" i="7"/>
  <c r="G41" i="7"/>
  <c r="C42" i="7"/>
  <c r="D42" i="7"/>
  <c r="N42" i="7" s="1"/>
  <c r="E42" i="7"/>
  <c r="F42" i="7"/>
  <c r="G42" i="7"/>
  <c r="C43" i="7"/>
  <c r="D43" i="7"/>
  <c r="N43" i="7" s="1"/>
  <c r="E43" i="7"/>
  <c r="F43" i="7"/>
  <c r="G43" i="7"/>
  <c r="C44" i="7"/>
  <c r="D44" i="7"/>
  <c r="N44" i="7" s="1"/>
  <c r="E44" i="7"/>
  <c r="F44" i="7"/>
  <c r="G44" i="7"/>
  <c r="C45" i="7"/>
  <c r="D45" i="7"/>
  <c r="N45" i="7" s="1"/>
  <c r="E45" i="7"/>
  <c r="F45" i="7"/>
  <c r="G45" i="7"/>
  <c r="C46" i="7"/>
  <c r="D46" i="7"/>
  <c r="N46" i="7" s="1"/>
  <c r="E46" i="7"/>
  <c r="F46" i="7"/>
  <c r="G46" i="7"/>
  <c r="C47" i="7"/>
  <c r="D47" i="7"/>
  <c r="N47" i="7" s="1"/>
  <c r="E47" i="7"/>
  <c r="F47" i="7"/>
  <c r="G47" i="7"/>
  <c r="C48" i="7"/>
  <c r="D48" i="7"/>
  <c r="N48" i="7" s="1"/>
  <c r="E48" i="7"/>
  <c r="F48" i="7"/>
  <c r="G48" i="7"/>
  <c r="C49" i="7"/>
  <c r="D49" i="7"/>
  <c r="N49" i="7" s="1"/>
  <c r="E49" i="7"/>
  <c r="F49" i="7"/>
  <c r="G49" i="7"/>
  <c r="C50" i="7"/>
  <c r="D50" i="7"/>
  <c r="N50" i="7" s="1"/>
  <c r="E50" i="7"/>
  <c r="F50" i="7"/>
  <c r="G50" i="7"/>
  <c r="C51" i="7"/>
  <c r="D51" i="7"/>
  <c r="N51" i="7" s="1"/>
  <c r="E51" i="7"/>
  <c r="F51" i="7"/>
  <c r="G51" i="7"/>
  <c r="C52" i="7"/>
  <c r="D52" i="7"/>
  <c r="N52" i="7" s="1"/>
  <c r="E52" i="7"/>
  <c r="F52" i="7"/>
  <c r="G52" i="7"/>
  <c r="C53" i="7"/>
  <c r="D53" i="7"/>
  <c r="N53" i="7" s="1"/>
  <c r="E53" i="7"/>
  <c r="F53" i="7"/>
  <c r="G53" i="7"/>
  <c r="C54" i="7"/>
  <c r="D54" i="7"/>
  <c r="N54" i="7" s="1"/>
  <c r="E54" i="7"/>
  <c r="F54" i="7"/>
  <c r="G54" i="7"/>
  <c r="C55" i="7"/>
  <c r="D55" i="7"/>
  <c r="N55" i="7" s="1"/>
  <c r="E55" i="7"/>
  <c r="F55" i="7"/>
  <c r="G55" i="7"/>
  <c r="C56" i="7"/>
  <c r="D56" i="7"/>
  <c r="N56" i="7" s="1"/>
  <c r="E56" i="7"/>
  <c r="F56" i="7"/>
  <c r="G56" i="7"/>
  <c r="G3" i="7"/>
  <c r="F3" i="7"/>
  <c r="E3" i="7"/>
  <c r="D3" i="7"/>
  <c r="N3" i="7" s="1"/>
  <c r="C3" i="7"/>
  <c r="C4" i="6"/>
  <c r="D4" i="6"/>
  <c r="N4" i="6" s="1"/>
  <c r="E4" i="6"/>
  <c r="F4" i="6"/>
  <c r="G4" i="6"/>
  <c r="C5" i="6"/>
  <c r="D5" i="6"/>
  <c r="N5" i="6" s="1"/>
  <c r="E5" i="6"/>
  <c r="F5" i="6"/>
  <c r="G5" i="6"/>
  <c r="C6" i="6"/>
  <c r="D6" i="6"/>
  <c r="N6" i="6" s="1"/>
  <c r="E6" i="6"/>
  <c r="F6" i="6"/>
  <c r="G6" i="6"/>
  <c r="C7" i="6"/>
  <c r="D7" i="6"/>
  <c r="N7" i="6" s="1"/>
  <c r="E7" i="6"/>
  <c r="F7" i="6"/>
  <c r="G7" i="6"/>
  <c r="C8" i="6"/>
  <c r="D8" i="6"/>
  <c r="N8" i="6" s="1"/>
  <c r="E8" i="6"/>
  <c r="F8" i="6"/>
  <c r="G8" i="6"/>
  <c r="C9" i="6"/>
  <c r="D9" i="6"/>
  <c r="N9" i="6" s="1"/>
  <c r="E9" i="6"/>
  <c r="F9" i="6"/>
  <c r="G9" i="6"/>
  <c r="C10" i="6"/>
  <c r="D10" i="6"/>
  <c r="N10" i="6" s="1"/>
  <c r="E10" i="6"/>
  <c r="F10" i="6"/>
  <c r="G10" i="6"/>
  <c r="C11" i="6"/>
  <c r="D11" i="6"/>
  <c r="N11" i="6" s="1"/>
  <c r="E11" i="6"/>
  <c r="F11" i="6"/>
  <c r="G11" i="6"/>
  <c r="C12" i="6"/>
  <c r="D12" i="6"/>
  <c r="N12" i="6" s="1"/>
  <c r="E12" i="6"/>
  <c r="F12" i="6"/>
  <c r="G12" i="6"/>
  <c r="C13" i="6"/>
  <c r="D13" i="6"/>
  <c r="N13" i="6" s="1"/>
  <c r="E13" i="6"/>
  <c r="F13" i="6"/>
  <c r="G13" i="6"/>
  <c r="C14" i="6"/>
  <c r="D14" i="6"/>
  <c r="N14" i="6" s="1"/>
  <c r="E14" i="6"/>
  <c r="F14" i="6"/>
  <c r="G14" i="6"/>
  <c r="C15" i="6"/>
  <c r="D15" i="6"/>
  <c r="N15" i="6" s="1"/>
  <c r="E15" i="6"/>
  <c r="F15" i="6"/>
  <c r="G15" i="6"/>
  <c r="C16" i="6"/>
  <c r="D16" i="6"/>
  <c r="N16" i="6" s="1"/>
  <c r="E16" i="6"/>
  <c r="F16" i="6"/>
  <c r="G16" i="6"/>
  <c r="C17" i="6"/>
  <c r="D17" i="6"/>
  <c r="N17" i="6" s="1"/>
  <c r="E17" i="6"/>
  <c r="F17" i="6"/>
  <c r="G17" i="6"/>
  <c r="C18" i="6"/>
  <c r="D18" i="6"/>
  <c r="N18" i="6" s="1"/>
  <c r="E18" i="6"/>
  <c r="F18" i="6"/>
  <c r="G18" i="6"/>
  <c r="C19" i="6"/>
  <c r="D19" i="6"/>
  <c r="N19" i="6" s="1"/>
  <c r="E19" i="6"/>
  <c r="F19" i="6"/>
  <c r="G19" i="6"/>
  <c r="C20" i="6"/>
  <c r="D20" i="6"/>
  <c r="N20" i="6" s="1"/>
  <c r="E20" i="6"/>
  <c r="F20" i="6"/>
  <c r="G20" i="6"/>
  <c r="C21" i="6"/>
  <c r="D21" i="6"/>
  <c r="N21" i="6" s="1"/>
  <c r="E21" i="6"/>
  <c r="F21" i="6"/>
  <c r="G21" i="6"/>
  <c r="C22" i="6"/>
  <c r="D22" i="6"/>
  <c r="N22" i="6" s="1"/>
  <c r="E22" i="6"/>
  <c r="F22" i="6"/>
  <c r="G22" i="6"/>
  <c r="C23" i="6"/>
  <c r="D23" i="6"/>
  <c r="N23" i="6" s="1"/>
  <c r="E23" i="6"/>
  <c r="F23" i="6"/>
  <c r="G23" i="6"/>
  <c r="C24" i="6"/>
  <c r="D24" i="6"/>
  <c r="N24" i="6" s="1"/>
  <c r="E24" i="6"/>
  <c r="F24" i="6"/>
  <c r="G24" i="6"/>
  <c r="C25" i="6"/>
  <c r="D25" i="6"/>
  <c r="N25" i="6" s="1"/>
  <c r="E25" i="6"/>
  <c r="F25" i="6"/>
  <c r="G25" i="6"/>
  <c r="C26" i="6"/>
  <c r="D26" i="6"/>
  <c r="N26" i="6" s="1"/>
  <c r="E26" i="6"/>
  <c r="F26" i="6"/>
  <c r="G26" i="6"/>
  <c r="C27" i="6"/>
  <c r="D27" i="6"/>
  <c r="N27" i="6" s="1"/>
  <c r="E27" i="6"/>
  <c r="F27" i="6"/>
  <c r="G27" i="6"/>
  <c r="C28" i="6"/>
  <c r="D28" i="6"/>
  <c r="N28" i="6" s="1"/>
  <c r="E28" i="6"/>
  <c r="F28" i="6"/>
  <c r="G28" i="6"/>
  <c r="C29" i="6"/>
  <c r="D29" i="6"/>
  <c r="N29" i="6" s="1"/>
  <c r="E29" i="6"/>
  <c r="F29" i="6"/>
  <c r="G29" i="6"/>
  <c r="C30" i="6"/>
  <c r="D30" i="6"/>
  <c r="N30" i="6" s="1"/>
  <c r="E30" i="6"/>
  <c r="F30" i="6"/>
  <c r="G30" i="6"/>
  <c r="C31" i="6"/>
  <c r="D31" i="6"/>
  <c r="N31" i="6" s="1"/>
  <c r="E31" i="6"/>
  <c r="F31" i="6"/>
  <c r="G31" i="6"/>
  <c r="C32" i="6"/>
  <c r="D32" i="6"/>
  <c r="N32" i="6" s="1"/>
  <c r="E32" i="6"/>
  <c r="F32" i="6"/>
  <c r="G32" i="6"/>
  <c r="C33" i="6"/>
  <c r="D33" i="6"/>
  <c r="N33" i="6" s="1"/>
  <c r="E33" i="6"/>
  <c r="F33" i="6"/>
  <c r="G33" i="6"/>
  <c r="C34" i="6"/>
  <c r="D34" i="6"/>
  <c r="N34" i="6" s="1"/>
  <c r="E34" i="6"/>
  <c r="F34" i="6"/>
  <c r="G34" i="6"/>
  <c r="C35" i="6"/>
  <c r="D35" i="6"/>
  <c r="N35" i="6" s="1"/>
  <c r="E35" i="6"/>
  <c r="F35" i="6"/>
  <c r="G35" i="6"/>
  <c r="C36" i="6"/>
  <c r="D36" i="6"/>
  <c r="N36" i="6" s="1"/>
  <c r="E36" i="6"/>
  <c r="F36" i="6"/>
  <c r="G36" i="6"/>
  <c r="C37" i="6"/>
  <c r="D37" i="6"/>
  <c r="N37" i="6" s="1"/>
  <c r="E37" i="6"/>
  <c r="F37" i="6"/>
  <c r="G37" i="6"/>
  <c r="C38" i="6"/>
  <c r="D38" i="6"/>
  <c r="N38" i="6" s="1"/>
  <c r="E38" i="6"/>
  <c r="F38" i="6"/>
  <c r="G38" i="6"/>
  <c r="C39" i="6"/>
  <c r="D39" i="6"/>
  <c r="N39" i="6" s="1"/>
  <c r="E39" i="6"/>
  <c r="F39" i="6"/>
  <c r="G39" i="6"/>
  <c r="C40" i="6"/>
  <c r="D40" i="6"/>
  <c r="N40" i="6" s="1"/>
  <c r="E40" i="6"/>
  <c r="F40" i="6"/>
  <c r="G40" i="6"/>
  <c r="C41" i="6"/>
  <c r="D41" i="6"/>
  <c r="N41" i="6" s="1"/>
  <c r="E41" i="6"/>
  <c r="F41" i="6"/>
  <c r="G41" i="6"/>
  <c r="C42" i="6"/>
  <c r="D42" i="6"/>
  <c r="N42" i="6" s="1"/>
  <c r="E42" i="6"/>
  <c r="F42" i="6"/>
  <c r="G42" i="6"/>
  <c r="C43" i="6"/>
  <c r="D43" i="6"/>
  <c r="N43" i="6" s="1"/>
  <c r="E43" i="6"/>
  <c r="F43" i="6"/>
  <c r="G43" i="6"/>
  <c r="C44" i="6"/>
  <c r="D44" i="6"/>
  <c r="N44" i="6" s="1"/>
  <c r="E44" i="6"/>
  <c r="F44" i="6"/>
  <c r="G44" i="6"/>
  <c r="C45" i="6"/>
  <c r="D45" i="6"/>
  <c r="N45" i="6" s="1"/>
  <c r="E45" i="6"/>
  <c r="F45" i="6"/>
  <c r="G45" i="6"/>
  <c r="C46" i="6"/>
  <c r="D46" i="6"/>
  <c r="N46" i="6" s="1"/>
  <c r="E46" i="6"/>
  <c r="F46" i="6"/>
  <c r="G46" i="6"/>
  <c r="C47" i="6"/>
  <c r="D47" i="6"/>
  <c r="N47" i="6" s="1"/>
  <c r="E47" i="6"/>
  <c r="F47" i="6"/>
  <c r="G47" i="6"/>
  <c r="C48" i="6"/>
  <c r="D48" i="6"/>
  <c r="N48" i="6" s="1"/>
  <c r="E48" i="6"/>
  <c r="F48" i="6"/>
  <c r="G48" i="6"/>
  <c r="C49" i="6"/>
  <c r="D49" i="6"/>
  <c r="N49" i="6" s="1"/>
  <c r="E49" i="6"/>
  <c r="F49" i="6"/>
  <c r="G49" i="6"/>
  <c r="C50" i="6"/>
  <c r="D50" i="6"/>
  <c r="N50" i="6" s="1"/>
  <c r="E50" i="6"/>
  <c r="F50" i="6"/>
  <c r="G50" i="6"/>
  <c r="C51" i="6"/>
  <c r="D51" i="6"/>
  <c r="N51" i="6" s="1"/>
  <c r="E51" i="6"/>
  <c r="F51" i="6"/>
  <c r="G51" i="6"/>
  <c r="C52" i="6"/>
  <c r="D52" i="6"/>
  <c r="N52" i="6" s="1"/>
  <c r="E52" i="6"/>
  <c r="F52" i="6"/>
  <c r="G52" i="6"/>
  <c r="C53" i="6"/>
  <c r="D53" i="6"/>
  <c r="N53" i="6" s="1"/>
  <c r="E53" i="6"/>
  <c r="F53" i="6"/>
  <c r="G53" i="6"/>
  <c r="C54" i="6"/>
  <c r="D54" i="6"/>
  <c r="N54" i="6" s="1"/>
  <c r="E54" i="6"/>
  <c r="F54" i="6"/>
  <c r="G54" i="6"/>
  <c r="C55" i="6"/>
  <c r="D55" i="6"/>
  <c r="N55" i="6" s="1"/>
  <c r="E55" i="6"/>
  <c r="F55" i="6"/>
  <c r="G55" i="6"/>
  <c r="C56" i="6"/>
  <c r="D56" i="6"/>
  <c r="N56" i="6" s="1"/>
  <c r="E56" i="6"/>
  <c r="F56" i="6"/>
  <c r="G56" i="6"/>
  <c r="C57" i="6"/>
  <c r="D57" i="6"/>
  <c r="N57" i="6" s="1"/>
  <c r="E57" i="6"/>
  <c r="F57" i="6"/>
  <c r="G57" i="6"/>
  <c r="C58" i="6"/>
  <c r="D58" i="6"/>
  <c r="N58" i="6" s="1"/>
  <c r="E58" i="6"/>
  <c r="F58" i="6"/>
  <c r="G58" i="6"/>
  <c r="C59" i="6"/>
  <c r="D59" i="6"/>
  <c r="N59" i="6" s="1"/>
  <c r="E59" i="6"/>
  <c r="F59" i="6"/>
  <c r="G59" i="6"/>
  <c r="C60" i="6"/>
  <c r="D60" i="6"/>
  <c r="N60" i="6" s="1"/>
  <c r="E60" i="6"/>
  <c r="F60" i="6"/>
  <c r="G60" i="6"/>
  <c r="C61" i="6"/>
  <c r="D61" i="6"/>
  <c r="N61" i="6" s="1"/>
  <c r="E61" i="6"/>
  <c r="F61" i="6"/>
  <c r="G61" i="6"/>
  <c r="C62" i="6"/>
  <c r="D62" i="6"/>
  <c r="N62" i="6" s="1"/>
  <c r="E62" i="6"/>
  <c r="F62" i="6"/>
  <c r="G62" i="6"/>
  <c r="C63" i="6"/>
  <c r="D63" i="6"/>
  <c r="N63" i="6" s="1"/>
  <c r="E63" i="6"/>
  <c r="F63" i="6"/>
  <c r="G63" i="6"/>
  <c r="C64" i="6"/>
  <c r="D64" i="6"/>
  <c r="N64" i="6" s="1"/>
  <c r="E64" i="6"/>
  <c r="F64" i="6"/>
  <c r="G64" i="6"/>
  <c r="C65" i="6"/>
  <c r="D65" i="6"/>
  <c r="N65" i="6" s="1"/>
  <c r="E65" i="6"/>
  <c r="F65" i="6"/>
  <c r="G65" i="6"/>
  <c r="C66" i="6"/>
  <c r="D66" i="6"/>
  <c r="N66" i="6" s="1"/>
  <c r="E66" i="6"/>
  <c r="F66" i="6"/>
  <c r="G66" i="6"/>
  <c r="C67" i="6"/>
  <c r="D67" i="6"/>
  <c r="N67" i="6" s="1"/>
  <c r="E67" i="6"/>
  <c r="F67" i="6"/>
  <c r="G67" i="6"/>
  <c r="C68" i="6"/>
  <c r="D68" i="6"/>
  <c r="N68" i="6" s="1"/>
  <c r="E68" i="6"/>
  <c r="F68" i="6"/>
  <c r="G68" i="6"/>
  <c r="C69" i="6"/>
  <c r="D69" i="6"/>
  <c r="N69" i="6" s="1"/>
  <c r="E69" i="6"/>
  <c r="F69" i="6"/>
  <c r="G69" i="6"/>
  <c r="C70" i="6"/>
  <c r="D70" i="6"/>
  <c r="N70" i="6" s="1"/>
  <c r="E70" i="6"/>
  <c r="F70" i="6"/>
  <c r="G70" i="6"/>
  <c r="C71" i="6"/>
  <c r="D71" i="6"/>
  <c r="N71" i="6" s="1"/>
  <c r="E71" i="6"/>
  <c r="F71" i="6"/>
  <c r="G71" i="6"/>
  <c r="C72" i="6"/>
  <c r="D72" i="6"/>
  <c r="N72" i="6" s="1"/>
  <c r="E72" i="6"/>
  <c r="F72" i="6"/>
  <c r="G72" i="6"/>
  <c r="C73" i="6"/>
  <c r="D73" i="6"/>
  <c r="N73" i="6" s="1"/>
  <c r="E73" i="6"/>
  <c r="F73" i="6"/>
  <c r="G73" i="6"/>
  <c r="C74" i="6"/>
  <c r="D74" i="6"/>
  <c r="N74" i="6" s="1"/>
  <c r="E74" i="6"/>
  <c r="F74" i="6"/>
  <c r="G74" i="6"/>
  <c r="C75" i="6"/>
  <c r="D75" i="6"/>
  <c r="N75" i="6" s="1"/>
  <c r="E75" i="6"/>
  <c r="F75" i="6"/>
  <c r="G75" i="6"/>
  <c r="C76" i="6"/>
  <c r="D76" i="6"/>
  <c r="N76" i="6" s="1"/>
  <c r="E76" i="6"/>
  <c r="F76" i="6"/>
  <c r="G76" i="6"/>
  <c r="C77" i="6"/>
  <c r="D77" i="6"/>
  <c r="N77" i="6" s="1"/>
  <c r="E77" i="6"/>
  <c r="F77" i="6"/>
  <c r="G77" i="6"/>
  <c r="C78" i="6"/>
  <c r="D78" i="6"/>
  <c r="N78" i="6" s="1"/>
  <c r="E78" i="6"/>
  <c r="F78" i="6"/>
  <c r="G78" i="6"/>
  <c r="C79" i="6"/>
  <c r="D79" i="6"/>
  <c r="N79" i="6" s="1"/>
  <c r="E79" i="6"/>
  <c r="F79" i="6"/>
  <c r="G79" i="6"/>
  <c r="C80" i="6"/>
  <c r="D80" i="6"/>
  <c r="N80" i="6" s="1"/>
  <c r="E80" i="6"/>
  <c r="F80" i="6"/>
  <c r="G80" i="6"/>
  <c r="C81" i="6"/>
  <c r="D81" i="6"/>
  <c r="N81" i="6" s="1"/>
  <c r="E81" i="6"/>
  <c r="F81" i="6"/>
  <c r="G81" i="6"/>
  <c r="C82" i="6"/>
  <c r="D82" i="6"/>
  <c r="N82" i="6" s="1"/>
  <c r="E82" i="6"/>
  <c r="F82" i="6"/>
  <c r="G82" i="6"/>
  <c r="C83" i="6"/>
  <c r="D83" i="6"/>
  <c r="N83" i="6" s="1"/>
  <c r="E83" i="6"/>
  <c r="F83" i="6"/>
  <c r="G83" i="6"/>
  <c r="C84" i="6"/>
  <c r="D84" i="6"/>
  <c r="N84" i="6" s="1"/>
  <c r="E84" i="6"/>
  <c r="F84" i="6"/>
  <c r="G84" i="6"/>
  <c r="C85" i="6"/>
  <c r="D85" i="6"/>
  <c r="N85" i="6" s="1"/>
  <c r="E85" i="6"/>
  <c r="F85" i="6"/>
  <c r="G85" i="6"/>
  <c r="C86" i="6"/>
  <c r="D86" i="6"/>
  <c r="N86" i="6" s="1"/>
  <c r="E86" i="6"/>
  <c r="F86" i="6"/>
  <c r="G86" i="6"/>
  <c r="C87" i="6"/>
  <c r="D87" i="6"/>
  <c r="N87" i="6" s="1"/>
  <c r="E87" i="6"/>
  <c r="F87" i="6"/>
  <c r="G87" i="6"/>
  <c r="C88" i="6"/>
  <c r="D88" i="6"/>
  <c r="N88" i="6" s="1"/>
  <c r="E88" i="6"/>
  <c r="F88" i="6"/>
  <c r="G88" i="6"/>
  <c r="C89" i="6"/>
  <c r="D89" i="6"/>
  <c r="N89" i="6" s="1"/>
  <c r="E89" i="6"/>
  <c r="F89" i="6"/>
  <c r="G89" i="6"/>
  <c r="C90" i="6"/>
  <c r="D90" i="6"/>
  <c r="N90" i="6" s="1"/>
  <c r="E90" i="6"/>
  <c r="F90" i="6"/>
  <c r="G90" i="6"/>
  <c r="C91" i="6"/>
  <c r="D91" i="6"/>
  <c r="N91" i="6" s="1"/>
  <c r="E91" i="6"/>
  <c r="F91" i="6"/>
  <c r="G91" i="6"/>
  <c r="C92" i="6"/>
  <c r="D92" i="6"/>
  <c r="N92" i="6" s="1"/>
  <c r="E92" i="6"/>
  <c r="F92" i="6"/>
  <c r="G92" i="6"/>
  <c r="C93" i="6"/>
  <c r="D93" i="6"/>
  <c r="N93" i="6" s="1"/>
  <c r="E93" i="6"/>
  <c r="F93" i="6"/>
  <c r="G93" i="6"/>
  <c r="C94" i="6"/>
  <c r="D94" i="6"/>
  <c r="N94" i="6" s="1"/>
  <c r="E94" i="6"/>
  <c r="F94" i="6"/>
  <c r="G94" i="6"/>
  <c r="C95" i="6"/>
  <c r="D95" i="6"/>
  <c r="N95" i="6" s="1"/>
  <c r="E95" i="6"/>
  <c r="F95" i="6"/>
  <c r="G95" i="6"/>
  <c r="C96" i="6"/>
  <c r="D96" i="6"/>
  <c r="N96" i="6" s="1"/>
  <c r="E96" i="6"/>
  <c r="F96" i="6"/>
  <c r="G96" i="6"/>
  <c r="C97" i="6"/>
  <c r="D97" i="6"/>
  <c r="N97" i="6" s="1"/>
  <c r="E97" i="6"/>
  <c r="F97" i="6"/>
  <c r="G97" i="6"/>
  <c r="C98" i="6"/>
  <c r="D98" i="6"/>
  <c r="N98" i="6" s="1"/>
  <c r="E98" i="6"/>
  <c r="F98" i="6"/>
  <c r="G98" i="6"/>
  <c r="C99" i="6"/>
  <c r="D99" i="6"/>
  <c r="N99" i="6" s="1"/>
  <c r="E99" i="6"/>
  <c r="F99" i="6"/>
  <c r="G99" i="6"/>
  <c r="C100" i="6"/>
  <c r="D100" i="6"/>
  <c r="N100" i="6" s="1"/>
  <c r="E100" i="6"/>
  <c r="F100" i="6"/>
  <c r="G100" i="6"/>
  <c r="C101" i="6"/>
  <c r="D101" i="6"/>
  <c r="N101" i="6" s="1"/>
  <c r="E101" i="6"/>
  <c r="F101" i="6"/>
  <c r="G101" i="6"/>
  <c r="C102" i="6"/>
  <c r="D102" i="6"/>
  <c r="N102" i="6" s="1"/>
  <c r="E102" i="6"/>
  <c r="F102" i="6"/>
  <c r="G102" i="6"/>
  <c r="C103" i="6"/>
  <c r="D103" i="6"/>
  <c r="N103" i="6" s="1"/>
  <c r="E103" i="6"/>
  <c r="F103" i="6"/>
  <c r="G103" i="6"/>
  <c r="C104" i="6"/>
  <c r="D104" i="6"/>
  <c r="N104" i="6" s="1"/>
  <c r="E104" i="6"/>
  <c r="F104" i="6"/>
  <c r="G104" i="6"/>
  <c r="C105" i="6"/>
  <c r="D105" i="6"/>
  <c r="N105" i="6" s="1"/>
  <c r="E105" i="6"/>
  <c r="F105" i="6"/>
  <c r="G105" i="6"/>
  <c r="C106" i="6"/>
  <c r="D106" i="6"/>
  <c r="N106" i="6" s="1"/>
  <c r="E106" i="6"/>
  <c r="F106" i="6"/>
  <c r="G106" i="6"/>
  <c r="C107" i="6"/>
  <c r="D107" i="6"/>
  <c r="N107" i="6" s="1"/>
  <c r="E107" i="6"/>
  <c r="F107" i="6"/>
  <c r="G107" i="6"/>
  <c r="C108" i="6"/>
  <c r="D108" i="6"/>
  <c r="N108" i="6" s="1"/>
  <c r="E108" i="6"/>
  <c r="F108" i="6"/>
  <c r="G108" i="6"/>
  <c r="C109" i="6"/>
  <c r="D109" i="6"/>
  <c r="N109" i="6" s="1"/>
  <c r="E109" i="6"/>
  <c r="F109" i="6"/>
  <c r="G109" i="6"/>
  <c r="C110" i="6"/>
  <c r="D110" i="6"/>
  <c r="N110" i="6" s="1"/>
  <c r="E110" i="6"/>
  <c r="F110" i="6"/>
  <c r="G110" i="6"/>
  <c r="C111" i="6"/>
  <c r="D111" i="6"/>
  <c r="N111" i="6" s="1"/>
  <c r="E111" i="6"/>
  <c r="F111" i="6"/>
  <c r="G111" i="6"/>
  <c r="C112" i="6"/>
  <c r="D112" i="6"/>
  <c r="N112" i="6" s="1"/>
  <c r="E112" i="6"/>
  <c r="F112" i="6"/>
  <c r="G112" i="6"/>
  <c r="C113" i="6"/>
  <c r="D113" i="6"/>
  <c r="N113" i="6" s="1"/>
  <c r="E113" i="6"/>
  <c r="F113" i="6"/>
  <c r="G113" i="6"/>
  <c r="C114" i="6"/>
  <c r="D114" i="6"/>
  <c r="N114" i="6" s="1"/>
  <c r="E114" i="6"/>
  <c r="F114" i="6"/>
  <c r="G114" i="6"/>
  <c r="C115" i="6"/>
  <c r="D115" i="6"/>
  <c r="N115" i="6" s="1"/>
  <c r="E115" i="6"/>
  <c r="F115" i="6"/>
  <c r="G115" i="6"/>
  <c r="C116" i="6"/>
  <c r="D116" i="6"/>
  <c r="N116" i="6" s="1"/>
  <c r="E116" i="6"/>
  <c r="F116" i="6"/>
  <c r="G116" i="6"/>
  <c r="C117" i="6"/>
  <c r="D117" i="6"/>
  <c r="N117" i="6" s="1"/>
  <c r="E117" i="6"/>
  <c r="F117" i="6"/>
  <c r="G117" i="6"/>
  <c r="C118" i="6"/>
  <c r="D118" i="6"/>
  <c r="N118" i="6" s="1"/>
  <c r="E118" i="6"/>
  <c r="F118" i="6"/>
  <c r="G118" i="6"/>
  <c r="C119" i="6"/>
  <c r="D119" i="6"/>
  <c r="N119" i="6" s="1"/>
  <c r="E119" i="6"/>
  <c r="F119" i="6"/>
  <c r="G119" i="6"/>
  <c r="C120" i="6"/>
  <c r="D120" i="6"/>
  <c r="N120" i="6" s="1"/>
  <c r="E120" i="6"/>
  <c r="F120" i="6"/>
  <c r="G120" i="6"/>
  <c r="C121" i="6"/>
  <c r="D121" i="6"/>
  <c r="N121" i="6" s="1"/>
  <c r="E121" i="6"/>
  <c r="F121" i="6"/>
  <c r="G121" i="6"/>
  <c r="C122" i="6"/>
  <c r="D122" i="6"/>
  <c r="N122" i="6" s="1"/>
  <c r="E122" i="6"/>
  <c r="F122" i="6"/>
  <c r="G122" i="6"/>
  <c r="G3" i="6"/>
  <c r="F3" i="6"/>
  <c r="E3" i="6"/>
  <c r="D3" i="6"/>
  <c r="N3" i="6" s="1"/>
  <c r="C3" i="6"/>
  <c r="K8" i="7" l="1"/>
  <c r="K6" i="7"/>
  <c r="K23" i="7"/>
  <c r="K21" i="7"/>
  <c r="K19" i="7"/>
  <c r="K17" i="7"/>
  <c r="K15" i="7"/>
  <c r="K13" i="7"/>
  <c r="K11" i="7"/>
  <c r="K56" i="7"/>
  <c r="K54" i="7"/>
  <c r="K52" i="7"/>
  <c r="K50" i="7"/>
  <c r="K48" i="7"/>
  <c r="K46" i="7"/>
  <c r="K44" i="7"/>
  <c r="K42" i="7"/>
  <c r="K40" i="7"/>
  <c r="K38" i="7"/>
  <c r="K36" i="7"/>
  <c r="K34" i="7"/>
  <c r="K32" i="7"/>
  <c r="K30" i="7"/>
  <c r="K28" i="7"/>
  <c r="K26" i="7"/>
  <c r="K24" i="7"/>
  <c r="K22" i="7"/>
  <c r="K20" i="7"/>
  <c r="K18" i="7"/>
  <c r="K16" i="7"/>
  <c r="K14" i="7"/>
  <c r="K12" i="7"/>
  <c r="K10" i="7"/>
  <c r="K9" i="7"/>
  <c r="K7" i="7"/>
  <c r="K5" i="7"/>
  <c r="K55" i="7"/>
  <c r="K53" i="7"/>
  <c r="K51" i="7"/>
  <c r="K49" i="7"/>
  <c r="K47" i="7"/>
  <c r="K45" i="7"/>
  <c r="K43" i="7"/>
  <c r="K41" i="7"/>
  <c r="K39" i="7"/>
  <c r="K37" i="7"/>
  <c r="K35" i="7"/>
  <c r="K33" i="7"/>
  <c r="K31" i="7"/>
  <c r="K29" i="7"/>
  <c r="K27" i="7"/>
  <c r="K25" i="7"/>
  <c r="K3" i="7"/>
  <c r="P56" i="7"/>
  <c r="O56" i="7"/>
  <c r="P54" i="7"/>
  <c r="O54" i="7"/>
  <c r="P52" i="7"/>
  <c r="O52" i="7"/>
  <c r="P50" i="7"/>
  <c r="O50" i="7"/>
  <c r="P48" i="7"/>
  <c r="O48" i="7"/>
  <c r="P46" i="7"/>
  <c r="O46" i="7"/>
  <c r="P44" i="7"/>
  <c r="O44" i="7"/>
  <c r="P42" i="7"/>
  <c r="O42" i="7"/>
  <c r="P40" i="7"/>
  <c r="O40" i="7"/>
  <c r="P38" i="7"/>
  <c r="O38" i="7"/>
  <c r="P36" i="7"/>
  <c r="O36" i="7"/>
  <c r="P34" i="7"/>
  <c r="O34" i="7"/>
  <c r="P32" i="7"/>
  <c r="O32" i="7"/>
  <c r="P30" i="7"/>
  <c r="O30" i="7"/>
  <c r="P28" i="7"/>
  <c r="O28" i="7"/>
  <c r="P26" i="7"/>
  <c r="O26" i="7"/>
  <c r="P24" i="7"/>
  <c r="O24" i="7"/>
  <c r="P22" i="7"/>
  <c r="O22" i="7"/>
  <c r="P20" i="7"/>
  <c r="O20" i="7"/>
  <c r="P18" i="7"/>
  <c r="O18" i="7"/>
  <c r="P16" i="7"/>
  <c r="O16" i="7"/>
  <c r="P14" i="7"/>
  <c r="O14" i="7"/>
  <c r="P12" i="7"/>
  <c r="O12" i="7"/>
  <c r="P10" i="7"/>
  <c r="O10" i="7"/>
  <c r="P8" i="7"/>
  <c r="O8" i="7"/>
  <c r="P6" i="7"/>
  <c r="O6" i="7"/>
  <c r="P4" i="7"/>
  <c r="O4" i="7"/>
  <c r="P3" i="7"/>
  <c r="O3" i="7"/>
  <c r="P55" i="7"/>
  <c r="O55" i="7"/>
  <c r="P53" i="7"/>
  <c r="O53" i="7"/>
  <c r="P51" i="7"/>
  <c r="O51" i="7"/>
  <c r="O49" i="7"/>
  <c r="P49" i="7"/>
  <c r="P47" i="7"/>
  <c r="O47" i="7"/>
  <c r="O45" i="7"/>
  <c r="P45" i="7"/>
  <c r="P43" i="7"/>
  <c r="O43" i="7"/>
  <c r="O41" i="7"/>
  <c r="P41" i="7"/>
  <c r="O39" i="7"/>
  <c r="P39" i="7"/>
  <c r="P37" i="7"/>
  <c r="O37" i="7"/>
  <c r="O35" i="7"/>
  <c r="P35" i="7"/>
  <c r="P33" i="7"/>
  <c r="O33" i="7"/>
  <c r="O31" i="7"/>
  <c r="P31" i="7"/>
  <c r="P29" i="7"/>
  <c r="O29" i="7"/>
  <c r="O27" i="7"/>
  <c r="P27" i="7"/>
  <c r="P25" i="7"/>
  <c r="O25" i="7"/>
  <c r="O23" i="7"/>
  <c r="P23" i="7"/>
  <c r="P21" i="7"/>
  <c r="O21" i="7"/>
  <c r="O19" i="7"/>
  <c r="P19" i="7"/>
  <c r="P17" i="7"/>
  <c r="O17" i="7"/>
  <c r="O15" i="7"/>
  <c r="P15" i="7"/>
  <c r="P13" i="7"/>
  <c r="O13" i="7"/>
  <c r="O11" i="7"/>
  <c r="P11" i="7"/>
  <c r="P9" i="7"/>
  <c r="O9" i="7"/>
  <c r="O7" i="7"/>
  <c r="P7" i="7"/>
  <c r="O5" i="7"/>
  <c r="P5" i="7"/>
  <c r="J122" i="6"/>
  <c r="L122" i="6"/>
  <c r="P122" i="6"/>
  <c r="I122" i="6"/>
  <c r="K122" i="6"/>
  <c r="M122" i="6"/>
  <c r="O122" i="6"/>
  <c r="J120" i="6"/>
  <c r="L120" i="6"/>
  <c r="P120" i="6"/>
  <c r="I120" i="6"/>
  <c r="K120" i="6"/>
  <c r="M120" i="6"/>
  <c r="O120" i="6"/>
  <c r="J118" i="6"/>
  <c r="L118" i="6"/>
  <c r="P118" i="6"/>
  <c r="I118" i="6"/>
  <c r="K118" i="6"/>
  <c r="M118" i="6"/>
  <c r="O118" i="6"/>
  <c r="J116" i="6"/>
  <c r="L116" i="6"/>
  <c r="P116" i="6"/>
  <c r="I116" i="6"/>
  <c r="K116" i="6"/>
  <c r="M116" i="6"/>
  <c r="O116" i="6"/>
  <c r="J114" i="6"/>
  <c r="L114" i="6"/>
  <c r="P114" i="6"/>
  <c r="I114" i="6"/>
  <c r="K114" i="6"/>
  <c r="M114" i="6"/>
  <c r="O114" i="6"/>
  <c r="J112" i="6"/>
  <c r="L112" i="6"/>
  <c r="P112" i="6"/>
  <c r="I112" i="6"/>
  <c r="K112" i="6"/>
  <c r="M112" i="6"/>
  <c r="O112" i="6"/>
  <c r="J110" i="6"/>
  <c r="L110" i="6"/>
  <c r="P110" i="6"/>
  <c r="I110" i="6"/>
  <c r="K110" i="6"/>
  <c r="M110" i="6"/>
  <c r="O110" i="6"/>
  <c r="J108" i="6"/>
  <c r="L108" i="6"/>
  <c r="P108" i="6"/>
  <c r="I108" i="6"/>
  <c r="K108" i="6"/>
  <c r="M108" i="6"/>
  <c r="O108" i="6"/>
  <c r="J106" i="6"/>
  <c r="L106" i="6"/>
  <c r="P106" i="6"/>
  <c r="I106" i="6"/>
  <c r="K106" i="6"/>
  <c r="M106" i="6"/>
  <c r="O106" i="6"/>
  <c r="J104" i="6"/>
  <c r="L104" i="6"/>
  <c r="P104" i="6"/>
  <c r="I104" i="6"/>
  <c r="K104" i="6"/>
  <c r="M104" i="6"/>
  <c r="O104" i="6"/>
  <c r="J102" i="6"/>
  <c r="L102" i="6"/>
  <c r="P102" i="6"/>
  <c r="I102" i="6"/>
  <c r="K102" i="6"/>
  <c r="M102" i="6"/>
  <c r="O102" i="6"/>
  <c r="I100" i="6"/>
  <c r="K100" i="6"/>
  <c r="M100" i="6"/>
  <c r="O100" i="6"/>
  <c r="L100" i="6"/>
  <c r="P100" i="6"/>
  <c r="J100" i="6"/>
  <c r="J98" i="6"/>
  <c r="L98" i="6"/>
  <c r="P98" i="6"/>
  <c r="I98" i="6"/>
  <c r="K98" i="6"/>
  <c r="M98" i="6"/>
  <c r="O98" i="6"/>
  <c r="J96" i="6"/>
  <c r="L96" i="6"/>
  <c r="P96" i="6"/>
  <c r="I96" i="6"/>
  <c r="K96" i="6"/>
  <c r="M96" i="6"/>
  <c r="O96" i="6"/>
  <c r="J94" i="6"/>
  <c r="L94" i="6"/>
  <c r="P94" i="6"/>
  <c r="I94" i="6"/>
  <c r="K94" i="6"/>
  <c r="M94" i="6"/>
  <c r="O94" i="6"/>
  <c r="J92" i="6"/>
  <c r="L92" i="6"/>
  <c r="P92" i="6"/>
  <c r="I92" i="6"/>
  <c r="K92" i="6"/>
  <c r="M92" i="6"/>
  <c r="O92" i="6"/>
  <c r="J90" i="6"/>
  <c r="L90" i="6"/>
  <c r="P90" i="6"/>
  <c r="I90" i="6"/>
  <c r="K90" i="6"/>
  <c r="M90" i="6"/>
  <c r="O90" i="6"/>
  <c r="J88" i="6"/>
  <c r="L88" i="6"/>
  <c r="P88" i="6"/>
  <c r="I88" i="6"/>
  <c r="K88" i="6"/>
  <c r="M88" i="6"/>
  <c r="O88" i="6"/>
  <c r="J86" i="6"/>
  <c r="L86" i="6"/>
  <c r="P86" i="6"/>
  <c r="I86" i="6"/>
  <c r="K86" i="6"/>
  <c r="M86" i="6"/>
  <c r="O86" i="6"/>
  <c r="J84" i="6"/>
  <c r="L84" i="6"/>
  <c r="P84" i="6"/>
  <c r="I84" i="6"/>
  <c r="K84" i="6"/>
  <c r="M84" i="6"/>
  <c r="O84" i="6"/>
  <c r="J82" i="6"/>
  <c r="L82" i="6"/>
  <c r="P82" i="6"/>
  <c r="I82" i="6"/>
  <c r="K82" i="6"/>
  <c r="M82" i="6"/>
  <c r="O82" i="6"/>
  <c r="I80" i="6"/>
  <c r="J80" i="6"/>
  <c r="L80" i="6"/>
  <c r="P80" i="6"/>
  <c r="K80" i="6"/>
  <c r="M80" i="6"/>
  <c r="O80" i="6"/>
  <c r="I78" i="6"/>
  <c r="K78" i="6"/>
  <c r="M78" i="6"/>
  <c r="O78" i="6"/>
  <c r="J78" i="6"/>
  <c r="L78" i="6"/>
  <c r="P78" i="6"/>
  <c r="I76" i="6"/>
  <c r="K76" i="6"/>
  <c r="M76" i="6"/>
  <c r="O76" i="6"/>
  <c r="J76" i="6"/>
  <c r="L76" i="6"/>
  <c r="P76" i="6"/>
  <c r="I74" i="6"/>
  <c r="K74" i="6"/>
  <c r="M74" i="6"/>
  <c r="O74" i="6"/>
  <c r="J74" i="6"/>
  <c r="L74" i="6"/>
  <c r="P74" i="6"/>
  <c r="I72" i="6"/>
  <c r="K72" i="6"/>
  <c r="M72" i="6"/>
  <c r="O72" i="6"/>
  <c r="J72" i="6"/>
  <c r="L72" i="6"/>
  <c r="P72" i="6"/>
  <c r="I70" i="6"/>
  <c r="K70" i="6"/>
  <c r="M70" i="6"/>
  <c r="O70" i="6"/>
  <c r="J70" i="6"/>
  <c r="L70" i="6"/>
  <c r="P70" i="6"/>
  <c r="I68" i="6"/>
  <c r="K68" i="6"/>
  <c r="M68" i="6"/>
  <c r="O68" i="6"/>
  <c r="J68" i="6"/>
  <c r="L68" i="6"/>
  <c r="P68" i="6"/>
  <c r="I66" i="6"/>
  <c r="K66" i="6"/>
  <c r="M66" i="6"/>
  <c r="O66" i="6"/>
  <c r="J66" i="6"/>
  <c r="L66" i="6"/>
  <c r="P66" i="6"/>
  <c r="I64" i="6"/>
  <c r="K64" i="6"/>
  <c r="M64" i="6"/>
  <c r="O64" i="6"/>
  <c r="J64" i="6"/>
  <c r="L64" i="6"/>
  <c r="P64" i="6"/>
  <c r="I62" i="6"/>
  <c r="K62" i="6"/>
  <c r="M62" i="6"/>
  <c r="O62" i="6"/>
  <c r="J62" i="6"/>
  <c r="L62" i="6"/>
  <c r="P62" i="6"/>
  <c r="I60" i="6"/>
  <c r="K60" i="6"/>
  <c r="M60" i="6"/>
  <c r="O60" i="6"/>
  <c r="J60" i="6"/>
  <c r="L60" i="6"/>
  <c r="P60" i="6"/>
  <c r="O58" i="6"/>
  <c r="M58" i="6"/>
  <c r="K58" i="6"/>
  <c r="I58" i="6"/>
  <c r="P58" i="6"/>
  <c r="L58" i="6"/>
  <c r="J58" i="6"/>
  <c r="O56" i="6"/>
  <c r="M56" i="6"/>
  <c r="K56" i="6"/>
  <c r="I56" i="6"/>
  <c r="P56" i="6"/>
  <c r="L56" i="6"/>
  <c r="J56" i="6"/>
  <c r="O54" i="6"/>
  <c r="M54" i="6"/>
  <c r="K54" i="6"/>
  <c r="I54" i="6"/>
  <c r="P54" i="6"/>
  <c r="L54" i="6"/>
  <c r="J54" i="6"/>
  <c r="O52" i="6"/>
  <c r="M52" i="6"/>
  <c r="K52" i="6"/>
  <c r="I52" i="6"/>
  <c r="P52" i="6"/>
  <c r="L52" i="6"/>
  <c r="J52" i="6"/>
  <c r="O50" i="6"/>
  <c r="M50" i="6"/>
  <c r="K50" i="6"/>
  <c r="I50" i="6"/>
  <c r="P50" i="6"/>
  <c r="L50" i="6"/>
  <c r="J50" i="6"/>
  <c r="O48" i="6"/>
  <c r="M48" i="6"/>
  <c r="K48" i="6"/>
  <c r="I48" i="6"/>
  <c r="P48" i="6"/>
  <c r="L48" i="6"/>
  <c r="J48" i="6"/>
  <c r="O46" i="6"/>
  <c r="M46" i="6"/>
  <c r="K46" i="6"/>
  <c r="I46" i="6"/>
  <c r="P46" i="6"/>
  <c r="L46" i="6"/>
  <c r="J46" i="6"/>
  <c r="O44" i="6"/>
  <c r="M44" i="6"/>
  <c r="K44" i="6"/>
  <c r="I44" i="6"/>
  <c r="P44" i="6"/>
  <c r="L44" i="6"/>
  <c r="J44" i="6"/>
  <c r="O42" i="6"/>
  <c r="M42" i="6"/>
  <c r="K42" i="6"/>
  <c r="I42" i="6"/>
  <c r="P42" i="6"/>
  <c r="L42" i="6"/>
  <c r="J42" i="6"/>
  <c r="O40" i="6"/>
  <c r="M40" i="6"/>
  <c r="K40" i="6"/>
  <c r="I40" i="6"/>
  <c r="P40" i="6"/>
  <c r="L40" i="6"/>
  <c r="J40" i="6"/>
  <c r="P38" i="6"/>
  <c r="O38" i="6"/>
  <c r="M38" i="6"/>
  <c r="K38" i="6"/>
  <c r="I38" i="6"/>
  <c r="L38" i="6"/>
  <c r="J38" i="6"/>
  <c r="O36" i="6"/>
  <c r="M36" i="6"/>
  <c r="K36" i="6"/>
  <c r="I36" i="6"/>
  <c r="P36" i="6"/>
  <c r="L36" i="6"/>
  <c r="J36" i="6"/>
  <c r="O34" i="6"/>
  <c r="M34" i="6"/>
  <c r="K34" i="6"/>
  <c r="I34" i="6"/>
  <c r="P34" i="6"/>
  <c r="L34" i="6"/>
  <c r="J34" i="6"/>
  <c r="O32" i="6"/>
  <c r="M32" i="6"/>
  <c r="K32" i="6"/>
  <c r="I32" i="6"/>
  <c r="P32" i="6"/>
  <c r="L32" i="6"/>
  <c r="J32" i="6"/>
  <c r="O30" i="6"/>
  <c r="M30" i="6"/>
  <c r="K30" i="6"/>
  <c r="I30" i="6"/>
  <c r="P30" i="6"/>
  <c r="L30" i="6"/>
  <c r="J30" i="6"/>
  <c r="O28" i="6"/>
  <c r="M28" i="6"/>
  <c r="K28" i="6"/>
  <c r="I28" i="6"/>
  <c r="P28" i="6"/>
  <c r="L28" i="6"/>
  <c r="J28" i="6"/>
  <c r="O26" i="6"/>
  <c r="M26" i="6"/>
  <c r="K26" i="6"/>
  <c r="I26" i="6"/>
  <c r="P26" i="6"/>
  <c r="L26" i="6"/>
  <c r="J26" i="6"/>
  <c r="O24" i="6"/>
  <c r="M24" i="6"/>
  <c r="K24" i="6"/>
  <c r="I24" i="6"/>
  <c r="P24" i="6"/>
  <c r="L24" i="6"/>
  <c r="J24" i="6"/>
  <c r="O22" i="6"/>
  <c r="M22" i="6"/>
  <c r="K22" i="6"/>
  <c r="I22" i="6"/>
  <c r="P22" i="6"/>
  <c r="L22" i="6"/>
  <c r="J22" i="6"/>
  <c r="O20" i="6"/>
  <c r="M20" i="6"/>
  <c r="K20" i="6"/>
  <c r="I20" i="6"/>
  <c r="P20" i="6"/>
  <c r="L20" i="6"/>
  <c r="J20" i="6"/>
  <c r="O18" i="6"/>
  <c r="M18" i="6"/>
  <c r="K18" i="6"/>
  <c r="I18" i="6"/>
  <c r="P18" i="6"/>
  <c r="L18" i="6"/>
  <c r="J18" i="6"/>
  <c r="O16" i="6"/>
  <c r="M16" i="6"/>
  <c r="K16" i="6"/>
  <c r="I16" i="6"/>
  <c r="P16" i="6"/>
  <c r="L16" i="6"/>
  <c r="J16" i="6"/>
  <c r="O14" i="6"/>
  <c r="M14" i="6"/>
  <c r="K14" i="6"/>
  <c r="I14" i="6"/>
  <c r="P14" i="6"/>
  <c r="L14" i="6"/>
  <c r="J14" i="6"/>
  <c r="O12" i="6"/>
  <c r="M12" i="6"/>
  <c r="K12" i="6"/>
  <c r="I12" i="6"/>
  <c r="P12" i="6"/>
  <c r="L12" i="6"/>
  <c r="J12" i="6"/>
  <c r="O10" i="6"/>
  <c r="M10" i="6"/>
  <c r="K10" i="6"/>
  <c r="I10" i="6"/>
  <c r="P10" i="6"/>
  <c r="L10" i="6"/>
  <c r="J10" i="6"/>
  <c r="O8" i="6"/>
  <c r="M8" i="6"/>
  <c r="K8" i="6"/>
  <c r="I8" i="6"/>
  <c r="P8" i="6"/>
  <c r="L8" i="6"/>
  <c r="J8" i="6"/>
  <c r="O6" i="6"/>
  <c r="M6" i="6"/>
  <c r="K6" i="6"/>
  <c r="I6" i="6"/>
  <c r="P6" i="6"/>
  <c r="L6" i="6"/>
  <c r="J6" i="6"/>
  <c r="O4" i="6"/>
  <c r="M4" i="6"/>
  <c r="K4" i="6"/>
  <c r="I4" i="6"/>
  <c r="P4" i="6"/>
  <c r="L4" i="6"/>
  <c r="J4" i="6"/>
  <c r="O3" i="6"/>
  <c r="M3" i="6"/>
  <c r="K3" i="6"/>
  <c r="I3" i="6"/>
  <c r="P3" i="6"/>
  <c r="L3" i="6"/>
  <c r="J3" i="6"/>
  <c r="J121" i="6"/>
  <c r="L121" i="6"/>
  <c r="P121" i="6"/>
  <c r="I121" i="6"/>
  <c r="K121" i="6"/>
  <c r="M121" i="6"/>
  <c r="O121" i="6"/>
  <c r="J119" i="6"/>
  <c r="L119" i="6"/>
  <c r="P119" i="6"/>
  <c r="I119" i="6"/>
  <c r="K119" i="6"/>
  <c r="M119" i="6"/>
  <c r="O119" i="6"/>
  <c r="J117" i="6"/>
  <c r="L117" i="6"/>
  <c r="P117" i="6"/>
  <c r="I117" i="6"/>
  <c r="K117" i="6"/>
  <c r="M117" i="6"/>
  <c r="O117" i="6"/>
  <c r="J115" i="6"/>
  <c r="L115" i="6"/>
  <c r="P115" i="6"/>
  <c r="I115" i="6"/>
  <c r="K115" i="6"/>
  <c r="M115" i="6"/>
  <c r="O115" i="6"/>
  <c r="J113" i="6"/>
  <c r="L113" i="6"/>
  <c r="P113" i="6"/>
  <c r="I113" i="6"/>
  <c r="K113" i="6"/>
  <c r="M113" i="6"/>
  <c r="O113" i="6"/>
  <c r="J111" i="6"/>
  <c r="L111" i="6"/>
  <c r="P111" i="6"/>
  <c r="I111" i="6"/>
  <c r="K111" i="6"/>
  <c r="M111" i="6"/>
  <c r="O111" i="6"/>
  <c r="J109" i="6"/>
  <c r="L109" i="6"/>
  <c r="P109" i="6"/>
  <c r="I109" i="6"/>
  <c r="K109" i="6"/>
  <c r="M109" i="6"/>
  <c r="O109" i="6"/>
  <c r="J107" i="6"/>
  <c r="L107" i="6"/>
  <c r="P107" i="6"/>
  <c r="I107" i="6"/>
  <c r="K107" i="6"/>
  <c r="M107" i="6"/>
  <c r="O107" i="6"/>
  <c r="J105" i="6"/>
  <c r="L105" i="6"/>
  <c r="P105" i="6"/>
  <c r="I105" i="6"/>
  <c r="K105" i="6"/>
  <c r="M105" i="6"/>
  <c r="O105" i="6"/>
  <c r="J103" i="6"/>
  <c r="L103" i="6"/>
  <c r="P103" i="6"/>
  <c r="I103" i="6"/>
  <c r="K103" i="6"/>
  <c r="M103" i="6"/>
  <c r="O103" i="6"/>
  <c r="I101" i="6"/>
  <c r="K101" i="6"/>
  <c r="L101" i="6"/>
  <c r="P101" i="6"/>
  <c r="J101" i="6"/>
  <c r="M101" i="6"/>
  <c r="O101" i="6"/>
  <c r="J99" i="6"/>
  <c r="L99" i="6"/>
  <c r="I99" i="6"/>
  <c r="K99" i="6"/>
  <c r="M99" i="6"/>
  <c r="O99" i="6"/>
  <c r="P99" i="6"/>
  <c r="J97" i="6"/>
  <c r="L97" i="6"/>
  <c r="P97" i="6"/>
  <c r="I97" i="6"/>
  <c r="K97" i="6"/>
  <c r="M97" i="6"/>
  <c r="O97" i="6"/>
  <c r="J95" i="6"/>
  <c r="L95" i="6"/>
  <c r="P95" i="6"/>
  <c r="I95" i="6"/>
  <c r="K95" i="6"/>
  <c r="M95" i="6"/>
  <c r="O95" i="6"/>
  <c r="J93" i="6"/>
  <c r="L93" i="6"/>
  <c r="P93" i="6"/>
  <c r="I93" i="6"/>
  <c r="K93" i="6"/>
  <c r="M93" i="6"/>
  <c r="O93" i="6"/>
  <c r="J91" i="6"/>
  <c r="L91" i="6"/>
  <c r="P91" i="6"/>
  <c r="I91" i="6"/>
  <c r="K91" i="6"/>
  <c r="M91" i="6"/>
  <c r="O91" i="6"/>
  <c r="J89" i="6"/>
  <c r="L89" i="6"/>
  <c r="P89" i="6"/>
  <c r="I89" i="6"/>
  <c r="K89" i="6"/>
  <c r="M89" i="6"/>
  <c r="O89" i="6"/>
  <c r="J87" i="6"/>
  <c r="L87" i="6"/>
  <c r="P87" i="6"/>
  <c r="I87" i="6"/>
  <c r="K87" i="6"/>
  <c r="M87" i="6"/>
  <c r="O87" i="6"/>
  <c r="J85" i="6"/>
  <c r="L85" i="6"/>
  <c r="P85" i="6"/>
  <c r="I85" i="6"/>
  <c r="K85" i="6"/>
  <c r="M85" i="6"/>
  <c r="O85" i="6"/>
  <c r="J83" i="6"/>
  <c r="L83" i="6"/>
  <c r="P83" i="6"/>
  <c r="I83" i="6"/>
  <c r="K83" i="6"/>
  <c r="M83" i="6"/>
  <c r="O83" i="6"/>
  <c r="J81" i="6"/>
  <c r="L81" i="6"/>
  <c r="P81" i="6"/>
  <c r="I81" i="6"/>
  <c r="K81" i="6"/>
  <c r="M81" i="6"/>
  <c r="O81" i="6"/>
  <c r="I79" i="6"/>
  <c r="K79" i="6"/>
  <c r="M79" i="6"/>
  <c r="O79" i="6"/>
  <c r="J79" i="6"/>
  <c r="L79" i="6"/>
  <c r="P79" i="6"/>
  <c r="I77" i="6"/>
  <c r="K77" i="6"/>
  <c r="M77" i="6"/>
  <c r="O77" i="6"/>
  <c r="J77" i="6"/>
  <c r="L77" i="6"/>
  <c r="P77" i="6"/>
  <c r="I75" i="6"/>
  <c r="K75" i="6"/>
  <c r="M75" i="6"/>
  <c r="O75" i="6"/>
  <c r="J75" i="6"/>
  <c r="L75" i="6"/>
  <c r="P75" i="6"/>
  <c r="I73" i="6"/>
  <c r="K73" i="6"/>
  <c r="M73" i="6"/>
  <c r="O73" i="6"/>
  <c r="J73" i="6"/>
  <c r="L73" i="6"/>
  <c r="P73" i="6"/>
  <c r="I71" i="6"/>
  <c r="K71" i="6"/>
  <c r="M71" i="6"/>
  <c r="O71" i="6"/>
  <c r="J71" i="6"/>
  <c r="L71" i="6"/>
  <c r="P71" i="6"/>
  <c r="I69" i="6"/>
  <c r="K69" i="6"/>
  <c r="M69" i="6"/>
  <c r="O69" i="6"/>
  <c r="J69" i="6"/>
  <c r="L69" i="6"/>
  <c r="P69" i="6"/>
  <c r="I67" i="6"/>
  <c r="K67" i="6"/>
  <c r="M67" i="6"/>
  <c r="O67" i="6"/>
  <c r="J67" i="6"/>
  <c r="L67" i="6"/>
  <c r="P67" i="6"/>
  <c r="I65" i="6"/>
  <c r="K65" i="6"/>
  <c r="M65" i="6"/>
  <c r="O65" i="6"/>
  <c r="J65" i="6"/>
  <c r="L65" i="6"/>
  <c r="P65" i="6"/>
  <c r="I63" i="6"/>
  <c r="K63" i="6"/>
  <c r="M63" i="6"/>
  <c r="O63" i="6"/>
  <c r="J63" i="6"/>
  <c r="L63" i="6"/>
  <c r="P63" i="6"/>
  <c r="I61" i="6"/>
  <c r="K61" i="6"/>
  <c r="M61" i="6"/>
  <c r="O61" i="6"/>
  <c r="J61" i="6"/>
  <c r="L61" i="6"/>
  <c r="P61" i="6"/>
  <c r="I59" i="6"/>
  <c r="K59" i="6"/>
  <c r="M59" i="6"/>
  <c r="O59" i="6"/>
  <c r="J59" i="6"/>
  <c r="L59" i="6"/>
  <c r="P59" i="6"/>
  <c r="O57" i="6"/>
  <c r="M57" i="6"/>
  <c r="K57" i="6"/>
  <c r="I57" i="6"/>
  <c r="P57" i="6"/>
  <c r="L57" i="6"/>
  <c r="J57" i="6"/>
  <c r="O55" i="6"/>
  <c r="M55" i="6"/>
  <c r="K55" i="6"/>
  <c r="I55" i="6"/>
  <c r="P55" i="6"/>
  <c r="L55" i="6"/>
  <c r="J55" i="6"/>
  <c r="O53" i="6"/>
  <c r="M53" i="6"/>
  <c r="K53" i="6"/>
  <c r="I53" i="6"/>
  <c r="P53" i="6"/>
  <c r="L53" i="6"/>
  <c r="J53" i="6"/>
  <c r="O51" i="6"/>
  <c r="M51" i="6"/>
  <c r="K51" i="6"/>
  <c r="I51" i="6"/>
  <c r="P51" i="6"/>
  <c r="L51" i="6"/>
  <c r="J51" i="6"/>
  <c r="O49" i="6"/>
  <c r="M49" i="6"/>
  <c r="K49" i="6"/>
  <c r="I49" i="6"/>
  <c r="P49" i="6"/>
  <c r="L49" i="6"/>
  <c r="J49" i="6"/>
  <c r="O47" i="6"/>
  <c r="M47" i="6"/>
  <c r="K47" i="6"/>
  <c r="I47" i="6"/>
  <c r="P47" i="6"/>
  <c r="L47" i="6"/>
  <c r="J47" i="6"/>
  <c r="O45" i="6"/>
  <c r="M45" i="6"/>
  <c r="K45" i="6"/>
  <c r="I45" i="6"/>
  <c r="P45" i="6"/>
  <c r="L45" i="6"/>
  <c r="J45" i="6"/>
  <c r="O43" i="6"/>
  <c r="M43" i="6"/>
  <c r="K43" i="6"/>
  <c r="I43" i="6"/>
  <c r="P43" i="6"/>
  <c r="L43" i="6"/>
  <c r="J43" i="6"/>
  <c r="O41" i="6"/>
  <c r="M41" i="6"/>
  <c r="K41" i="6"/>
  <c r="I41" i="6"/>
  <c r="P41" i="6"/>
  <c r="L41" i="6"/>
  <c r="J41" i="6"/>
  <c r="O39" i="6"/>
  <c r="M39" i="6"/>
  <c r="P39" i="6"/>
  <c r="L39" i="6"/>
  <c r="J39" i="6"/>
  <c r="K39" i="6"/>
  <c r="I39" i="6"/>
  <c r="O37" i="6"/>
  <c r="M37" i="6"/>
  <c r="K37" i="6"/>
  <c r="I37" i="6"/>
  <c r="P37" i="6"/>
  <c r="L37" i="6"/>
  <c r="J37" i="6"/>
  <c r="O35" i="6"/>
  <c r="M35" i="6"/>
  <c r="K35" i="6"/>
  <c r="I35" i="6"/>
  <c r="P35" i="6"/>
  <c r="L35" i="6"/>
  <c r="J35" i="6"/>
  <c r="O33" i="6"/>
  <c r="M33" i="6"/>
  <c r="K33" i="6"/>
  <c r="I33" i="6"/>
  <c r="P33" i="6"/>
  <c r="L33" i="6"/>
  <c r="J33" i="6"/>
  <c r="O31" i="6"/>
  <c r="M31" i="6"/>
  <c r="K31" i="6"/>
  <c r="I31" i="6"/>
  <c r="P31" i="6"/>
  <c r="L31" i="6"/>
  <c r="J31" i="6"/>
  <c r="O29" i="6"/>
  <c r="M29" i="6"/>
  <c r="K29" i="6"/>
  <c r="I29" i="6"/>
  <c r="P29" i="6"/>
  <c r="L29" i="6"/>
  <c r="J29" i="6"/>
  <c r="O27" i="6"/>
  <c r="M27" i="6"/>
  <c r="K27" i="6"/>
  <c r="I27" i="6"/>
  <c r="P27" i="6"/>
  <c r="L27" i="6"/>
  <c r="J27" i="6"/>
  <c r="O25" i="6"/>
  <c r="M25" i="6"/>
  <c r="K25" i="6"/>
  <c r="I25" i="6"/>
  <c r="P25" i="6"/>
  <c r="L25" i="6"/>
  <c r="J25" i="6"/>
  <c r="O23" i="6"/>
  <c r="M23" i="6"/>
  <c r="K23" i="6"/>
  <c r="I23" i="6"/>
  <c r="P23" i="6"/>
  <c r="L23" i="6"/>
  <c r="J23" i="6"/>
  <c r="O21" i="6"/>
  <c r="M21" i="6"/>
  <c r="K21" i="6"/>
  <c r="I21" i="6"/>
  <c r="P21" i="6"/>
  <c r="L21" i="6"/>
  <c r="J21" i="6"/>
  <c r="O19" i="6"/>
  <c r="M19" i="6"/>
  <c r="K19" i="6"/>
  <c r="I19" i="6"/>
  <c r="P19" i="6"/>
  <c r="L19" i="6"/>
  <c r="J19" i="6"/>
  <c r="O17" i="6"/>
  <c r="M17" i="6"/>
  <c r="K17" i="6"/>
  <c r="I17" i="6"/>
  <c r="P17" i="6"/>
  <c r="L17" i="6"/>
  <c r="J17" i="6"/>
  <c r="O15" i="6"/>
  <c r="M15" i="6"/>
  <c r="K15" i="6"/>
  <c r="I15" i="6"/>
  <c r="P15" i="6"/>
  <c r="L15" i="6"/>
  <c r="J15" i="6"/>
  <c r="O13" i="6"/>
  <c r="M13" i="6"/>
  <c r="K13" i="6"/>
  <c r="I13" i="6"/>
  <c r="P13" i="6"/>
  <c r="L13" i="6"/>
  <c r="J13" i="6"/>
  <c r="O11" i="6"/>
  <c r="M11" i="6"/>
  <c r="K11" i="6"/>
  <c r="I11" i="6"/>
  <c r="P11" i="6"/>
  <c r="L11" i="6"/>
  <c r="J11" i="6"/>
  <c r="O9" i="6"/>
  <c r="M9" i="6"/>
  <c r="K9" i="6"/>
  <c r="I9" i="6"/>
  <c r="P9" i="6"/>
  <c r="L9" i="6"/>
  <c r="J9" i="6"/>
  <c r="O7" i="6"/>
  <c r="M7" i="6"/>
  <c r="K7" i="6"/>
  <c r="I7" i="6"/>
  <c r="P7" i="6"/>
  <c r="L7" i="6"/>
  <c r="J7" i="6"/>
  <c r="O5" i="6"/>
  <c r="M5" i="6"/>
  <c r="K5" i="6"/>
  <c r="I5" i="6"/>
  <c r="P5" i="6"/>
  <c r="L5" i="6"/>
  <c r="J5" i="6"/>
  <c r="M56" i="7"/>
  <c r="L56" i="7"/>
  <c r="J56" i="7"/>
  <c r="I56" i="7"/>
  <c r="M54" i="7"/>
  <c r="L54" i="7"/>
  <c r="I54" i="7"/>
  <c r="J54" i="7"/>
  <c r="M52" i="7"/>
  <c r="L52" i="7"/>
  <c r="J52" i="7"/>
  <c r="I52" i="7"/>
  <c r="M50" i="7"/>
  <c r="L50" i="7"/>
  <c r="J50" i="7"/>
  <c r="I50" i="7"/>
  <c r="M48" i="7"/>
  <c r="L48" i="7"/>
  <c r="I48" i="7"/>
  <c r="J48" i="7"/>
  <c r="M46" i="7"/>
  <c r="L46" i="7"/>
  <c r="J46" i="7"/>
  <c r="I46" i="7"/>
  <c r="M44" i="7"/>
  <c r="L44" i="7"/>
  <c r="J44" i="7"/>
  <c r="I44" i="7"/>
  <c r="M42" i="7"/>
  <c r="L42" i="7"/>
  <c r="J42" i="7"/>
  <c r="I42" i="7"/>
  <c r="M40" i="7"/>
  <c r="L40" i="7"/>
  <c r="J40" i="7"/>
  <c r="I40" i="7"/>
  <c r="M38" i="7"/>
  <c r="L38" i="7"/>
  <c r="J38" i="7"/>
  <c r="I38" i="7"/>
  <c r="M36" i="7"/>
  <c r="L36" i="7"/>
  <c r="J36" i="7"/>
  <c r="I36" i="7"/>
  <c r="M34" i="7"/>
  <c r="L34" i="7"/>
  <c r="J34" i="7"/>
  <c r="I34" i="7"/>
  <c r="M32" i="7"/>
  <c r="L32" i="7"/>
  <c r="J32" i="7"/>
  <c r="I32" i="7"/>
  <c r="M30" i="7"/>
  <c r="L30" i="7"/>
  <c r="J30" i="7"/>
  <c r="I30" i="7"/>
  <c r="M28" i="7"/>
  <c r="L28" i="7"/>
  <c r="J28" i="7"/>
  <c r="I28" i="7"/>
  <c r="M26" i="7"/>
  <c r="L26" i="7"/>
  <c r="J26" i="7"/>
  <c r="I26" i="7"/>
  <c r="M24" i="7"/>
  <c r="L24" i="7"/>
  <c r="J24" i="7"/>
  <c r="I24" i="7"/>
  <c r="M22" i="7"/>
  <c r="L22" i="7"/>
  <c r="J22" i="7"/>
  <c r="I22" i="7"/>
  <c r="M20" i="7"/>
  <c r="L20" i="7"/>
  <c r="J20" i="7"/>
  <c r="I20" i="7"/>
  <c r="M18" i="7"/>
  <c r="L18" i="7"/>
  <c r="J18" i="7"/>
  <c r="I18" i="7"/>
  <c r="M16" i="7"/>
  <c r="L16" i="7"/>
  <c r="J16" i="7"/>
  <c r="I16" i="7"/>
  <c r="M14" i="7"/>
  <c r="L14" i="7"/>
  <c r="J14" i="7"/>
  <c r="I14" i="7"/>
  <c r="M12" i="7"/>
  <c r="L12" i="7"/>
  <c r="J12" i="7"/>
  <c r="I12" i="7"/>
  <c r="M10" i="7"/>
  <c r="L10" i="7"/>
  <c r="J10" i="7"/>
  <c r="I10" i="7"/>
  <c r="M8" i="7"/>
  <c r="L8" i="7"/>
  <c r="J8" i="7"/>
  <c r="I8" i="7"/>
  <c r="M6" i="7"/>
  <c r="L6" i="7"/>
  <c r="J6" i="7"/>
  <c r="I6" i="7"/>
  <c r="M4" i="7"/>
  <c r="L4" i="7"/>
  <c r="J4" i="7"/>
  <c r="I4" i="7"/>
  <c r="M3" i="7"/>
  <c r="L3" i="7"/>
  <c r="J3" i="7"/>
  <c r="I3" i="7"/>
  <c r="M55" i="7"/>
  <c r="L55" i="7"/>
  <c r="J55" i="7"/>
  <c r="I55" i="7"/>
  <c r="M53" i="7"/>
  <c r="L53" i="7"/>
  <c r="J53" i="7"/>
  <c r="I53" i="7"/>
  <c r="M51" i="7"/>
  <c r="L51" i="7"/>
  <c r="J51" i="7"/>
  <c r="I51" i="7"/>
  <c r="M49" i="7"/>
  <c r="L49" i="7"/>
  <c r="J49" i="7"/>
  <c r="I49" i="7"/>
  <c r="M47" i="7"/>
  <c r="L47" i="7"/>
  <c r="J47" i="7"/>
  <c r="I47" i="7"/>
  <c r="M45" i="7"/>
  <c r="L45" i="7"/>
  <c r="J45" i="7"/>
  <c r="I45" i="7"/>
  <c r="M43" i="7"/>
  <c r="L43" i="7"/>
  <c r="J43" i="7"/>
  <c r="I43" i="7"/>
  <c r="M41" i="7"/>
  <c r="L41" i="7"/>
  <c r="J41" i="7"/>
  <c r="I41" i="7"/>
  <c r="M39" i="7"/>
  <c r="L39" i="7"/>
  <c r="J39" i="7"/>
  <c r="I39" i="7"/>
  <c r="M37" i="7"/>
  <c r="L37" i="7"/>
  <c r="J37" i="7"/>
  <c r="I37" i="7"/>
  <c r="M35" i="7"/>
  <c r="L35" i="7"/>
  <c r="J35" i="7"/>
  <c r="I35" i="7"/>
  <c r="M33" i="7"/>
  <c r="L33" i="7"/>
  <c r="J33" i="7"/>
  <c r="I33" i="7"/>
  <c r="M31" i="7"/>
  <c r="L31" i="7"/>
  <c r="J31" i="7"/>
  <c r="I31" i="7"/>
  <c r="M29" i="7"/>
  <c r="L29" i="7"/>
  <c r="J29" i="7"/>
  <c r="I29" i="7"/>
  <c r="M27" i="7"/>
  <c r="L27" i="7"/>
  <c r="J27" i="7"/>
  <c r="I27" i="7"/>
  <c r="M25" i="7"/>
  <c r="L25" i="7"/>
  <c r="J25" i="7"/>
  <c r="I25" i="7"/>
  <c r="M23" i="7"/>
  <c r="L23" i="7"/>
  <c r="J23" i="7"/>
  <c r="I23" i="7"/>
  <c r="M21" i="7"/>
  <c r="L21" i="7"/>
  <c r="J21" i="7"/>
  <c r="I21" i="7"/>
  <c r="M19" i="7"/>
  <c r="L19" i="7"/>
  <c r="J19" i="7"/>
  <c r="I19" i="7"/>
  <c r="M17" i="7"/>
  <c r="L17" i="7"/>
  <c r="J17" i="7"/>
  <c r="I17" i="7"/>
  <c r="M15" i="7"/>
  <c r="L15" i="7"/>
  <c r="J15" i="7"/>
  <c r="I15" i="7"/>
  <c r="M13" i="7"/>
  <c r="L13" i="7"/>
  <c r="J13" i="7"/>
  <c r="I13" i="7"/>
  <c r="M11" i="7"/>
  <c r="L11" i="7"/>
  <c r="J11" i="7"/>
  <c r="I11" i="7"/>
  <c r="M9" i="7"/>
  <c r="L9" i="7"/>
  <c r="J9" i="7"/>
  <c r="I9" i="7"/>
  <c r="M7" i="7"/>
  <c r="L7" i="7"/>
  <c r="J7" i="7"/>
  <c r="I7" i="7"/>
  <c r="M5" i="7"/>
  <c r="L5" i="7"/>
  <c r="J5" i="7"/>
  <c r="I5" i="7"/>
  <c r="F11" i="14" l="1"/>
</calcChain>
</file>

<file path=xl/sharedStrings.xml><?xml version="1.0" encoding="utf-8"?>
<sst xmlns="http://schemas.openxmlformats.org/spreadsheetml/2006/main" count="595" uniqueCount="257">
  <si>
    <t>MATERNITY</t>
  </si>
  <si>
    <t>Office visits &amp; procedures</t>
  </si>
  <si>
    <t>Visits &amp; Procedures # Limit Per Year</t>
  </si>
  <si>
    <t>DIABETES</t>
  </si>
  <si>
    <t>DEDUCTIBLES</t>
  </si>
  <si>
    <t>250.00, V58.66, V58.67</t>
  </si>
  <si>
    <t>53885014201</t>
  </si>
  <si>
    <t>53885041601</t>
  </si>
  <si>
    <t>V03.82</t>
  </si>
  <si>
    <t>V04.81</t>
  </si>
  <si>
    <t>OTC</t>
  </si>
  <si>
    <t>V22.0</t>
  </si>
  <si>
    <t>87801 x2</t>
  </si>
  <si>
    <t>V72.42</t>
  </si>
  <si>
    <t>Bundled in global OB package - 59400</t>
  </si>
  <si>
    <t>82677</t>
  </si>
  <si>
    <t>84702</t>
  </si>
  <si>
    <t>86336</t>
  </si>
  <si>
    <t>83901 x13</t>
  </si>
  <si>
    <t>83914 x32</t>
  </si>
  <si>
    <t>S9442</t>
  </si>
  <si>
    <t>**(DRG) 795</t>
  </si>
  <si>
    <t>V30.00</t>
  </si>
  <si>
    <t>**(DRG) 775</t>
  </si>
  <si>
    <t>S9443</t>
  </si>
  <si>
    <t>V24.2</t>
  </si>
  <si>
    <t>650, V27.0, Proc: 73.59</t>
  </si>
  <si>
    <t>Category</t>
  </si>
  <si>
    <t xml:space="preserve"> Descriptor</t>
  </si>
  <si>
    <t>Notes</t>
  </si>
  <si>
    <t>Pharmacy Retail</t>
  </si>
  <si>
    <t>Medical equipment and supplies</t>
  </si>
  <si>
    <t>Alcohol swabs (OTC - box of 100)  [usage = 3 wipes/day; 90 wipes/month]</t>
  </si>
  <si>
    <t>BD Ultrafine Insulin Syringes / 30G/ 0.5cc  [usage = 30 syringes per month]</t>
  </si>
  <si>
    <t>OneTouch Delica Lancets (100 per box)  [usage = 60 lancets per month]</t>
  </si>
  <si>
    <t xml:space="preserve">OneTouch Delica Lancing Device </t>
  </si>
  <si>
    <t>OneTouch Ultra 2 Blood Glucose Meter Kit</t>
  </si>
  <si>
    <t xml:space="preserve">OneTouch Ultra Blue Test Strips (Rx - box of 100) [usage = 2 strips/day; 60 per month] </t>
  </si>
  <si>
    <t>OneTouch Ultra Control Solution (2 vials/box)</t>
  </si>
  <si>
    <t>Pharmacy</t>
  </si>
  <si>
    <t>Aspirin 81mg (OTC - bottle 100) [usage = 1 QD; #30 pills per month]</t>
  </si>
  <si>
    <t>Glucagon Emergency Kit</t>
  </si>
  <si>
    <t>Insulin glargine 100 unit/ml injectable solution (Rx - 10ml vial)  [20 units QD; expires 28 days after first use]</t>
  </si>
  <si>
    <t>Metformin hydrochloride 500mg (Rx) [1 BID; #60 pills/month]</t>
  </si>
  <si>
    <t>Ramipril 10mg (Rx) [1 QD; #30 pills/month]</t>
  </si>
  <si>
    <t>Primary</t>
  </si>
  <si>
    <t>Laboratory tests</t>
  </si>
  <si>
    <t>Assay Glucose Blood Quant</t>
  </si>
  <si>
    <t>Assay of Urine Creatinine</t>
  </si>
  <si>
    <t>Comprehen Metabolic Panel</t>
  </si>
  <si>
    <t>Glycosylated Hemoglobin Test</t>
  </si>
  <si>
    <t>Lipid panel</t>
  </si>
  <si>
    <t>Microalbumin Quantitative</t>
  </si>
  <si>
    <t>Renal Function Panel</t>
  </si>
  <si>
    <t>Routine Venipuncture</t>
  </si>
  <si>
    <t>Urinalysis Auto W/O Scope</t>
  </si>
  <si>
    <t>Office/Outpatient Visit Est</t>
  </si>
  <si>
    <t>Diabetes Educator</t>
  </si>
  <si>
    <t>Education</t>
  </si>
  <si>
    <t>Self-mgmt educ &amp; train 1 pt</t>
  </si>
  <si>
    <t>Dietician</t>
  </si>
  <si>
    <t>Med Nutrition Indiv Subseq</t>
  </si>
  <si>
    <t>Podiatry</t>
  </si>
  <si>
    <t>Office/Outpatient Visit New</t>
  </si>
  <si>
    <t>Annual foot exam</t>
  </si>
  <si>
    <t>Ophthalmology</t>
  </si>
  <si>
    <t>Annual eye exam</t>
  </si>
  <si>
    <t>Vaccines, other preventive</t>
  </si>
  <si>
    <t xml:space="preserve">Immunization admin each add </t>
  </si>
  <si>
    <t>Immunization Admin ADMIN</t>
  </si>
  <si>
    <t>Pneumococcal vacc 7 val im</t>
  </si>
  <si>
    <t>Flu Vaccine No Preserv 3 &amp; &gt;</t>
  </si>
  <si>
    <t>Prenatal Vitamins (OTC - Bottle of 100) [1 pill daily; 30 pills/month]</t>
  </si>
  <si>
    <t>OBGYN</t>
  </si>
  <si>
    <t>Obstetric Panel</t>
  </si>
  <si>
    <t>80055 - Global OB panel code</t>
  </si>
  <si>
    <t xml:space="preserve">Detect agnt mult dna ampli </t>
  </si>
  <si>
    <t>Gonorrhea / Chlamydia screen</t>
  </si>
  <si>
    <t>Cytopath TBS C/V Manual</t>
  </si>
  <si>
    <t>Pap smear</t>
  </si>
  <si>
    <t>HIV-1</t>
  </si>
  <si>
    <t>Urine Pregnancy Test</t>
  </si>
  <si>
    <t>Routine Obstetric Care</t>
  </si>
  <si>
    <t>Alpha-fetoprotein serum</t>
  </si>
  <si>
    <t>Maternal serum quad screen</t>
  </si>
  <si>
    <t>Alssay of estriol</t>
  </si>
  <si>
    <t>Chorionic gonadotropin test</t>
  </si>
  <si>
    <t>Inhibin A</t>
  </si>
  <si>
    <t>Genetic examination</t>
  </si>
  <si>
    <t>Cystic fibrosis screen</t>
  </si>
  <si>
    <t>Molecule isolate nucleic</t>
  </si>
  <si>
    <t>Molecule nucleic ampli 2 seq</t>
  </si>
  <si>
    <t>Molecule nucleic ampli addon</t>
  </si>
  <si>
    <t>Mutation ident ola/sbce/aspe</t>
  </si>
  <si>
    <t>Nucleic acid high resolute</t>
  </si>
  <si>
    <t>Radiology</t>
  </si>
  <si>
    <t>OB US &gt;/= 14 WKS SNGL FETUS</t>
  </si>
  <si>
    <t>Complete cbc w/auto diff wbc</t>
  </si>
  <si>
    <t>Glucose Test</t>
  </si>
  <si>
    <t>Alternative Provider</t>
  </si>
  <si>
    <t>Birthing class</t>
  </si>
  <si>
    <t>Strep B DNA Amp Probe</t>
  </si>
  <si>
    <r>
      <rPr>
        <i/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Immunization Admin</t>
    </r>
  </si>
  <si>
    <t>Flu Vaccine N0 Preserv 3 &amp; &gt;</t>
  </si>
  <si>
    <t>Anesthesiology</t>
  </si>
  <si>
    <t>Anesthesia</t>
  </si>
  <si>
    <t>Anesth/analg vag delivery</t>
  </si>
  <si>
    <t>Inpatient Facility</t>
  </si>
  <si>
    <t>Hospital charges (baby)</t>
  </si>
  <si>
    <t>Normal newborn</t>
  </si>
  <si>
    <t>Hospital charges (mother)</t>
  </si>
  <si>
    <t>Vaginal delivery w/o complicating diagnoses</t>
  </si>
  <si>
    <t>Obstetrical Care</t>
  </si>
  <si>
    <t>59400 - Global OB package description/code</t>
  </si>
  <si>
    <t>Lactation class</t>
  </si>
  <si>
    <t>Included in hospital rate**</t>
  </si>
  <si>
    <t>Docusate sodium (OTC) [1 pill QD]</t>
  </si>
  <si>
    <t>Ibuprofen 800mg (Rx) [1 pill Q8H PRN; 60 pills]</t>
  </si>
  <si>
    <t>Oxycodone/APAP 5mg/325mg (Rx) [1 pill Q6H PRN; 15 pills]</t>
  </si>
  <si>
    <t>Post partum visit</t>
  </si>
  <si>
    <t>650, V27.0</t>
  </si>
  <si>
    <t>CPT©, HCPCS, or
Other Billing Code</t>
  </si>
  <si>
    <t>Diagnosis Code 
(ICD-9)</t>
  </si>
  <si>
    <t>Unique
Key</t>
  </si>
  <si>
    <t>Provider
Type</t>
  </si>
  <si>
    <t>Allowed
Amount</t>
  </si>
  <si>
    <t>Date of Service</t>
  </si>
  <si>
    <t>Date of
Service</t>
  </si>
  <si>
    <t>Diabetes Claim
Unique Key</t>
  </si>
  <si>
    <t>Maternity Claim
Unique Key</t>
  </si>
  <si>
    <t>= Derived from formula</t>
  </si>
  <si>
    <t>Formula</t>
  </si>
  <si>
    <t>= Input Data provided by Insurer</t>
  </si>
  <si>
    <t>= Scenario data provided by HHS</t>
  </si>
  <si>
    <t>Amount Allowed</t>
  </si>
  <si>
    <t>Durable Medical Equipment</t>
  </si>
  <si>
    <t>Generic RX</t>
  </si>
  <si>
    <t>Hospital Care</t>
  </si>
  <si>
    <t>Laboratory</t>
  </si>
  <si>
    <t>Routine Obstetric Care (Bundled)</t>
  </si>
  <si>
    <t>Visits &amp; Procedures</t>
  </si>
  <si>
    <t>Overall Plan Deductible</t>
  </si>
  <si>
    <t>$ OR %</t>
  </si>
  <si>
    <t>COST SHARING</t>
  </si>
  <si>
    <t>DME</t>
  </si>
  <si>
    <t>Lab</t>
  </si>
  <si>
    <t>Obstetric</t>
  </si>
  <si>
    <t>Visits</t>
  </si>
  <si>
    <t>Vaccines</t>
  </si>
  <si>
    <t>Durable Medical Equipment # Limit Per Month</t>
  </si>
  <si>
    <t>Durable Medical Equipment # Limit Per Year</t>
  </si>
  <si>
    <t>LIMITS</t>
  </si>
  <si>
    <t>Selection</t>
  </si>
  <si>
    <t>Vaccine &amp; Preventive</t>
  </si>
  <si>
    <t>Radiology (Ultrasound)</t>
  </si>
  <si>
    <t>Hospital Care, Inpatient &amp; Anesthesia</t>
  </si>
  <si>
    <t>Generic Prescriptions</t>
  </si>
  <si>
    <t>Generic Prescriptions # Limit Per Month</t>
  </si>
  <si>
    <t>Generic Prescriptions # Limit Per Year</t>
  </si>
  <si>
    <t>AUTOMATED</t>
  </si>
  <si>
    <t>All insurer data entry fields will be highlighted in orange:</t>
  </si>
  <si>
    <t>MANUAL</t>
  </si>
  <si>
    <t>There are two methods to use this tool:</t>
  </si>
  <si>
    <t>Manually enter information about one plan</t>
  </si>
  <si>
    <t xml:space="preserve">      How would you like to use the tool?</t>
  </si>
  <si>
    <t>If the category is not covered or included in the plan, leave the cell blank.</t>
  </si>
  <si>
    <t>AUTOMATED IMPORT INSTRUCTIONS</t>
  </si>
  <si>
    <t>MANUAL ENTRY INSTRUCTIONS</t>
  </si>
  <si>
    <t xml:space="preserve">    Welcome to the Coverage Scenarios Cost Sharing Calculator</t>
  </si>
  <si>
    <t>Click the 'Run the Calculator' button to compute the cost sharing for the scenarios.</t>
  </si>
  <si>
    <t>Exclusions</t>
  </si>
  <si>
    <t>Deductibles</t>
  </si>
  <si>
    <t>Copayments</t>
  </si>
  <si>
    <t>Coinsurance</t>
  </si>
  <si>
    <t>MANUAL ENTRY RESULTS</t>
  </si>
  <si>
    <t>Maternity Scenario</t>
  </si>
  <si>
    <t>Diabetes Type 2 Scenario</t>
  </si>
  <si>
    <t>AUTOMATED IMPORT RESULTS</t>
  </si>
  <si>
    <t>Switch to:</t>
  </si>
  <si>
    <t xml:space="preserve">Rerun Calculator: </t>
  </si>
  <si>
    <t>Imported data from a Comma Separated Value (CSV) file</t>
  </si>
  <si>
    <t>You can process multiple plans at one time with this method</t>
  </si>
  <si>
    <t>Deductible</t>
  </si>
  <si>
    <t>Copayment</t>
  </si>
  <si>
    <t>Insurer Expense</t>
  </si>
  <si>
    <t>Limitations</t>
  </si>
  <si>
    <t>Prior Usage</t>
  </si>
  <si>
    <t>Balance Remaining</t>
  </si>
  <si>
    <t>OOP Expense</t>
  </si>
  <si>
    <t>OOP</t>
  </si>
  <si>
    <t>Overall</t>
  </si>
  <si>
    <t>Mat RX per month</t>
  </si>
  <si>
    <t>Mat RX per year</t>
  </si>
  <si>
    <t>Dia RX per month</t>
  </si>
  <si>
    <t>Dia RX per year</t>
  </si>
  <si>
    <t>DME
per month</t>
  </si>
  <si>
    <t>DME
per year</t>
  </si>
  <si>
    <t>Visits
per year</t>
  </si>
  <si>
    <t>Manual_Scenario:</t>
  </si>
  <si>
    <t xml:space="preserve">Routine Obstetric Care (Bundled) </t>
  </si>
  <si>
    <t>Individual Out-of-Pocket (OOP) Limit</t>
  </si>
  <si>
    <t>Mat</t>
  </si>
  <si>
    <t>Running Insurer</t>
  </si>
  <si>
    <t>Running Excl</t>
  </si>
  <si>
    <t>Running Limit</t>
  </si>
  <si>
    <t>Running Deduct</t>
  </si>
  <si>
    <t>Running Copay</t>
  </si>
  <si>
    <t>Running Coinsur</t>
  </si>
  <si>
    <t>Running OOP</t>
  </si>
  <si>
    <t>Running Overall</t>
  </si>
  <si>
    <t>Running DME</t>
  </si>
  <si>
    <t>Running RX</t>
  </si>
  <si>
    <t>Running Hospital</t>
  </si>
  <si>
    <t>Running Obst</t>
  </si>
  <si>
    <t>Running Vaccine</t>
  </si>
  <si>
    <t>Running Mat RX Month</t>
  </si>
  <si>
    <t>Running Mat RX Yr</t>
  </si>
  <si>
    <t>Running Dia RX Month</t>
  </si>
  <si>
    <t>Running Dia RX Yr</t>
  </si>
  <si>
    <t>Running Dia DME Month</t>
  </si>
  <si>
    <t>Running Dia DME Yr</t>
  </si>
  <si>
    <t>Running Visit Yr</t>
  </si>
  <si>
    <t>COSTS</t>
  </si>
  <si>
    <t>CATEGORIES</t>
  </si>
  <si>
    <t>rngShare Type</t>
  </si>
  <si>
    <t>rngShareValue</t>
  </si>
  <si>
    <t>rngBal</t>
  </si>
  <si>
    <t>rngPlanDeduct</t>
  </si>
  <si>
    <t>rngPlanLimit</t>
  </si>
  <si>
    <t>Not Covered</t>
  </si>
  <si>
    <t>Dia</t>
  </si>
  <si>
    <t xml:space="preserve">Re-run Calculator:   </t>
  </si>
  <si>
    <t>No Cost Sharing</t>
  </si>
  <si>
    <t>Cost_Sharing_List_4</t>
  </si>
  <si>
    <t>Cost_Sharing_List_5</t>
  </si>
  <si>
    <t>N/A</t>
  </si>
  <si>
    <t>Check Chrono</t>
  </si>
  <si>
    <t>Exclusions &amp; Limits</t>
  </si>
  <si>
    <t>Patient Pays:</t>
  </si>
  <si>
    <t>Plan Pays:</t>
  </si>
  <si>
    <t>Total, excl Premiums</t>
  </si>
  <si>
    <t>Maternity</t>
  </si>
  <si>
    <t>Diabetes</t>
  </si>
  <si>
    <t>Import_Codes</t>
  </si>
  <si>
    <t>Import_Values1</t>
  </si>
  <si>
    <t>Import_Values2</t>
  </si>
  <si>
    <t>Close any previous CSV files that may be open.</t>
  </si>
  <si>
    <t>Click the 'Import &amp; Run' button to compute the cost sharing for the different plans and export results to a CSV file.</t>
  </si>
  <si>
    <t>Process multiple plans from a CSV import file:</t>
  </si>
  <si>
    <t xml:space="preserve">The results for the two scenarios are currently open in a separate file.
The resulting CSV file was saved in the same location as the input file. </t>
  </si>
  <si>
    <t>Fill in the coverage details for one plan in the orange cells using numbers only.</t>
  </si>
  <si>
    <t>Hospital charges (bundle)</t>
  </si>
  <si>
    <t>Inpatient Maternity Bundle (Bundled line items 4, 5, 34)</t>
  </si>
  <si>
    <t>see individual line items on Line Item Maternity tab</t>
  </si>
  <si>
    <t>Error_Count_Import</t>
  </si>
  <si>
    <t/>
  </si>
  <si>
    <t>Automated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</si>
</sst>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&quot;#&quot;"/>
    <numFmt numFmtId="165" formatCode="00000000000"/>
    <numFmt numFmtId="166" formatCode="&quot;$&quot;#,###.00"/>
    <numFmt numFmtId="167" formatCode="_(* #,##0.0000_);_(* \(#,##0.0000\);_(* &quot;-&quot;??_);_(@_)"/>
    <numFmt numFmtId="168" formatCode="_(* #,##0_);_(* \(#,##0\);_(* &quot;-&quot;??_);_(@_)"/>
    <numFmt numFmtId="169" formatCode=";;;"/>
    <numFmt numFmtId="170" formatCode="_(* #,##0.00_);_(* \(#,##0.00\);_(* &quot;-&quot;???????_);_(@_)"/>
    <numFmt numFmtId="171" formatCode="##%;\-##%;0%"/>
    <numFmt numFmtId="172" formatCode="&quot;$&quot;#,###;;&quot;$&quot;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i/>
      <sz val="8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0" tint="-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8"/>
      <name val="Arial"/>
      <family val="2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Wingdings 2"/>
      <family val="1"/>
      <charset val="2"/>
    </font>
    <font>
      <sz val="11"/>
      <color rgb="FF000000"/>
      <name val="Calibri"/>
      <family val="2"/>
    </font>
    <font>
      <sz val="11"/>
      <color theme="1"/>
      <name val="Cambria"/>
      <family val="1"/>
      <scheme val="major"/>
    </font>
    <font>
      <b/>
      <sz val="10"/>
      <color theme="1"/>
      <name val="Lucida Sans"/>
      <family val="2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9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172" fontId="1" fillId="3" borderId="1" applyFont="0" applyFill="0" applyBorder="0" applyAlignment="0" applyProtection="0">
      <alignment horizontal="center"/>
    </xf>
    <xf numFmtId="164" fontId="1" fillId="3" borderId="1" applyFont="0" applyFill="0" applyBorder="0" applyAlignment="0" applyProtection="0">
      <alignment horizontal="center"/>
    </xf>
    <xf numFmtId="171" fontId="1" fillId="3" borderId="1" applyFont="0" applyFill="0" applyBorder="0" applyAlignment="0" applyProtection="0">
      <alignment horizontal="center"/>
    </xf>
    <xf numFmtId="0" fontId="8" fillId="0" borderId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1" fillId="9" borderId="0" applyNumberFormat="0" applyBorder="0" applyAlignment="0" applyProtection="0"/>
    <xf numFmtId="0" fontId="12" fillId="26" borderId="12" applyNumberFormat="0" applyAlignment="0" applyProtection="0"/>
    <xf numFmtId="0" fontId="13" fillId="27" borderId="13" applyNumberFormat="0" applyAlignment="0" applyProtection="0"/>
    <xf numFmtId="44" fontId="8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13" borderId="12" applyNumberFormat="0" applyAlignment="0" applyProtection="0"/>
    <xf numFmtId="0" fontId="20" fillId="0" borderId="17" applyNumberFormat="0" applyFill="0" applyAlignment="0" applyProtection="0"/>
    <xf numFmtId="0" fontId="21" fillId="28" borderId="0" applyNumberFormat="0" applyBorder="0" applyAlignment="0" applyProtection="0"/>
    <xf numFmtId="0" fontId="8" fillId="0" borderId="0"/>
    <xf numFmtId="0" fontId="8" fillId="0" borderId="0"/>
    <xf numFmtId="0" fontId="22" fillId="0" borderId="0"/>
    <xf numFmtId="0" fontId="8" fillId="29" borderId="18" applyNumberFormat="0" applyFont="0" applyAlignment="0" applyProtection="0"/>
    <xf numFmtId="0" fontId="23" fillId="26" borderId="19" applyNumberFormat="0" applyAlignment="0" applyProtection="0"/>
    <xf numFmtId="0" fontId="24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26" fillId="0" borderId="0" applyNumberFormat="0" applyFill="0" applyBorder="0" applyAlignment="0" applyProtection="0"/>
    <xf numFmtId="0" fontId="29" fillId="30" borderId="1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4" borderId="0" applyFont="0" applyFill="0" applyBorder="0" applyAlignment="0" applyProtection="0"/>
  </cellStyleXfs>
  <cellXfs count="34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0" borderId="0" xfId="0" applyAlignment="1">
      <alignment horizontal="center"/>
    </xf>
    <xf numFmtId="0" fontId="0" fillId="4" borderId="6" xfId="0" applyFill="1" applyBorder="1"/>
    <xf numFmtId="0" fontId="0" fillId="4" borderId="0" xfId="0" applyFill="1"/>
    <xf numFmtId="0" fontId="0" fillId="4" borderId="10" xfId="0" applyFill="1" applyBorder="1"/>
    <xf numFmtId="0" fontId="0" fillId="4" borderId="4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0" xfId="0" applyFill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3" fillId="7" borderId="2" xfId="0" applyFont="1" applyFill="1" applyBorder="1" applyAlignment="1">
      <alignment horizontal="center" wrapText="1"/>
    </xf>
    <xf numFmtId="44" fontId="3" fillId="7" borderId="2" xfId="0" applyNumberFormat="1" applyFont="1" applyFill="1" applyBorder="1" applyAlignment="1">
      <alignment horizontal="center" wrapText="1"/>
    </xf>
    <xf numFmtId="0" fontId="6" fillId="0" borderId="0" xfId="0" applyFont="1" applyAlignment="1"/>
    <xf numFmtId="0" fontId="6" fillId="0" borderId="0" xfId="0" applyFont="1" applyFill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165" fontId="5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Border="1" applyAlignment="1"/>
    <xf numFmtId="44" fontId="6" fillId="0" borderId="0" xfId="0" applyNumberFormat="1" applyFont="1" applyBorder="1" applyAlignment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28" fillId="0" borderId="0" xfId="0" applyFont="1"/>
    <xf numFmtId="0" fontId="4" fillId="0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28" fillId="0" borderId="0" xfId="0" applyFont="1" applyAlignment="1"/>
    <xf numFmtId="0" fontId="0" fillId="4" borderId="0" xfId="0" quotePrefix="1" applyFill="1"/>
    <xf numFmtId="0" fontId="30" fillId="6" borderId="1" xfId="0" applyFont="1" applyFill="1" applyBorder="1" applyAlignment="1">
      <alignment horizontal="center"/>
    </xf>
    <xf numFmtId="0" fontId="29" fillId="30" borderId="1" xfId="50" applyBorder="1"/>
    <xf numFmtId="0" fontId="29" fillId="30" borderId="1" xfId="50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/>
    <xf numFmtId="0" fontId="0" fillId="4" borderId="0" xfId="0" applyFill="1" applyAlignment="1"/>
    <xf numFmtId="0" fontId="0" fillId="4" borderId="0" xfId="0" applyFill="1" applyAlignment="1">
      <alignment horizontal="left"/>
    </xf>
    <xf numFmtId="0" fontId="2" fillId="4" borderId="0" xfId="0" quotePrefix="1" applyFont="1" applyFill="1" applyAlignment="1">
      <alignment horizontal="left" wrapText="1"/>
    </xf>
    <xf numFmtId="0" fontId="0" fillId="31" borderId="0" xfId="0" applyFill="1" applyBorder="1"/>
    <xf numFmtId="0" fontId="2" fillId="31" borderId="0" xfId="0" quotePrefix="1" applyFont="1" applyFill="1" applyBorder="1" applyAlignment="1">
      <alignment wrapText="1"/>
    </xf>
    <xf numFmtId="0" fontId="0" fillId="31" borderId="0" xfId="0" applyFill="1"/>
    <xf numFmtId="0" fontId="2" fillId="31" borderId="21" xfId="0" quotePrefix="1" applyFont="1" applyFill="1" applyBorder="1" applyAlignment="1">
      <alignment horizontal="left" wrapText="1"/>
    </xf>
    <xf numFmtId="0" fontId="0" fillId="31" borderId="21" xfId="0" applyFill="1" applyBorder="1"/>
    <xf numFmtId="166" fontId="4" fillId="2" borderId="1" xfId="1" applyNumberFormat="1" applyFont="1" applyFill="1" applyBorder="1" applyAlignment="1">
      <alignment horizontal="right" wrapText="1"/>
    </xf>
    <xf numFmtId="166" fontId="4" fillId="2" borderId="1" xfId="1" applyNumberFormat="1" applyFont="1" applyFill="1" applyBorder="1" applyAlignment="1">
      <alignment horizontal="right"/>
    </xf>
    <xf numFmtId="166" fontId="5" fillId="2" borderId="1" xfId="1" applyNumberFormat="1" applyFont="1" applyFill="1" applyBorder="1" applyAlignment="1">
      <alignment horizontal="right" wrapText="1"/>
    </xf>
    <xf numFmtId="166" fontId="5" fillId="2" borderId="1" xfId="1" applyNumberFormat="1" applyFont="1" applyFill="1" applyBorder="1" applyAlignment="1">
      <alignment horizontal="right"/>
    </xf>
    <xf numFmtId="0" fontId="3" fillId="7" borderId="2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31" borderId="0" xfId="0" quotePrefix="1" applyFont="1" applyFill="1" applyBorder="1" applyAlignment="1">
      <alignment horizontal="left" wrapText="1"/>
    </xf>
    <xf numFmtId="0" fontId="2" fillId="31" borderId="0" xfId="0" quotePrefix="1" applyFont="1" applyFill="1" applyBorder="1" applyAlignment="1">
      <alignment horizontal="left" wrapText="1"/>
    </xf>
    <xf numFmtId="0" fontId="0" fillId="4" borderId="4" xfId="0" applyFill="1" applyBorder="1" applyAlignment="1">
      <alignment horizontal="center"/>
    </xf>
    <xf numFmtId="0" fontId="0" fillId="4" borderId="25" xfId="0" applyFill="1" applyBorder="1" applyAlignment="1">
      <alignment horizontal="left"/>
    </xf>
    <xf numFmtId="172" fontId="29" fillId="30" borderId="24" xfId="1" applyFont="1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28" xfId="0" applyFill="1" applyBorder="1"/>
    <xf numFmtId="0" fontId="0" fillId="4" borderId="29" xfId="0" applyFill="1" applyBorder="1"/>
    <xf numFmtId="0" fontId="0" fillId="4" borderId="31" xfId="0" applyFill="1" applyBorder="1"/>
    <xf numFmtId="0" fontId="32" fillId="4" borderId="0" xfId="0" applyFont="1" applyFill="1"/>
    <xf numFmtId="0" fontId="29" fillId="30" borderId="1" xfId="50" applyBorder="1" applyAlignment="1">
      <alignment wrapText="1"/>
    </xf>
    <xf numFmtId="16" fontId="28" fillId="2" borderId="1" xfId="0" applyNumberFormat="1" applyFont="1" applyFill="1" applyBorder="1" applyAlignment="1">
      <alignment horizontal="center" wrapText="1"/>
    </xf>
    <xf numFmtId="0" fontId="0" fillId="5" borderId="33" xfId="0" applyFill="1" applyBorder="1" applyAlignment="1">
      <alignment vertical="center"/>
    </xf>
    <xf numFmtId="0" fontId="0" fillId="5" borderId="34" xfId="0" applyFill="1" applyBorder="1" applyAlignment="1">
      <alignment vertical="center"/>
    </xf>
    <xf numFmtId="0" fontId="0" fillId="5" borderId="35" xfId="0" applyFill="1" applyBorder="1" applyAlignment="1">
      <alignment vertical="center"/>
    </xf>
    <xf numFmtId="0" fontId="0" fillId="5" borderId="36" xfId="0" applyFill="1" applyBorder="1" applyAlignment="1">
      <alignment vertical="center"/>
    </xf>
    <xf numFmtId="0" fontId="0" fillId="5" borderId="37" xfId="0" applyFill="1" applyBorder="1" applyAlignment="1">
      <alignment vertical="center"/>
    </xf>
    <xf numFmtId="0" fontId="0" fillId="5" borderId="32" xfId="0" applyFill="1" applyBorder="1"/>
    <xf numFmtId="0" fontId="0" fillId="5" borderId="34" xfId="0" applyFill="1" applyBorder="1"/>
    <xf numFmtId="0" fontId="0" fillId="5" borderId="33" xfId="0" applyFill="1" applyBorder="1"/>
    <xf numFmtId="0" fontId="0" fillId="5" borderId="38" xfId="0" applyFill="1" applyBorder="1"/>
    <xf numFmtId="0" fontId="0" fillId="5" borderId="39" xfId="0" applyFill="1" applyBorder="1"/>
    <xf numFmtId="0" fontId="0" fillId="5" borderId="40" xfId="0" applyFill="1" applyBorder="1"/>
    <xf numFmtId="0" fontId="0" fillId="5" borderId="34" xfId="0" applyFill="1" applyBorder="1" applyAlignment="1">
      <alignment horizontal="left" vertical="center"/>
    </xf>
    <xf numFmtId="0" fontId="0" fillId="5" borderId="41" xfId="0" applyFill="1" applyBorder="1" applyAlignment="1">
      <alignment horizontal="left" vertical="center"/>
    </xf>
    <xf numFmtId="0" fontId="0" fillId="5" borderId="42" xfId="0" applyFill="1" applyBorder="1" applyAlignment="1">
      <alignment horizontal="left" vertical="center"/>
    </xf>
    <xf numFmtId="0" fontId="0" fillId="4" borderId="0" xfId="0" applyFill="1" applyBorder="1" applyAlignment="1">
      <alignment horizontal="center"/>
    </xf>
    <xf numFmtId="0" fontId="0" fillId="4" borderId="35" xfId="0" applyFill="1" applyBorder="1"/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horizontal="left"/>
    </xf>
    <xf numFmtId="172" fontId="0" fillId="4" borderId="0" xfId="1" applyFont="1" applyFill="1" applyBorder="1" applyAlignment="1">
      <alignment horizontal="center"/>
    </xf>
    <xf numFmtId="0" fontId="0" fillId="4" borderId="0" xfId="0" applyFill="1" applyBorder="1" applyAlignment="1">
      <alignment horizontal="left" vertical="center"/>
    </xf>
    <xf numFmtId="164" fontId="0" fillId="4" borderId="0" xfId="2" applyFont="1" applyFill="1" applyBorder="1" applyAlignment="1">
      <alignment horizontal="center"/>
    </xf>
    <xf numFmtId="0" fontId="0" fillId="31" borderId="21" xfId="0" applyFill="1" applyBorder="1" applyAlignment="1"/>
    <xf numFmtId="0" fontId="2" fillId="31" borderId="0" xfId="0" applyFont="1" applyFill="1" applyBorder="1" applyAlignment="1"/>
    <xf numFmtId="172" fontId="0" fillId="3" borderId="1" xfId="1" applyFont="1" applyFill="1" applyBorder="1" applyAlignment="1">
      <alignment horizontal="center"/>
    </xf>
    <xf numFmtId="0" fontId="0" fillId="4" borderId="10" xfId="0" applyFill="1" applyBorder="1" applyAlignment="1">
      <alignment vertical="center"/>
    </xf>
    <xf numFmtId="0" fontId="0" fillId="4" borderId="4" xfId="0" applyFill="1" applyBorder="1" applyAlignment="1">
      <alignment horizontal="left"/>
    </xf>
    <xf numFmtId="172" fontId="0" fillId="4" borderId="4" xfId="1" applyFont="1" applyFill="1" applyBorder="1" applyAlignment="1">
      <alignment horizontal="center"/>
    </xf>
    <xf numFmtId="172" fontId="0" fillId="4" borderId="11" xfId="1" applyFont="1" applyFill="1" applyBorder="1" applyAlignment="1">
      <alignment horizontal="center"/>
    </xf>
    <xf numFmtId="0" fontId="0" fillId="4" borderId="8" xfId="0" applyFill="1" applyBorder="1" applyAlignment="1">
      <alignment vertical="center"/>
    </xf>
    <xf numFmtId="172" fontId="0" fillId="4" borderId="9" xfId="1" applyFont="1" applyFill="1" applyBorder="1" applyAlignment="1">
      <alignment horizontal="center"/>
    </xf>
    <xf numFmtId="0" fontId="0" fillId="4" borderId="43" xfId="0" applyFill="1" applyBorder="1" applyAlignment="1">
      <alignment vertical="center"/>
    </xf>
    <xf numFmtId="0" fontId="0" fillId="4" borderId="44" xfId="0" applyFill="1" applyBorder="1"/>
    <xf numFmtId="0" fontId="0" fillId="4" borderId="44" xfId="0" applyFill="1" applyBorder="1" applyAlignment="1">
      <alignment horizontal="left"/>
    </xf>
    <xf numFmtId="172" fontId="0" fillId="4" borderId="44" xfId="1" applyFont="1" applyFill="1" applyBorder="1" applyAlignment="1">
      <alignment horizontal="center"/>
    </xf>
    <xf numFmtId="172" fontId="0" fillId="4" borderId="45" xfId="1" applyFont="1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4" borderId="11" xfId="0" applyFill="1" applyBorder="1"/>
    <xf numFmtId="0" fontId="0" fillId="4" borderId="9" xfId="0" applyFill="1" applyBorder="1"/>
    <xf numFmtId="0" fontId="0" fillId="4" borderId="45" xfId="0" applyFill="1" applyBorder="1"/>
    <xf numFmtId="0" fontId="0" fillId="4" borderId="43" xfId="0" applyFill="1" applyBorder="1"/>
    <xf numFmtId="0" fontId="0" fillId="5" borderId="0" xfId="0" applyFont="1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5" borderId="0" xfId="0" applyFill="1" applyBorder="1"/>
    <xf numFmtId="0" fontId="0" fillId="5" borderId="28" xfId="0" applyFill="1" applyBorder="1"/>
    <xf numFmtId="0" fontId="0" fillId="5" borderId="28" xfId="0" applyFill="1" applyBorder="1" applyAlignment="1">
      <alignment horizontal="center"/>
    </xf>
    <xf numFmtId="172" fontId="0" fillId="5" borderId="28" xfId="1" applyFont="1" applyFill="1" applyBorder="1" applyAlignment="1">
      <alignment horizontal="center"/>
    </xf>
    <xf numFmtId="172" fontId="0" fillId="5" borderId="32" xfId="1" applyFont="1" applyFill="1" applyBorder="1" applyAlignment="1">
      <alignment horizontal="center"/>
    </xf>
    <xf numFmtId="0" fontId="0" fillId="5" borderId="36" xfId="0" applyFill="1" applyBorder="1"/>
    <xf numFmtId="0" fontId="0" fillId="5" borderId="34" xfId="0" applyFill="1" applyBorder="1" applyAlignment="1">
      <alignment horizontal="center"/>
    </xf>
    <xf numFmtId="0" fontId="0" fillId="5" borderId="37" xfId="0" applyFill="1" applyBorder="1"/>
    <xf numFmtId="0" fontId="0" fillId="5" borderId="21" xfId="0" applyFont="1" applyFill="1" applyBorder="1" applyAlignment="1">
      <alignment vertical="center"/>
    </xf>
    <xf numFmtId="0" fontId="0" fillId="5" borderId="21" xfId="0" applyFill="1" applyBorder="1" applyAlignment="1">
      <alignment vertical="center"/>
    </xf>
    <xf numFmtId="0" fontId="0" fillId="5" borderId="21" xfId="0" applyFill="1" applyBorder="1"/>
    <xf numFmtId="0" fontId="0" fillId="5" borderId="21" xfId="0" applyFont="1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/>
    <xf numFmtId="0" fontId="0" fillId="31" borderId="0" xfId="0" quotePrefix="1" applyFont="1" applyFill="1" applyBorder="1" applyAlignment="1">
      <alignment horizontal="left"/>
    </xf>
    <xf numFmtId="0" fontId="2" fillId="31" borderId="0" xfId="0" quotePrefix="1" applyFont="1" applyFill="1" applyBorder="1" applyAlignment="1"/>
    <xf numFmtId="172" fontId="0" fillId="5" borderId="34" xfId="1" applyFont="1" applyFill="1" applyBorder="1" applyAlignment="1">
      <alignment horizontal="center"/>
    </xf>
    <xf numFmtId="0" fontId="36" fillId="31" borderId="0" xfId="0" quotePrefix="1" applyFont="1" applyFill="1" applyBorder="1" applyAlignment="1">
      <alignment horizontal="left" wrapText="1"/>
    </xf>
    <xf numFmtId="0" fontId="37" fillId="31" borderId="0" xfId="0" applyFont="1" applyFill="1" applyBorder="1" applyAlignment="1"/>
    <xf numFmtId="0" fontId="0" fillId="4" borderId="1" xfId="0" applyFill="1" applyBorder="1"/>
    <xf numFmtId="0" fontId="0" fillId="33" borderId="0" xfId="0" applyFill="1" applyBorder="1"/>
    <xf numFmtId="0" fontId="2" fillId="33" borderId="0" xfId="0" quotePrefix="1" applyFont="1" applyFill="1" applyBorder="1" applyAlignment="1"/>
    <xf numFmtId="0" fontId="2" fillId="33" borderId="21" xfId="0" quotePrefix="1" applyFont="1" applyFill="1" applyBorder="1" applyAlignment="1">
      <alignment horizontal="left" wrapText="1"/>
    </xf>
    <xf numFmtId="0" fontId="0" fillId="33" borderId="21" xfId="0" applyFill="1" applyBorder="1"/>
    <xf numFmtId="0" fontId="2" fillId="33" borderId="21" xfId="0" applyFont="1" applyFill="1" applyBorder="1"/>
    <xf numFmtId="0" fontId="0" fillId="33" borderId="0" xfId="0" quotePrefix="1" applyFont="1" applyFill="1" applyBorder="1" applyAlignment="1">
      <alignment horizontal="right"/>
    </xf>
    <xf numFmtId="0" fontId="0" fillId="0" borderId="0" xfId="0" applyFill="1"/>
    <xf numFmtId="164" fontId="0" fillId="0" borderId="0" xfId="2" applyFont="1" applyFill="1" applyBorder="1" applyAlignment="1">
      <alignment horizontal="center"/>
    </xf>
    <xf numFmtId="0" fontId="32" fillId="0" borderId="0" xfId="0" applyFont="1" applyFill="1"/>
    <xf numFmtId="0" fontId="29" fillId="30" borderId="47" xfId="50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47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48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54" xfId="0" applyFill="1" applyBorder="1" applyAlignment="1">
      <alignment horizontal="center"/>
    </xf>
    <xf numFmtId="44" fontId="0" fillId="5" borderId="46" xfId="0" applyNumberFormat="1" applyFill="1" applyBorder="1" applyAlignment="1">
      <alignment horizontal="center"/>
    </xf>
    <xf numFmtId="44" fontId="0" fillId="5" borderId="23" xfId="0" applyNumberFormat="1" applyFill="1" applyBorder="1" applyAlignment="1">
      <alignment horizontal="center"/>
    </xf>
    <xf numFmtId="44" fontId="0" fillId="5" borderId="47" xfId="0" applyNumberFormat="1" applyFill="1" applyBorder="1" applyAlignment="1">
      <alignment horizontal="center"/>
    </xf>
    <xf numFmtId="44" fontId="0" fillId="5" borderId="24" xfId="0" applyNumberFormat="1" applyFill="1" applyBorder="1" applyAlignment="1">
      <alignment horizontal="center"/>
    </xf>
    <xf numFmtId="44" fontId="0" fillId="5" borderId="48" xfId="0" applyNumberFormat="1" applyFill="1" applyBorder="1" applyAlignment="1">
      <alignment horizontal="center"/>
    </xf>
    <xf numFmtId="44" fontId="0" fillId="5" borderId="26" xfId="0" applyNumberFormat="1" applyFill="1" applyBorder="1" applyAlignment="1">
      <alignment horizontal="center"/>
    </xf>
    <xf numFmtId="0" fontId="0" fillId="4" borderId="56" xfId="0" applyFill="1" applyBorder="1"/>
    <xf numFmtId="0" fontId="0" fillId="4" borderId="22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33" fillId="4" borderId="7" xfId="0" applyFont="1" applyFill="1" applyBorder="1" applyAlignment="1">
      <alignment horizontal="left"/>
    </xf>
    <xf numFmtId="0" fontId="27" fillId="7" borderId="1" xfId="0" applyFont="1" applyFill="1" applyBorder="1" applyAlignment="1">
      <alignment horizontal="center" wrapText="1"/>
    </xf>
    <xf numFmtId="0" fontId="27" fillId="7" borderId="1" xfId="0" applyFont="1" applyFill="1" applyBorder="1" applyAlignment="1">
      <alignment horizontal="left" wrapText="1"/>
    </xf>
    <xf numFmtId="43" fontId="29" fillId="2" borderId="1" xfId="52" applyNumberFormat="1" applyFont="1" applyFill="1" applyBorder="1"/>
    <xf numFmtId="0" fontId="0" fillId="7" borderId="0" xfId="0" applyFont="1" applyFill="1" applyAlignment="1"/>
    <xf numFmtId="0" fontId="0" fillId="7" borderId="0" xfId="0" applyFont="1" applyFill="1"/>
    <xf numFmtId="0" fontId="0" fillId="7" borderId="0" xfId="0" applyFont="1" applyFill="1" applyAlignment="1">
      <alignment horizontal="center"/>
    </xf>
    <xf numFmtId="0" fontId="0" fillId="0" borderId="0" xfId="0" applyFont="1"/>
    <xf numFmtId="0" fontId="2" fillId="31" borderId="0" xfId="0" quotePrefix="1" applyFont="1" applyFill="1" applyBorder="1" applyAlignment="1">
      <alignment horizontal="left" wrapText="1"/>
    </xf>
    <xf numFmtId="0" fontId="40" fillId="4" borderId="0" xfId="0" applyFont="1" applyFill="1" applyAlignment="1">
      <alignment horizontal="left"/>
    </xf>
    <xf numFmtId="0" fontId="40" fillId="4" borderId="0" xfId="0" applyFont="1" applyFill="1" applyBorder="1" applyAlignment="1">
      <alignment horizontal="left"/>
    </xf>
    <xf numFmtId="0" fontId="40" fillId="4" borderId="0" xfId="0" applyFont="1" applyFill="1" applyBorder="1"/>
    <xf numFmtId="0" fontId="29" fillId="30" borderId="5" xfId="50" applyBorder="1" applyAlignment="1">
      <alignment horizontal="center"/>
    </xf>
    <xf numFmtId="43" fontId="29" fillId="35" borderId="1" xfId="52" applyNumberFormat="1" applyFont="1" applyFill="1" applyBorder="1"/>
    <xf numFmtId="43" fontId="29" fillId="35" borderId="49" xfId="52" applyNumberFormat="1" applyFont="1" applyFill="1" applyBorder="1"/>
    <xf numFmtId="168" fontId="27" fillId="2" borderId="51" xfId="0" applyNumberFormat="1" applyFont="1" applyFill="1" applyBorder="1" applyAlignment="1">
      <alignment horizontal="center" wrapText="1"/>
    </xf>
    <xf numFmtId="168" fontId="27" fillId="2" borderId="52" xfId="0" applyNumberFormat="1" applyFont="1" applyFill="1" applyBorder="1" applyAlignment="1">
      <alignment horizontal="center" wrapText="1"/>
    </xf>
    <xf numFmtId="43" fontId="29" fillId="2" borderId="2" xfId="52" applyNumberFormat="1" applyFont="1" applyFill="1" applyBorder="1"/>
    <xf numFmtId="43" fontId="27" fillId="2" borderId="51" xfId="52" applyNumberFormat="1" applyFont="1" applyFill="1" applyBorder="1" applyAlignment="1">
      <alignment horizontal="center" wrapText="1"/>
    </xf>
    <xf numFmtId="43" fontId="27" fillId="2" borderId="53" xfId="52" applyNumberFormat="1" applyFont="1" applyFill="1" applyBorder="1" applyAlignment="1">
      <alignment horizontal="center" wrapText="1"/>
    </xf>
    <xf numFmtId="168" fontId="27" fillId="2" borderId="52" xfId="52" applyNumberFormat="1" applyFont="1" applyFill="1" applyBorder="1" applyAlignment="1">
      <alignment horizontal="center" wrapText="1"/>
    </xf>
    <xf numFmtId="43" fontId="29" fillId="35" borderId="2" xfId="52" applyNumberFormat="1" applyFont="1" applyFill="1" applyBorder="1"/>
    <xf numFmtId="43" fontId="27" fillId="35" borderId="51" xfId="52" applyNumberFormat="1" applyFont="1" applyFill="1" applyBorder="1" applyAlignment="1">
      <alignment horizontal="center" wrapText="1"/>
    </xf>
    <xf numFmtId="43" fontId="27" fillId="2" borderId="52" xfId="52" applyNumberFormat="1" applyFont="1" applyFill="1" applyBorder="1" applyAlignment="1">
      <alignment horizontal="center" wrapText="1"/>
    </xf>
    <xf numFmtId="0" fontId="29" fillId="30" borderId="55" xfId="50" applyBorder="1" applyAlignment="1">
      <alignment horizontal="center"/>
    </xf>
    <xf numFmtId="0" fontId="29" fillId="30" borderId="2" xfId="50" applyBorder="1" applyAlignment="1">
      <alignment horizontal="center"/>
    </xf>
    <xf numFmtId="0" fontId="29" fillId="30" borderId="43" xfId="50" applyBorder="1" applyAlignment="1">
      <alignment horizontal="center"/>
    </xf>
    <xf numFmtId="0" fontId="27" fillId="7" borderId="50" xfId="0" applyFont="1" applyFill="1" applyBorder="1" applyAlignment="1">
      <alignment horizontal="center" wrapText="1"/>
    </xf>
    <xf numFmtId="0" fontId="27" fillId="7" borderId="51" xfId="0" applyFont="1" applyFill="1" applyBorder="1" applyAlignment="1">
      <alignment horizontal="center" wrapText="1"/>
    </xf>
    <xf numFmtId="0" fontId="27" fillId="7" borderId="52" xfId="0" applyFont="1" applyFill="1" applyBorder="1" applyAlignment="1">
      <alignment horizontal="center" wrapText="1"/>
    </xf>
    <xf numFmtId="0" fontId="27" fillId="2" borderId="51" xfId="0" applyFont="1" applyFill="1" applyBorder="1" applyAlignment="1">
      <alignment horizontal="center" wrapText="1"/>
    </xf>
    <xf numFmtId="0" fontId="27" fillId="2" borderId="52" xfId="0" applyFont="1" applyFill="1" applyBorder="1" applyAlignment="1">
      <alignment horizontal="center" wrapText="1"/>
    </xf>
    <xf numFmtId="43" fontId="29" fillId="2" borderId="2" xfId="52" applyNumberFormat="1" applyFont="1" applyFill="1" applyBorder="1" applyAlignment="1">
      <alignment horizontal="center"/>
    </xf>
    <xf numFmtId="43" fontId="29" fillId="2" borderId="1" xfId="52" applyNumberFormat="1" applyFont="1" applyFill="1" applyBorder="1" applyAlignment="1">
      <alignment horizontal="center"/>
    </xf>
    <xf numFmtId="168" fontId="0" fillId="37" borderId="21" xfId="0" applyNumberFormat="1" applyFont="1" applyFill="1" applyBorder="1" applyAlignment="1"/>
    <xf numFmtId="0" fontId="0" fillId="4" borderId="29" xfId="0" applyFill="1" applyBorder="1" applyAlignment="1">
      <alignment horizontal="left"/>
    </xf>
    <xf numFmtId="0" fontId="0" fillId="4" borderId="31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33" fillId="4" borderId="6" xfId="0" applyFont="1" applyFill="1" applyBorder="1" applyAlignment="1">
      <alignment horizontal="left"/>
    </xf>
    <xf numFmtId="169" fontId="0" fillId="4" borderId="0" xfId="53" applyFont="1" applyFill="1"/>
    <xf numFmtId="0" fontId="0" fillId="2" borderId="47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170" fontId="0" fillId="7" borderId="0" xfId="52" applyNumberFormat="1" applyFont="1" applyFill="1"/>
    <xf numFmtId="170" fontId="27" fillId="7" borderId="5" xfId="52" applyNumberFormat="1" applyFont="1" applyFill="1" applyBorder="1" applyAlignment="1">
      <alignment horizontal="center" wrapText="1"/>
    </xf>
    <xf numFmtId="170" fontId="29" fillId="30" borderId="5" xfId="52" applyNumberFormat="1" applyFont="1" applyFill="1" applyBorder="1"/>
    <xf numFmtId="170" fontId="0" fillId="0" borderId="0" xfId="0" applyNumberFormat="1"/>
    <xf numFmtId="43" fontId="29" fillId="2" borderId="49" xfId="52" applyNumberFormat="1" applyFont="1" applyFill="1" applyBorder="1"/>
    <xf numFmtId="43" fontId="29" fillId="2" borderId="49" xfId="52" applyNumberFormat="1" applyFont="1" applyFill="1" applyBorder="1" applyAlignment="1">
      <alignment horizontal="center"/>
    </xf>
    <xf numFmtId="168" fontId="29" fillId="2" borderId="2" xfId="52" applyNumberFormat="1" applyFont="1" applyFill="1" applyBorder="1" applyAlignment="1">
      <alignment horizontal="center"/>
    </xf>
    <xf numFmtId="168" fontId="29" fillId="2" borderId="1" xfId="52" applyNumberFormat="1" applyFont="1" applyFill="1" applyBorder="1" applyAlignment="1">
      <alignment horizontal="center"/>
    </xf>
    <xf numFmtId="168" fontId="29" fillId="2" borderId="49" xfId="52" applyNumberFormat="1" applyFont="1" applyFill="1" applyBorder="1" applyAlignment="1">
      <alignment horizontal="center"/>
    </xf>
    <xf numFmtId="168" fontId="0" fillId="0" borderId="0" xfId="0" applyNumberFormat="1" applyAlignment="1">
      <alignment horizontal="center"/>
    </xf>
    <xf numFmtId="170" fontId="29" fillId="30" borderId="10" xfId="52" applyNumberFormat="1" applyFont="1" applyFill="1" applyBorder="1"/>
    <xf numFmtId="43" fontId="29" fillId="30" borderId="52" xfId="50" applyNumberFormat="1" applyBorder="1" applyAlignment="1">
      <alignment horizontal="center"/>
    </xf>
    <xf numFmtId="43" fontId="29" fillId="30" borderId="51" xfId="50" applyNumberFormat="1" applyBorder="1"/>
    <xf numFmtId="43" fontId="29" fillId="30" borderId="51" xfId="50" applyNumberFormat="1" applyBorder="1" applyAlignment="1">
      <alignment horizontal="center"/>
    </xf>
    <xf numFmtId="43" fontId="0" fillId="7" borderId="0" xfId="52" applyNumberFormat="1" applyFont="1" applyFill="1"/>
    <xf numFmtId="43" fontId="27" fillId="7" borderId="5" xfId="52" applyNumberFormat="1" applyFont="1" applyFill="1" applyBorder="1" applyAlignment="1">
      <alignment horizontal="center" wrapText="1"/>
    </xf>
    <xf numFmtId="43" fontId="27" fillId="34" borderId="51" xfId="52" applyNumberFormat="1" applyFont="1" applyFill="1" applyBorder="1" applyAlignment="1">
      <alignment horizontal="center" wrapText="1"/>
    </xf>
    <xf numFmtId="43" fontId="29" fillId="30" borderId="5" xfId="52" applyNumberFormat="1" applyFont="1" applyFill="1" applyBorder="1"/>
    <xf numFmtId="43" fontId="29" fillId="34" borderId="2" xfId="52" applyNumberFormat="1" applyFont="1" applyFill="1" applyBorder="1"/>
    <xf numFmtId="43" fontId="29" fillId="34" borderId="1" xfId="52" applyNumberFormat="1" applyFont="1" applyFill="1" applyBorder="1"/>
    <xf numFmtId="43" fontId="29" fillId="30" borderId="10" xfId="52" applyNumberFormat="1" applyFont="1" applyFill="1" applyBorder="1"/>
    <xf numFmtId="43" fontId="29" fillId="34" borderId="49" xfId="52" applyNumberFormat="1" applyFont="1" applyFill="1" applyBorder="1"/>
    <xf numFmtId="43" fontId="0" fillId="0" borderId="0" xfId="0" applyNumberFormat="1"/>
    <xf numFmtId="43" fontId="29" fillId="30" borderId="59" xfId="50" applyNumberFormat="1" applyBorder="1" applyAlignment="1">
      <alignment horizontal="center"/>
    </xf>
    <xf numFmtId="43" fontId="29" fillId="30" borderId="50" xfId="50" applyNumberFormat="1" applyBorder="1" applyAlignment="1">
      <alignment horizontal="center"/>
    </xf>
    <xf numFmtId="0" fontId="28" fillId="4" borderId="0" xfId="0" applyFont="1" applyFill="1"/>
    <xf numFmtId="43" fontId="0" fillId="4" borderId="0" xfId="0" applyNumberFormat="1" applyFill="1"/>
    <xf numFmtId="0" fontId="0" fillId="0" borderId="0" xfId="0" applyBorder="1" applyAlignment="1">
      <alignment horizontal="center"/>
    </xf>
    <xf numFmtId="169" fontId="38" fillId="4" borderId="0" xfId="0" applyNumberFormat="1" applyFont="1" applyFill="1" applyAlignment="1">
      <alignment horizontal="center"/>
    </xf>
    <xf numFmtId="0" fontId="41" fillId="4" borderId="1" xfId="0" applyFont="1" applyFill="1" applyBorder="1"/>
    <xf numFmtId="169" fontId="0" fillId="4" borderId="0" xfId="0" applyNumberFormat="1" applyFill="1" applyBorder="1"/>
    <xf numFmtId="0" fontId="0" fillId="4" borderId="0" xfId="0" quotePrefix="1" applyFont="1" applyFill="1" applyBorder="1" applyAlignment="1">
      <alignment horizontal="left"/>
    </xf>
    <xf numFmtId="43" fontId="42" fillId="36" borderId="50" xfId="52" applyNumberFormat="1" applyFont="1" applyFill="1" applyBorder="1" applyAlignment="1">
      <alignment horizontal="center" wrapText="1"/>
    </xf>
    <xf numFmtId="43" fontId="41" fillId="36" borderId="2" xfId="52" applyNumberFormat="1" applyFont="1" applyFill="1" applyBorder="1"/>
    <xf numFmtId="43" fontId="41" fillId="36" borderId="1" xfId="52" applyNumberFormat="1" applyFont="1" applyFill="1" applyBorder="1"/>
    <xf numFmtId="43" fontId="41" fillId="36" borderId="49" xfId="52" applyNumberFormat="1" applyFont="1" applyFill="1" applyBorder="1"/>
    <xf numFmtId="43" fontId="41" fillId="30" borderId="50" xfId="50" applyNumberFormat="1" applyFont="1" applyBorder="1"/>
    <xf numFmtId="0" fontId="41" fillId="0" borderId="0" xfId="0" applyFont="1"/>
    <xf numFmtId="43" fontId="42" fillId="32" borderId="51" xfId="52" applyNumberFormat="1" applyFont="1" applyFill="1" applyBorder="1" applyAlignment="1">
      <alignment horizontal="center" wrapText="1"/>
    </xf>
    <xf numFmtId="43" fontId="41" fillId="32" borderId="2" xfId="52" applyNumberFormat="1" applyFont="1" applyFill="1" applyBorder="1"/>
    <xf numFmtId="43" fontId="41" fillId="32" borderId="1" xfId="52" applyNumberFormat="1" applyFont="1" applyFill="1" applyBorder="1"/>
    <xf numFmtId="43" fontId="41" fillId="32" borderId="49" xfId="52" applyNumberFormat="1" applyFont="1" applyFill="1" applyBorder="1"/>
    <xf numFmtId="43" fontId="41" fillId="30" borderId="51" xfId="50" applyNumberFormat="1" applyFont="1" applyBorder="1"/>
    <xf numFmtId="43" fontId="42" fillId="33" borderId="50" xfId="52" applyNumberFormat="1" applyFont="1" applyFill="1" applyBorder="1" applyAlignment="1">
      <alignment horizontal="center" wrapText="1"/>
    </xf>
    <xf numFmtId="43" fontId="41" fillId="33" borderId="45" xfId="52" applyNumberFormat="1" applyFont="1" applyFill="1" applyBorder="1"/>
    <xf numFmtId="43" fontId="41" fillId="33" borderId="7" xfId="52" applyNumberFormat="1" applyFont="1" applyFill="1" applyBorder="1"/>
    <xf numFmtId="43" fontId="41" fillId="33" borderId="11" xfId="52" applyNumberFormat="1" applyFont="1" applyFill="1" applyBorder="1"/>
    <xf numFmtId="43" fontId="42" fillId="33" borderId="53" xfId="52" applyNumberFormat="1" applyFont="1" applyFill="1" applyBorder="1" applyAlignment="1">
      <alignment horizontal="center" wrapText="1"/>
    </xf>
    <xf numFmtId="43" fontId="41" fillId="33" borderId="2" xfId="52" applyNumberFormat="1" applyFont="1" applyFill="1" applyBorder="1"/>
    <xf numFmtId="43" fontId="41" fillId="33" borderId="1" xfId="52" applyNumberFormat="1" applyFont="1" applyFill="1" applyBorder="1"/>
    <xf numFmtId="43" fontId="41" fillId="33" borderId="49" xfId="52" applyNumberFormat="1" applyFont="1" applyFill="1" applyBorder="1"/>
    <xf numFmtId="43" fontId="42" fillId="33" borderId="51" xfId="52" applyNumberFormat="1" applyFont="1" applyFill="1" applyBorder="1" applyAlignment="1">
      <alignment horizontal="center" wrapText="1"/>
    </xf>
    <xf numFmtId="0" fontId="42" fillId="37" borderId="50" xfId="0" applyNumberFormat="1" applyFont="1" applyFill="1" applyBorder="1" applyAlignment="1">
      <alignment horizontal="center" wrapText="1"/>
    </xf>
    <xf numFmtId="0" fontId="41" fillId="37" borderId="2" xfId="51" applyNumberFormat="1" applyFont="1" applyFill="1" applyBorder="1" applyAlignment="1">
      <alignment horizontal="center"/>
    </xf>
    <xf numFmtId="0" fontId="41" fillId="37" borderId="1" xfId="51" applyNumberFormat="1" applyFont="1" applyFill="1" applyBorder="1" applyAlignment="1">
      <alignment horizontal="center"/>
    </xf>
    <xf numFmtId="0" fontId="41" fillId="37" borderId="49" xfId="51" applyNumberFormat="1" applyFont="1" applyFill="1" applyBorder="1" applyAlignment="1">
      <alignment horizontal="center"/>
    </xf>
    <xf numFmtId="0" fontId="41" fillId="30" borderId="50" xfId="50" applyNumberFormat="1" applyFont="1" applyBorder="1" applyAlignment="1">
      <alignment horizontal="center"/>
    </xf>
    <xf numFmtId="0" fontId="41" fillId="0" borderId="0" xfId="0" applyNumberFormat="1" applyFont="1" applyAlignment="1">
      <alignment horizontal="center"/>
    </xf>
    <xf numFmtId="0" fontId="42" fillId="37" borderId="51" xfId="0" applyNumberFormat="1" applyFont="1" applyFill="1" applyBorder="1" applyAlignment="1">
      <alignment horizontal="center" wrapText="1"/>
    </xf>
    <xf numFmtId="0" fontId="41" fillId="30" borderId="51" xfId="50" applyNumberFormat="1" applyFont="1" applyBorder="1" applyAlignment="1">
      <alignment horizontal="center"/>
    </xf>
    <xf numFmtId="0" fontId="41" fillId="30" borderId="59" xfId="50" applyNumberFormat="1" applyFont="1" applyBorder="1" applyAlignment="1">
      <alignment horizontal="center"/>
    </xf>
    <xf numFmtId="43" fontId="41" fillId="36" borderId="5" xfId="52" applyNumberFormat="1" applyFont="1" applyFill="1" applyBorder="1"/>
    <xf numFmtId="43" fontId="41" fillId="36" borderId="10" xfId="52" applyNumberFormat="1" applyFont="1" applyFill="1" applyBorder="1"/>
    <xf numFmtId="43" fontId="41" fillId="0" borderId="0" xfId="0" applyNumberFormat="1" applyFont="1"/>
    <xf numFmtId="43" fontId="41" fillId="32" borderId="43" xfId="52" applyNumberFormat="1" applyFont="1" applyFill="1" applyBorder="1"/>
    <xf numFmtId="43" fontId="41" fillId="32" borderId="5" xfId="52" applyNumberFormat="1" applyFont="1" applyFill="1" applyBorder="1"/>
    <xf numFmtId="0" fontId="42" fillId="37" borderId="50" xfId="0" applyFont="1" applyFill="1" applyBorder="1" applyAlignment="1">
      <alignment horizontal="center" wrapText="1"/>
    </xf>
    <xf numFmtId="0" fontId="42" fillId="37" borderId="51" xfId="0" applyFont="1" applyFill="1" applyBorder="1" applyAlignment="1">
      <alignment horizontal="center" wrapText="1"/>
    </xf>
    <xf numFmtId="172" fontId="0" fillId="3" borderId="30" xfId="1" applyFont="1" applyFill="1" applyBorder="1" applyAlignment="1" applyProtection="1">
      <alignment horizontal="center"/>
      <protection locked="0"/>
    </xf>
    <xf numFmtId="0" fontId="0" fillId="3" borderId="23" xfId="2" applyNumberFormat="1" applyFont="1" applyFill="1" applyBorder="1" applyAlignment="1" applyProtection="1">
      <alignment horizontal="center"/>
      <protection locked="0"/>
    </xf>
    <xf numFmtId="0" fontId="0" fillId="3" borderId="26" xfId="2" applyNumberFormat="1" applyFont="1" applyFill="1" applyBorder="1" applyAlignment="1" applyProtection="1">
      <alignment horizontal="center"/>
      <protection locked="0"/>
    </xf>
    <xf numFmtId="0" fontId="0" fillId="3" borderId="42" xfId="2" applyNumberFormat="1" applyFont="1" applyFill="1" applyBorder="1" applyAlignment="1" applyProtection="1">
      <alignment horizontal="center"/>
      <protection locked="0"/>
    </xf>
    <xf numFmtId="0" fontId="0" fillId="3" borderId="24" xfId="2" applyNumberFormat="1" applyFont="1" applyFill="1" applyBorder="1" applyAlignment="1" applyProtection="1">
      <alignment horizontal="center"/>
      <protection locked="0"/>
    </xf>
    <xf numFmtId="172" fontId="0" fillId="3" borderId="23" xfId="1" applyFont="1" applyFill="1" applyBorder="1" applyAlignment="1" applyProtection="1">
      <alignment horizontal="center"/>
      <protection locked="0"/>
    </xf>
    <xf numFmtId="172" fontId="0" fillId="3" borderId="24" xfId="1" applyFont="1" applyFill="1" applyBorder="1" applyAlignment="1" applyProtection="1">
      <alignment horizontal="center"/>
      <protection locked="0"/>
    </xf>
    <xf numFmtId="172" fontId="0" fillId="3" borderId="26" xfId="1" applyFont="1" applyFill="1" applyBorder="1" applyAlignment="1" applyProtection="1">
      <alignment horizontal="center"/>
      <protection locked="0"/>
    </xf>
    <xf numFmtId="0" fontId="0" fillId="3" borderId="27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57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6" fontId="0" fillId="4" borderId="0" xfId="0" applyNumberFormat="1" applyFill="1"/>
    <xf numFmtId="6" fontId="0" fillId="4" borderId="0" xfId="0" applyNumberFormat="1" applyFill="1" applyBorder="1"/>
    <xf numFmtId="166" fontId="0" fillId="4" borderId="0" xfId="0" applyNumberFormat="1" applyFill="1"/>
    <xf numFmtId="167" fontId="29" fillId="2" borderId="2" xfId="52" applyNumberFormat="1" applyFont="1" applyFill="1" applyBorder="1"/>
    <xf numFmtId="167" fontId="29" fillId="2" borderId="1" xfId="52" applyNumberFormat="1" applyFont="1" applyFill="1" applyBorder="1"/>
    <xf numFmtId="43" fontId="29" fillId="30" borderId="51" xfId="50" applyNumberFormat="1" applyFont="1" applyBorder="1" applyAlignment="1">
      <alignment horizontal="center"/>
    </xf>
    <xf numFmtId="43" fontId="29" fillId="30" borderId="52" xfId="50" applyNumberFormat="1" applyFont="1" applyBorder="1" applyAlignment="1">
      <alignment horizontal="center"/>
    </xf>
    <xf numFmtId="171" fontId="0" fillId="3" borderId="24" xfId="3" applyFont="1" applyFill="1" applyBorder="1" applyAlignment="1" applyProtection="1">
      <alignment horizontal="center"/>
      <protection locked="0"/>
    </xf>
    <xf numFmtId="172" fontId="0" fillId="32" borderId="1" xfId="1" applyFont="1" applyFill="1" applyBorder="1" applyAlignment="1">
      <alignment horizontal="right"/>
    </xf>
    <xf numFmtId="172" fontId="41" fillId="34" borderId="1" xfId="1" applyFont="1" applyFill="1" applyBorder="1" applyAlignment="1">
      <alignment horizontal="right"/>
    </xf>
    <xf numFmtId="172" fontId="0" fillId="34" borderId="1" xfId="1" applyFont="1" applyFill="1" applyBorder="1" applyAlignment="1">
      <alignment horizontal="right"/>
    </xf>
    <xf numFmtId="7" fontId="0" fillId="0" borderId="0" xfId="0" applyNumberFormat="1"/>
    <xf numFmtId="0" fontId="2" fillId="31" borderId="0" xfId="0" quotePrefix="1" applyFont="1" applyFill="1" applyBorder="1" applyAlignment="1">
      <alignment horizontal="left" wrapText="1"/>
    </xf>
    <xf numFmtId="0" fontId="0" fillId="4" borderId="9" xfId="0" applyFill="1" applyBorder="1" applyAlignment="1">
      <alignment horizontal="left" vertical="center"/>
    </xf>
    <xf numFmtId="0" fontId="0" fillId="3" borderId="5" xfId="0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horizontal="center"/>
      <protection locked="0"/>
    </xf>
    <xf numFmtId="0" fontId="0" fillId="31" borderId="0" xfId="0" quotePrefix="1" applyFont="1" applyFill="1" applyBorder="1" applyAlignment="1">
      <alignment horizontal="center" vertical="center" wrapText="1"/>
    </xf>
    <xf numFmtId="172" fontId="34" fillId="4" borderId="0" xfId="1" applyFont="1" applyFill="1" applyBorder="1" applyAlignment="1">
      <alignment horizontal="center"/>
    </xf>
    <xf numFmtId="0" fontId="0" fillId="31" borderId="0" xfId="0" quotePrefix="1" applyFont="1" applyFill="1" applyBorder="1" applyAlignment="1">
      <alignment horizontal="right" vertical="center"/>
    </xf>
    <xf numFmtId="0" fontId="0" fillId="7" borderId="1" xfId="0" applyFont="1" applyFill="1" applyBorder="1" applyAlignment="1">
      <alignment horizontal="center"/>
    </xf>
    <xf numFmtId="43" fontId="0" fillId="35" borderId="49" xfId="52" applyNumberFormat="1" applyFont="1" applyFill="1" applyBorder="1" applyAlignment="1">
      <alignment horizontal="center"/>
    </xf>
    <xf numFmtId="168" fontId="0" fillId="33" borderId="49" xfId="52" applyNumberFormat="1" applyFont="1" applyFill="1" applyBorder="1" applyAlignment="1">
      <alignment horizontal="center"/>
    </xf>
    <xf numFmtId="168" fontId="0" fillId="33" borderId="1" xfId="52" applyNumberFormat="1" applyFont="1" applyFill="1" applyBorder="1" applyAlignment="1">
      <alignment horizontal="center"/>
    </xf>
    <xf numFmtId="0" fontId="0" fillId="37" borderId="58" xfId="0" applyNumberFormat="1" applyFont="1" applyFill="1" applyBorder="1" applyAlignment="1">
      <alignment horizontal="center"/>
    </xf>
    <xf numFmtId="0" fontId="0" fillId="37" borderId="21" xfId="0" applyNumberFormat="1" applyFont="1" applyFill="1" applyBorder="1" applyAlignment="1">
      <alignment horizontal="center"/>
    </xf>
    <xf numFmtId="43" fontId="0" fillId="33" borderId="49" xfId="52" applyNumberFormat="1" applyFont="1" applyFill="1" applyBorder="1" applyAlignment="1">
      <alignment horizontal="center"/>
    </xf>
    <xf numFmtId="0" fontId="0" fillId="37" borderId="49" xfId="0" applyFont="1" applyFill="1" applyBorder="1" applyAlignment="1">
      <alignment horizontal="center"/>
    </xf>
    <xf numFmtId="0" fontId="0" fillId="7" borderId="49" xfId="0" applyFont="1" applyFill="1" applyBorder="1" applyAlignment="1">
      <alignment horizontal="center"/>
    </xf>
    <xf numFmtId="0" fontId="0" fillId="33" borderId="0" xfId="0" quotePrefix="1" applyFont="1" applyFill="1" applyBorder="1" applyAlignment="1">
      <alignment horizontal="right" vertical="center"/>
    </xf>
    <xf numFmtId="0" fontId="0" fillId="33" borderId="21" xfId="0" quotePrefix="1" applyFont="1" applyFill="1" applyBorder="1" applyAlignment="1">
      <alignment horizontal="right" vertical="center"/>
    </xf>
    <xf numFmtId="0" fontId="0" fillId="4" borderId="0" xfId="0" applyFill="1" applyBorder="1" applyAlignment="1">
      <alignment horizontal="left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0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0" borderId="44" xfId="0" applyBorder="1" applyAlignment="1">
      <alignment horizontal="center"/>
    </xf>
  </cellXfs>
  <cellStyles count="54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" xfId="52" builtinId="3"/>
    <cellStyle name="Count" xfId="2"/>
    <cellStyle name="Currency" xfId="51" builtinId="4"/>
    <cellStyle name="Currency 2" xfId="32"/>
    <cellStyle name="Dollar" xfId="1"/>
    <cellStyle name="Explanatory Text 2" xfId="33"/>
    <cellStyle name="Formulated" xfId="50"/>
    <cellStyle name="Good 2" xfId="34"/>
    <cellStyle name="Heading 1 2" xfId="35"/>
    <cellStyle name="Heading 2 2" xfId="36"/>
    <cellStyle name="Heading 3 2" xfId="37"/>
    <cellStyle name="Heading 4 2" xfId="38"/>
    <cellStyle name="Hidden" xfId="53"/>
    <cellStyle name="Input 2" xfId="39"/>
    <cellStyle name="Linked Cell 2" xfId="40"/>
    <cellStyle name="Neutral 2" xfId="41"/>
    <cellStyle name="Normal" xfId="0" builtinId="0"/>
    <cellStyle name="Normal 2" xfId="4"/>
    <cellStyle name="Normal 2 2" xfId="42"/>
    <cellStyle name="Normal 2 3" xfId="43"/>
    <cellStyle name="Normal 3" xfId="44"/>
    <cellStyle name="Note 2" xfId="45"/>
    <cellStyle name="Output 2" xfId="46"/>
    <cellStyle name="Perc" xfId="3"/>
    <cellStyle name="Title 2" xfId="47"/>
    <cellStyle name="Total 2" xfId="48"/>
    <cellStyle name="Warning Text 2" xfId="49"/>
  </cellStyles>
  <dxfs count="12">
    <dxf>
      <font>
        <color rgb="FFFF0000"/>
      </font>
    </dxf>
    <dxf>
      <font>
        <color rgb="FFFF0000"/>
      </font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CC"/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Drop" dropLines="5" dropStyle="combo" dx="20" fmlaLink="$K$12" fmlaRange="Cost_Sharing_List_5" noThreeD="1" sel="1" val="0"/>
</file>

<file path=xl/ctrlProps/ctrlProp11.xml><?xml version="1.0" encoding="utf-8"?>
<formControlPr xmlns="http://schemas.microsoft.com/office/spreadsheetml/2009/9/main" objectType="Drop" dropLines="4" dropStyle="combo" dx="20" fmlaLink="$K$13" fmlaRange="Cost_Sharing_List_4" noThreeD="1" sel="3" val="0"/>
</file>

<file path=xl/ctrlProps/ctrlProp12.xml><?xml version="1.0" encoding="utf-8"?>
<formControlPr xmlns="http://schemas.microsoft.com/office/spreadsheetml/2009/9/main" objectType="Drop" dropLines="4" dropStyle="combo" dx="20" fmlaLink="$K$14" fmlaRange="Cost_Sharing_List_4" noThreeD="1" sel="1" val="0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Drop" dropLines="4" dropStyle="combo" dx="20" fmlaLink="$K$7" fmlaRange="Cost_Sharing_List_4" noThreeD="1" sel="3" val="0"/>
</file>

<file path=xl/ctrlProps/ctrlProp6.xml><?xml version="1.0" encoding="utf-8"?>
<formControlPr xmlns="http://schemas.microsoft.com/office/spreadsheetml/2009/9/main" objectType="Drop" dropLines="4" dropStyle="combo" dx="20" fmlaLink="$K$8" fmlaRange="Cost_Sharing_List_4" noThreeD="1" sel="1" val="0"/>
</file>

<file path=xl/ctrlProps/ctrlProp7.xml><?xml version="1.0" encoding="utf-8"?>
<formControlPr xmlns="http://schemas.microsoft.com/office/spreadsheetml/2009/9/main" objectType="Drop" dropLines="4" dropStyle="combo" dx="20" fmlaLink="$K$9" fmlaRange="Cost_Sharing_List_4" noThreeD="1" sel="2" val="0"/>
</file>

<file path=xl/ctrlProps/ctrlProp8.xml><?xml version="1.0" encoding="utf-8"?>
<formControlPr xmlns="http://schemas.microsoft.com/office/spreadsheetml/2009/9/main" objectType="Drop" dropLines="4" dropStyle="combo" dx="20" fmlaLink="$K$10" fmlaRange="Cost_Sharing_List_4" noThreeD="1" sel="3" val="0"/>
</file>

<file path=xl/ctrlProps/ctrlProp9.xml><?xml version="1.0" encoding="utf-8"?>
<formControlPr xmlns="http://schemas.microsoft.com/office/spreadsheetml/2009/9/main" objectType="Drop" dropLines="4" dropStyle="combo" dx="20" fmlaLink="$K$11" fmlaRange="Cost_Sharing_List_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21</xdr:row>
          <xdr:rowOff>47625</xdr:rowOff>
        </xdr:from>
        <xdr:to>
          <xdr:col>7</xdr:col>
          <xdr:colOff>971550</xdr:colOff>
          <xdr:row>22</xdr:row>
          <xdr:rowOff>171450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Let's Get Started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29</xdr:row>
          <xdr:rowOff>28575</xdr:rowOff>
        </xdr:from>
        <xdr:to>
          <xdr:col>7</xdr:col>
          <xdr:colOff>742950</xdr:colOff>
          <xdr:row>30</xdr:row>
          <xdr:rowOff>161925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Run the Calculator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</xdr:colOff>
          <xdr:row>2</xdr:row>
          <xdr:rowOff>57150</xdr:rowOff>
        </xdr:from>
        <xdr:to>
          <xdr:col>12</xdr:col>
          <xdr:colOff>666750</xdr:colOff>
          <xdr:row>3</xdr:row>
          <xdr:rowOff>95250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Calibri"/>
                </a:rPr>
                <a:t>Clear All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</xdr:colOff>
          <xdr:row>0</xdr:row>
          <xdr:rowOff>57150</xdr:rowOff>
        </xdr:from>
        <xdr:to>
          <xdr:col>12</xdr:col>
          <xdr:colOff>666750</xdr:colOff>
          <xdr:row>1</xdr:row>
          <xdr:rowOff>133350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Calibri"/>
                </a:rPr>
                <a:t>Automated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6</xdr:row>
          <xdr:rowOff>19050</xdr:rowOff>
        </xdr:from>
        <xdr:to>
          <xdr:col>9</xdr:col>
          <xdr:colOff>971550</xdr:colOff>
          <xdr:row>6</xdr:row>
          <xdr:rowOff>171450</xdr:rowOff>
        </xdr:to>
        <xdr:sp macro="" textlink="">
          <xdr:nvSpPr>
            <xdr:cNvPr id="1033" name="dd_DME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7</xdr:row>
          <xdr:rowOff>19050</xdr:rowOff>
        </xdr:from>
        <xdr:to>
          <xdr:col>9</xdr:col>
          <xdr:colOff>971550</xdr:colOff>
          <xdr:row>7</xdr:row>
          <xdr:rowOff>171450</xdr:rowOff>
        </xdr:to>
        <xdr:sp macro="" textlink="">
          <xdr:nvSpPr>
            <xdr:cNvPr id="1034" name="dd_RX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8</xdr:row>
          <xdr:rowOff>19050</xdr:rowOff>
        </xdr:from>
        <xdr:to>
          <xdr:col>9</xdr:col>
          <xdr:colOff>971550</xdr:colOff>
          <xdr:row>8</xdr:row>
          <xdr:rowOff>171450</xdr:rowOff>
        </xdr:to>
        <xdr:sp macro="" textlink="">
          <xdr:nvSpPr>
            <xdr:cNvPr id="1035" name="dd_Hospital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9</xdr:row>
          <xdr:rowOff>19050</xdr:rowOff>
        </xdr:from>
        <xdr:to>
          <xdr:col>9</xdr:col>
          <xdr:colOff>971550</xdr:colOff>
          <xdr:row>9</xdr:row>
          <xdr:rowOff>171450</xdr:rowOff>
        </xdr:to>
        <xdr:sp macro="" textlink="">
          <xdr:nvSpPr>
            <xdr:cNvPr id="1036" name="dd_Lab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10</xdr:row>
          <xdr:rowOff>19050</xdr:rowOff>
        </xdr:from>
        <xdr:to>
          <xdr:col>9</xdr:col>
          <xdr:colOff>971550</xdr:colOff>
          <xdr:row>10</xdr:row>
          <xdr:rowOff>171450</xdr:rowOff>
        </xdr:to>
        <xdr:sp macro="" textlink="">
          <xdr:nvSpPr>
            <xdr:cNvPr id="1037" name="dd_Rad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11</xdr:row>
          <xdr:rowOff>19050</xdr:rowOff>
        </xdr:from>
        <xdr:to>
          <xdr:col>9</xdr:col>
          <xdr:colOff>971550</xdr:colOff>
          <xdr:row>11</xdr:row>
          <xdr:rowOff>171450</xdr:rowOff>
        </xdr:to>
        <xdr:sp macro="" textlink="">
          <xdr:nvSpPr>
            <xdr:cNvPr id="1039" name="dd_Obst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12</xdr:row>
          <xdr:rowOff>19050</xdr:rowOff>
        </xdr:from>
        <xdr:to>
          <xdr:col>9</xdr:col>
          <xdr:colOff>971550</xdr:colOff>
          <xdr:row>12</xdr:row>
          <xdr:rowOff>171450</xdr:rowOff>
        </xdr:to>
        <xdr:sp macro="" textlink="">
          <xdr:nvSpPr>
            <xdr:cNvPr id="1040" name="dd_Vaccine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19050</xdr:rowOff>
        </xdr:from>
        <xdr:to>
          <xdr:col>9</xdr:col>
          <xdr:colOff>971550</xdr:colOff>
          <xdr:row>13</xdr:row>
          <xdr:rowOff>171450</xdr:rowOff>
        </xdr:to>
        <xdr:sp macro="" textlink="">
          <xdr:nvSpPr>
            <xdr:cNvPr id="1041" name="dd_Visit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7</xdr:row>
          <xdr:rowOff>38100</xdr:rowOff>
        </xdr:from>
        <xdr:to>
          <xdr:col>8</xdr:col>
          <xdr:colOff>1143000</xdr:colOff>
          <xdr:row>9</xdr:row>
          <xdr:rowOff>66675</xdr:rowOff>
        </xdr:to>
        <xdr:sp macro="" textlink="">
          <xdr:nvSpPr>
            <xdr:cNvPr id="10249" name="Butto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Import &amp; Run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47625</xdr:colOff>
          <xdr:row>0</xdr:row>
          <xdr:rowOff>57150</xdr:rowOff>
        </xdr:from>
        <xdr:to>
          <xdr:col>11</xdr:col>
          <xdr:colOff>600075</xdr:colOff>
          <xdr:row>1</xdr:row>
          <xdr:rowOff>114300</xdr:rowOff>
        </xdr:to>
        <xdr:sp macro="" textlink="">
          <xdr:nvSpPr>
            <xdr:cNvPr id="10253" name="Butto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Calibri"/>
                </a:rPr>
                <a:t>Manual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0</xdr:row>
          <xdr:rowOff>123825</xdr:rowOff>
        </xdr:from>
        <xdr:to>
          <xdr:col>12</xdr:col>
          <xdr:colOff>19050</xdr:colOff>
          <xdr:row>2</xdr:row>
          <xdr:rowOff>85725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Calibri"/>
                </a:rPr>
                <a:t>Manual 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95250</xdr:colOff>
          <xdr:row>0</xdr:row>
          <xdr:rowOff>123825</xdr:rowOff>
        </xdr:from>
        <xdr:to>
          <xdr:col>13</xdr:col>
          <xdr:colOff>638175</xdr:colOff>
          <xdr:row>2</xdr:row>
          <xdr:rowOff>85725</xdr:rowOff>
        </xdr:to>
        <xdr:sp macro="" textlink="">
          <xdr:nvSpPr>
            <xdr:cNvPr id="17411" name="Button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Calibri"/>
                </a:rPr>
                <a:t>Automated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0</xdr:row>
          <xdr:rowOff>171450</xdr:rowOff>
        </xdr:from>
        <xdr:to>
          <xdr:col>9</xdr:col>
          <xdr:colOff>57150</xdr:colOff>
          <xdr:row>2</xdr:row>
          <xdr:rowOff>38100</xdr:rowOff>
        </xdr:to>
        <xdr:sp macro="" textlink="">
          <xdr:nvSpPr>
            <xdr:cNvPr id="19458" name="Button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Calibri"/>
                </a:rPr>
                <a:t>Automated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0</xdr:row>
          <xdr:rowOff>171450</xdr:rowOff>
        </xdr:from>
        <xdr:to>
          <xdr:col>10</xdr:col>
          <xdr:colOff>571500</xdr:colOff>
          <xdr:row>2</xdr:row>
          <xdr:rowOff>38100</xdr:rowOff>
        </xdr:to>
        <xdr:sp macro="" textlink="">
          <xdr:nvSpPr>
            <xdr:cNvPr id="19459" name="Button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Calibri"/>
                </a:rPr>
                <a:t>Manual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7" Type="http://schemas.openxmlformats.org/officeDocument/2006/relationships/ctrlProp" Target="../ctrlProps/ctrlProp18.xml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ctrlProp" Target="../ctrlProps/ctrlProp17.x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printerSettings" Target="../printerSettings/printerSettings15.bin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4.bin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7" Type="http://schemas.openxmlformats.org/officeDocument/2006/relationships/ctrlProp" Target="../ctrlProps/ctrlProp14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1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7" Type="http://schemas.openxmlformats.org/officeDocument/2006/relationships/ctrlProp" Target="../ctrlProps/ctrlProp16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ctrlProp" Target="../ctrlProps/ctrlProp15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CC"/>
    <pageSetUpPr fitToPage="1"/>
  </sheetPr>
  <dimension ref="A1:I121"/>
  <sheetViews>
    <sheetView zoomScaleNormal="90" workbookViewId="0">
      <selection activeCell="E22" sqref="E22"/>
    </sheetView>
  </sheetViews>
  <sheetFormatPr defaultColWidth="0" defaultRowHeight="11.25" zeroHeight="1" x14ac:dyDescent="0.2"/>
  <cols>
    <col min="1" max="1" width="8.85546875" style="30" bestFit="1" customWidth="1"/>
    <col min="2" max="2" width="16.140625" style="30" bestFit="1" customWidth="1"/>
    <col min="3" max="3" width="18.28515625" style="12" bestFit="1" customWidth="1"/>
    <col min="4" max="4" width="12.7109375" style="13" bestFit="1" customWidth="1"/>
    <col min="5" max="5" width="23.140625" style="13" customWidth="1"/>
    <col min="6" max="6" width="51.7109375" style="13" customWidth="1"/>
    <col min="7" max="7" width="10.5703125" style="31" customWidth="1"/>
    <col min="8" max="8" width="12" style="13" bestFit="1" customWidth="1"/>
    <col min="9" max="9" width="2.7109375" style="30" customWidth="1"/>
    <col min="10" max="16384" width="9.140625" style="30" hidden="1"/>
  </cols>
  <sheetData>
    <row r="1" spans="1:9" s="36" customFormat="1" ht="22.5" x14ac:dyDescent="0.2">
      <c r="A1" s="14" t="s">
        <v>123</v>
      </c>
      <c r="B1" s="14" t="s">
        <v>122</v>
      </c>
      <c r="C1" s="14" t="s">
        <v>121</v>
      </c>
      <c r="D1" s="14" t="s">
        <v>124</v>
      </c>
      <c r="E1" s="14" t="s">
        <v>27</v>
      </c>
      <c r="F1" s="14" t="s">
        <v>28</v>
      </c>
      <c r="G1" s="15" t="s">
        <v>125</v>
      </c>
      <c r="H1" s="14" t="s">
        <v>29</v>
      </c>
      <c r="I1" s="43"/>
    </row>
    <row r="2" spans="1:9" s="17" customFormat="1" x14ac:dyDescent="0.2">
      <c r="A2" s="18">
        <v>1</v>
      </c>
      <c r="B2" s="18" t="s">
        <v>5</v>
      </c>
      <c r="C2" s="22">
        <v>2803101</v>
      </c>
      <c r="D2" s="32" t="s">
        <v>30</v>
      </c>
      <c r="E2" s="21" t="s">
        <v>39</v>
      </c>
      <c r="F2" s="21" t="s">
        <v>41</v>
      </c>
      <c r="G2" s="53">
        <v>153</v>
      </c>
      <c r="H2" s="21"/>
      <c r="I2" s="44"/>
    </row>
    <row r="3" spans="1:9" s="17" customFormat="1" x14ac:dyDescent="0.2">
      <c r="A3" s="18">
        <v>2</v>
      </c>
      <c r="B3" s="18" t="s">
        <v>5</v>
      </c>
      <c r="C3" s="20">
        <v>36415</v>
      </c>
      <c r="D3" s="32" t="s">
        <v>45</v>
      </c>
      <c r="E3" s="21" t="s">
        <v>46</v>
      </c>
      <c r="F3" s="21" t="s">
        <v>54</v>
      </c>
      <c r="G3" s="54">
        <v>4.1312550556999996</v>
      </c>
      <c r="H3" s="21"/>
      <c r="I3" s="44"/>
    </row>
    <row r="4" spans="1:9" s="16" customFormat="1" x14ac:dyDescent="0.2">
      <c r="A4" s="18">
        <v>3</v>
      </c>
      <c r="B4" s="18" t="s">
        <v>5</v>
      </c>
      <c r="C4" s="11" t="s">
        <v>6</v>
      </c>
      <c r="D4" s="32" t="s">
        <v>30</v>
      </c>
      <c r="E4" s="21" t="s">
        <v>31</v>
      </c>
      <c r="F4" s="21" t="s">
        <v>35</v>
      </c>
      <c r="G4" s="53">
        <v>18</v>
      </c>
      <c r="H4" s="21"/>
      <c r="I4" s="44"/>
    </row>
    <row r="5" spans="1:9" s="16" customFormat="1" ht="22.5" x14ac:dyDescent="0.2">
      <c r="A5" s="18">
        <v>4</v>
      </c>
      <c r="B5" s="23" t="s">
        <v>5</v>
      </c>
      <c r="C5" s="24">
        <v>53885024510</v>
      </c>
      <c r="D5" s="35" t="s">
        <v>30</v>
      </c>
      <c r="E5" s="26" t="s">
        <v>31</v>
      </c>
      <c r="F5" s="26" t="s">
        <v>37</v>
      </c>
      <c r="G5" s="53">
        <v>123.6</v>
      </c>
      <c r="H5" s="26"/>
      <c r="I5" s="44"/>
    </row>
    <row r="6" spans="1:9" s="16" customFormat="1" ht="22.5" x14ac:dyDescent="0.2">
      <c r="A6" s="18">
        <v>5</v>
      </c>
      <c r="B6" s="23" t="s">
        <v>5</v>
      </c>
      <c r="C6" s="24">
        <v>53885039310</v>
      </c>
      <c r="D6" s="35" t="s">
        <v>30</v>
      </c>
      <c r="E6" s="26" t="s">
        <v>31</v>
      </c>
      <c r="F6" s="26" t="s">
        <v>34</v>
      </c>
      <c r="G6" s="53">
        <v>9</v>
      </c>
      <c r="H6" s="26"/>
      <c r="I6" s="44"/>
    </row>
    <row r="7" spans="1:9" s="16" customFormat="1" x14ac:dyDescent="0.2">
      <c r="A7" s="18">
        <v>6</v>
      </c>
      <c r="B7" s="18" t="s">
        <v>5</v>
      </c>
      <c r="C7" s="11" t="s">
        <v>7</v>
      </c>
      <c r="D7" s="32" t="s">
        <v>30</v>
      </c>
      <c r="E7" s="21" t="s">
        <v>31</v>
      </c>
      <c r="F7" s="27" t="s">
        <v>38</v>
      </c>
      <c r="G7" s="55">
        <v>6.02</v>
      </c>
      <c r="H7" s="27"/>
      <c r="I7" s="44"/>
    </row>
    <row r="8" spans="1:9" s="16" customFormat="1" x14ac:dyDescent="0.2">
      <c r="A8" s="18">
        <v>7</v>
      </c>
      <c r="B8" s="18" t="s">
        <v>5</v>
      </c>
      <c r="C8" s="22">
        <v>53885044801</v>
      </c>
      <c r="D8" s="32" t="s">
        <v>30</v>
      </c>
      <c r="E8" s="21" t="s">
        <v>31</v>
      </c>
      <c r="F8" s="21" t="s">
        <v>36</v>
      </c>
      <c r="G8" s="53">
        <v>66</v>
      </c>
      <c r="H8" s="21"/>
      <c r="I8" s="44"/>
    </row>
    <row r="9" spans="1:9" s="16" customFormat="1" x14ac:dyDescent="0.2">
      <c r="A9" s="18">
        <v>8</v>
      </c>
      <c r="B9" s="18" t="s">
        <v>5</v>
      </c>
      <c r="C9" s="20">
        <v>80053</v>
      </c>
      <c r="D9" s="32" t="s">
        <v>45</v>
      </c>
      <c r="E9" s="21" t="s">
        <v>46</v>
      </c>
      <c r="F9" s="21" t="s">
        <v>49</v>
      </c>
      <c r="G9" s="54">
        <v>18.130348149</v>
      </c>
      <c r="H9" s="21"/>
      <c r="I9" s="44"/>
    </row>
    <row r="10" spans="1:9" s="16" customFormat="1" x14ac:dyDescent="0.2">
      <c r="A10" s="18">
        <v>9</v>
      </c>
      <c r="B10" s="18" t="s">
        <v>5</v>
      </c>
      <c r="C10" s="20">
        <v>80061</v>
      </c>
      <c r="D10" s="32" t="s">
        <v>45</v>
      </c>
      <c r="E10" s="21" t="s">
        <v>46</v>
      </c>
      <c r="F10" s="21" t="s">
        <v>51</v>
      </c>
      <c r="G10" s="54">
        <v>19.234491976000001</v>
      </c>
      <c r="H10" s="21"/>
      <c r="I10" s="44"/>
    </row>
    <row r="11" spans="1:9" s="16" customFormat="1" x14ac:dyDescent="0.2">
      <c r="A11" s="18">
        <v>10</v>
      </c>
      <c r="B11" s="18" t="s">
        <v>5</v>
      </c>
      <c r="C11" s="20">
        <v>80069</v>
      </c>
      <c r="D11" s="32" t="s">
        <v>45</v>
      </c>
      <c r="E11" s="21" t="s">
        <v>46</v>
      </c>
      <c r="F11" s="21" t="s">
        <v>53</v>
      </c>
      <c r="G11" s="56">
        <v>14.302656536000001</v>
      </c>
      <c r="H11" s="21"/>
      <c r="I11" s="44"/>
    </row>
    <row r="12" spans="1:9" s="16" customFormat="1" x14ac:dyDescent="0.2">
      <c r="A12" s="18">
        <v>11</v>
      </c>
      <c r="B12" s="18" t="s">
        <v>5</v>
      </c>
      <c r="C12" s="20">
        <v>81003</v>
      </c>
      <c r="D12" s="32" t="s">
        <v>45</v>
      </c>
      <c r="E12" s="21" t="s">
        <v>46</v>
      </c>
      <c r="F12" s="21" t="s">
        <v>55</v>
      </c>
      <c r="G12" s="54">
        <v>3.1785047792999999</v>
      </c>
      <c r="H12" s="21"/>
      <c r="I12" s="44"/>
    </row>
    <row r="13" spans="1:9" s="16" customFormat="1" x14ac:dyDescent="0.2">
      <c r="A13" s="18">
        <v>12</v>
      </c>
      <c r="B13" s="23" t="s">
        <v>5</v>
      </c>
      <c r="C13" s="25">
        <v>82043</v>
      </c>
      <c r="D13" s="32" t="s">
        <v>45</v>
      </c>
      <c r="E13" s="26" t="s">
        <v>46</v>
      </c>
      <c r="F13" s="26" t="s">
        <v>52</v>
      </c>
      <c r="G13" s="54">
        <v>8.3096516433000005</v>
      </c>
      <c r="H13" s="26"/>
      <c r="I13" s="44"/>
    </row>
    <row r="14" spans="1:9" s="17" customFormat="1" x14ac:dyDescent="0.2">
      <c r="A14" s="18">
        <v>13</v>
      </c>
      <c r="B14" s="18" t="s">
        <v>5</v>
      </c>
      <c r="C14" s="20">
        <v>82570</v>
      </c>
      <c r="D14" s="32" t="s">
        <v>45</v>
      </c>
      <c r="E14" s="21" t="s">
        <v>46</v>
      </c>
      <c r="F14" s="21" t="s">
        <v>48</v>
      </c>
      <c r="G14" s="54">
        <v>7.1686463557</v>
      </c>
      <c r="H14" s="21"/>
      <c r="I14" s="44"/>
    </row>
    <row r="15" spans="1:9" s="16" customFormat="1" ht="22.5" x14ac:dyDescent="0.2">
      <c r="A15" s="18">
        <v>14</v>
      </c>
      <c r="B15" s="18" t="s">
        <v>5</v>
      </c>
      <c r="C15" s="22">
        <v>8290328279</v>
      </c>
      <c r="D15" s="32" t="s">
        <v>30</v>
      </c>
      <c r="E15" s="21" t="s">
        <v>31</v>
      </c>
      <c r="F15" s="21" t="s">
        <v>33</v>
      </c>
      <c r="G15" s="53">
        <v>8.4</v>
      </c>
      <c r="H15" s="21"/>
      <c r="I15" s="44"/>
    </row>
    <row r="16" spans="1:9" s="16" customFormat="1" x14ac:dyDescent="0.2">
      <c r="A16" s="18">
        <v>15</v>
      </c>
      <c r="B16" s="18" t="s">
        <v>5</v>
      </c>
      <c r="C16" s="20">
        <v>82947</v>
      </c>
      <c r="D16" s="32" t="s">
        <v>45</v>
      </c>
      <c r="E16" s="21" t="s">
        <v>46</v>
      </c>
      <c r="F16" s="21" t="s">
        <v>47</v>
      </c>
      <c r="G16" s="54">
        <v>6.4317604084999997</v>
      </c>
      <c r="H16" s="21"/>
      <c r="I16" s="44"/>
    </row>
    <row r="17" spans="1:9" s="16" customFormat="1" x14ac:dyDescent="0.2">
      <c r="A17" s="18">
        <v>16</v>
      </c>
      <c r="B17" s="18" t="s">
        <v>5</v>
      </c>
      <c r="C17" s="20">
        <v>83036</v>
      </c>
      <c r="D17" s="32" t="s">
        <v>45</v>
      </c>
      <c r="E17" s="21" t="s">
        <v>46</v>
      </c>
      <c r="F17" s="21" t="s">
        <v>50</v>
      </c>
      <c r="G17" s="54">
        <v>14.074362869</v>
      </c>
      <c r="H17" s="21"/>
      <c r="I17" s="44"/>
    </row>
    <row r="18" spans="1:9" s="16" customFormat="1" ht="22.5" x14ac:dyDescent="0.2">
      <c r="A18" s="18">
        <v>17</v>
      </c>
      <c r="B18" s="23" t="s">
        <v>5</v>
      </c>
      <c r="C18" s="24">
        <v>88222033</v>
      </c>
      <c r="D18" s="35" t="s">
        <v>30</v>
      </c>
      <c r="E18" s="26" t="s">
        <v>39</v>
      </c>
      <c r="F18" s="26" t="s">
        <v>42</v>
      </c>
      <c r="G18" s="53">
        <v>119.2</v>
      </c>
      <c r="H18" s="26"/>
      <c r="I18" s="44"/>
    </row>
    <row r="19" spans="1:9" s="16" customFormat="1" x14ac:dyDescent="0.2">
      <c r="A19" s="18">
        <v>18</v>
      </c>
      <c r="B19" s="18" t="s">
        <v>5</v>
      </c>
      <c r="C19" s="22">
        <v>93104801</v>
      </c>
      <c r="D19" s="32" t="s">
        <v>30</v>
      </c>
      <c r="E19" s="21" t="s">
        <v>39</v>
      </c>
      <c r="F19" s="21" t="s">
        <v>43</v>
      </c>
      <c r="G19" s="53">
        <v>34.369999999999997</v>
      </c>
      <c r="H19" s="21"/>
      <c r="I19" s="44"/>
    </row>
    <row r="20" spans="1:9" s="16" customFormat="1" x14ac:dyDescent="0.2">
      <c r="A20" s="18">
        <v>19</v>
      </c>
      <c r="B20" s="18" t="s">
        <v>5</v>
      </c>
      <c r="C20" s="22">
        <v>93743801</v>
      </c>
      <c r="D20" s="32" t="s">
        <v>30</v>
      </c>
      <c r="E20" s="21" t="s">
        <v>39</v>
      </c>
      <c r="F20" s="21" t="s">
        <v>44</v>
      </c>
      <c r="G20" s="53">
        <v>53.81</v>
      </c>
      <c r="H20" s="21"/>
      <c r="I20" s="44"/>
    </row>
    <row r="21" spans="1:9" s="16" customFormat="1" x14ac:dyDescent="0.2">
      <c r="A21" s="18">
        <v>20</v>
      </c>
      <c r="B21" s="18" t="s">
        <v>5</v>
      </c>
      <c r="C21" s="20">
        <v>97803</v>
      </c>
      <c r="D21" s="32" t="s">
        <v>60</v>
      </c>
      <c r="E21" s="26" t="s">
        <v>1</v>
      </c>
      <c r="F21" s="21" t="s">
        <v>61</v>
      </c>
      <c r="G21" s="56">
        <v>63.127764974000002</v>
      </c>
      <c r="H21" s="21"/>
      <c r="I21" s="44"/>
    </row>
    <row r="22" spans="1:9" s="16" customFormat="1" x14ac:dyDescent="0.2">
      <c r="A22" s="18">
        <v>21</v>
      </c>
      <c r="B22" s="18" t="s">
        <v>5</v>
      </c>
      <c r="C22" s="25">
        <v>98960</v>
      </c>
      <c r="D22" s="32" t="s">
        <v>57</v>
      </c>
      <c r="E22" s="26" t="s">
        <v>1</v>
      </c>
      <c r="F22" s="21" t="s">
        <v>59</v>
      </c>
      <c r="G22" s="56">
        <v>80.526112889000004</v>
      </c>
      <c r="H22" s="21"/>
      <c r="I22" s="44"/>
    </row>
    <row r="23" spans="1:9" s="16" customFormat="1" ht="22.5" x14ac:dyDescent="0.2">
      <c r="A23" s="18">
        <v>22</v>
      </c>
      <c r="B23" s="23" t="s">
        <v>5</v>
      </c>
      <c r="C23" s="25">
        <v>99204</v>
      </c>
      <c r="D23" s="35" t="s">
        <v>65</v>
      </c>
      <c r="E23" s="26" t="s">
        <v>1</v>
      </c>
      <c r="F23" s="26" t="s">
        <v>63</v>
      </c>
      <c r="G23" s="54">
        <v>157.61130740999999</v>
      </c>
      <c r="H23" s="26" t="s">
        <v>66</v>
      </c>
      <c r="I23" s="44"/>
    </row>
    <row r="24" spans="1:9" s="16" customFormat="1" ht="22.5" x14ac:dyDescent="0.2">
      <c r="A24" s="18">
        <v>23</v>
      </c>
      <c r="B24" s="18" t="s">
        <v>5</v>
      </c>
      <c r="C24" s="20">
        <v>99204</v>
      </c>
      <c r="D24" s="32" t="s">
        <v>62</v>
      </c>
      <c r="E24" s="21" t="s">
        <v>1</v>
      </c>
      <c r="F24" s="21" t="s">
        <v>63</v>
      </c>
      <c r="G24" s="54">
        <v>157.61130740999999</v>
      </c>
      <c r="H24" s="21" t="s">
        <v>64</v>
      </c>
      <c r="I24" s="44"/>
    </row>
    <row r="25" spans="1:9" s="16" customFormat="1" x14ac:dyDescent="0.2">
      <c r="A25" s="18">
        <v>24</v>
      </c>
      <c r="B25" s="18" t="s">
        <v>5</v>
      </c>
      <c r="C25" s="20">
        <v>99214</v>
      </c>
      <c r="D25" s="32" t="s">
        <v>45</v>
      </c>
      <c r="E25" s="21" t="s">
        <v>1</v>
      </c>
      <c r="F25" s="21" t="s">
        <v>56</v>
      </c>
      <c r="G25" s="54">
        <v>102.47359376999999</v>
      </c>
      <c r="H25" s="21"/>
      <c r="I25" s="44"/>
    </row>
    <row r="26" spans="1:9" s="16" customFormat="1" ht="22.5" x14ac:dyDescent="0.2">
      <c r="A26" s="18">
        <v>25</v>
      </c>
      <c r="B26" s="18" t="s">
        <v>5</v>
      </c>
      <c r="C26" s="19" t="s">
        <v>10</v>
      </c>
      <c r="D26" s="32" t="s">
        <v>30</v>
      </c>
      <c r="E26" s="21" t="s">
        <v>31</v>
      </c>
      <c r="F26" s="21" t="s">
        <v>32</v>
      </c>
      <c r="G26" s="53">
        <v>3</v>
      </c>
      <c r="H26" s="21"/>
      <c r="I26" s="44"/>
    </row>
    <row r="27" spans="1:9" s="17" customFormat="1" x14ac:dyDescent="0.2">
      <c r="A27" s="18">
        <v>26</v>
      </c>
      <c r="B27" s="18" t="s">
        <v>5</v>
      </c>
      <c r="C27" s="19" t="s">
        <v>10</v>
      </c>
      <c r="D27" s="32" t="s">
        <v>30</v>
      </c>
      <c r="E27" s="21" t="s">
        <v>39</v>
      </c>
      <c r="F27" s="21" t="s">
        <v>40</v>
      </c>
      <c r="G27" s="55">
        <v>8</v>
      </c>
      <c r="H27" s="21"/>
      <c r="I27" s="44"/>
    </row>
    <row r="28" spans="1:9" s="16" customFormat="1" x14ac:dyDescent="0.2">
      <c r="A28" s="18">
        <v>27</v>
      </c>
      <c r="B28" s="23" t="s">
        <v>8</v>
      </c>
      <c r="C28" s="28">
        <v>90471</v>
      </c>
      <c r="D28" s="32" t="s">
        <v>45</v>
      </c>
      <c r="E28" s="70" t="s">
        <v>67</v>
      </c>
      <c r="F28" s="26" t="s">
        <v>69</v>
      </c>
      <c r="G28" s="54">
        <v>13.436576236000001</v>
      </c>
      <c r="H28" s="26"/>
      <c r="I28" s="44"/>
    </row>
    <row r="29" spans="1:9" s="16" customFormat="1" x14ac:dyDescent="0.2">
      <c r="A29" s="18">
        <v>28</v>
      </c>
      <c r="B29" s="23" t="s">
        <v>8</v>
      </c>
      <c r="C29" s="28">
        <v>90472</v>
      </c>
      <c r="D29" s="32" t="s">
        <v>45</v>
      </c>
      <c r="E29" s="70" t="s">
        <v>67</v>
      </c>
      <c r="F29" s="26" t="s">
        <v>68</v>
      </c>
      <c r="G29" s="54">
        <v>13.436576236000001</v>
      </c>
      <c r="H29" s="26"/>
      <c r="I29" s="44"/>
    </row>
    <row r="30" spans="1:9" s="16" customFormat="1" x14ac:dyDescent="0.2">
      <c r="A30" s="18">
        <v>29</v>
      </c>
      <c r="B30" s="18" t="s">
        <v>8</v>
      </c>
      <c r="C30" s="19">
        <v>90669</v>
      </c>
      <c r="D30" s="32" t="s">
        <v>45</v>
      </c>
      <c r="E30" s="70" t="s">
        <v>67</v>
      </c>
      <c r="F30" s="21" t="s">
        <v>70</v>
      </c>
      <c r="G30" s="54">
        <v>98.218151268</v>
      </c>
      <c r="H30" s="21"/>
      <c r="I30" s="44"/>
    </row>
    <row r="31" spans="1:9" s="16" customFormat="1" x14ac:dyDescent="0.2">
      <c r="A31" s="18">
        <v>30</v>
      </c>
      <c r="B31" s="18" t="s">
        <v>9</v>
      </c>
      <c r="C31" s="19">
        <v>90656</v>
      </c>
      <c r="D31" s="32" t="s">
        <v>45</v>
      </c>
      <c r="E31" s="70" t="s">
        <v>67</v>
      </c>
      <c r="F31" s="21" t="s">
        <v>71</v>
      </c>
      <c r="G31" s="54">
        <v>15.03511905</v>
      </c>
      <c r="H31" s="21"/>
      <c r="I31" s="44"/>
    </row>
    <row r="32" spans="1:9" s="16" customFormat="1" ht="15" x14ac:dyDescent="0.25">
      <c r="A32" s="44"/>
      <c r="B32" s="45"/>
      <c r="C32" s="10"/>
      <c r="D32" s="46"/>
      <c r="E32" s="46"/>
      <c r="F32" s="45"/>
      <c r="G32" s="45"/>
      <c r="H32" s="46"/>
      <c r="I32" s="44"/>
    </row>
    <row r="33" spans="2:8" s="16" customFormat="1" ht="15" hidden="1" x14ac:dyDescent="0.25">
      <c r="B33" s="29"/>
      <c r="C33" s="3"/>
      <c r="D33" s="33"/>
      <c r="E33" s="33"/>
      <c r="F33" s="29"/>
      <c r="G33" s="29"/>
      <c r="H33" s="33"/>
    </row>
    <row r="34" spans="2:8" s="16" customFormat="1" ht="15" hidden="1" x14ac:dyDescent="0.25">
      <c r="B34" s="29"/>
      <c r="C34" s="3"/>
      <c r="D34" s="33"/>
      <c r="E34" s="33"/>
      <c r="F34" s="29"/>
      <c r="G34" s="29"/>
      <c r="H34" s="33"/>
    </row>
    <row r="35" spans="2:8" s="16" customFormat="1" ht="15" hidden="1" x14ac:dyDescent="0.25">
      <c r="B35" s="29"/>
      <c r="C35" s="3"/>
      <c r="D35" s="33"/>
      <c r="E35" s="33"/>
      <c r="F35" s="29"/>
      <c r="G35" s="29"/>
      <c r="H35" s="33"/>
    </row>
    <row r="36" spans="2:8" s="16" customFormat="1" ht="15" hidden="1" x14ac:dyDescent="0.25">
      <c r="B36" s="29"/>
      <c r="C36" s="3"/>
      <c r="D36" s="33"/>
      <c r="E36" s="33"/>
      <c r="F36" s="29"/>
      <c r="G36" s="29"/>
      <c r="H36" s="33"/>
    </row>
    <row r="37" spans="2:8" s="17" customFormat="1" ht="15" hidden="1" x14ac:dyDescent="0.25">
      <c r="B37" s="29"/>
      <c r="C37" s="3"/>
      <c r="D37" s="33"/>
      <c r="E37" s="33"/>
      <c r="F37" s="29"/>
      <c r="G37" s="29"/>
      <c r="H37" s="33"/>
    </row>
    <row r="38" spans="2:8" s="16" customFormat="1" ht="15" hidden="1" x14ac:dyDescent="0.25">
      <c r="B38" s="29"/>
      <c r="C38" s="3"/>
      <c r="D38" s="33"/>
      <c r="E38" s="33"/>
      <c r="F38" s="29"/>
      <c r="G38" s="29"/>
      <c r="H38" s="33"/>
    </row>
    <row r="39" spans="2:8" s="16" customFormat="1" ht="15" hidden="1" x14ac:dyDescent="0.25">
      <c r="B39" s="29"/>
      <c r="C39" s="3"/>
      <c r="D39" s="33"/>
      <c r="E39" s="33"/>
      <c r="F39" s="29"/>
      <c r="G39" s="29"/>
      <c r="H39" s="33"/>
    </row>
    <row r="40" spans="2:8" s="16" customFormat="1" ht="15" hidden="1" x14ac:dyDescent="0.25">
      <c r="B40" s="29"/>
      <c r="C40" s="3"/>
      <c r="D40" s="33"/>
      <c r="E40" s="33"/>
      <c r="F40" s="29"/>
      <c r="G40" s="29"/>
      <c r="H40" s="33"/>
    </row>
    <row r="41" spans="2:8" s="16" customFormat="1" ht="15" hidden="1" x14ac:dyDescent="0.25">
      <c r="B41" s="29"/>
      <c r="C41" s="3"/>
      <c r="D41" s="33"/>
      <c r="E41" s="33"/>
      <c r="F41" s="29"/>
      <c r="G41" s="29"/>
      <c r="H41" s="33"/>
    </row>
    <row r="42" spans="2:8" s="16" customFormat="1" ht="15" hidden="1" x14ac:dyDescent="0.25">
      <c r="B42" s="29"/>
      <c r="C42" s="3"/>
      <c r="D42" s="33"/>
      <c r="E42" s="33"/>
      <c r="F42" s="29"/>
      <c r="G42" s="29"/>
      <c r="H42" s="33"/>
    </row>
    <row r="43" spans="2:8" s="16" customFormat="1" ht="15" hidden="1" x14ac:dyDescent="0.25">
      <c r="B43" s="29"/>
      <c r="C43" s="3"/>
      <c r="D43" s="33"/>
      <c r="E43" s="33"/>
      <c r="F43" s="29"/>
      <c r="G43" s="29"/>
      <c r="H43" s="33"/>
    </row>
    <row r="44" spans="2:8" s="16" customFormat="1" ht="15" hidden="1" x14ac:dyDescent="0.25">
      <c r="B44" s="29"/>
      <c r="C44" s="3"/>
      <c r="D44" s="33"/>
      <c r="E44" s="33"/>
      <c r="F44" s="29"/>
      <c r="G44" s="29"/>
      <c r="H44" s="33"/>
    </row>
    <row r="45" spans="2:8" s="16" customFormat="1" ht="15" hidden="1" x14ac:dyDescent="0.25">
      <c r="B45" s="29"/>
      <c r="C45" s="3"/>
      <c r="D45" s="33"/>
      <c r="E45" s="33"/>
      <c r="F45" s="29"/>
      <c r="G45" s="29"/>
      <c r="H45" s="33"/>
    </row>
    <row r="46" spans="2:8" s="17" customFormat="1" ht="15" hidden="1" x14ac:dyDescent="0.25">
      <c r="B46" s="29"/>
      <c r="C46" s="3"/>
      <c r="D46" s="33"/>
      <c r="E46" s="33"/>
      <c r="F46" s="29"/>
      <c r="G46" s="29"/>
      <c r="H46" s="33"/>
    </row>
    <row r="47" spans="2:8" s="16" customFormat="1" ht="15" hidden="1" x14ac:dyDescent="0.25">
      <c r="B47" s="29"/>
      <c r="C47" s="3"/>
      <c r="D47" s="33"/>
      <c r="E47" s="33"/>
      <c r="F47" s="29"/>
      <c r="G47" s="29"/>
      <c r="H47" s="33"/>
    </row>
    <row r="48" spans="2:8" s="16" customFormat="1" ht="15" hidden="1" x14ac:dyDescent="0.25">
      <c r="B48" s="29"/>
      <c r="C48" s="3"/>
      <c r="D48" s="33"/>
      <c r="E48" s="33"/>
      <c r="F48" s="29"/>
      <c r="G48" s="29"/>
      <c r="H48" s="33"/>
    </row>
    <row r="49" spans="2:8" s="16" customFormat="1" ht="15" hidden="1" x14ac:dyDescent="0.25">
      <c r="B49" s="29"/>
      <c r="C49" s="3"/>
      <c r="D49" s="33"/>
      <c r="E49" s="33"/>
      <c r="F49" s="29"/>
      <c r="G49" s="29"/>
      <c r="H49" s="33"/>
    </row>
    <row r="50" spans="2:8" s="16" customFormat="1" ht="15" hidden="1" x14ac:dyDescent="0.25">
      <c r="B50" s="29"/>
      <c r="C50" s="3"/>
      <c r="D50" s="33"/>
      <c r="E50" s="33"/>
      <c r="F50" s="29"/>
      <c r="G50" s="29"/>
      <c r="H50" s="33"/>
    </row>
    <row r="51" spans="2:8" s="16" customFormat="1" ht="15" hidden="1" x14ac:dyDescent="0.25">
      <c r="B51" s="29"/>
      <c r="C51" s="3"/>
      <c r="D51" s="33"/>
      <c r="E51" s="33"/>
      <c r="F51" s="29"/>
      <c r="G51" s="29"/>
      <c r="H51" s="33"/>
    </row>
    <row r="52" spans="2:8" s="16" customFormat="1" ht="15" hidden="1" x14ac:dyDescent="0.25">
      <c r="B52" s="29"/>
      <c r="C52" s="3"/>
      <c r="D52" s="33"/>
      <c r="E52" s="33"/>
      <c r="F52" s="29"/>
      <c r="G52" s="29"/>
      <c r="H52" s="33"/>
    </row>
    <row r="53" spans="2:8" s="16" customFormat="1" ht="15" hidden="1" x14ac:dyDescent="0.25">
      <c r="B53" s="29"/>
      <c r="C53" s="3"/>
      <c r="D53" s="33"/>
      <c r="E53" s="33"/>
      <c r="F53" s="29"/>
      <c r="G53" s="29"/>
      <c r="H53" s="33"/>
    </row>
    <row r="54" spans="2:8" s="16" customFormat="1" ht="15" hidden="1" x14ac:dyDescent="0.25">
      <c r="B54" s="29"/>
      <c r="C54" s="3"/>
      <c r="D54" s="33"/>
      <c r="E54" s="33"/>
      <c r="F54" s="29"/>
      <c r="G54" s="29"/>
      <c r="H54" s="33"/>
    </row>
    <row r="55" spans="2:8" s="16" customFormat="1" ht="15" hidden="1" x14ac:dyDescent="0.25">
      <c r="B55" s="29"/>
      <c r="C55" s="3"/>
      <c r="D55" s="33"/>
      <c r="E55" s="33"/>
      <c r="F55" s="29"/>
      <c r="G55" s="29"/>
      <c r="H55" s="33"/>
    </row>
    <row r="56" spans="2:8" s="17" customFormat="1" ht="15" hidden="1" x14ac:dyDescent="0.25">
      <c r="B56" s="29"/>
      <c r="C56" s="3"/>
      <c r="D56" s="33"/>
      <c r="E56" s="33"/>
      <c r="F56" s="29"/>
      <c r="G56" s="29"/>
      <c r="H56" s="33"/>
    </row>
    <row r="57" spans="2:8" s="16" customFormat="1" ht="15" hidden="1" x14ac:dyDescent="0.25">
      <c r="B57" s="29"/>
      <c r="C57" s="3"/>
      <c r="D57" s="33"/>
      <c r="E57" s="33"/>
      <c r="F57" s="29"/>
      <c r="G57" s="29"/>
      <c r="H57" s="33"/>
    </row>
    <row r="58" spans="2:8" s="16" customFormat="1" ht="15" hidden="1" x14ac:dyDescent="0.25">
      <c r="B58" s="29"/>
      <c r="C58" s="3"/>
      <c r="D58" s="33"/>
      <c r="E58" s="33"/>
      <c r="F58" s="29"/>
      <c r="G58" s="29"/>
      <c r="H58" s="33"/>
    </row>
    <row r="59" spans="2:8" s="16" customFormat="1" ht="15" hidden="1" x14ac:dyDescent="0.25">
      <c r="B59" s="29"/>
      <c r="C59" s="3"/>
      <c r="D59" s="33"/>
      <c r="E59" s="33"/>
      <c r="F59" s="29"/>
      <c r="G59" s="29"/>
      <c r="H59" s="33"/>
    </row>
    <row r="60" spans="2:8" s="16" customFormat="1" ht="15" hidden="1" x14ac:dyDescent="0.25">
      <c r="B60" s="29"/>
      <c r="C60" s="3"/>
      <c r="D60" s="33"/>
      <c r="E60" s="33"/>
      <c r="F60" s="29"/>
      <c r="G60" s="29"/>
      <c r="H60" s="33"/>
    </row>
    <row r="61" spans="2:8" s="16" customFormat="1" ht="15" hidden="1" x14ac:dyDescent="0.25">
      <c r="B61" s="29"/>
      <c r="C61" s="3"/>
      <c r="D61" s="33"/>
      <c r="E61" s="33"/>
      <c r="F61" s="29"/>
      <c r="G61" s="29"/>
      <c r="H61" s="33"/>
    </row>
    <row r="62" spans="2:8" s="16" customFormat="1" ht="15" hidden="1" x14ac:dyDescent="0.25">
      <c r="B62" s="29"/>
      <c r="C62" s="3"/>
      <c r="D62" s="33"/>
      <c r="E62" s="33"/>
      <c r="F62" s="29"/>
      <c r="G62" s="29"/>
      <c r="H62" s="33"/>
    </row>
    <row r="63" spans="2:8" s="16" customFormat="1" ht="15" hidden="1" x14ac:dyDescent="0.25">
      <c r="B63" s="29"/>
      <c r="C63" s="3"/>
      <c r="D63" s="33"/>
      <c r="E63" s="33"/>
      <c r="F63" s="29"/>
      <c r="G63" s="29"/>
      <c r="H63" s="33"/>
    </row>
    <row r="64" spans="2:8" s="16" customFormat="1" ht="15" hidden="1" x14ac:dyDescent="0.25">
      <c r="B64" s="29"/>
      <c r="C64" s="3"/>
      <c r="D64" s="33"/>
      <c r="E64" s="33"/>
      <c r="F64" s="29"/>
      <c r="G64" s="29"/>
      <c r="H64" s="33"/>
    </row>
    <row r="65" spans="2:8" s="16" customFormat="1" ht="15" hidden="1" x14ac:dyDescent="0.25">
      <c r="B65" s="29"/>
      <c r="C65" s="3"/>
      <c r="D65" s="33"/>
      <c r="E65" s="33"/>
      <c r="F65" s="29"/>
      <c r="G65" s="29"/>
      <c r="H65" s="33"/>
    </row>
    <row r="66" spans="2:8" s="17" customFormat="1" ht="15" hidden="1" x14ac:dyDescent="0.25">
      <c r="B66" s="29"/>
      <c r="C66" s="3"/>
      <c r="D66" s="33"/>
      <c r="E66" s="33"/>
      <c r="F66" s="29"/>
      <c r="G66" s="29"/>
      <c r="H66" s="33"/>
    </row>
    <row r="67" spans="2:8" s="16" customFormat="1" ht="15" hidden="1" x14ac:dyDescent="0.25">
      <c r="B67" s="29"/>
      <c r="C67" s="3"/>
      <c r="D67" s="33"/>
      <c r="E67" s="33"/>
      <c r="F67" s="29"/>
      <c r="G67" s="29"/>
      <c r="H67" s="33"/>
    </row>
    <row r="68" spans="2:8" s="16" customFormat="1" ht="15" hidden="1" x14ac:dyDescent="0.25">
      <c r="B68" s="29"/>
      <c r="C68" s="3"/>
      <c r="D68" s="33"/>
      <c r="E68" s="33"/>
      <c r="F68" s="29"/>
      <c r="G68" s="29"/>
      <c r="H68" s="33"/>
    </row>
    <row r="69" spans="2:8" s="16" customFormat="1" ht="15" hidden="1" x14ac:dyDescent="0.25">
      <c r="B69" s="29"/>
      <c r="C69" s="3"/>
      <c r="D69" s="33"/>
      <c r="E69" s="33"/>
      <c r="F69" s="29"/>
      <c r="G69" s="29"/>
      <c r="H69" s="33"/>
    </row>
    <row r="70" spans="2:8" s="16" customFormat="1" ht="15" hidden="1" x14ac:dyDescent="0.25">
      <c r="B70" s="29"/>
      <c r="C70" s="3"/>
      <c r="D70" s="33"/>
      <c r="E70" s="33"/>
      <c r="F70" s="29"/>
      <c r="G70" s="29"/>
      <c r="H70" s="33"/>
    </row>
    <row r="71" spans="2:8" s="16" customFormat="1" ht="15" hidden="1" x14ac:dyDescent="0.25">
      <c r="B71" s="29"/>
      <c r="C71" s="3"/>
      <c r="D71" s="33"/>
      <c r="E71" s="33"/>
      <c r="F71" s="29"/>
      <c r="G71" s="29"/>
      <c r="H71" s="33"/>
    </row>
    <row r="72" spans="2:8" s="16" customFormat="1" ht="15" hidden="1" x14ac:dyDescent="0.25">
      <c r="B72" s="29"/>
      <c r="C72" s="3"/>
      <c r="D72" s="33"/>
      <c r="E72" s="33"/>
      <c r="F72" s="29"/>
      <c r="G72" s="29"/>
      <c r="H72" s="33"/>
    </row>
    <row r="73" spans="2:8" s="16" customFormat="1" ht="15" hidden="1" x14ac:dyDescent="0.25">
      <c r="B73" s="29"/>
      <c r="C73" s="3"/>
      <c r="D73" s="33"/>
      <c r="E73" s="33"/>
      <c r="F73" s="29"/>
      <c r="G73" s="29"/>
      <c r="H73" s="33"/>
    </row>
    <row r="74" spans="2:8" s="16" customFormat="1" ht="15" hidden="1" x14ac:dyDescent="0.25">
      <c r="B74" s="29"/>
      <c r="C74" s="3"/>
      <c r="D74" s="33"/>
      <c r="E74" s="33"/>
      <c r="F74" s="29"/>
      <c r="G74" s="29"/>
      <c r="H74" s="33"/>
    </row>
    <row r="75" spans="2:8" s="16" customFormat="1" ht="15" hidden="1" x14ac:dyDescent="0.25">
      <c r="B75" s="29"/>
      <c r="C75" s="3"/>
      <c r="D75" s="33"/>
      <c r="E75" s="33"/>
      <c r="F75" s="29"/>
      <c r="G75" s="29"/>
      <c r="H75" s="33"/>
    </row>
    <row r="76" spans="2:8" s="17" customFormat="1" ht="15" hidden="1" x14ac:dyDescent="0.25">
      <c r="B76" s="29"/>
      <c r="C76" s="3"/>
      <c r="D76" s="33"/>
      <c r="E76" s="33"/>
      <c r="F76" s="29"/>
      <c r="G76" s="29"/>
      <c r="H76" s="33"/>
    </row>
    <row r="77" spans="2:8" s="16" customFormat="1" ht="15" hidden="1" x14ac:dyDescent="0.25">
      <c r="B77" s="29"/>
      <c r="C77" s="3"/>
      <c r="D77" s="33"/>
      <c r="E77" s="33"/>
      <c r="F77" s="29"/>
      <c r="G77" s="29"/>
      <c r="H77" s="33"/>
    </row>
    <row r="78" spans="2:8" s="16" customFormat="1" ht="15" hidden="1" x14ac:dyDescent="0.25">
      <c r="B78" s="29"/>
      <c r="C78" s="3"/>
      <c r="D78" s="33"/>
      <c r="E78" s="33"/>
      <c r="F78" s="29"/>
      <c r="G78" s="29"/>
      <c r="H78" s="33"/>
    </row>
    <row r="79" spans="2:8" s="16" customFormat="1" ht="15" hidden="1" x14ac:dyDescent="0.25">
      <c r="B79" s="29"/>
      <c r="C79" s="3"/>
      <c r="D79" s="33"/>
      <c r="E79" s="33"/>
      <c r="F79" s="29"/>
      <c r="G79" s="29"/>
      <c r="H79" s="33"/>
    </row>
    <row r="80" spans="2:8" s="16" customFormat="1" ht="15" hidden="1" x14ac:dyDescent="0.25">
      <c r="B80" s="29"/>
      <c r="C80" s="3"/>
      <c r="D80" s="33"/>
      <c r="E80" s="33"/>
      <c r="F80" s="29"/>
      <c r="G80" s="29"/>
      <c r="H80" s="33"/>
    </row>
    <row r="81" spans="2:8" s="16" customFormat="1" ht="15" hidden="1" x14ac:dyDescent="0.25">
      <c r="B81" s="29"/>
      <c r="C81" s="3"/>
      <c r="D81" s="33"/>
      <c r="E81" s="33"/>
      <c r="F81" s="29"/>
      <c r="G81" s="29"/>
      <c r="H81" s="33"/>
    </row>
    <row r="82" spans="2:8" s="16" customFormat="1" ht="15" hidden="1" x14ac:dyDescent="0.25">
      <c r="B82" s="29"/>
      <c r="C82" s="3"/>
      <c r="D82" s="33"/>
      <c r="E82" s="33"/>
      <c r="F82" s="29"/>
      <c r="G82" s="29"/>
      <c r="H82" s="33"/>
    </row>
    <row r="83" spans="2:8" s="16" customFormat="1" ht="15" hidden="1" x14ac:dyDescent="0.25">
      <c r="B83" s="29"/>
      <c r="C83" s="3"/>
      <c r="D83" s="33"/>
      <c r="E83" s="33"/>
      <c r="F83" s="29"/>
      <c r="G83" s="29"/>
      <c r="H83" s="33"/>
    </row>
    <row r="84" spans="2:8" s="16" customFormat="1" ht="15" hidden="1" x14ac:dyDescent="0.25">
      <c r="B84" s="29"/>
      <c r="C84" s="3"/>
      <c r="D84" s="33"/>
      <c r="E84" s="33"/>
      <c r="F84" s="29"/>
      <c r="G84" s="29"/>
      <c r="H84" s="33"/>
    </row>
    <row r="85" spans="2:8" s="16" customFormat="1" ht="15" hidden="1" x14ac:dyDescent="0.25">
      <c r="B85" s="29"/>
      <c r="C85" s="3"/>
      <c r="D85" s="33"/>
      <c r="E85" s="33"/>
      <c r="F85" s="29"/>
      <c r="G85" s="29"/>
      <c r="H85" s="33"/>
    </row>
    <row r="86" spans="2:8" s="17" customFormat="1" ht="15" hidden="1" x14ac:dyDescent="0.25">
      <c r="B86" s="29"/>
      <c r="C86" s="3"/>
      <c r="D86" s="33"/>
      <c r="E86" s="33"/>
      <c r="F86" s="29"/>
      <c r="G86" s="29"/>
      <c r="H86" s="33"/>
    </row>
    <row r="87" spans="2:8" s="16" customFormat="1" ht="15" hidden="1" x14ac:dyDescent="0.25">
      <c r="B87" s="29"/>
      <c r="C87" s="3"/>
      <c r="D87" s="33"/>
      <c r="E87" s="33"/>
      <c r="F87" s="29"/>
      <c r="G87" s="29"/>
      <c r="H87" s="33"/>
    </row>
    <row r="88" spans="2:8" s="16" customFormat="1" ht="15" hidden="1" x14ac:dyDescent="0.25">
      <c r="B88" s="29"/>
      <c r="C88" s="3"/>
      <c r="D88" s="33"/>
      <c r="E88" s="33"/>
      <c r="F88" s="29"/>
      <c r="G88" s="29"/>
      <c r="H88" s="33"/>
    </row>
    <row r="89" spans="2:8" s="16" customFormat="1" ht="15" hidden="1" x14ac:dyDescent="0.25">
      <c r="B89" s="29"/>
      <c r="C89" s="3"/>
      <c r="D89" s="33"/>
      <c r="E89" s="33"/>
      <c r="F89" s="29"/>
      <c r="G89" s="29"/>
      <c r="H89" s="33"/>
    </row>
    <row r="90" spans="2:8" s="16" customFormat="1" ht="15" hidden="1" x14ac:dyDescent="0.25">
      <c r="B90" s="29"/>
      <c r="C90" s="3"/>
      <c r="D90" s="33"/>
      <c r="E90" s="33"/>
      <c r="F90" s="29"/>
      <c r="G90" s="29"/>
      <c r="H90" s="33"/>
    </row>
    <row r="91" spans="2:8" s="16" customFormat="1" ht="15" hidden="1" x14ac:dyDescent="0.25">
      <c r="B91" s="29"/>
      <c r="C91" s="3"/>
      <c r="D91" s="33"/>
      <c r="E91" s="33"/>
      <c r="F91" s="29"/>
      <c r="G91" s="29"/>
      <c r="H91" s="33"/>
    </row>
    <row r="92" spans="2:8" s="16" customFormat="1" ht="15" hidden="1" x14ac:dyDescent="0.25">
      <c r="B92" s="29"/>
      <c r="C92" s="3"/>
      <c r="D92" s="33"/>
      <c r="E92" s="33"/>
      <c r="F92" s="29"/>
      <c r="G92" s="29"/>
      <c r="H92" s="33"/>
    </row>
    <row r="93" spans="2:8" s="16" customFormat="1" ht="15" hidden="1" x14ac:dyDescent="0.25">
      <c r="B93" s="29"/>
      <c r="C93" s="3"/>
      <c r="D93" s="33"/>
      <c r="E93" s="33"/>
      <c r="F93" s="29"/>
      <c r="G93" s="29"/>
      <c r="H93" s="33"/>
    </row>
    <row r="94" spans="2:8" s="16" customFormat="1" ht="15" hidden="1" x14ac:dyDescent="0.25">
      <c r="B94" s="29"/>
      <c r="C94" s="3"/>
      <c r="D94" s="33"/>
      <c r="E94" s="33"/>
      <c r="F94" s="29"/>
      <c r="G94" s="29"/>
      <c r="H94" s="33"/>
    </row>
    <row r="95" spans="2:8" s="16" customFormat="1" ht="15" hidden="1" x14ac:dyDescent="0.25">
      <c r="B95" s="29"/>
      <c r="C95" s="3"/>
      <c r="D95" s="33"/>
      <c r="E95" s="33"/>
      <c r="F95" s="29"/>
      <c r="G95" s="29"/>
      <c r="H95" s="33"/>
    </row>
    <row r="96" spans="2:8" s="17" customFormat="1" ht="15" hidden="1" x14ac:dyDescent="0.25">
      <c r="B96" s="29"/>
      <c r="C96" s="3"/>
      <c r="D96" s="33"/>
      <c r="E96" s="33"/>
      <c r="F96" s="29"/>
      <c r="G96" s="29"/>
      <c r="H96" s="33"/>
    </row>
    <row r="97" spans="2:8" s="16" customFormat="1" ht="15" hidden="1" x14ac:dyDescent="0.25">
      <c r="B97" s="29"/>
      <c r="C97" s="3"/>
      <c r="D97" s="33"/>
      <c r="E97" s="33"/>
      <c r="F97" s="29"/>
      <c r="G97" s="29"/>
      <c r="H97" s="33"/>
    </row>
    <row r="98" spans="2:8" s="16" customFormat="1" ht="15" hidden="1" x14ac:dyDescent="0.25">
      <c r="B98" s="29"/>
      <c r="C98" s="3"/>
      <c r="D98" s="33"/>
      <c r="E98" s="33"/>
      <c r="F98" s="29"/>
      <c r="G98" s="29"/>
      <c r="H98" s="33"/>
    </row>
    <row r="99" spans="2:8" s="16" customFormat="1" ht="15" hidden="1" x14ac:dyDescent="0.25">
      <c r="B99" s="29"/>
      <c r="C99" s="3"/>
      <c r="D99" s="33"/>
      <c r="E99" s="33"/>
      <c r="F99" s="29"/>
      <c r="G99" s="29"/>
      <c r="H99" s="33"/>
    </row>
    <row r="100" spans="2:8" s="16" customFormat="1" ht="15" hidden="1" x14ac:dyDescent="0.25">
      <c r="B100" s="29"/>
      <c r="C100" s="3"/>
      <c r="D100" s="33"/>
      <c r="E100" s="33"/>
      <c r="F100" s="29"/>
      <c r="G100" s="29"/>
      <c r="H100" s="33"/>
    </row>
    <row r="101" spans="2:8" s="16" customFormat="1" ht="15" hidden="1" x14ac:dyDescent="0.25">
      <c r="B101" s="29"/>
      <c r="C101" s="3"/>
      <c r="D101" s="33"/>
      <c r="E101" s="33"/>
      <c r="F101" s="29"/>
      <c r="G101" s="29"/>
      <c r="H101" s="33"/>
    </row>
    <row r="102" spans="2:8" s="16" customFormat="1" ht="15" hidden="1" x14ac:dyDescent="0.25">
      <c r="B102" s="29"/>
      <c r="C102" s="3"/>
      <c r="D102" s="33"/>
      <c r="E102" s="33"/>
      <c r="F102" s="29"/>
      <c r="G102" s="29"/>
      <c r="H102" s="33"/>
    </row>
    <row r="103" spans="2:8" s="16" customFormat="1" ht="15" hidden="1" x14ac:dyDescent="0.25">
      <c r="B103" s="29"/>
      <c r="C103" s="3"/>
      <c r="D103" s="33"/>
      <c r="E103" s="33"/>
      <c r="F103" s="29"/>
      <c r="G103" s="29"/>
      <c r="H103" s="33"/>
    </row>
    <row r="104" spans="2:8" s="16" customFormat="1" ht="15" hidden="1" x14ac:dyDescent="0.25">
      <c r="B104" s="29"/>
      <c r="C104" s="3"/>
      <c r="D104" s="33"/>
      <c r="E104" s="33"/>
      <c r="F104" s="29"/>
      <c r="G104" s="29"/>
      <c r="H104" s="33"/>
    </row>
    <row r="105" spans="2:8" s="16" customFormat="1" ht="15" hidden="1" x14ac:dyDescent="0.25">
      <c r="B105" s="29"/>
      <c r="C105" s="3"/>
      <c r="D105" s="33"/>
      <c r="E105" s="33"/>
      <c r="F105" s="29"/>
      <c r="G105" s="29"/>
      <c r="H105" s="33"/>
    </row>
    <row r="106" spans="2:8" s="17" customFormat="1" ht="15" hidden="1" x14ac:dyDescent="0.25">
      <c r="B106" s="29"/>
      <c r="C106" s="3"/>
      <c r="D106" s="33"/>
      <c r="E106" s="33"/>
      <c r="F106" s="29"/>
      <c r="G106" s="29"/>
      <c r="H106" s="33"/>
    </row>
    <row r="107" spans="2:8" s="16" customFormat="1" ht="15" hidden="1" x14ac:dyDescent="0.25">
      <c r="B107" s="29"/>
      <c r="C107" s="3"/>
      <c r="D107" s="33"/>
      <c r="E107" s="33"/>
      <c r="F107" s="29"/>
      <c r="G107" s="29"/>
      <c r="H107" s="33"/>
    </row>
    <row r="108" spans="2:8" s="16" customFormat="1" ht="15" hidden="1" x14ac:dyDescent="0.25">
      <c r="B108" s="29"/>
      <c r="C108" s="3"/>
      <c r="D108" s="33"/>
      <c r="E108" s="33"/>
      <c r="F108" s="29"/>
      <c r="G108" s="29"/>
      <c r="H108" s="33"/>
    </row>
    <row r="109" spans="2:8" s="16" customFormat="1" ht="15" hidden="1" x14ac:dyDescent="0.25">
      <c r="B109" s="29"/>
      <c r="C109" s="3"/>
      <c r="D109" s="33"/>
      <c r="E109" s="33"/>
      <c r="F109" s="29"/>
      <c r="G109" s="29"/>
      <c r="H109" s="33"/>
    </row>
    <row r="110" spans="2:8" s="17" customFormat="1" ht="15" hidden="1" x14ac:dyDescent="0.25">
      <c r="B110" s="29"/>
      <c r="C110" s="3"/>
      <c r="D110" s="33"/>
      <c r="E110" s="33"/>
      <c r="F110" s="29"/>
      <c r="G110" s="29"/>
      <c r="H110" s="33"/>
    </row>
    <row r="111" spans="2:8" s="17" customFormat="1" ht="15" hidden="1" x14ac:dyDescent="0.25">
      <c r="B111" s="29"/>
      <c r="C111" s="3"/>
      <c r="D111" s="33"/>
      <c r="E111" s="33"/>
      <c r="F111" s="29"/>
      <c r="G111" s="29"/>
      <c r="H111" s="33"/>
    </row>
    <row r="112" spans="2:8" s="16" customFormat="1" ht="15" hidden="1" x14ac:dyDescent="0.25">
      <c r="B112" s="29"/>
      <c r="C112" s="3"/>
      <c r="D112" s="33"/>
      <c r="E112" s="33"/>
      <c r="F112" s="29"/>
      <c r="G112" s="29"/>
      <c r="H112" s="33"/>
    </row>
    <row r="113" spans="2:8" s="16" customFormat="1" ht="15" hidden="1" x14ac:dyDescent="0.25">
      <c r="B113" s="29"/>
      <c r="C113" s="3"/>
      <c r="D113" s="33"/>
      <c r="E113" s="33"/>
      <c r="F113" s="29"/>
      <c r="G113" s="29"/>
      <c r="H113" s="33"/>
    </row>
    <row r="114" spans="2:8" hidden="1" x14ac:dyDescent="0.2"/>
    <row r="115" spans="2:8" hidden="1" x14ac:dyDescent="0.2"/>
    <row r="116" spans="2:8" hidden="1" x14ac:dyDescent="0.2"/>
    <row r="117" spans="2:8" hidden="1" x14ac:dyDescent="0.2"/>
    <row r="118" spans="2:8" hidden="1" x14ac:dyDescent="0.2"/>
    <row r="119" spans="2:8" hidden="1" x14ac:dyDescent="0.2"/>
    <row r="120" spans="2:8" hidden="1" x14ac:dyDescent="0.2"/>
    <row r="121" spans="2:8" hidden="1" x14ac:dyDescent="0.2"/>
  </sheetData>
  <autoFilter ref="A1:H31"/>
  <customSheetViews>
    <customSheetView guid="{04C50C76-DBA5-4B8F-A929-D0E997573BFE}" fitToPage="1" showAutoFilter="1" hiddenRows="1" hiddenColumns="1">
      <selection activeCell="E22" sqref="E22"/>
      <pageMargins left="0.25" right="0.25" top="0.75" bottom="0.75" header="0.3" footer="0.3"/>
      <pageSetup scale="72" orientation="landscape" r:id="rId1"/>
      <autoFilter ref="A1:H31"/>
    </customSheetView>
    <customSheetView guid="{B93E95F7-2207-4982-B8B5-4CD0F87DD17C}" fitToPage="1" showAutoFilter="1" hiddenRows="1" hiddenColumns="1">
      <selection activeCell="E22" sqref="E22"/>
      <pageMargins left="0.25" right="0.25" top="0.75" bottom="0.75" header="0.3" footer="0.3"/>
      <pageSetup scale="72" orientation="landscape" r:id="rId2"/>
      <autoFilter ref="A1:H31"/>
    </customSheetView>
  </customSheetViews>
  <conditionalFormatting sqref="C114:C1048576 C22 C28 C7 C1:C2 C19:C20">
    <cfRule type="cellIs" dxfId="11" priority="1" operator="equal">
      <formula>"NDC"</formula>
    </cfRule>
  </conditionalFormatting>
  <pageMargins left="0.25" right="0.25" top="0.75" bottom="0.75" header="0.3" footer="0.3"/>
  <pageSetup scale="72"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theme="3" tint="0.79998168889431442"/>
  </sheetPr>
  <dimension ref="A1:K11"/>
  <sheetViews>
    <sheetView zoomScaleNormal="100" workbookViewId="0"/>
  </sheetViews>
  <sheetFormatPr defaultColWidth="0" defaultRowHeight="0" customHeight="1" zeroHeight="1" x14ac:dyDescent="0.25"/>
  <cols>
    <col min="1" max="1" width="3.28515625" customWidth="1"/>
    <col min="2" max="2" width="5.140625" customWidth="1"/>
    <col min="3" max="3" width="1.7109375" customWidth="1"/>
    <col min="4" max="4" width="3.140625" customWidth="1"/>
    <col min="5" max="5" width="15.28515625" customWidth="1"/>
    <col min="6" max="6" width="1.85546875" customWidth="1"/>
    <col min="7" max="7" width="20" customWidth="1"/>
    <col min="8" max="8" width="11.28515625" customWidth="1"/>
    <col min="9" max="9" width="10" customWidth="1"/>
    <col min="10" max="10" width="2.28515625" customWidth="1"/>
    <col min="11" max="11" width="10.7109375" customWidth="1"/>
    <col min="12" max="16384" width="8.85546875" hidden="1"/>
  </cols>
  <sheetData>
    <row r="1" spans="1:11" ht="15" x14ac:dyDescent="0.25">
      <c r="A1" s="151"/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15" x14ac:dyDescent="0.25">
      <c r="A2" s="151"/>
      <c r="B2" s="152"/>
      <c r="C2" s="152"/>
      <c r="D2" s="152"/>
      <c r="E2" s="152"/>
      <c r="F2" s="152"/>
      <c r="G2" s="152"/>
      <c r="H2" s="156" t="s">
        <v>179</v>
      </c>
      <c r="I2" s="152"/>
      <c r="J2" s="152"/>
      <c r="K2" s="152"/>
    </row>
    <row r="3" spans="1:11" ht="15.75" thickBot="1" x14ac:dyDescent="0.3">
      <c r="A3" s="153"/>
      <c r="B3" s="155" t="s">
        <v>177</v>
      </c>
      <c r="C3" s="154"/>
      <c r="D3" s="154"/>
      <c r="E3" s="154"/>
      <c r="F3" s="154"/>
      <c r="G3" s="154"/>
      <c r="H3" s="154"/>
      <c r="I3" s="154"/>
      <c r="J3" s="154"/>
      <c r="K3" s="154"/>
    </row>
    <row r="4" spans="1:11" ht="27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31.9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ht="16.899999999999999" customHeight="1" x14ac:dyDescent="0.25">
      <c r="A6" s="5"/>
      <c r="B6" s="5"/>
      <c r="C6" s="5"/>
      <c r="D6" s="5"/>
      <c r="E6" s="336" t="s">
        <v>249</v>
      </c>
      <c r="F6" s="337"/>
      <c r="G6" s="337"/>
      <c r="H6" s="337"/>
      <c r="I6" s="338"/>
      <c r="J6" s="5"/>
      <c r="K6" s="5"/>
    </row>
    <row r="7" spans="1:11" ht="21" customHeight="1" x14ac:dyDescent="0.25">
      <c r="A7" s="5"/>
      <c r="B7" s="5"/>
      <c r="C7" s="5"/>
      <c r="D7" s="5"/>
      <c r="E7" s="339"/>
      <c r="F7" s="340"/>
      <c r="G7" s="340"/>
      <c r="H7" s="340"/>
      <c r="I7" s="341"/>
      <c r="J7" s="5"/>
      <c r="K7" s="5"/>
    </row>
    <row r="8" spans="1:11" ht="27.6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</sheetData>
  <customSheetViews>
    <customSheetView guid="{04C50C76-DBA5-4B8F-A929-D0E997573BFE}" hiddenRows="1" hiddenColumns="1">
      <selection activeCell="K9" sqref="K9"/>
      <pageMargins left="0.7" right="0.7" top="0.75" bottom="0.75" header="0.3" footer="0.3"/>
      <pageSetup orientation="portrait" r:id="rId1"/>
    </customSheetView>
    <customSheetView guid="{B93E95F7-2207-4982-B8B5-4CD0F87DD17C}" hiddenRows="1" hiddenColumns="1">
      <selection activeCell="K9" sqref="K9"/>
      <pageMargins left="0.7" right="0.7" top="0.75" bottom="0.75" header="0.3" footer="0.3"/>
      <pageSetup orientation="portrait" r:id="rId2"/>
    </customSheetView>
  </customSheetViews>
  <mergeCells count="1">
    <mergeCell ref="E6:I7"/>
  </mergeCells>
  <pageMargins left="0.7" right="0.7" top="0.75" bottom="0.75" header="0.3" footer="0.3"/>
  <pageSetup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8" r:id="rId6" name="Button 2">
              <controlPr defaultSize="0" print="0" autoFill="0" autoPict="0" macro="[0]!ThisWorkbook.GotoAutomated">
                <anchor moveWithCells="1" sizeWithCells="1">
                  <from>
                    <xdr:col>8</xdr:col>
                    <xdr:colOff>47625</xdr:colOff>
                    <xdr:row>0</xdr:row>
                    <xdr:rowOff>171450</xdr:rowOff>
                  </from>
                  <to>
                    <xdr:col>9</xdr:col>
                    <xdr:colOff>57150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7" name="Button 3">
              <controlPr defaultSize="0" print="0" autoFill="0" autoPict="0" macro="[0]!ThisWorkbook.GotoManual">
                <anchor moveWithCells="1" sizeWithCells="1">
                  <from>
                    <xdr:col>10</xdr:col>
                    <xdr:colOff>19050</xdr:colOff>
                    <xdr:row>0</xdr:row>
                    <xdr:rowOff>171450</xdr:rowOff>
                  </from>
                  <to>
                    <xdr:col>10</xdr:col>
                    <xdr:colOff>571500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CC"/>
  </sheetPr>
  <dimension ref="A1:G121"/>
  <sheetViews>
    <sheetView workbookViewId="0">
      <selection activeCell="E3" sqref="E3"/>
    </sheetView>
  </sheetViews>
  <sheetFormatPr defaultRowHeight="15" x14ac:dyDescent="0.25"/>
  <cols>
    <col min="3" max="3" width="12.28515625" bestFit="1" customWidth="1"/>
    <col min="7" max="7" width="12.28515625" bestFit="1" customWidth="1"/>
  </cols>
  <sheetData>
    <row r="1" spans="1:7" x14ac:dyDescent="0.25">
      <c r="A1" s="342" t="s">
        <v>201</v>
      </c>
      <c r="B1" s="342"/>
      <c r="C1" s="246" t="s">
        <v>236</v>
      </c>
      <c r="D1" s="3"/>
      <c r="E1" s="342" t="s">
        <v>230</v>
      </c>
      <c r="F1" s="342"/>
      <c r="G1" t="s">
        <v>236</v>
      </c>
    </row>
    <row r="2" spans="1:7" x14ac:dyDescent="0.25">
      <c r="A2" s="87">
        <v>40550</v>
      </c>
      <c r="B2" s="42">
        <v>8</v>
      </c>
      <c r="E2" s="87">
        <v>40546</v>
      </c>
      <c r="F2" s="42">
        <v>25</v>
      </c>
    </row>
    <row r="3" spans="1:7" x14ac:dyDescent="0.25">
      <c r="A3" s="87">
        <v>40634</v>
      </c>
      <c r="B3" s="42">
        <v>14</v>
      </c>
      <c r="C3" t="str">
        <f>IF(A3&gt;=A2,"","Err")</f>
        <v/>
      </c>
      <c r="E3" s="87">
        <v>40546</v>
      </c>
      <c r="F3" s="42">
        <v>14</v>
      </c>
      <c r="G3" t="str">
        <f>IF(E3&gt;=E2,"","Err")</f>
        <v/>
      </c>
    </row>
    <row r="4" spans="1:7" x14ac:dyDescent="0.25">
      <c r="A4" s="87">
        <v>40634</v>
      </c>
      <c r="B4" s="42">
        <v>30</v>
      </c>
      <c r="C4" t="str">
        <f>IF(A4&gt;=A3,"","Err")</f>
        <v/>
      </c>
      <c r="E4" s="87">
        <v>40546</v>
      </c>
      <c r="F4" s="42">
        <v>5</v>
      </c>
      <c r="G4" t="str">
        <f t="shared" ref="G4:G67" si="0">IF(E4&gt;=E3,"","Err")</f>
        <v/>
      </c>
    </row>
    <row r="5" spans="1:7" x14ac:dyDescent="0.25">
      <c r="A5" s="87">
        <v>40634</v>
      </c>
      <c r="B5" s="42">
        <v>31</v>
      </c>
      <c r="C5" t="str">
        <f t="shared" ref="C5:C57" si="1">IF(A5&gt;=A4,"","Err")</f>
        <v/>
      </c>
      <c r="E5" s="87">
        <v>40546</v>
      </c>
      <c r="F5" s="42">
        <v>3</v>
      </c>
      <c r="G5" t="str">
        <f t="shared" si="0"/>
        <v/>
      </c>
    </row>
    <row r="6" spans="1:7" x14ac:dyDescent="0.25">
      <c r="A6" s="87">
        <v>40634</v>
      </c>
      <c r="B6" s="42">
        <v>28</v>
      </c>
      <c r="C6" t="str">
        <f t="shared" si="1"/>
        <v/>
      </c>
      <c r="E6" s="87">
        <v>40546</v>
      </c>
      <c r="F6" s="42">
        <v>7</v>
      </c>
      <c r="G6" t="str">
        <f t="shared" si="0"/>
        <v/>
      </c>
    </row>
    <row r="7" spans="1:7" x14ac:dyDescent="0.25">
      <c r="A7" s="87">
        <v>40634</v>
      </c>
      <c r="B7" s="42">
        <v>12</v>
      </c>
      <c r="C7" t="str">
        <f t="shared" si="1"/>
        <v/>
      </c>
      <c r="E7" s="87">
        <v>40546</v>
      </c>
      <c r="F7" s="42">
        <v>4</v>
      </c>
      <c r="G7" t="str">
        <f t="shared" si="0"/>
        <v/>
      </c>
    </row>
    <row r="8" spans="1:7" x14ac:dyDescent="0.25">
      <c r="A8" s="87">
        <v>40634</v>
      </c>
      <c r="B8" s="42">
        <v>35</v>
      </c>
      <c r="C8" t="str">
        <f t="shared" si="1"/>
        <v/>
      </c>
      <c r="E8" s="87">
        <v>40546</v>
      </c>
      <c r="F8" s="42">
        <v>6</v>
      </c>
      <c r="G8" t="str">
        <f t="shared" si="0"/>
        <v/>
      </c>
    </row>
    <row r="9" spans="1:7" x14ac:dyDescent="0.25">
      <c r="A9" s="87">
        <v>40634</v>
      </c>
      <c r="B9" s="42">
        <v>32</v>
      </c>
      <c r="C9" t="str">
        <f t="shared" si="1"/>
        <v/>
      </c>
      <c r="E9" s="87">
        <v>40546</v>
      </c>
      <c r="F9" s="42">
        <v>26</v>
      </c>
      <c r="G9" t="str">
        <f t="shared" si="0"/>
        <v/>
      </c>
    </row>
    <row r="10" spans="1:7" x14ac:dyDescent="0.25">
      <c r="A10" s="87">
        <v>40640</v>
      </c>
      <c r="B10" s="42">
        <v>32</v>
      </c>
      <c r="C10" t="str">
        <f t="shared" si="1"/>
        <v/>
      </c>
      <c r="E10" s="87">
        <v>40546</v>
      </c>
      <c r="F10" s="42">
        <v>1</v>
      </c>
      <c r="G10" t="str">
        <f t="shared" si="0"/>
        <v/>
      </c>
    </row>
    <row r="11" spans="1:7" x14ac:dyDescent="0.25">
      <c r="A11" s="87">
        <v>40640</v>
      </c>
      <c r="B11" s="42">
        <v>8</v>
      </c>
      <c r="C11" t="str">
        <f t="shared" si="1"/>
        <v/>
      </c>
      <c r="E11" s="87">
        <v>40546</v>
      </c>
      <c r="F11" s="42">
        <v>17</v>
      </c>
      <c r="G11" t="str">
        <f t="shared" si="0"/>
        <v/>
      </c>
    </row>
    <row r="12" spans="1:7" x14ac:dyDescent="0.25">
      <c r="A12" s="87">
        <v>40690</v>
      </c>
      <c r="B12" s="42">
        <v>32</v>
      </c>
      <c r="C12" t="str">
        <f t="shared" si="1"/>
        <v/>
      </c>
      <c r="E12" s="87">
        <v>40546</v>
      </c>
      <c r="F12" s="42">
        <v>18</v>
      </c>
      <c r="G12" t="str">
        <f t="shared" si="0"/>
        <v/>
      </c>
    </row>
    <row r="13" spans="1:7" x14ac:dyDescent="0.25">
      <c r="A13" s="87">
        <v>40718</v>
      </c>
      <c r="B13" s="42">
        <v>15</v>
      </c>
      <c r="C13" t="str">
        <f t="shared" si="1"/>
        <v/>
      </c>
      <c r="E13" s="87">
        <v>40546</v>
      </c>
      <c r="F13" s="42">
        <v>19</v>
      </c>
      <c r="G13" t="str">
        <f t="shared" si="0"/>
        <v/>
      </c>
    </row>
    <row r="14" spans="1:7" x14ac:dyDescent="0.25">
      <c r="A14" s="87">
        <v>40718</v>
      </c>
      <c r="B14" s="42">
        <v>16</v>
      </c>
      <c r="C14" t="str">
        <f t="shared" si="1"/>
        <v/>
      </c>
      <c r="E14" s="87">
        <v>40546</v>
      </c>
      <c r="F14" s="42">
        <v>15</v>
      </c>
      <c r="G14" t="str">
        <f t="shared" si="0"/>
        <v/>
      </c>
    </row>
    <row r="15" spans="1:7" x14ac:dyDescent="0.25">
      <c r="A15" s="87">
        <v>40718</v>
      </c>
      <c r="B15" s="42">
        <v>25</v>
      </c>
      <c r="C15" t="str">
        <f t="shared" si="1"/>
        <v/>
      </c>
      <c r="E15" s="87">
        <v>40546</v>
      </c>
      <c r="F15" s="42">
        <v>13</v>
      </c>
      <c r="G15" t="str">
        <f t="shared" si="0"/>
        <v/>
      </c>
    </row>
    <row r="16" spans="1:7" x14ac:dyDescent="0.25">
      <c r="A16" s="87">
        <v>40718</v>
      </c>
      <c r="B16" s="42">
        <v>27</v>
      </c>
      <c r="C16" t="str">
        <f t="shared" si="1"/>
        <v/>
      </c>
      <c r="E16" s="87">
        <v>40546</v>
      </c>
      <c r="F16" s="42">
        <v>8</v>
      </c>
      <c r="G16" t="str">
        <f t="shared" si="0"/>
        <v/>
      </c>
    </row>
    <row r="17" spans="1:7" x14ac:dyDescent="0.25">
      <c r="A17" s="87">
        <v>40718</v>
      </c>
      <c r="B17" s="42">
        <v>23</v>
      </c>
      <c r="C17" t="str">
        <f t="shared" si="1"/>
        <v/>
      </c>
      <c r="E17" s="87">
        <v>40546</v>
      </c>
      <c r="F17" s="42">
        <v>16</v>
      </c>
      <c r="G17" t="str">
        <f t="shared" si="0"/>
        <v/>
      </c>
    </row>
    <row r="18" spans="1:7" x14ac:dyDescent="0.25">
      <c r="A18" s="87">
        <v>40718</v>
      </c>
      <c r="B18" s="42">
        <v>19</v>
      </c>
      <c r="C18" t="str">
        <f t="shared" si="1"/>
        <v/>
      </c>
      <c r="E18" s="87">
        <v>40546</v>
      </c>
      <c r="F18" s="42">
        <v>9</v>
      </c>
      <c r="G18" t="str">
        <f t="shared" si="0"/>
        <v/>
      </c>
    </row>
    <row r="19" spans="1:7" x14ac:dyDescent="0.25">
      <c r="A19" s="87">
        <v>40718</v>
      </c>
      <c r="B19" s="42">
        <v>20</v>
      </c>
      <c r="C19" t="str">
        <f t="shared" si="1"/>
        <v/>
      </c>
      <c r="E19" s="87">
        <v>40546</v>
      </c>
      <c r="F19" s="42">
        <v>12</v>
      </c>
      <c r="G19" t="str">
        <f t="shared" si="0"/>
        <v/>
      </c>
    </row>
    <row r="20" spans="1:7" x14ac:dyDescent="0.25">
      <c r="A20" s="87">
        <v>40718</v>
      </c>
      <c r="B20" s="42">
        <v>21</v>
      </c>
      <c r="C20" t="str">
        <f t="shared" si="1"/>
        <v/>
      </c>
      <c r="E20" s="87">
        <v>40546</v>
      </c>
      <c r="F20" s="42">
        <v>10</v>
      </c>
      <c r="G20" t="str">
        <f t="shared" si="0"/>
        <v/>
      </c>
    </row>
    <row r="21" spans="1:7" x14ac:dyDescent="0.25">
      <c r="A21" s="87">
        <v>40718</v>
      </c>
      <c r="B21" s="42">
        <v>24</v>
      </c>
      <c r="C21" t="str">
        <f t="shared" si="1"/>
        <v/>
      </c>
      <c r="E21" s="87">
        <v>40546</v>
      </c>
      <c r="F21" s="42">
        <v>2</v>
      </c>
      <c r="G21" t="str">
        <f t="shared" si="0"/>
        <v/>
      </c>
    </row>
    <row r="22" spans="1:7" x14ac:dyDescent="0.25">
      <c r="A22" s="87">
        <v>40718</v>
      </c>
      <c r="B22" s="42">
        <v>22</v>
      </c>
      <c r="C22" t="str">
        <f t="shared" si="1"/>
        <v/>
      </c>
      <c r="E22" s="87">
        <v>40546</v>
      </c>
      <c r="F22" s="42">
        <v>11</v>
      </c>
      <c r="G22" t="str">
        <f t="shared" si="0"/>
        <v/>
      </c>
    </row>
    <row r="23" spans="1:7" x14ac:dyDescent="0.25">
      <c r="A23" s="87">
        <v>40718</v>
      </c>
      <c r="B23" s="42">
        <v>12</v>
      </c>
      <c r="C23" t="str">
        <f t="shared" si="1"/>
        <v/>
      </c>
      <c r="E23" s="87">
        <v>40546</v>
      </c>
      <c r="F23" s="42">
        <v>24</v>
      </c>
      <c r="G23" t="str">
        <f t="shared" si="0"/>
        <v/>
      </c>
    </row>
    <row r="24" spans="1:7" x14ac:dyDescent="0.25">
      <c r="A24" s="87">
        <v>40718</v>
      </c>
      <c r="B24" s="42">
        <v>32</v>
      </c>
      <c r="C24" t="str">
        <f t="shared" si="1"/>
        <v/>
      </c>
      <c r="E24" s="87">
        <v>40547</v>
      </c>
      <c r="F24" s="42">
        <v>21</v>
      </c>
      <c r="G24" t="str">
        <f t="shared" si="0"/>
        <v/>
      </c>
    </row>
    <row r="25" spans="1:7" x14ac:dyDescent="0.25">
      <c r="A25" s="87">
        <v>40730</v>
      </c>
      <c r="B25" s="42">
        <v>8</v>
      </c>
      <c r="C25" t="str">
        <f t="shared" si="1"/>
        <v/>
      </c>
      <c r="E25" s="87">
        <v>40547</v>
      </c>
      <c r="F25" s="42">
        <v>20</v>
      </c>
      <c r="G25" t="str">
        <f t="shared" si="0"/>
        <v/>
      </c>
    </row>
    <row r="26" spans="1:7" x14ac:dyDescent="0.25">
      <c r="A26" s="87">
        <v>40746</v>
      </c>
      <c r="B26" s="42">
        <v>32</v>
      </c>
      <c r="C26" t="str">
        <f t="shared" si="1"/>
        <v/>
      </c>
      <c r="E26" s="87">
        <v>40549</v>
      </c>
      <c r="F26" s="42">
        <v>23</v>
      </c>
      <c r="G26" t="str">
        <f t="shared" si="0"/>
        <v/>
      </c>
    </row>
    <row r="27" spans="1:7" x14ac:dyDescent="0.25">
      <c r="A27" s="87">
        <v>40746</v>
      </c>
      <c r="B27" s="42">
        <v>13</v>
      </c>
      <c r="C27" t="str">
        <f t="shared" si="1"/>
        <v/>
      </c>
      <c r="E27" s="87">
        <v>40550</v>
      </c>
      <c r="F27" s="42">
        <v>22</v>
      </c>
      <c r="G27" t="str">
        <f t="shared" si="0"/>
        <v/>
      </c>
    </row>
    <row r="28" spans="1:7" x14ac:dyDescent="0.25">
      <c r="A28" s="87">
        <v>40774</v>
      </c>
      <c r="B28" s="42">
        <v>32</v>
      </c>
      <c r="C28" t="str">
        <f t="shared" si="1"/>
        <v/>
      </c>
      <c r="E28" s="87">
        <v>40574</v>
      </c>
      <c r="F28" s="42">
        <v>17</v>
      </c>
      <c r="G28" t="str">
        <f t="shared" si="0"/>
        <v/>
      </c>
    </row>
    <row r="29" spans="1:7" x14ac:dyDescent="0.25">
      <c r="A29" s="87">
        <v>40802</v>
      </c>
      <c r="B29" s="42">
        <v>17</v>
      </c>
      <c r="C29" t="str">
        <f t="shared" si="1"/>
        <v/>
      </c>
      <c r="E29" s="87">
        <v>40576</v>
      </c>
      <c r="F29" s="42">
        <v>25</v>
      </c>
      <c r="G29" t="str">
        <f t="shared" si="0"/>
        <v/>
      </c>
    </row>
    <row r="30" spans="1:7" x14ac:dyDescent="0.25">
      <c r="A30" s="87">
        <v>40802</v>
      </c>
      <c r="B30" s="42">
        <v>26</v>
      </c>
      <c r="C30" t="str">
        <f t="shared" si="1"/>
        <v/>
      </c>
      <c r="E30" s="87">
        <v>40576</v>
      </c>
      <c r="F30" s="42">
        <v>14</v>
      </c>
      <c r="G30" t="str">
        <f t="shared" si="0"/>
        <v/>
      </c>
    </row>
    <row r="31" spans="1:7" x14ac:dyDescent="0.25">
      <c r="A31" s="87">
        <v>40802</v>
      </c>
      <c r="B31" s="42">
        <v>18</v>
      </c>
      <c r="C31" t="str">
        <f t="shared" si="1"/>
        <v/>
      </c>
      <c r="E31" s="87">
        <v>40576</v>
      </c>
      <c r="F31" s="42">
        <v>18</v>
      </c>
      <c r="G31" t="str">
        <f t="shared" si="0"/>
        <v/>
      </c>
    </row>
    <row r="32" spans="1:7" x14ac:dyDescent="0.25">
      <c r="A32" s="87">
        <v>40802</v>
      </c>
      <c r="B32" s="42">
        <v>12</v>
      </c>
      <c r="C32" t="str">
        <f t="shared" si="1"/>
        <v/>
      </c>
      <c r="E32" s="87">
        <v>40576</v>
      </c>
      <c r="F32" s="42">
        <v>19</v>
      </c>
      <c r="G32" t="str">
        <f t="shared" si="0"/>
        <v/>
      </c>
    </row>
    <row r="33" spans="1:7" x14ac:dyDescent="0.25">
      <c r="A33" s="87">
        <v>40802</v>
      </c>
      <c r="B33" s="42">
        <v>32</v>
      </c>
      <c r="C33" t="str">
        <f t="shared" si="1"/>
        <v/>
      </c>
      <c r="E33" s="87">
        <v>40596</v>
      </c>
      <c r="F33" s="42">
        <v>5</v>
      </c>
      <c r="G33" t="str">
        <f t="shared" si="0"/>
        <v/>
      </c>
    </row>
    <row r="34" spans="1:7" x14ac:dyDescent="0.25">
      <c r="A34" s="87">
        <v>40816</v>
      </c>
      <c r="B34" s="42">
        <v>32</v>
      </c>
      <c r="C34" t="str">
        <f t="shared" si="1"/>
        <v/>
      </c>
      <c r="E34" s="87">
        <v>40596</v>
      </c>
      <c r="F34" s="42">
        <v>4</v>
      </c>
      <c r="G34" t="str">
        <f t="shared" si="0"/>
        <v/>
      </c>
    </row>
    <row r="35" spans="1:7" x14ac:dyDescent="0.25">
      <c r="A35" s="87">
        <v>40820</v>
      </c>
      <c r="B35" s="42">
        <v>8</v>
      </c>
      <c r="C35" t="str">
        <f t="shared" si="1"/>
        <v/>
      </c>
      <c r="E35" s="87">
        <v>40602</v>
      </c>
      <c r="F35" s="42">
        <v>17</v>
      </c>
      <c r="G35" t="str">
        <f t="shared" si="0"/>
        <v/>
      </c>
    </row>
    <row r="36" spans="1:7" x14ac:dyDescent="0.25">
      <c r="A36" s="87">
        <v>40830</v>
      </c>
      <c r="B36" s="42">
        <v>32</v>
      </c>
      <c r="C36" t="str">
        <f t="shared" si="1"/>
        <v/>
      </c>
      <c r="E36" s="87">
        <v>40606</v>
      </c>
      <c r="F36" s="42">
        <v>25</v>
      </c>
      <c r="G36" t="str">
        <f t="shared" si="0"/>
        <v/>
      </c>
    </row>
    <row r="37" spans="1:7" x14ac:dyDescent="0.25">
      <c r="A37" s="87">
        <v>40836</v>
      </c>
      <c r="B37" s="42">
        <v>9</v>
      </c>
      <c r="C37" t="str">
        <f t="shared" si="1"/>
        <v/>
      </c>
      <c r="E37" s="87">
        <v>40606</v>
      </c>
      <c r="F37" s="42">
        <v>14</v>
      </c>
      <c r="G37" t="str">
        <f t="shared" si="0"/>
        <v/>
      </c>
    </row>
    <row r="38" spans="1:7" x14ac:dyDescent="0.25">
      <c r="A38" s="87">
        <v>40843</v>
      </c>
      <c r="B38" s="42">
        <v>9</v>
      </c>
      <c r="C38" t="str">
        <f t="shared" si="1"/>
        <v/>
      </c>
      <c r="E38" s="87">
        <v>40606</v>
      </c>
      <c r="F38" s="42">
        <v>18</v>
      </c>
      <c r="G38" t="str">
        <f t="shared" si="0"/>
        <v/>
      </c>
    </row>
    <row r="39" spans="1:7" x14ac:dyDescent="0.25">
      <c r="A39" s="87">
        <v>40844</v>
      </c>
      <c r="B39" s="42">
        <v>29</v>
      </c>
      <c r="C39" t="str">
        <f t="shared" si="1"/>
        <v/>
      </c>
      <c r="E39" s="87">
        <v>40606</v>
      </c>
      <c r="F39" s="42">
        <v>19</v>
      </c>
      <c r="G39" t="str">
        <f t="shared" si="0"/>
        <v/>
      </c>
    </row>
    <row r="40" spans="1:7" x14ac:dyDescent="0.25">
      <c r="A40" s="87">
        <v>40844</v>
      </c>
      <c r="B40" s="42">
        <v>32</v>
      </c>
      <c r="C40" t="str">
        <f t="shared" si="1"/>
        <v/>
      </c>
      <c r="E40" s="87">
        <v>40630</v>
      </c>
      <c r="F40" s="42">
        <v>26</v>
      </c>
      <c r="G40" t="str">
        <f t="shared" si="0"/>
        <v/>
      </c>
    </row>
    <row r="41" spans="1:7" x14ac:dyDescent="0.25">
      <c r="A41" s="87">
        <v>40844</v>
      </c>
      <c r="B41" s="42">
        <v>10</v>
      </c>
      <c r="C41" t="str">
        <f t="shared" si="1"/>
        <v/>
      </c>
      <c r="E41" s="87">
        <v>40630</v>
      </c>
      <c r="F41" s="42">
        <v>17</v>
      </c>
      <c r="G41" t="str">
        <f t="shared" si="0"/>
        <v/>
      </c>
    </row>
    <row r="42" spans="1:7" x14ac:dyDescent="0.25">
      <c r="A42" s="87">
        <v>40844</v>
      </c>
      <c r="B42" s="42">
        <v>11</v>
      </c>
      <c r="C42" t="str">
        <f t="shared" si="1"/>
        <v/>
      </c>
      <c r="E42" s="87">
        <v>40630</v>
      </c>
      <c r="F42" s="42">
        <v>24</v>
      </c>
      <c r="G42" t="str">
        <f t="shared" si="0"/>
        <v/>
      </c>
    </row>
    <row r="43" spans="1:7" x14ac:dyDescent="0.25">
      <c r="A43" s="87">
        <v>40848</v>
      </c>
      <c r="B43" s="42">
        <v>9</v>
      </c>
      <c r="C43" t="str">
        <f t="shared" si="1"/>
        <v/>
      </c>
      <c r="E43" s="87">
        <v>40636</v>
      </c>
      <c r="F43" s="42">
        <v>25</v>
      </c>
      <c r="G43" t="str">
        <f t="shared" si="0"/>
        <v/>
      </c>
    </row>
    <row r="44" spans="1:7" x14ac:dyDescent="0.25">
      <c r="A44" s="87">
        <v>40855</v>
      </c>
      <c r="B44" s="42">
        <v>9</v>
      </c>
      <c r="C44" t="str">
        <f t="shared" si="1"/>
        <v/>
      </c>
      <c r="E44" s="87">
        <v>40636</v>
      </c>
      <c r="F44" s="42">
        <v>14</v>
      </c>
      <c r="G44" t="str">
        <f t="shared" si="0"/>
        <v/>
      </c>
    </row>
    <row r="45" spans="1:7" x14ac:dyDescent="0.25">
      <c r="A45" s="87">
        <v>40858</v>
      </c>
      <c r="B45" s="42">
        <v>32</v>
      </c>
      <c r="C45" t="str">
        <f t="shared" si="1"/>
        <v/>
      </c>
      <c r="E45" s="87">
        <v>40636</v>
      </c>
      <c r="F45" s="42">
        <v>18</v>
      </c>
      <c r="G45" t="str">
        <f t="shared" si="0"/>
        <v/>
      </c>
    </row>
    <row r="46" spans="1:7" x14ac:dyDescent="0.25">
      <c r="A46" s="87">
        <v>40865</v>
      </c>
      <c r="B46" s="42">
        <v>32</v>
      </c>
      <c r="C46" t="str">
        <f t="shared" si="1"/>
        <v/>
      </c>
      <c r="E46" s="87">
        <v>40636</v>
      </c>
      <c r="F46" s="42">
        <v>19</v>
      </c>
      <c r="G46" t="str">
        <f t="shared" si="0"/>
        <v/>
      </c>
    </row>
    <row r="47" spans="1:7" x14ac:dyDescent="0.25">
      <c r="A47" s="87">
        <v>40872</v>
      </c>
      <c r="B47" s="42">
        <v>32</v>
      </c>
      <c r="C47" t="str">
        <f t="shared" si="1"/>
        <v/>
      </c>
      <c r="E47" s="87">
        <v>40646</v>
      </c>
      <c r="F47" s="42">
        <v>5</v>
      </c>
      <c r="G47" t="str">
        <f t="shared" si="0"/>
        <v/>
      </c>
    </row>
    <row r="48" spans="1:7" x14ac:dyDescent="0.25">
      <c r="A48" s="87">
        <v>40879</v>
      </c>
      <c r="B48" s="42">
        <v>32</v>
      </c>
      <c r="C48" t="str">
        <f t="shared" si="1"/>
        <v/>
      </c>
      <c r="E48" s="87">
        <v>40646</v>
      </c>
      <c r="F48" s="42">
        <v>4</v>
      </c>
      <c r="G48" t="str">
        <f t="shared" si="0"/>
        <v/>
      </c>
    </row>
    <row r="49" spans="1:7" x14ac:dyDescent="0.25">
      <c r="A49" s="87">
        <v>40886</v>
      </c>
      <c r="B49" s="42">
        <v>5</v>
      </c>
      <c r="C49" t="str">
        <f t="shared" si="1"/>
        <v/>
      </c>
      <c r="E49" s="87">
        <v>40658</v>
      </c>
      <c r="F49" s="42">
        <v>17</v>
      </c>
      <c r="G49" t="str">
        <f t="shared" si="0"/>
        <v/>
      </c>
    </row>
    <row r="50" spans="1:7" x14ac:dyDescent="0.25">
      <c r="A50" s="87">
        <v>40886</v>
      </c>
      <c r="B50" s="42">
        <v>4</v>
      </c>
      <c r="C50" t="str">
        <f t="shared" si="1"/>
        <v/>
      </c>
      <c r="E50" s="87">
        <v>40666</v>
      </c>
      <c r="F50" s="42">
        <v>25</v>
      </c>
      <c r="G50" t="str">
        <f t="shared" si="0"/>
        <v/>
      </c>
    </row>
    <row r="51" spans="1:7" x14ac:dyDescent="0.25">
      <c r="A51" s="87">
        <v>40886</v>
      </c>
      <c r="B51" s="42">
        <v>34</v>
      </c>
      <c r="C51" t="str">
        <f t="shared" si="1"/>
        <v/>
      </c>
      <c r="E51" s="87">
        <v>40666</v>
      </c>
      <c r="F51" s="42">
        <v>14</v>
      </c>
      <c r="G51" t="str">
        <f t="shared" si="0"/>
        <v/>
      </c>
    </row>
    <row r="52" spans="1:7" x14ac:dyDescent="0.25">
      <c r="A52" s="87">
        <v>40886</v>
      </c>
      <c r="B52" s="42">
        <v>6</v>
      </c>
      <c r="C52" t="str">
        <f t="shared" si="1"/>
        <v/>
      </c>
      <c r="E52" s="87">
        <v>40666</v>
      </c>
      <c r="F52" s="42">
        <v>18</v>
      </c>
      <c r="G52" t="str">
        <f t="shared" si="0"/>
        <v/>
      </c>
    </row>
    <row r="53" spans="1:7" x14ac:dyDescent="0.25">
      <c r="A53" s="87">
        <v>40886</v>
      </c>
      <c r="B53" s="42">
        <v>3</v>
      </c>
      <c r="C53" t="str">
        <f t="shared" si="1"/>
        <v/>
      </c>
      <c r="E53" s="87">
        <v>40666</v>
      </c>
      <c r="F53" s="42">
        <v>19</v>
      </c>
      <c r="G53" t="str">
        <f t="shared" si="0"/>
        <v/>
      </c>
    </row>
    <row r="54" spans="1:7" x14ac:dyDescent="0.25">
      <c r="A54" s="87">
        <v>40888</v>
      </c>
      <c r="B54" s="42">
        <v>7</v>
      </c>
      <c r="C54" t="str">
        <f t="shared" si="1"/>
        <v/>
      </c>
      <c r="E54" s="87">
        <f>E39+50</f>
        <v>40656</v>
      </c>
      <c r="F54" s="42">
        <v>5</v>
      </c>
      <c r="G54" t="str">
        <f t="shared" si="0"/>
        <v>Err</v>
      </c>
    </row>
    <row r="55" spans="1:7" x14ac:dyDescent="0.25">
      <c r="A55" s="87">
        <v>40888</v>
      </c>
      <c r="B55" s="42">
        <v>2</v>
      </c>
      <c r="C55" t="str">
        <f t="shared" si="1"/>
        <v/>
      </c>
      <c r="E55" s="87">
        <v>40686</v>
      </c>
      <c r="F55" s="42">
        <v>17</v>
      </c>
      <c r="G55" t="str">
        <f t="shared" si="0"/>
        <v/>
      </c>
    </row>
    <row r="56" spans="1:7" x14ac:dyDescent="0.25">
      <c r="A56" s="87">
        <v>40888</v>
      </c>
      <c r="B56" s="42">
        <v>1</v>
      </c>
      <c r="C56" t="str">
        <f t="shared" si="1"/>
        <v/>
      </c>
      <c r="E56" s="87">
        <v>40696</v>
      </c>
      <c r="F56" s="42">
        <v>25</v>
      </c>
      <c r="G56" t="str">
        <f t="shared" si="0"/>
        <v/>
      </c>
    </row>
    <row r="57" spans="1:7" x14ac:dyDescent="0.25">
      <c r="A57" s="87">
        <v>40900</v>
      </c>
      <c r="B57" s="42">
        <v>33</v>
      </c>
      <c r="C57" t="str">
        <f t="shared" si="1"/>
        <v/>
      </c>
      <c r="E57" s="87">
        <v>40696</v>
      </c>
      <c r="F57" s="42">
        <v>14</v>
      </c>
      <c r="G57" t="str">
        <f t="shared" si="0"/>
        <v/>
      </c>
    </row>
    <row r="58" spans="1:7" x14ac:dyDescent="0.25">
      <c r="E58" s="87">
        <v>40696</v>
      </c>
      <c r="F58" s="42">
        <v>5</v>
      </c>
      <c r="G58" t="str">
        <f t="shared" si="0"/>
        <v/>
      </c>
    </row>
    <row r="59" spans="1:7" x14ac:dyDescent="0.25">
      <c r="E59" s="87">
        <v>40696</v>
      </c>
      <c r="F59" s="42">
        <v>4</v>
      </c>
      <c r="G59" t="str">
        <f t="shared" si="0"/>
        <v/>
      </c>
    </row>
    <row r="60" spans="1:7" x14ac:dyDescent="0.25">
      <c r="E60" s="87">
        <v>40696</v>
      </c>
      <c r="F60" s="42">
        <v>18</v>
      </c>
      <c r="G60" t="str">
        <f t="shared" si="0"/>
        <v/>
      </c>
    </row>
    <row r="61" spans="1:7" x14ac:dyDescent="0.25">
      <c r="E61" s="87">
        <v>40696</v>
      </c>
      <c r="F61" s="42">
        <v>19</v>
      </c>
      <c r="G61" t="str">
        <f t="shared" si="0"/>
        <v/>
      </c>
    </row>
    <row r="62" spans="1:7" x14ac:dyDescent="0.25">
      <c r="E62" s="87">
        <v>40714</v>
      </c>
      <c r="F62" s="42">
        <v>26</v>
      </c>
      <c r="G62" t="str">
        <f t="shared" si="0"/>
        <v/>
      </c>
    </row>
    <row r="63" spans="1:7" x14ac:dyDescent="0.25">
      <c r="E63" s="87">
        <v>40714</v>
      </c>
      <c r="F63" s="42">
        <v>17</v>
      </c>
      <c r="G63" t="str">
        <f t="shared" si="0"/>
        <v/>
      </c>
    </row>
    <row r="64" spans="1:7" x14ac:dyDescent="0.25">
      <c r="E64" s="87">
        <v>40721</v>
      </c>
      <c r="F64" s="42">
        <v>15</v>
      </c>
      <c r="G64" t="str">
        <f t="shared" si="0"/>
        <v/>
      </c>
    </row>
    <row r="65" spans="5:7" x14ac:dyDescent="0.25">
      <c r="E65" s="87">
        <v>40721</v>
      </c>
      <c r="F65" s="42">
        <v>16</v>
      </c>
      <c r="G65" t="str">
        <f t="shared" si="0"/>
        <v/>
      </c>
    </row>
    <row r="66" spans="5:7" x14ac:dyDescent="0.25">
      <c r="E66" s="87">
        <v>40721</v>
      </c>
      <c r="F66" s="42">
        <v>10</v>
      </c>
      <c r="G66" t="str">
        <f t="shared" si="0"/>
        <v/>
      </c>
    </row>
    <row r="67" spans="5:7" x14ac:dyDescent="0.25">
      <c r="E67" s="87">
        <v>40721</v>
      </c>
      <c r="F67" s="42">
        <v>2</v>
      </c>
      <c r="G67" t="str">
        <f t="shared" si="0"/>
        <v/>
      </c>
    </row>
    <row r="68" spans="5:7" x14ac:dyDescent="0.25">
      <c r="E68" s="87">
        <v>40721</v>
      </c>
      <c r="F68" s="42">
        <v>11</v>
      </c>
      <c r="G68" t="str">
        <f t="shared" ref="G68:G121" si="2">IF(E68&gt;=E67,"","Err")</f>
        <v/>
      </c>
    </row>
    <row r="69" spans="5:7" x14ac:dyDescent="0.25">
      <c r="E69" s="87">
        <v>40721</v>
      </c>
      <c r="F69" s="42">
        <v>24</v>
      </c>
      <c r="G69" t="str">
        <f t="shared" si="2"/>
        <v/>
      </c>
    </row>
    <row r="70" spans="5:7" x14ac:dyDescent="0.25">
      <c r="E70" s="87">
        <v>40722</v>
      </c>
      <c r="F70" s="42">
        <v>21</v>
      </c>
      <c r="G70" t="str">
        <f t="shared" si="2"/>
        <v/>
      </c>
    </row>
    <row r="71" spans="5:7" x14ac:dyDescent="0.25">
      <c r="E71" s="87">
        <v>40722</v>
      </c>
      <c r="F71" s="42">
        <v>20</v>
      </c>
      <c r="G71" t="str">
        <f t="shared" si="2"/>
        <v/>
      </c>
    </row>
    <row r="72" spans="5:7" x14ac:dyDescent="0.25">
      <c r="E72" s="87">
        <v>40726</v>
      </c>
      <c r="F72" s="42">
        <v>25</v>
      </c>
      <c r="G72" t="str">
        <f t="shared" si="2"/>
        <v/>
      </c>
    </row>
    <row r="73" spans="5:7" x14ac:dyDescent="0.25">
      <c r="E73" s="87">
        <v>40726</v>
      </c>
      <c r="F73" s="42">
        <v>14</v>
      </c>
      <c r="G73" t="str">
        <f t="shared" si="2"/>
        <v/>
      </c>
    </row>
    <row r="74" spans="5:7" x14ac:dyDescent="0.25">
      <c r="E74" s="87">
        <v>40726</v>
      </c>
      <c r="F74" s="42">
        <v>6</v>
      </c>
      <c r="G74" t="str">
        <f t="shared" si="2"/>
        <v/>
      </c>
    </row>
    <row r="75" spans="5:7" x14ac:dyDescent="0.25">
      <c r="E75" s="87">
        <v>40726</v>
      </c>
      <c r="F75" s="42">
        <v>18</v>
      </c>
      <c r="G75" t="str">
        <f t="shared" si="2"/>
        <v/>
      </c>
    </row>
    <row r="76" spans="5:7" x14ac:dyDescent="0.25">
      <c r="E76" s="87">
        <v>40726</v>
      </c>
      <c r="F76" s="42">
        <v>19</v>
      </c>
      <c r="G76" t="str">
        <f t="shared" si="2"/>
        <v/>
      </c>
    </row>
    <row r="77" spans="5:7" x14ac:dyDescent="0.25">
      <c r="E77" s="87">
        <v>40742</v>
      </c>
      <c r="F77" s="42">
        <v>17</v>
      </c>
      <c r="G77" t="str">
        <f t="shared" si="2"/>
        <v/>
      </c>
    </row>
    <row r="78" spans="5:7" x14ac:dyDescent="0.25">
      <c r="E78" s="87">
        <v>40746</v>
      </c>
      <c r="F78" s="42">
        <v>4</v>
      </c>
      <c r="G78" t="str">
        <f t="shared" si="2"/>
        <v/>
      </c>
    </row>
    <row r="79" spans="5:7" x14ac:dyDescent="0.25">
      <c r="E79" s="87">
        <v>40756</v>
      </c>
      <c r="F79" s="42">
        <v>25</v>
      </c>
      <c r="G79" t="str">
        <f t="shared" si="2"/>
        <v/>
      </c>
    </row>
    <row r="80" spans="5:7" x14ac:dyDescent="0.25">
      <c r="E80" s="87">
        <v>40756</v>
      </c>
      <c r="F80" s="42">
        <v>14</v>
      </c>
      <c r="G80" t="str">
        <f t="shared" si="2"/>
        <v/>
      </c>
    </row>
    <row r="81" spans="5:7" x14ac:dyDescent="0.25">
      <c r="E81" s="87">
        <v>40756</v>
      </c>
      <c r="F81" s="42">
        <v>18</v>
      </c>
      <c r="G81" t="str">
        <f t="shared" si="2"/>
        <v/>
      </c>
    </row>
    <row r="82" spans="5:7" x14ac:dyDescent="0.25">
      <c r="E82" s="87">
        <v>40756</v>
      </c>
      <c r="F82" s="42">
        <v>19</v>
      </c>
      <c r="G82" t="str">
        <f t="shared" si="2"/>
        <v/>
      </c>
    </row>
    <row r="83" spans="5:7" x14ac:dyDescent="0.25">
      <c r="E83" s="87">
        <v>40770</v>
      </c>
      <c r="F83" s="42">
        <v>17</v>
      </c>
      <c r="G83" t="str">
        <f t="shared" si="2"/>
        <v/>
      </c>
    </row>
    <row r="84" spans="5:7" x14ac:dyDescent="0.25">
      <c r="E84" s="87">
        <f>E65+50</f>
        <v>40771</v>
      </c>
      <c r="F84" s="42">
        <v>4</v>
      </c>
      <c r="G84" t="str">
        <f t="shared" si="2"/>
        <v/>
      </c>
    </row>
    <row r="85" spans="5:7" x14ac:dyDescent="0.25">
      <c r="E85" s="87">
        <v>40786</v>
      </c>
      <c r="F85" s="42">
        <v>25</v>
      </c>
      <c r="G85" t="str">
        <f t="shared" si="2"/>
        <v/>
      </c>
    </row>
    <row r="86" spans="5:7" x14ac:dyDescent="0.25">
      <c r="E86" s="87">
        <v>40786</v>
      </c>
      <c r="F86" s="42">
        <v>14</v>
      </c>
      <c r="G86" t="str">
        <f t="shared" si="2"/>
        <v/>
      </c>
    </row>
    <row r="87" spans="5:7" x14ac:dyDescent="0.25">
      <c r="E87" s="87">
        <v>40786</v>
      </c>
      <c r="F87" s="42">
        <v>18</v>
      </c>
      <c r="G87" t="str">
        <f t="shared" si="2"/>
        <v/>
      </c>
    </row>
    <row r="88" spans="5:7" x14ac:dyDescent="0.25">
      <c r="E88" s="87">
        <v>40786</v>
      </c>
      <c r="F88" s="42">
        <v>19</v>
      </c>
      <c r="G88" t="str">
        <f t="shared" si="2"/>
        <v/>
      </c>
    </row>
    <row r="89" spans="5:7" x14ac:dyDescent="0.25">
      <c r="E89" s="87">
        <v>40796</v>
      </c>
      <c r="F89" s="42">
        <v>5</v>
      </c>
      <c r="G89" t="str">
        <f t="shared" si="2"/>
        <v/>
      </c>
    </row>
    <row r="90" spans="5:7" x14ac:dyDescent="0.25">
      <c r="E90" s="87">
        <v>40796</v>
      </c>
      <c r="F90" s="42">
        <v>4</v>
      </c>
      <c r="G90" t="str">
        <f t="shared" si="2"/>
        <v/>
      </c>
    </row>
    <row r="91" spans="5:7" x14ac:dyDescent="0.25">
      <c r="E91" s="87">
        <v>40798</v>
      </c>
      <c r="F91" s="42">
        <v>26</v>
      </c>
      <c r="G91" t="str">
        <f t="shared" si="2"/>
        <v/>
      </c>
    </row>
    <row r="92" spans="5:7" x14ac:dyDescent="0.25">
      <c r="E92" s="87">
        <v>40798</v>
      </c>
      <c r="F92" s="42">
        <v>17</v>
      </c>
      <c r="G92" t="str">
        <f t="shared" si="2"/>
        <v/>
      </c>
    </row>
    <row r="93" spans="5:7" x14ac:dyDescent="0.25">
      <c r="E93" s="87">
        <v>40812</v>
      </c>
      <c r="F93" s="42">
        <v>24</v>
      </c>
      <c r="G93" t="str">
        <f t="shared" si="2"/>
        <v/>
      </c>
    </row>
    <row r="94" spans="5:7" x14ac:dyDescent="0.25">
      <c r="E94" s="87">
        <v>40816</v>
      </c>
      <c r="F94" s="42">
        <v>25</v>
      </c>
      <c r="G94" t="str">
        <f t="shared" si="2"/>
        <v/>
      </c>
    </row>
    <row r="95" spans="5:7" x14ac:dyDescent="0.25">
      <c r="E95" s="87">
        <v>40816</v>
      </c>
      <c r="F95" s="42">
        <v>14</v>
      </c>
      <c r="G95" t="str">
        <f t="shared" si="2"/>
        <v/>
      </c>
    </row>
    <row r="96" spans="5:7" x14ac:dyDescent="0.25">
      <c r="E96" s="87">
        <v>40816</v>
      </c>
      <c r="F96" s="42">
        <v>18</v>
      </c>
      <c r="G96" t="str">
        <f t="shared" si="2"/>
        <v/>
      </c>
    </row>
    <row r="97" spans="5:7" x14ac:dyDescent="0.25">
      <c r="E97" s="87">
        <v>40816</v>
      </c>
      <c r="F97" s="42">
        <v>19</v>
      </c>
      <c r="G97" t="str">
        <f t="shared" si="2"/>
        <v/>
      </c>
    </row>
    <row r="98" spans="5:7" x14ac:dyDescent="0.25">
      <c r="E98" s="87">
        <v>40819</v>
      </c>
      <c r="F98" s="42">
        <v>28</v>
      </c>
      <c r="G98" t="str">
        <f t="shared" si="2"/>
        <v/>
      </c>
    </row>
    <row r="99" spans="5:7" x14ac:dyDescent="0.25">
      <c r="E99" s="87">
        <v>40819</v>
      </c>
      <c r="F99" s="42">
        <v>27</v>
      </c>
      <c r="G99" t="str">
        <f t="shared" si="2"/>
        <v/>
      </c>
    </row>
    <row r="100" spans="5:7" x14ac:dyDescent="0.25">
      <c r="E100" s="87">
        <v>40819</v>
      </c>
      <c r="F100" s="42">
        <v>29</v>
      </c>
      <c r="G100" t="str">
        <f t="shared" si="2"/>
        <v/>
      </c>
    </row>
    <row r="101" spans="5:7" x14ac:dyDescent="0.25">
      <c r="E101" s="87">
        <v>40819</v>
      </c>
      <c r="F101" s="42">
        <v>30</v>
      </c>
      <c r="G101" t="str">
        <f t="shared" si="2"/>
        <v/>
      </c>
    </row>
    <row r="102" spans="5:7" x14ac:dyDescent="0.25">
      <c r="E102" s="87">
        <v>40826</v>
      </c>
      <c r="F102" s="42">
        <v>17</v>
      </c>
      <c r="G102" t="str">
        <f t="shared" si="2"/>
        <v/>
      </c>
    </row>
    <row r="103" spans="5:7" x14ac:dyDescent="0.25">
      <c r="E103" s="87">
        <v>40846</v>
      </c>
      <c r="F103" s="42">
        <v>25</v>
      </c>
      <c r="G103" t="str">
        <f t="shared" si="2"/>
        <v/>
      </c>
    </row>
    <row r="104" spans="5:7" x14ac:dyDescent="0.25">
      <c r="E104" s="87">
        <v>40846</v>
      </c>
      <c r="F104" s="42">
        <v>14</v>
      </c>
      <c r="G104" t="str">
        <f t="shared" si="2"/>
        <v/>
      </c>
    </row>
    <row r="105" spans="5:7" x14ac:dyDescent="0.25">
      <c r="E105" s="87">
        <v>40846</v>
      </c>
      <c r="F105" s="42">
        <v>5</v>
      </c>
      <c r="G105" t="str">
        <f t="shared" si="2"/>
        <v/>
      </c>
    </row>
    <row r="106" spans="5:7" x14ac:dyDescent="0.25">
      <c r="E106" s="87">
        <v>40846</v>
      </c>
      <c r="F106" s="42">
        <v>18</v>
      </c>
      <c r="G106" t="str">
        <f t="shared" si="2"/>
        <v/>
      </c>
    </row>
    <row r="107" spans="5:7" x14ac:dyDescent="0.25">
      <c r="E107" s="87">
        <v>40846</v>
      </c>
      <c r="F107" s="42">
        <v>19</v>
      </c>
      <c r="G107" t="str">
        <f t="shared" si="2"/>
        <v/>
      </c>
    </row>
    <row r="108" spans="5:7" x14ac:dyDescent="0.25">
      <c r="E108" s="87">
        <v>40854</v>
      </c>
      <c r="F108" s="42">
        <v>17</v>
      </c>
      <c r="G108" t="str">
        <f t="shared" si="2"/>
        <v/>
      </c>
    </row>
    <row r="109" spans="5:7" x14ac:dyDescent="0.25">
      <c r="E109" s="87">
        <v>40876</v>
      </c>
      <c r="F109" s="42">
        <v>25</v>
      </c>
      <c r="G109" t="str">
        <f t="shared" si="2"/>
        <v/>
      </c>
    </row>
    <row r="110" spans="5:7" x14ac:dyDescent="0.25">
      <c r="E110" s="87">
        <v>40876</v>
      </c>
      <c r="F110" s="42">
        <v>14</v>
      </c>
      <c r="G110" t="str">
        <f t="shared" si="2"/>
        <v/>
      </c>
    </row>
    <row r="111" spans="5:7" x14ac:dyDescent="0.25">
      <c r="E111" s="87">
        <v>40876</v>
      </c>
      <c r="F111" s="42">
        <v>18</v>
      </c>
      <c r="G111" t="str">
        <f t="shared" si="2"/>
        <v/>
      </c>
    </row>
    <row r="112" spans="5:7" x14ac:dyDescent="0.25">
      <c r="E112" s="87">
        <v>40876</v>
      </c>
      <c r="F112" s="42">
        <v>19</v>
      </c>
      <c r="G112" t="str">
        <f t="shared" si="2"/>
        <v/>
      </c>
    </row>
    <row r="113" spans="5:7" x14ac:dyDescent="0.25">
      <c r="E113" s="87">
        <v>40882</v>
      </c>
      <c r="F113" s="42">
        <v>26</v>
      </c>
      <c r="G113" t="str">
        <f t="shared" si="2"/>
        <v/>
      </c>
    </row>
    <row r="114" spans="5:7" x14ac:dyDescent="0.25">
      <c r="E114" s="87">
        <v>40882</v>
      </c>
      <c r="F114" s="42">
        <v>17</v>
      </c>
      <c r="G114" t="str">
        <f t="shared" si="2"/>
        <v/>
      </c>
    </row>
    <row r="115" spans="5:7" x14ac:dyDescent="0.25">
      <c r="E115" s="87">
        <v>40896</v>
      </c>
      <c r="F115" s="42">
        <v>5</v>
      </c>
      <c r="G115" t="str">
        <f t="shared" si="2"/>
        <v/>
      </c>
    </row>
    <row r="116" spans="5:7" x14ac:dyDescent="0.25">
      <c r="E116" s="87">
        <v>40896</v>
      </c>
      <c r="F116" s="42">
        <v>4</v>
      </c>
      <c r="G116" t="str">
        <f t="shared" si="2"/>
        <v/>
      </c>
    </row>
    <row r="117" spans="5:7" x14ac:dyDescent="0.25">
      <c r="E117" s="87">
        <v>40906</v>
      </c>
      <c r="F117" s="42">
        <v>25</v>
      </c>
      <c r="G117" t="str">
        <f t="shared" si="2"/>
        <v/>
      </c>
    </row>
    <row r="118" spans="5:7" x14ac:dyDescent="0.25">
      <c r="E118" s="87">
        <v>40906</v>
      </c>
      <c r="F118" s="42">
        <v>14</v>
      </c>
      <c r="G118" t="str">
        <f t="shared" si="2"/>
        <v/>
      </c>
    </row>
    <row r="119" spans="5:7" x14ac:dyDescent="0.25">
      <c r="E119" s="87">
        <v>40906</v>
      </c>
      <c r="F119" s="42">
        <v>6</v>
      </c>
      <c r="G119" t="str">
        <f t="shared" si="2"/>
        <v/>
      </c>
    </row>
    <row r="120" spans="5:7" x14ac:dyDescent="0.25">
      <c r="E120" s="87">
        <v>40906</v>
      </c>
      <c r="F120" s="42">
        <v>18</v>
      </c>
      <c r="G120" t="str">
        <f t="shared" si="2"/>
        <v/>
      </c>
    </row>
    <row r="121" spans="5:7" x14ac:dyDescent="0.25">
      <c r="E121" s="87">
        <v>40906</v>
      </c>
      <c r="F121" s="42">
        <v>19</v>
      </c>
      <c r="G121" t="str">
        <f t="shared" si="2"/>
        <v/>
      </c>
    </row>
  </sheetData>
  <customSheetViews>
    <customSheetView guid="{04C50C76-DBA5-4B8F-A929-D0E997573BFE}">
      <selection activeCell="E3" sqref="E3"/>
      <pageMargins left="0.7" right="0.7" top="0.75" bottom="0.75" header="0.3" footer="0.3"/>
    </customSheetView>
    <customSheetView guid="{B93E95F7-2207-4982-B8B5-4CD0F87DD17C}">
      <selection activeCell="E3" sqref="E3"/>
      <pageMargins left="0.7" right="0.7" top="0.75" bottom="0.75" header="0.3" footer="0.3"/>
    </customSheetView>
  </customSheetViews>
  <mergeCells count="2">
    <mergeCell ref="E1:F1"/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CC"/>
  </sheetPr>
  <dimension ref="A1"/>
  <sheetViews>
    <sheetView workbookViewId="0">
      <selection sqref="A1:XFD1"/>
    </sheetView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CC"/>
  </sheetPr>
  <dimension ref="A1:H22"/>
  <sheetViews>
    <sheetView workbookViewId="0">
      <selection activeCell="B15" sqref="B15:B22"/>
    </sheetView>
  </sheetViews>
  <sheetFormatPr defaultRowHeight="15" x14ac:dyDescent="0.25"/>
  <cols>
    <col min="7" max="7" width="17.7109375" bestFit="1" customWidth="1"/>
  </cols>
  <sheetData>
    <row r="1" spans="1:8" x14ac:dyDescent="0.25">
      <c r="A1" t="e">
        <f ca="1">MATCH(INDIRECT("Import!A1"),Cost_Sharing_List_4,0)</f>
        <v>#N/A</v>
      </c>
      <c r="B1" t="str">
        <f ca="1">IF(INDIRECT("Import!B1")="","",INDIRECT("Import!B1"))</f>
        <v/>
      </c>
      <c r="E1" t="s">
        <v>243</v>
      </c>
      <c r="H1" t="b">
        <f ca="1">ISERROR(A1)</f>
        <v>1</v>
      </c>
    </row>
    <row r="2" spans="1:8" x14ac:dyDescent="0.25">
      <c r="A2" t="e">
        <f ca="1">MATCH(INDIRECT("Import!C1"),Cost_Sharing_List_4,0)</f>
        <v>#N/A</v>
      </c>
      <c r="B2" t="str">
        <f ca="1">IF(INDIRECT("Import!D1")="","",INDIRECT("Import!D1"))</f>
        <v/>
      </c>
      <c r="E2" t="s">
        <v>244</v>
      </c>
      <c r="H2" t="b">
        <f t="shared" ref="H2:H8" ca="1" si="0">ISERROR(A2)</f>
        <v>1</v>
      </c>
    </row>
    <row r="3" spans="1:8" x14ac:dyDescent="0.25">
      <c r="A3" t="e">
        <f ca="1">MATCH(INDIRECT("Import!E1"),Cost_Sharing_List_4,0)</f>
        <v>#N/A</v>
      </c>
      <c r="B3" t="str">
        <f ca="1">IF(INDIRECT("Import!F1")="","",INDIRECT("Import!F1"))</f>
        <v/>
      </c>
      <c r="E3" t="s">
        <v>245</v>
      </c>
      <c r="H3" t="b">
        <f t="shared" ca="1" si="0"/>
        <v>1</v>
      </c>
    </row>
    <row r="4" spans="1:8" x14ac:dyDescent="0.25">
      <c r="A4" t="e">
        <f ca="1">MATCH(INDIRECT("Import!G1"),Cost_Sharing_List_4,0)</f>
        <v>#N/A</v>
      </c>
      <c r="B4" t="str">
        <f ca="1">IF(INDIRECT("Import!H1")="","",INDIRECT("Import!H1"))</f>
        <v/>
      </c>
      <c r="H4" t="b">
        <f t="shared" ca="1" si="0"/>
        <v>1</v>
      </c>
    </row>
    <row r="5" spans="1:8" x14ac:dyDescent="0.25">
      <c r="A5" t="e">
        <f ca="1">MATCH(INDIRECT("Import!I1"),Cost_Sharing_List_4,0)</f>
        <v>#N/A</v>
      </c>
      <c r="B5" t="str">
        <f ca="1">IF(INDIRECT("Import!J1")="","",INDIRECT("Import!J1"))</f>
        <v/>
      </c>
      <c r="H5" t="b">
        <f t="shared" ca="1" si="0"/>
        <v>1</v>
      </c>
    </row>
    <row r="6" spans="1:8" x14ac:dyDescent="0.25">
      <c r="A6" t="e">
        <f ca="1">MATCH(INDIRECT("Import!K1"),Cost_Sharing_List_5,0)</f>
        <v>#N/A</v>
      </c>
      <c r="B6" t="str">
        <f ca="1">IF(INDIRECT("Import!L1")="","",INDIRECT("Import!L1"))</f>
        <v/>
      </c>
      <c r="H6" t="b">
        <f t="shared" ca="1" si="0"/>
        <v>1</v>
      </c>
    </row>
    <row r="7" spans="1:8" x14ac:dyDescent="0.25">
      <c r="A7" t="e">
        <f ca="1">MATCH(INDIRECT("Import!M1"),Cost_Sharing_List_4,0)</f>
        <v>#N/A</v>
      </c>
      <c r="B7" t="str">
        <f ca="1">IF(INDIRECT("Import!N1")="","",INDIRECT("Import!N1"))</f>
        <v/>
      </c>
      <c r="H7" t="b">
        <f t="shared" ca="1" si="0"/>
        <v>1</v>
      </c>
    </row>
    <row r="8" spans="1:8" x14ac:dyDescent="0.25">
      <c r="A8" t="e">
        <f ca="1">MATCH(INDIRECT("Import!O1"),Cost_Sharing_List_4,0)</f>
        <v>#N/A</v>
      </c>
      <c r="B8" t="str">
        <f ca="1">IF(INDIRECT("Import!P1")="","",INDIRECT("Import!P1"))</f>
        <v/>
      </c>
      <c r="H8" t="b">
        <f t="shared" ca="1" si="0"/>
        <v>1</v>
      </c>
    </row>
    <row r="9" spans="1:8" x14ac:dyDescent="0.25">
      <c r="B9" t="str">
        <f ca="1">IF(INDIRECT("Import!Q1")="","",INDIRECT("Import!Q1"))</f>
        <v/>
      </c>
      <c r="G9" t="s">
        <v>254</v>
      </c>
      <c r="H9">
        <f ca="1">COUNTIF(H1:H8,"TRUE")</f>
        <v>8</v>
      </c>
    </row>
    <row r="10" spans="1:8" x14ac:dyDescent="0.25">
      <c r="B10" t="str">
        <f ca="1">IF(INDIRECT("Import!R1")="","",INDIRECT("Import!R1"))</f>
        <v/>
      </c>
    </row>
    <row r="11" spans="1:8" x14ac:dyDescent="0.25">
      <c r="B11" t="str">
        <f ca="1">IF(INDIRECT("Import!S1")="","",INDIRECT("Import!S1"))</f>
        <v/>
      </c>
    </row>
    <row r="12" spans="1:8" x14ac:dyDescent="0.25">
      <c r="B12" t="str">
        <f ca="1">IF(INDIRECT("Import!T1")="","",INDIRECT("Import!T1"))</f>
        <v/>
      </c>
    </row>
    <row r="13" spans="1:8" x14ac:dyDescent="0.25">
      <c r="B13" t="str">
        <f ca="1">IF(INDIRECT("Import!U1")="","",INDIRECT("Import!U1"))</f>
        <v/>
      </c>
    </row>
    <row r="15" spans="1:8" x14ac:dyDescent="0.25">
      <c r="B15" t="str">
        <f ca="1">IF(INDIRECT("Import!V1")="","",INDIRECT("Import!V1"))</f>
        <v/>
      </c>
    </row>
    <row r="16" spans="1:8" x14ac:dyDescent="0.25">
      <c r="B16" t="str">
        <f ca="1">IF(INDIRECT("Import!W1")="","",INDIRECT("Import!W1"))</f>
        <v/>
      </c>
    </row>
    <row r="17" spans="2:2" x14ac:dyDescent="0.25">
      <c r="B17" t="str">
        <f ca="1">IF(INDIRECT("Import!X1")="","",INDIRECT("Import!X1"))</f>
        <v/>
      </c>
    </row>
    <row r="18" spans="2:2" x14ac:dyDescent="0.25">
      <c r="B18" t="str">
        <f ca="1">IF(INDIRECT("Import!Y1")="","",INDIRECT("Import!Y1"))</f>
        <v/>
      </c>
    </row>
    <row r="19" spans="2:2" x14ac:dyDescent="0.25">
      <c r="B19" t="str">
        <f ca="1">IF(INDIRECT("Import!Z1")="","",INDIRECT("Import!Z1"))</f>
        <v/>
      </c>
    </row>
    <row r="20" spans="2:2" x14ac:dyDescent="0.25">
      <c r="B20" t="str">
        <f ca="1">IF(INDIRECT("Import!AA1")="","",INDIRECT("Import!AA1"))</f>
        <v/>
      </c>
    </row>
    <row r="21" spans="2:2" x14ac:dyDescent="0.25">
      <c r="B21" t="str">
        <f ca="1">IF(INDIRECT("Import!AB1")="","",INDIRECT("Import!AB1"))</f>
        <v/>
      </c>
    </row>
    <row r="22" spans="2:2" x14ac:dyDescent="0.25">
      <c r="B22" t="str">
        <f ca="1">IF(INDIRECT("Import!AC1")="","",INDIRECT("Import!AC1"))</f>
        <v/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CC"/>
  </sheetPr>
  <dimension ref="A1:AQ2"/>
  <sheetViews>
    <sheetView workbookViewId="0"/>
  </sheetViews>
  <sheetFormatPr defaultRowHeight="15" x14ac:dyDescent="0.25"/>
  <sheetData>
    <row r="1" spans="1:43" x14ac:dyDescent="0.25">
      <c r="A1" t="s">
        <v>232</v>
      </c>
      <c r="C1" t="s">
        <v>183</v>
      </c>
      <c r="D1" s="312">
        <v>10</v>
      </c>
      <c r="E1" t="s">
        <v>173</v>
      </c>
      <c r="F1">
        <v>0.2</v>
      </c>
      <c r="G1" t="s">
        <v>232</v>
      </c>
      <c r="I1" t="s">
        <v>173</v>
      </c>
      <c r="J1">
        <v>0.2</v>
      </c>
      <c r="K1" t="s">
        <v>183</v>
      </c>
      <c r="L1" s="312">
        <v>30</v>
      </c>
      <c r="M1" t="s">
        <v>232</v>
      </c>
      <c r="O1" t="s">
        <v>183</v>
      </c>
      <c r="P1" s="312">
        <v>30</v>
      </c>
      <c r="Q1" s="312"/>
      <c r="R1" s="312">
        <v>1000</v>
      </c>
      <c r="T1" s="312"/>
      <c r="AD1" t="s">
        <v>241</v>
      </c>
      <c r="AE1">
        <v>5410</v>
      </c>
      <c r="AF1">
        <v>1000</v>
      </c>
      <c r="AG1">
        <v>50</v>
      </c>
      <c r="AH1">
        <v>930</v>
      </c>
      <c r="AI1">
        <v>150</v>
      </c>
      <c r="AJ1">
        <v>2130</v>
      </c>
      <c r="AK1" t="s">
        <v>242</v>
      </c>
      <c r="AL1">
        <v>3810</v>
      </c>
      <c r="AM1">
        <v>1000</v>
      </c>
      <c r="AN1">
        <v>510</v>
      </c>
      <c r="AO1">
        <v>0</v>
      </c>
      <c r="AP1">
        <v>80</v>
      </c>
      <c r="AQ1">
        <v>1590</v>
      </c>
    </row>
    <row r="2" spans="1:43" x14ac:dyDescent="0.25">
      <c r="A2" t="s">
        <v>232</v>
      </c>
      <c r="C2" t="s">
        <v>183</v>
      </c>
      <c r="D2" s="312">
        <v>10</v>
      </c>
      <c r="E2" t="s">
        <v>173</v>
      </c>
      <c r="F2">
        <v>0.3</v>
      </c>
      <c r="G2" t="s">
        <v>232</v>
      </c>
      <c r="I2" t="s">
        <v>173</v>
      </c>
      <c r="J2">
        <v>0.3</v>
      </c>
      <c r="K2" t="s">
        <v>183</v>
      </c>
      <c r="L2" s="312">
        <v>40</v>
      </c>
      <c r="M2" t="s">
        <v>232</v>
      </c>
      <c r="O2" t="s">
        <v>183</v>
      </c>
      <c r="P2" s="312">
        <v>40</v>
      </c>
      <c r="Q2" s="312"/>
      <c r="R2" s="312">
        <v>1000</v>
      </c>
      <c r="T2" s="312">
        <v>100</v>
      </c>
      <c r="AD2" t="s">
        <v>241</v>
      </c>
      <c r="AE2">
        <v>4940</v>
      </c>
      <c r="AF2">
        <v>1020</v>
      </c>
      <c r="AG2">
        <v>40</v>
      </c>
      <c r="AH2">
        <v>1390</v>
      </c>
      <c r="AI2">
        <v>150</v>
      </c>
      <c r="AJ2">
        <v>2600</v>
      </c>
      <c r="AK2" t="s">
        <v>242</v>
      </c>
      <c r="AL2">
        <v>3810</v>
      </c>
      <c r="AM2">
        <v>1100</v>
      </c>
      <c r="AN2">
        <v>410</v>
      </c>
      <c r="AO2">
        <v>0</v>
      </c>
      <c r="AP2">
        <v>80</v>
      </c>
      <c r="AQ2">
        <v>1590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CC"/>
    <pageSetUpPr fitToPage="1"/>
  </sheetPr>
  <dimension ref="A1:I121"/>
  <sheetViews>
    <sheetView zoomScaleNormal="90" workbookViewId="0">
      <selection activeCell="G12" sqref="G12"/>
    </sheetView>
  </sheetViews>
  <sheetFormatPr defaultColWidth="0" defaultRowHeight="11.25" zeroHeight="1" x14ac:dyDescent="0.2"/>
  <cols>
    <col min="1" max="1" width="9.140625" style="30" customWidth="1"/>
    <col min="2" max="2" width="16.7109375" style="30" bestFit="1" customWidth="1"/>
    <col min="3" max="3" width="26.85546875" style="30" bestFit="1" customWidth="1"/>
    <col min="4" max="4" width="13.140625" style="13" bestFit="1" customWidth="1"/>
    <col min="5" max="5" width="19.85546875" style="13" customWidth="1"/>
    <col min="6" max="6" width="44.140625" style="30" customWidth="1"/>
    <col min="7" max="7" width="11.42578125" style="31" bestFit="1" customWidth="1"/>
    <col min="8" max="8" width="27.28515625" style="13" customWidth="1"/>
    <col min="9" max="9" width="2.7109375" style="30" customWidth="1"/>
    <col min="10" max="16384" width="9.140625" style="30" hidden="1"/>
  </cols>
  <sheetData>
    <row r="1" spans="1:9" s="16" customFormat="1" ht="22.5" x14ac:dyDescent="0.2">
      <c r="A1" s="14" t="s">
        <v>123</v>
      </c>
      <c r="B1" s="14" t="s">
        <v>122</v>
      </c>
      <c r="C1" s="14" t="s">
        <v>121</v>
      </c>
      <c r="D1" s="14" t="s">
        <v>124</v>
      </c>
      <c r="E1" s="14" t="s">
        <v>27</v>
      </c>
      <c r="F1" s="57" t="s">
        <v>28</v>
      </c>
      <c r="G1" s="15" t="s">
        <v>125</v>
      </c>
      <c r="H1" s="14" t="s">
        <v>29</v>
      </c>
      <c r="I1" s="44"/>
    </row>
    <row r="2" spans="1:9" s="16" customFormat="1" x14ac:dyDescent="0.2">
      <c r="A2" s="28">
        <v>1</v>
      </c>
      <c r="B2" s="58"/>
      <c r="C2" s="58">
        <v>378710401</v>
      </c>
      <c r="D2" s="70" t="s">
        <v>30</v>
      </c>
      <c r="E2" s="70" t="s">
        <v>39</v>
      </c>
      <c r="F2" s="73" t="s">
        <v>118</v>
      </c>
      <c r="G2" s="62">
        <v>5.21</v>
      </c>
      <c r="H2" s="71"/>
      <c r="I2" s="44"/>
    </row>
    <row r="3" spans="1:9" s="16" customFormat="1" x14ac:dyDescent="0.2">
      <c r="A3" s="28">
        <v>2</v>
      </c>
      <c r="B3" s="58"/>
      <c r="C3" s="58">
        <v>591346601</v>
      </c>
      <c r="D3" s="70" t="s">
        <v>30</v>
      </c>
      <c r="E3" s="70" t="s">
        <v>39</v>
      </c>
      <c r="F3" s="73" t="s">
        <v>117</v>
      </c>
      <c r="G3" s="62">
        <v>17.52</v>
      </c>
      <c r="H3" s="71"/>
      <c r="I3" s="44"/>
    </row>
    <row r="4" spans="1:9" s="16" customFormat="1" x14ac:dyDescent="0.2">
      <c r="A4" s="28">
        <v>3</v>
      </c>
      <c r="B4" s="58" t="s">
        <v>120</v>
      </c>
      <c r="C4" s="58" t="s">
        <v>24</v>
      </c>
      <c r="D4" s="70" t="s">
        <v>107</v>
      </c>
      <c r="E4" s="70" t="s">
        <v>58</v>
      </c>
      <c r="F4" s="73" t="s">
        <v>114</v>
      </c>
      <c r="G4" s="62">
        <v>0</v>
      </c>
      <c r="H4" s="71" t="s">
        <v>115</v>
      </c>
      <c r="I4" s="44"/>
    </row>
    <row r="5" spans="1:9" s="16" customFormat="1" ht="22.5" x14ac:dyDescent="0.2">
      <c r="A5" s="28">
        <v>4</v>
      </c>
      <c r="B5" s="58" t="s">
        <v>26</v>
      </c>
      <c r="C5" s="58" t="s">
        <v>21</v>
      </c>
      <c r="D5" s="70" t="s">
        <v>107</v>
      </c>
      <c r="E5" s="70" t="s">
        <v>108</v>
      </c>
      <c r="F5" s="73" t="s">
        <v>109</v>
      </c>
      <c r="G5" s="62">
        <v>851.56</v>
      </c>
      <c r="H5" s="71"/>
      <c r="I5" s="44"/>
    </row>
    <row r="6" spans="1:9" s="16" customFormat="1" ht="22.5" x14ac:dyDescent="0.2">
      <c r="A6" s="28">
        <v>5</v>
      </c>
      <c r="B6" s="58" t="s">
        <v>26</v>
      </c>
      <c r="C6" s="58">
        <v>1967</v>
      </c>
      <c r="D6" s="70" t="s">
        <v>104</v>
      </c>
      <c r="E6" s="70" t="s">
        <v>105</v>
      </c>
      <c r="F6" s="73" t="s">
        <v>106</v>
      </c>
      <c r="G6" s="62">
        <v>905.62</v>
      </c>
      <c r="H6" s="71"/>
      <c r="I6" s="44"/>
    </row>
    <row r="7" spans="1:9" s="16" customFormat="1" ht="22.5" x14ac:dyDescent="0.2">
      <c r="A7" s="28">
        <v>6</v>
      </c>
      <c r="B7" s="58" t="s">
        <v>26</v>
      </c>
      <c r="C7" s="58" t="s">
        <v>14</v>
      </c>
      <c r="D7" s="70" t="s">
        <v>73</v>
      </c>
      <c r="E7" s="70" t="s">
        <v>82</v>
      </c>
      <c r="F7" s="73" t="s">
        <v>112</v>
      </c>
      <c r="G7" s="62">
        <v>2084.2829046000002</v>
      </c>
      <c r="H7" s="71" t="s">
        <v>113</v>
      </c>
      <c r="I7" s="44"/>
    </row>
    <row r="8" spans="1:9" s="16" customFormat="1" x14ac:dyDescent="0.2">
      <c r="A8" s="28">
        <v>7</v>
      </c>
      <c r="B8" s="58"/>
      <c r="C8" s="58" t="s">
        <v>10</v>
      </c>
      <c r="D8" s="70" t="s">
        <v>30</v>
      </c>
      <c r="E8" s="70" t="s">
        <v>39</v>
      </c>
      <c r="F8" s="73" t="s">
        <v>116</v>
      </c>
      <c r="G8" s="62">
        <v>30</v>
      </c>
      <c r="H8" s="71"/>
      <c r="I8" s="44"/>
    </row>
    <row r="9" spans="1:9" s="16" customFormat="1" ht="22.5" x14ac:dyDescent="0.2">
      <c r="A9" s="28">
        <v>8</v>
      </c>
      <c r="B9" s="58"/>
      <c r="C9" s="58" t="s">
        <v>10</v>
      </c>
      <c r="D9" s="70" t="s">
        <v>30</v>
      </c>
      <c r="E9" s="70" t="s">
        <v>39</v>
      </c>
      <c r="F9" s="73" t="s">
        <v>72</v>
      </c>
      <c r="G9" s="62">
        <v>30</v>
      </c>
      <c r="H9" s="64"/>
      <c r="I9" s="44"/>
    </row>
    <row r="10" spans="1:9" s="16" customFormat="1" ht="22.5" x14ac:dyDescent="0.2">
      <c r="A10" s="28">
        <v>9</v>
      </c>
      <c r="B10" s="58"/>
      <c r="C10" s="60" t="s">
        <v>20</v>
      </c>
      <c r="D10" s="70" t="s">
        <v>99</v>
      </c>
      <c r="E10" s="70" t="s">
        <v>58</v>
      </c>
      <c r="F10" s="74" t="s">
        <v>100</v>
      </c>
      <c r="G10" s="62">
        <v>0</v>
      </c>
      <c r="H10" s="69"/>
      <c r="I10" s="44"/>
    </row>
    <row r="11" spans="1:9" s="16" customFormat="1" ht="22.5" x14ac:dyDescent="0.2">
      <c r="A11" s="28">
        <v>10</v>
      </c>
      <c r="B11" s="58" t="s">
        <v>9</v>
      </c>
      <c r="C11" s="60">
        <v>90471</v>
      </c>
      <c r="D11" s="70" t="s">
        <v>73</v>
      </c>
      <c r="E11" s="70" t="s">
        <v>67</v>
      </c>
      <c r="F11" s="74" t="s">
        <v>102</v>
      </c>
      <c r="G11" s="63">
        <v>20.038710250000001</v>
      </c>
      <c r="H11" s="69"/>
      <c r="I11" s="44"/>
    </row>
    <row r="12" spans="1:9" s="16" customFormat="1" ht="22.5" x14ac:dyDescent="0.2">
      <c r="A12" s="28">
        <v>11</v>
      </c>
      <c r="B12" s="58" t="s">
        <v>9</v>
      </c>
      <c r="C12" s="58">
        <v>90656</v>
      </c>
      <c r="D12" s="70" t="s">
        <v>73</v>
      </c>
      <c r="E12" s="70" t="s">
        <v>67</v>
      </c>
      <c r="F12" s="73" t="s">
        <v>103</v>
      </c>
      <c r="G12" s="63">
        <v>15.03511905</v>
      </c>
      <c r="H12" s="72"/>
      <c r="I12" s="44"/>
    </row>
    <row r="13" spans="1:9" s="16" customFormat="1" x14ac:dyDescent="0.2">
      <c r="A13" s="28">
        <v>12</v>
      </c>
      <c r="B13" s="58" t="s">
        <v>11</v>
      </c>
      <c r="C13" s="59">
        <v>36415</v>
      </c>
      <c r="D13" s="70" t="s">
        <v>73</v>
      </c>
      <c r="E13" s="70" t="s">
        <v>46</v>
      </c>
      <c r="F13" s="73" t="s">
        <v>54</v>
      </c>
      <c r="G13" s="63">
        <v>4.1312550556999996</v>
      </c>
      <c r="H13" s="64" t="s">
        <v>89</v>
      </c>
      <c r="I13" s="44"/>
    </row>
    <row r="14" spans="1:9" s="16" customFormat="1" ht="15" x14ac:dyDescent="0.2">
      <c r="A14" s="28">
        <v>13</v>
      </c>
      <c r="B14" s="58" t="s">
        <v>11</v>
      </c>
      <c r="C14" s="58">
        <v>76805</v>
      </c>
      <c r="D14" s="70" t="s">
        <v>95</v>
      </c>
      <c r="E14" s="70" t="s">
        <v>95</v>
      </c>
      <c r="F14" s="74" t="s">
        <v>96</v>
      </c>
      <c r="G14" s="62">
        <v>176.11339355000001</v>
      </c>
      <c r="H14" s="67"/>
      <c r="I14" s="44"/>
    </row>
    <row r="15" spans="1:9" s="16" customFormat="1" x14ac:dyDescent="0.2">
      <c r="A15" s="28">
        <v>14</v>
      </c>
      <c r="B15" s="58" t="s">
        <v>11</v>
      </c>
      <c r="C15" s="58">
        <v>80055</v>
      </c>
      <c r="D15" s="70" t="s">
        <v>73</v>
      </c>
      <c r="E15" s="70" t="s">
        <v>46</v>
      </c>
      <c r="F15" s="73" t="s">
        <v>74</v>
      </c>
      <c r="G15" s="63">
        <v>54.239906423000001</v>
      </c>
      <c r="H15" s="64" t="s">
        <v>75</v>
      </c>
      <c r="I15" s="44"/>
    </row>
    <row r="16" spans="1:9" s="16" customFormat="1" x14ac:dyDescent="0.2">
      <c r="A16" s="28">
        <v>15</v>
      </c>
      <c r="B16" s="58" t="s">
        <v>11</v>
      </c>
      <c r="C16" s="61">
        <v>82105</v>
      </c>
      <c r="D16" s="70" t="s">
        <v>73</v>
      </c>
      <c r="E16" s="70" t="s">
        <v>46</v>
      </c>
      <c r="F16" s="73" t="s">
        <v>83</v>
      </c>
      <c r="G16" s="62">
        <v>27.859090028000001</v>
      </c>
      <c r="H16" s="65" t="s">
        <v>84</v>
      </c>
      <c r="I16" s="44"/>
    </row>
    <row r="17" spans="1:9" s="16" customFormat="1" x14ac:dyDescent="0.2">
      <c r="A17" s="28">
        <v>16</v>
      </c>
      <c r="B17" s="58" t="s">
        <v>11</v>
      </c>
      <c r="C17" s="61" t="s">
        <v>15</v>
      </c>
      <c r="D17" s="70" t="s">
        <v>73</v>
      </c>
      <c r="E17" s="70" t="s">
        <v>46</v>
      </c>
      <c r="F17" s="73" t="s">
        <v>85</v>
      </c>
      <c r="G17" s="62">
        <v>26.628776623</v>
      </c>
      <c r="H17" s="65" t="s">
        <v>84</v>
      </c>
      <c r="I17" s="44"/>
    </row>
    <row r="18" spans="1:9" s="16" customFormat="1" x14ac:dyDescent="0.2">
      <c r="A18" s="28">
        <v>17</v>
      </c>
      <c r="B18" s="58" t="s">
        <v>11</v>
      </c>
      <c r="C18" s="58">
        <v>82947</v>
      </c>
      <c r="D18" s="70" t="s">
        <v>73</v>
      </c>
      <c r="E18" s="70" t="s">
        <v>46</v>
      </c>
      <c r="F18" s="73" t="s">
        <v>47</v>
      </c>
      <c r="G18" s="62">
        <v>6.4317604084999997</v>
      </c>
      <c r="H18" s="69"/>
      <c r="I18" s="44"/>
    </row>
    <row r="19" spans="1:9" s="16" customFormat="1" x14ac:dyDescent="0.2">
      <c r="A19" s="28">
        <v>18</v>
      </c>
      <c r="B19" s="58" t="s">
        <v>11</v>
      </c>
      <c r="C19" s="58">
        <v>82950</v>
      </c>
      <c r="D19" s="70" t="s">
        <v>73</v>
      </c>
      <c r="E19" s="70" t="s">
        <v>46</v>
      </c>
      <c r="F19" s="73" t="s">
        <v>98</v>
      </c>
      <c r="G19" s="62">
        <v>6.9532965180000001</v>
      </c>
      <c r="H19" s="70"/>
      <c r="I19" s="44"/>
    </row>
    <row r="20" spans="1:9" s="16" customFormat="1" x14ac:dyDescent="0.2">
      <c r="A20" s="28">
        <v>19</v>
      </c>
      <c r="B20" s="58" t="s">
        <v>11</v>
      </c>
      <c r="C20" s="58">
        <v>83891</v>
      </c>
      <c r="D20" s="70" t="s">
        <v>73</v>
      </c>
      <c r="E20" s="70" t="s">
        <v>46</v>
      </c>
      <c r="F20" s="73" t="s">
        <v>90</v>
      </c>
      <c r="G20" s="62">
        <v>7.1985144897</v>
      </c>
      <c r="H20" s="64" t="s">
        <v>89</v>
      </c>
      <c r="I20" s="44"/>
    </row>
    <row r="21" spans="1:9" s="16" customFormat="1" x14ac:dyDescent="0.2">
      <c r="A21" s="28">
        <v>20</v>
      </c>
      <c r="B21" s="58" t="s">
        <v>11</v>
      </c>
      <c r="C21" s="58">
        <v>83900</v>
      </c>
      <c r="D21" s="70" t="s">
        <v>73</v>
      </c>
      <c r="E21" s="70" t="s">
        <v>46</v>
      </c>
      <c r="F21" s="73" t="s">
        <v>91</v>
      </c>
      <c r="G21" s="62">
        <v>31.840380951</v>
      </c>
      <c r="H21" s="64" t="s">
        <v>89</v>
      </c>
      <c r="I21" s="44"/>
    </row>
    <row r="22" spans="1:9" s="16" customFormat="1" x14ac:dyDescent="0.2">
      <c r="A22" s="28">
        <v>21</v>
      </c>
      <c r="B22" s="58" t="s">
        <v>11</v>
      </c>
      <c r="C22" s="58" t="s">
        <v>18</v>
      </c>
      <c r="D22" s="70" t="s">
        <v>73</v>
      </c>
      <c r="E22" s="70" t="s">
        <v>46</v>
      </c>
      <c r="F22" s="73" t="s">
        <v>92</v>
      </c>
      <c r="G22" s="62">
        <v>129.52352633000001</v>
      </c>
      <c r="H22" s="64" t="s">
        <v>89</v>
      </c>
      <c r="I22" s="44"/>
    </row>
    <row r="23" spans="1:9" s="16" customFormat="1" x14ac:dyDescent="0.2">
      <c r="A23" s="28">
        <v>22</v>
      </c>
      <c r="B23" s="58" t="s">
        <v>11</v>
      </c>
      <c r="C23" s="58">
        <v>83909</v>
      </c>
      <c r="D23" s="70" t="s">
        <v>73</v>
      </c>
      <c r="E23" s="70" t="s">
        <v>46</v>
      </c>
      <c r="F23" s="73" t="s">
        <v>94</v>
      </c>
      <c r="G23" s="62">
        <v>18.976676401999999</v>
      </c>
      <c r="H23" s="64" t="s">
        <v>89</v>
      </c>
      <c r="I23" s="44"/>
    </row>
    <row r="24" spans="1:9" s="16" customFormat="1" x14ac:dyDescent="0.2">
      <c r="A24" s="28">
        <v>23</v>
      </c>
      <c r="B24" s="58" t="s">
        <v>11</v>
      </c>
      <c r="C24" s="58">
        <v>83912</v>
      </c>
      <c r="D24" s="70" t="s">
        <v>73</v>
      </c>
      <c r="E24" s="70" t="s">
        <v>46</v>
      </c>
      <c r="F24" s="73" t="s">
        <v>88</v>
      </c>
      <c r="G24" s="62">
        <v>11.780489834999999</v>
      </c>
      <c r="H24" s="64" t="s">
        <v>89</v>
      </c>
      <c r="I24" s="44"/>
    </row>
    <row r="25" spans="1:9" s="16" customFormat="1" x14ac:dyDescent="0.2">
      <c r="A25" s="28">
        <v>24</v>
      </c>
      <c r="B25" s="58" t="s">
        <v>11</v>
      </c>
      <c r="C25" s="58" t="s">
        <v>19</v>
      </c>
      <c r="D25" s="70" t="s">
        <v>73</v>
      </c>
      <c r="E25" s="70" t="s">
        <v>46</v>
      </c>
      <c r="F25" s="73" t="s">
        <v>93</v>
      </c>
      <c r="G25" s="62">
        <v>50.061243402999999</v>
      </c>
      <c r="H25" s="64" t="s">
        <v>89</v>
      </c>
      <c r="I25" s="44"/>
    </row>
    <row r="26" spans="1:9" s="16" customFormat="1" x14ac:dyDescent="0.2">
      <c r="A26" s="28">
        <v>25</v>
      </c>
      <c r="B26" s="58" t="s">
        <v>11</v>
      </c>
      <c r="C26" s="61" t="s">
        <v>16</v>
      </c>
      <c r="D26" s="70" t="s">
        <v>73</v>
      </c>
      <c r="E26" s="70" t="s">
        <v>46</v>
      </c>
      <c r="F26" s="73" t="s">
        <v>86</v>
      </c>
      <c r="G26" s="62">
        <v>21.473647412999998</v>
      </c>
      <c r="H26" s="65" t="s">
        <v>84</v>
      </c>
      <c r="I26" s="44"/>
    </row>
    <row r="27" spans="1:9" s="16" customFormat="1" x14ac:dyDescent="0.2">
      <c r="A27" s="28">
        <v>26</v>
      </c>
      <c r="B27" s="58" t="s">
        <v>11</v>
      </c>
      <c r="C27" s="58">
        <v>85025</v>
      </c>
      <c r="D27" s="70" t="s">
        <v>73</v>
      </c>
      <c r="E27" s="70" t="s">
        <v>46</v>
      </c>
      <c r="F27" s="74" t="s">
        <v>97</v>
      </c>
      <c r="G27" s="62">
        <v>12.282662974999999</v>
      </c>
      <c r="H27" s="69"/>
      <c r="I27" s="44"/>
    </row>
    <row r="28" spans="1:9" s="16" customFormat="1" x14ac:dyDescent="0.2">
      <c r="A28" s="28">
        <v>27</v>
      </c>
      <c r="B28" s="58" t="s">
        <v>11</v>
      </c>
      <c r="C28" s="61" t="s">
        <v>17</v>
      </c>
      <c r="D28" s="70" t="s">
        <v>73</v>
      </c>
      <c r="E28" s="70" t="s">
        <v>46</v>
      </c>
      <c r="F28" s="73" t="s">
        <v>87</v>
      </c>
      <c r="G28" s="62">
        <v>22.502594885000001</v>
      </c>
      <c r="H28" s="65" t="s">
        <v>84</v>
      </c>
      <c r="I28" s="44"/>
    </row>
    <row r="29" spans="1:9" s="16" customFormat="1" x14ac:dyDescent="0.2">
      <c r="A29" s="28">
        <v>28</v>
      </c>
      <c r="B29" s="58" t="s">
        <v>11</v>
      </c>
      <c r="C29" s="58">
        <v>86701</v>
      </c>
      <c r="D29" s="70" t="s">
        <v>73</v>
      </c>
      <c r="E29" s="70" t="s">
        <v>46</v>
      </c>
      <c r="F29" s="73" t="s">
        <v>80</v>
      </c>
      <c r="G29" s="63">
        <v>12.935806004</v>
      </c>
      <c r="H29" s="64"/>
      <c r="I29" s="44"/>
    </row>
    <row r="30" spans="1:9" s="16" customFormat="1" x14ac:dyDescent="0.2">
      <c r="A30" s="28">
        <v>29</v>
      </c>
      <c r="B30" s="58" t="s">
        <v>11</v>
      </c>
      <c r="C30" s="58">
        <v>87653</v>
      </c>
      <c r="D30" s="70" t="s">
        <v>73</v>
      </c>
      <c r="E30" s="70" t="s">
        <v>46</v>
      </c>
      <c r="F30" s="73" t="s">
        <v>101</v>
      </c>
      <c r="G30" s="63">
        <v>40.612070811000002</v>
      </c>
      <c r="H30" s="68"/>
      <c r="I30" s="44"/>
    </row>
    <row r="31" spans="1:9" s="16" customFormat="1" x14ac:dyDescent="0.2">
      <c r="A31" s="28">
        <v>30</v>
      </c>
      <c r="B31" s="58" t="s">
        <v>11</v>
      </c>
      <c r="C31" s="58" t="s">
        <v>12</v>
      </c>
      <c r="D31" s="70" t="s">
        <v>73</v>
      </c>
      <c r="E31" s="70" t="s">
        <v>46</v>
      </c>
      <c r="F31" s="73" t="s">
        <v>76</v>
      </c>
      <c r="G31" s="62">
        <v>9.4479524864000002</v>
      </c>
      <c r="H31" s="65" t="s">
        <v>77</v>
      </c>
      <c r="I31" s="44"/>
    </row>
    <row r="32" spans="1:9" s="16" customFormat="1" x14ac:dyDescent="0.2">
      <c r="A32" s="28">
        <v>31</v>
      </c>
      <c r="B32" s="58" t="s">
        <v>11</v>
      </c>
      <c r="C32" s="58">
        <v>88164</v>
      </c>
      <c r="D32" s="70" t="s">
        <v>73</v>
      </c>
      <c r="E32" s="70" t="s">
        <v>46</v>
      </c>
      <c r="F32" s="73" t="s">
        <v>78</v>
      </c>
      <c r="G32" s="62">
        <v>14.735122969000001</v>
      </c>
      <c r="H32" s="66" t="s">
        <v>79</v>
      </c>
      <c r="I32" s="44"/>
    </row>
    <row r="33" spans="1:9" s="16" customFormat="1" ht="22.5" x14ac:dyDescent="0.2">
      <c r="A33" s="28">
        <v>32</v>
      </c>
      <c r="B33" s="58" t="s">
        <v>11</v>
      </c>
      <c r="C33" s="58" t="s">
        <v>14</v>
      </c>
      <c r="D33" s="70" t="s">
        <v>73</v>
      </c>
      <c r="E33" s="70" t="s">
        <v>82</v>
      </c>
      <c r="F33" s="73" t="s">
        <v>56</v>
      </c>
      <c r="G33" s="63">
        <v>2084.2800000000002</v>
      </c>
      <c r="H33" s="64"/>
      <c r="I33" s="44"/>
    </row>
    <row r="34" spans="1:9" s="16" customFormat="1" ht="22.5" x14ac:dyDescent="0.2">
      <c r="A34" s="28">
        <v>33</v>
      </c>
      <c r="B34" s="58" t="s">
        <v>25</v>
      </c>
      <c r="C34" s="58" t="s">
        <v>14</v>
      </c>
      <c r="D34" s="70" t="s">
        <v>73</v>
      </c>
      <c r="E34" s="70" t="s">
        <v>82</v>
      </c>
      <c r="F34" s="73" t="s">
        <v>56</v>
      </c>
      <c r="G34" s="62">
        <v>2084.2800000000002</v>
      </c>
      <c r="H34" s="69" t="s">
        <v>119</v>
      </c>
      <c r="I34" s="44"/>
    </row>
    <row r="35" spans="1:9" s="16" customFormat="1" x14ac:dyDescent="0.2">
      <c r="A35" s="28">
        <v>34</v>
      </c>
      <c r="B35" s="58" t="s">
        <v>22</v>
      </c>
      <c r="C35" s="58" t="s">
        <v>23</v>
      </c>
      <c r="D35" s="70" t="s">
        <v>107</v>
      </c>
      <c r="E35" s="70" t="s">
        <v>110</v>
      </c>
      <c r="F35" s="73" t="s">
        <v>111</v>
      </c>
      <c r="G35" s="62">
        <v>2714.26</v>
      </c>
      <c r="H35" s="69"/>
      <c r="I35" s="44"/>
    </row>
    <row r="36" spans="1:9" s="16" customFormat="1" x14ac:dyDescent="0.2">
      <c r="A36" s="28">
        <v>35</v>
      </c>
      <c r="B36" s="58" t="s">
        <v>13</v>
      </c>
      <c r="C36" s="58">
        <v>81025</v>
      </c>
      <c r="D36" s="70" t="s">
        <v>73</v>
      </c>
      <c r="E36" s="70" t="s">
        <v>46</v>
      </c>
      <c r="F36" s="73" t="s">
        <v>81</v>
      </c>
      <c r="G36" s="62">
        <v>8.8680026237000007</v>
      </c>
      <c r="H36" s="69"/>
      <c r="I36" s="44"/>
    </row>
    <row r="37" spans="1:9" s="16" customFormat="1" ht="22.5" x14ac:dyDescent="0.2">
      <c r="A37" s="28">
        <v>36</v>
      </c>
      <c r="B37" s="58"/>
      <c r="C37" s="58"/>
      <c r="D37" s="70" t="s">
        <v>107</v>
      </c>
      <c r="E37" s="70" t="s">
        <v>251</v>
      </c>
      <c r="F37" s="73" t="s">
        <v>252</v>
      </c>
      <c r="G37" s="62">
        <f>G5+G6+G35</f>
        <v>4471.4400000000005</v>
      </c>
      <c r="H37" s="69" t="s">
        <v>253</v>
      </c>
      <c r="I37" s="44"/>
    </row>
    <row r="38" spans="1:9" s="16" customFormat="1" ht="15" x14ac:dyDescent="0.25">
      <c r="A38" s="44"/>
      <c r="B38" s="45"/>
      <c r="C38" s="45"/>
      <c r="D38" s="46"/>
      <c r="E38" s="46"/>
      <c r="F38" s="45"/>
      <c r="G38" s="45"/>
      <c r="H38" s="46"/>
      <c r="I38" s="44"/>
    </row>
    <row r="39" spans="1:9" s="16" customFormat="1" ht="15" hidden="1" x14ac:dyDescent="0.25">
      <c r="B39" s="29"/>
      <c r="C39" s="29"/>
      <c r="D39" s="33"/>
      <c r="E39" s="33"/>
      <c r="F39" s="29"/>
      <c r="G39" s="29"/>
      <c r="H39" s="33"/>
    </row>
    <row r="40" spans="1:9" s="16" customFormat="1" ht="15" hidden="1" x14ac:dyDescent="0.25">
      <c r="B40" s="29"/>
      <c r="C40" s="29"/>
      <c r="D40" s="33"/>
      <c r="E40" s="33"/>
      <c r="F40" s="29"/>
      <c r="G40" s="29"/>
      <c r="H40" s="33"/>
    </row>
    <row r="41" spans="1:9" s="16" customFormat="1" ht="15" hidden="1" x14ac:dyDescent="0.25">
      <c r="B41" s="29"/>
      <c r="C41" s="29"/>
      <c r="D41" s="33"/>
      <c r="E41" s="33"/>
      <c r="F41" s="29"/>
      <c r="G41" s="29"/>
      <c r="H41" s="33"/>
    </row>
    <row r="42" spans="1:9" s="17" customFormat="1" ht="15" hidden="1" x14ac:dyDescent="0.25">
      <c r="B42" s="29"/>
      <c r="C42" s="29"/>
      <c r="D42" s="33"/>
      <c r="E42" s="33"/>
      <c r="F42" s="29"/>
      <c r="G42" s="29"/>
      <c r="H42" s="33"/>
    </row>
    <row r="43" spans="1:9" s="16" customFormat="1" ht="15" hidden="1" x14ac:dyDescent="0.25">
      <c r="B43" s="29"/>
      <c r="C43" s="29"/>
      <c r="D43" s="33"/>
      <c r="E43" s="33"/>
      <c r="F43" s="29"/>
      <c r="G43" s="29"/>
      <c r="H43" s="33"/>
    </row>
    <row r="44" spans="1:9" s="16" customFormat="1" ht="15" hidden="1" x14ac:dyDescent="0.25">
      <c r="B44" s="29"/>
      <c r="C44" s="29"/>
      <c r="D44" s="33"/>
      <c r="E44" s="33"/>
      <c r="F44" s="29"/>
      <c r="G44" s="29"/>
      <c r="H44" s="33"/>
    </row>
    <row r="45" spans="1:9" s="16" customFormat="1" ht="15" hidden="1" x14ac:dyDescent="0.25">
      <c r="B45" s="29"/>
      <c r="C45" s="29"/>
      <c r="D45" s="33"/>
      <c r="E45" s="33"/>
      <c r="F45" s="29"/>
      <c r="G45" s="29"/>
      <c r="H45" s="33"/>
    </row>
    <row r="46" spans="1:9" s="16" customFormat="1" ht="15" hidden="1" x14ac:dyDescent="0.25">
      <c r="B46" s="29"/>
      <c r="C46" s="29"/>
      <c r="D46" s="33"/>
      <c r="E46" s="33"/>
      <c r="F46" s="29"/>
      <c r="G46" s="29"/>
      <c r="H46" s="33"/>
    </row>
    <row r="47" spans="1:9" s="16" customFormat="1" ht="15" hidden="1" x14ac:dyDescent="0.25">
      <c r="B47" s="29"/>
      <c r="C47" s="29"/>
      <c r="D47" s="33"/>
      <c r="E47" s="33"/>
      <c r="F47" s="29"/>
      <c r="G47" s="29"/>
      <c r="H47" s="33"/>
    </row>
    <row r="48" spans="1:9" s="16" customFormat="1" ht="15" hidden="1" x14ac:dyDescent="0.25">
      <c r="B48" s="29"/>
      <c r="C48" s="29"/>
      <c r="D48" s="33"/>
      <c r="E48" s="33"/>
      <c r="F48" s="29"/>
      <c r="G48" s="29"/>
      <c r="H48" s="33"/>
    </row>
    <row r="49" spans="2:8" s="16" customFormat="1" ht="15" hidden="1" x14ac:dyDescent="0.25">
      <c r="B49" s="29"/>
      <c r="C49" s="29"/>
      <c r="D49" s="33"/>
      <c r="E49" s="33"/>
      <c r="F49" s="29"/>
      <c r="G49" s="29"/>
      <c r="H49" s="33"/>
    </row>
    <row r="50" spans="2:8" s="16" customFormat="1" ht="15" hidden="1" x14ac:dyDescent="0.25">
      <c r="B50" s="29"/>
      <c r="C50" s="29"/>
      <c r="D50" s="33"/>
      <c r="E50" s="33"/>
      <c r="F50" s="29"/>
      <c r="G50" s="29"/>
      <c r="H50" s="33"/>
    </row>
    <row r="51" spans="2:8" s="17" customFormat="1" ht="15" hidden="1" x14ac:dyDescent="0.25">
      <c r="B51" s="29"/>
      <c r="C51" s="29"/>
      <c r="D51" s="33"/>
      <c r="E51" s="33"/>
      <c r="F51" s="29"/>
      <c r="G51" s="29"/>
      <c r="H51" s="33"/>
    </row>
    <row r="52" spans="2:8" s="16" customFormat="1" ht="15" hidden="1" x14ac:dyDescent="0.25">
      <c r="B52" s="29"/>
      <c r="C52" s="29"/>
      <c r="D52" s="33"/>
      <c r="E52" s="33"/>
      <c r="F52" s="29"/>
      <c r="G52" s="29"/>
      <c r="H52" s="33"/>
    </row>
    <row r="53" spans="2:8" s="16" customFormat="1" ht="15" hidden="1" x14ac:dyDescent="0.25">
      <c r="B53" s="29"/>
      <c r="C53" s="29"/>
      <c r="D53" s="33"/>
      <c r="E53" s="33"/>
      <c r="F53" s="29"/>
      <c r="G53" s="29"/>
      <c r="H53" s="33"/>
    </row>
    <row r="54" spans="2:8" s="16" customFormat="1" ht="15" hidden="1" x14ac:dyDescent="0.25">
      <c r="B54" s="29"/>
      <c r="C54" s="29"/>
      <c r="D54" s="33"/>
      <c r="E54" s="33"/>
      <c r="F54" s="29"/>
      <c r="G54" s="29"/>
      <c r="H54" s="33"/>
    </row>
    <row r="55" spans="2:8" s="16" customFormat="1" ht="15" hidden="1" x14ac:dyDescent="0.25">
      <c r="B55" s="29"/>
      <c r="C55" s="29"/>
      <c r="D55" s="33"/>
      <c r="E55" s="33"/>
      <c r="F55" s="29"/>
      <c r="G55" s="29"/>
      <c r="H55" s="33"/>
    </row>
    <row r="56" spans="2:8" s="16" customFormat="1" ht="15" hidden="1" x14ac:dyDescent="0.25">
      <c r="B56" s="29"/>
      <c r="C56" s="29"/>
      <c r="D56" s="33"/>
      <c r="E56" s="33"/>
      <c r="F56" s="29"/>
      <c r="G56" s="29"/>
      <c r="H56" s="33"/>
    </row>
    <row r="57" spans="2:8" s="16" customFormat="1" ht="15" hidden="1" x14ac:dyDescent="0.25">
      <c r="B57" s="29"/>
      <c r="C57" s="29"/>
      <c r="D57" s="33"/>
      <c r="E57" s="33"/>
      <c r="F57" s="29"/>
      <c r="G57" s="29"/>
      <c r="H57" s="33"/>
    </row>
    <row r="58" spans="2:8" s="16" customFormat="1" ht="15" hidden="1" x14ac:dyDescent="0.25">
      <c r="B58" s="29"/>
      <c r="C58" s="29"/>
      <c r="D58" s="33"/>
      <c r="E58" s="33"/>
      <c r="F58" s="29"/>
      <c r="G58" s="29"/>
      <c r="H58" s="33"/>
    </row>
    <row r="59" spans="2:8" s="16" customFormat="1" ht="15" hidden="1" x14ac:dyDescent="0.25">
      <c r="B59" s="29"/>
      <c r="C59" s="29"/>
      <c r="D59" s="33"/>
      <c r="E59" s="33"/>
      <c r="F59" s="29"/>
      <c r="G59" s="29"/>
      <c r="H59" s="33"/>
    </row>
    <row r="60" spans="2:8" s="16" customFormat="1" ht="15" hidden="1" x14ac:dyDescent="0.25">
      <c r="B60" s="29"/>
      <c r="C60" s="29"/>
      <c r="D60" s="33"/>
      <c r="E60" s="33"/>
      <c r="F60" s="29"/>
      <c r="G60" s="29"/>
      <c r="H60" s="33"/>
    </row>
    <row r="61" spans="2:8" s="17" customFormat="1" ht="15" hidden="1" x14ac:dyDescent="0.25">
      <c r="B61" s="29"/>
      <c r="C61" s="29"/>
      <c r="D61" s="33"/>
      <c r="E61" s="33"/>
      <c r="F61" s="29"/>
      <c r="G61" s="29"/>
      <c r="H61" s="33"/>
    </row>
    <row r="62" spans="2:8" s="16" customFormat="1" ht="15" hidden="1" x14ac:dyDescent="0.25">
      <c r="B62" s="29"/>
      <c r="C62" s="29"/>
      <c r="D62" s="33"/>
      <c r="E62" s="33"/>
      <c r="F62" s="29"/>
      <c r="G62" s="29"/>
      <c r="H62" s="33"/>
    </row>
    <row r="63" spans="2:8" s="16" customFormat="1" ht="15" hidden="1" x14ac:dyDescent="0.25">
      <c r="B63" s="29"/>
      <c r="C63" s="29"/>
      <c r="D63" s="33"/>
      <c r="E63" s="33"/>
      <c r="F63" s="29"/>
      <c r="G63" s="29"/>
      <c r="H63" s="33"/>
    </row>
    <row r="64" spans="2:8" s="16" customFormat="1" ht="15" hidden="1" x14ac:dyDescent="0.25">
      <c r="B64" s="29"/>
      <c r="C64" s="29"/>
      <c r="D64" s="33"/>
      <c r="E64" s="33"/>
      <c r="F64" s="29"/>
      <c r="G64" s="29"/>
      <c r="H64" s="33"/>
    </row>
    <row r="65" spans="2:8" s="16" customFormat="1" ht="15" hidden="1" x14ac:dyDescent="0.25">
      <c r="B65" s="29"/>
      <c r="C65" s="29"/>
      <c r="D65" s="33"/>
      <c r="E65" s="33"/>
      <c r="F65" s="29"/>
      <c r="G65" s="29"/>
      <c r="H65" s="33"/>
    </row>
    <row r="66" spans="2:8" s="16" customFormat="1" ht="15" hidden="1" x14ac:dyDescent="0.25">
      <c r="B66" s="29"/>
      <c r="C66" s="29"/>
      <c r="D66" s="33"/>
      <c r="E66" s="33"/>
      <c r="F66" s="29"/>
      <c r="G66" s="29"/>
      <c r="H66" s="33"/>
    </row>
    <row r="67" spans="2:8" s="16" customFormat="1" ht="15" hidden="1" x14ac:dyDescent="0.25">
      <c r="B67" s="29"/>
      <c r="C67" s="29"/>
      <c r="D67" s="33"/>
      <c r="E67" s="33"/>
      <c r="F67" s="29"/>
      <c r="G67" s="29"/>
      <c r="H67" s="33"/>
    </row>
    <row r="68" spans="2:8" s="16" customFormat="1" ht="15" hidden="1" x14ac:dyDescent="0.25">
      <c r="B68" s="29"/>
      <c r="C68" s="29"/>
      <c r="D68" s="33"/>
      <c r="E68" s="33"/>
      <c r="F68" s="29"/>
      <c r="G68" s="29"/>
      <c r="H68" s="33"/>
    </row>
    <row r="69" spans="2:8" s="16" customFormat="1" ht="15" hidden="1" x14ac:dyDescent="0.25">
      <c r="B69" s="29"/>
      <c r="C69" s="29"/>
      <c r="D69" s="33"/>
      <c r="E69" s="33"/>
      <c r="F69" s="29"/>
      <c r="G69" s="29"/>
      <c r="H69" s="33"/>
    </row>
    <row r="70" spans="2:8" s="16" customFormat="1" ht="15" hidden="1" x14ac:dyDescent="0.25">
      <c r="B70" s="29"/>
      <c r="C70" s="29"/>
      <c r="D70" s="33"/>
      <c r="E70" s="33"/>
      <c r="F70" s="29"/>
      <c r="G70" s="29"/>
      <c r="H70" s="33"/>
    </row>
    <row r="71" spans="2:8" s="17" customFormat="1" ht="15" hidden="1" x14ac:dyDescent="0.25">
      <c r="B71" s="29"/>
      <c r="C71" s="29"/>
      <c r="D71" s="33"/>
      <c r="E71" s="33"/>
      <c r="F71" s="29"/>
      <c r="G71" s="29"/>
      <c r="H71" s="33"/>
    </row>
    <row r="72" spans="2:8" s="16" customFormat="1" ht="15" hidden="1" x14ac:dyDescent="0.25">
      <c r="B72" s="29"/>
      <c r="C72" s="29"/>
      <c r="D72" s="33"/>
      <c r="E72" s="33"/>
      <c r="F72" s="29"/>
      <c r="G72" s="29"/>
      <c r="H72" s="33"/>
    </row>
    <row r="73" spans="2:8" s="16" customFormat="1" ht="15" hidden="1" x14ac:dyDescent="0.25">
      <c r="B73" s="29"/>
      <c r="C73" s="29"/>
      <c r="D73" s="33"/>
      <c r="E73" s="33"/>
      <c r="F73" s="29"/>
      <c r="G73" s="29"/>
      <c r="H73" s="33"/>
    </row>
    <row r="74" spans="2:8" s="16" customFormat="1" ht="15" hidden="1" x14ac:dyDescent="0.25">
      <c r="B74" s="29"/>
      <c r="C74" s="29"/>
      <c r="D74" s="33"/>
      <c r="E74" s="33"/>
      <c r="F74" s="29"/>
      <c r="G74" s="29"/>
      <c r="H74" s="33"/>
    </row>
    <row r="75" spans="2:8" s="16" customFormat="1" ht="15" hidden="1" x14ac:dyDescent="0.25">
      <c r="B75" s="29"/>
      <c r="C75" s="29"/>
      <c r="D75" s="33"/>
      <c r="E75" s="33"/>
      <c r="F75" s="29"/>
      <c r="G75" s="29"/>
      <c r="H75" s="33"/>
    </row>
    <row r="76" spans="2:8" s="16" customFormat="1" ht="15" hidden="1" x14ac:dyDescent="0.25">
      <c r="B76" s="29"/>
      <c r="C76" s="29"/>
      <c r="D76" s="33"/>
      <c r="E76" s="33"/>
      <c r="F76" s="29"/>
      <c r="G76" s="29"/>
      <c r="H76" s="33"/>
    </row>
    <row r="77" spans="2:8" s="16" customFormat="1" ht="15" hidden="1" x14ac:dyDescent="0.25">
      <c r="B77" s="29"/>
      <c r="C77" s="29"/>
      <c r="D77" s="33"/>
      <c r="E77" s="33"/>
      <c r="F77" s="29"/>
      <c r="G77" s="29"/>
      <c r="H77" s="33"/>
    </row>
    <row r="78" spans="2:8" s="16" customFormat="1" ht="15" hidden="1" x14ac:dyDescent="0.25">
      <c r="B78" s="29"/>
      <c r="C78" s="29"/>
      <c r="D78" s="33"/>
      <c r="E78" s="33"/>
      <c r="F78" s="29"/>
      <c r="G78" s="29"/>
      <c r="H78" s="33"/>
    </row>
    <row r="79" spans="2:8" s="16" customFormat="1" ht="15" hidden="1" x14ac:dyDescent="0.25">
      <c r="B79" s="29"/>
      <c r="C79" s="29"/>
      <c r="D79" s="33"/>
      <c r="E79" s="33"/>
      <c r="F79" s="29"/>
      <c r="G79" s="29"/>
      <c r="H79" s="33"/>
    </row>
    <row r="80" spans="2:8" s="16" customFormat="1" ht="15" hidden="1" x14ac:dyDescent="0.25">
      <c r="B80" s="29"/>
      <c r="C80" s="29"/>
      <c r="D80" s="33"/>
      <c r="E80" s="33"/>
      <c r="F80" s="29"/>
      <c r="G80" s="29"/>
      <c r="H80" s="33"/>
    </row>
    <row r="81" spans="2:8" s="17" customFormat="1" ht="15" hidden="1" x14ac:dyDescent="0.25">
      <c r="B81" s="29"/>
      <c r="C81" s="29"/>
      <c r="D81" s="33"/>
      <c r="E81" s="33"/>
      <c r="F81" s="29"/>
      <c r="G81" s="29"/>
      <c r="H81" s="33"/>
    </row>
    <row r="82" spans="2:8" s="16" customFormat="1" ht="15" hidden="1" x14ac:dyDescent="0.25">
      <c r="B82" s="29"/>
      <c r="C82" s="29"/>
      <c r="D82" s="33"/>
      <c r="E82" s="33"/>
      <c r="F82" s="29"/>
      <c r="G82" s="29"/>
      <c r="H82" s="33"/>
    </row>
    <row r="83" spans="2:8" s="16" customFormat="1" ht="15" hidden="1" x14ac:dyDescent="0.25">
      <c r="B83" s="29"/>
      <c r="C83" s="29"/>
      <c r="D83" s="33"/>
      <c r="E83" s="33"/>
      <c r="F83" s="29"/>
      <c r="G83" s="29"/>
      <c r="H83" s="33"/>
    </row>
    <row r="84" spans="2:8" s="16" customFormat="1" ht="15" hidden="1" x14ac:dyDescent="0.25">
      <c r="B84" s="29"/>
      <c r="C84" s="29"/>
      <c r="D84" s="33"/>
      <c r="E84" s="33"/>
      <c r="F84" s="29"/>
      <c r="G84" s="29"/>
      <c r="H84" s="33"/>
    </row>
    <row r="85" spans="2:8" s="16" customFormat="1" ht="15" hidden="1" x14ac:dyDescent="0.25">
      <c r="B85" s="29"/>
      <c r="C85" s="29"/>
      <c r="D85" s="33"/>
      <c r="E85" s="33"/>
      <c r="F85" s="29"/>
      <c r="G85" s="29"/>
      <c r="H85" s="33"/>
    </row>
    <row r="86" spans="2:8" s="16" customFormat="1" ht="15" hidden="1" x14ac:dyDescent="0.25">
      <c r="B86" s="29"/>
      <c r="C86" s="29"/>
      <c r="D86" s="33"/>
      <c r="E86" s="33"/>
      <c r="F86" s="29"/>
      <c r="G86" s="29"/>
      <c r="H86" s="33"/>
    </row>
    <row r="87" spans="2:8" s="16" customFormat="1" ht="15" hidden="1" x14ac:dyDescent="0.25">
      <c r="B87" s="29"/>
      <c r="C87" s="29"/>
      <c r="D87" s="33"/>
      <c r="E87" s="33"/>
      <c r="F87" s="29"/>
      <c r="G87" s="29"/>
      <c r="H87" s="33"/>
    </row>
    <row r="88" spans="2:8" s="16" customFormat="1" ht="15" hidden="1" x14ac:dyDescent="0.25">
      <c r="B88" s="29"/>
      <c r="C88" s="29"/>
      <c r="D88" s="33"/>
      <c r="E88" s="33"/>
      <c r="F88" s="29"/>
      <c r="G88" s="29"/>
      <c r="H88" s="33"/>
    </row>
    <row r="89" spans="2:8" s="16" customFormat="1" ht="15" hidden="1" x14ac:dyDescent="0.25">
      <c r="B89" s="29"/>
      <c r="C89" s="29"/>
      <c r="D89" s="33"/>
      <c r="E89" s="33"/>
      <c r="F89" s="29"/>
      <c r="G89" s="29"/>
      <c r="H89" s="33"/>
    </row>
    <row r="90" spans="2:8" s="16" customFormat="1" ht="15" hidden="1" x14ac:dyDescent="0.25">
      <c r="B90" s="29"/>
      <c r="C90" s="29"/>
      <c r="D90" s="33"/>
      <c r="E90" s="33"/>
      <c r="F90" s="29"/>
      <c r="G90" s="29"/>
      <c r="H90" s="33"/>
    </row>
    <row r="91" spans="2:8" s="17" customFormat="1" ht="15" hidden="1" x14ac:dyDescent="0.25">
      <c r="B91" s="29"/>
      <c r="C91" s="29"/>
      <c r="D91" s="33"/>
      <c r="E91" s="33"/>
      <c r="F91" s="29"/>
      <c r="G91" s="29"/>
      <c r="H91" s="33"/>
    </row>
    <row r="92" spans="2:8" s="16" customFormat="1" ht="15" hidden="1" x14ac:dyDescent="0.25">
      <c r="B92" s="29"/>
      <c r="C92" s="29"/>
      <c r="D92" s="33"/>
      <c r="E92" s="33"/>
      <c r="F92" s="29"/>
      <c r="G92" s="29"/>
      <c r="H92" s="33"/>
    </row>
    <row r="93" spans="2:8" s="16" customFormat="1" ht="15" hidden="1" x14ac:dyDescent="0.25">
      <c r="B93" s="29"/>
      <c r="C93" s="29"/>
      <c r="D93" s="33"/>
      <c r="E93" s="33"/>
      <c r="F93" s="29"/>
      <c r="G93" s="29"/>
      <c r="H93" s="33"/>
    </row>
    <row r="94" spans="2:8" s="16" customFormat="1" ht="15" hidden="1" x14ac:dyDescent="0.25">
      <c r="B94" s="29"/>
      <c r="C94" s="29"/>
      <c r="D94" s="33"/>
      <c r="E94" s="33"/>
      <c r="F94" s="29"/>
      <c r="G94" s="29"/>
      <c r="H94" s="33"/>
    </row>
    <row r="95" spans="2:8" s="16" customFormat="1" ht="15" hidden="1" x14ac:dyDescent="0.25">
      <c r="B95" s="29"/>
      <c r="C95" s="29"/>
      <c r="D95" s="33"/>
      <c r="E95" s="33"/>
      <c r="F95" s="29"/>
      <c r="G95" s="29"/>
      <c r="H95" s="33"/>
    </row>
    <row r="96" spans="2:8" s="16" customFormat="1" ht="15" hidden="1" x14ac:dyDescent="0.25">
      <c r="B96" s="29"/>
      <c r="C96" s="29"/>
      <c r="D96" s="33"/>
      <c r="E96" s="33"/>
      <c r="F96" s="29"/>
      <c r="G96" s="29"/>
      <c r="H96" s="33"/>
    </row>
    <row r="97" spans="2:8" s="16" customFormat="1" ht="15" hidden="1" x14ac:dyDescent="0.25">
      <c r="B97" s="29"/>
      <c r="C97" s="29"/>
      <c r="D97" s="33"/>
      <c r="E97" s="33"/>
      <c r="F97" s="29"/>
      <c r="G97" s="29"/>
      <c r="H97" s="33"/>
    </row>
    <row r="98" spans="2:8" s="16" customFormat="1" ht="15" hidden="1" x14ac:dyDescent="0.25">
      <c r="B98" s="29"/>
      <c r="C98" s="29"/>
      <c r="D98" s="33"/>
      <c r="E98" s="33"/>
      <c r="F98" s="29"/>
      <c r="G98" s="29"/>
      <c r="H98" s="33"/>
    </row>
    <row r="99" spans="2:8" s="16" customFormat="1" ht="15" hidden="1" x14ac:dyDescent="0.25">
      <c r="B99" s="29"/>
      <c r="C99" s="29"/>
      <c r="D99" s="33"/>
      <c r="E99" s="33"/>
      <c r="F99" s="29"/>
      <c r="G99" s="29"/>
      <c r="H99" s="33"/>
    </row>
    <row r="100" spans="2:8" s="16" customFormat="1" ht="15" hidden="1" x14ac:dyDescent="0.25">
      <c r="B100" s="29"/>
      <c r="C100" s="29"/>
      <c r="D100" s="33"/>
      <c r="E100" s="33"/>
      <c r="F100" s="29"/>
      <c r="G100" s="29"/>
      <c r="H100" s="33"/>
    </row>
    <row r="101" spans="2:8" s="17" customFormat="1" ht="15" hidden="1" x14ac:dyDescent="0.25">
      <c r="B101" s="29"/>
      <c r="C101" s="29"/>
      <c r="D101" s="33"/>
      <c r="E101" s="33"/>
      <c r="F101" s="29"/>
      <c r="G101" s="29"/>
      <c r="H101" s="33"/>
    </row>
    <row r="102" spans="2:8" s="16" customFormat="1" ht="15" hidden="1" x14ac:dyDescent="0.25">
      <c r="B102" s="29"/>
      <c r="C102" s="29"/>
      <c r="D102" s="33"/>
      <c r="E102" s="33"/>
      <c r="F102" s="29"/>
      <c r="G102" s="29"/>
      <c r="H102" s="33"/>
    </row>
    <row r="103" spans="2:8" s="16" customFormat="1" ht="15" hidden="1" x14ac:dyDescent="0.25">
      <c r="B103" s="29"/>
      <c r="C103" s="29"/>
      <c r="D103" s="33"/>
      <c r="E103" s="33"/>
      <c r="F103" s="29"/>
      <c r="G103" s="29"/>
      <c r="H103" s="33"/>
    </row>
    <row r="104" spans="2:8" s="16" customFormat="1" ht="15" hidden="1" x14ac:dyDescent="0.25">
      <c r="B104" s="29"/>
      <c r="C104" s="29"/>
      <c r="D104" s="33"/>
      <c r="E104" s="33"/>
      <c r="F104" s="29"/>
      <c r="G104" s="29"/>
      <c r="H104" s="33"/>
    </row>
    <row r="105" spans="2:8" s="16" customFormat="1" ht="15" hidden="1" x14ac:dyDescent="0.25">
      <c r="B105" s="29"/>
      <c r="C105" s="29"/>
      <c r="D105" s="33"/>
      <c r="E105" s="33"/>
      <c r="F105" s="29"/>
      <c r="G105" s="29"/>
      <c r="H105" s="33"/>
    </row>
    <row r="106" spans="2:8" s="16" customFormat="1" ht="15" hidden="1" x14ac:dyDescent="0.25">
      <c r="B106" s="29"/>
      <c r="C106" s="29"/>
      <c r="D106" s="33"/>
      <c r="E106" s="33"/>
      <c r="F106" s="29"/>
      <c r="G106" s="29"/>
      <c r="H106" s="33"/>
    </row>
    <row r="107" spans="2:8" s="16" customFormat="1" ht="15" hidden="1" x14ac:dyDescent="0.25">
      <c r="B107" s="29"/>
      <c r="C107" s="29"/>
      <c r="D107" s="33"/>
      <c r="E107" s="33"/>
      <c r="F107" s="29"/>
      <c r="G107" s="29"/>
      <c r="H107" s="33"/>
    </row>
    <row r="108" spans="2:8" s="16" customFormat="1" ht="15" hidden="1" x14ac:dyDescent="0.25">
      <c r="B108" s="29"/>
      <c r="C108" s="29"/>
      <c r="D108" s="33"/>
      <c r="E108" s="33"/>
      <c r="F108" s="29"/>
      <c r="G108" s="29"/>
      <c r="H108" s="33"/>
    </row>
    <row r="109" spans="2:8" s="16" customFormat="1" ht="15" hidden="1" x14ac:dyDescent="0.25">
      <c r="B109" s="29"/>
      <c r="C109" s="29"/>
      <c r="D109" s="33"/>
      <c r="E109" s="33"/>
      <c r="F109" s="29"/>
      <c r="G109" s="29"/>
      <c r="H109" s="33"/>
    </row>
    <row r="110" spans="2:8" s="16" customFormat="1" ht="15" hidden="1" x14ac:dyDescent="0.25">
      <c r="B110" s="29"/>
      <c r="C110" s="29"/>
      <c r="D110" s="33"/>
      <c r="E110" s="33"/>
      <c r="F110" s="29"/>
      <c r="G110" s="29"/>
      <c r="H110" s="33"/>
    </row>
    <row r="111" spans="2:8" s="17" customFormat="1" ht="15" hidden="1" x14ac:dyDescent="0.25">
      <c r="B111" s="29"/>
      <c r="C111" s="29"/>
      <c r="D111" s="33"/>
      <c r="E111" s="33"/>
      <c r="F111" s="29"/>
      <c r="G111" s="29"/>
      <c r="H111" s="33"/>
    </row>
    <row r="112" spans="2:8" s="16" customFormat="1" ht="15" hidden="1" x14ac:dyDescent="0.25">
      <c r="B112" s="29"/>
      <c r="C112" s="29"/>
      <c r="D112" s="33"/>
      <c r="E112" s="33"/>
      <c r="F112" s="29"/>
      <c r="G112" s="29"/>
      <c r="H112" s="33"/>
    </row>
    <row r="113" spans="2:8" s="16" customFormat="1" ht="15" hidden="1" x14ac:dyDescent="0.25">
      <c r="B113" s="29"/>
      <c r="C113" s="29"/>
      <c r="D113" s="33"/>
      <c r="E113" s="33"/>
      <c r="F113" s="29"/>
      <c r="G113" s="29"/>
      <c r="H113" s="33"/>
    </row>
    <row r="114" spans="2:8" s="16" customFormat="1" ht="15" hidden="1" x14ac:dyDescent="0.25">
      <c r="B114" s="29"/>
      <c r="C114" s="29"/>
      <c r="D114" s="33"/>
      <c r="E114" s="33"/>
      <c r="F114" s="29"/>
      <c r="G114" s="29"/>
      <c r="H114" s="33"/>
    </row>
    <row r="115" spans="2:8" s="17" customFormat="1" ht="15" hidden="1" x14ac:dyDescent="0.25">
      <c r="B115" s="29"/>
      <c r="C115" s="29"/>
      <c r="D115" s="33"/>
      <c r="E115" s="33"/>
      <c r="F115" s="29"/>
      <c r="G115" s="29"/>
      <c r="H115" s="33"/>
    </row>
    <row r="116" spans="2:8" s="17" customFormat="1" ht="15" hidden="1" x14ac:dyDescent="0.25">
      <c r="B116" s="29"/>
      <c r="C116" s="29"/>
      <c r="D116" s="33"/>
      <c r="E116" s="33"/>
      <c r="F116" s="29"/>
      <c r="G116" s="29"/>
      <c r="H116" s="33"/>
    </row>
    <row r="117" spans="2:8" s="16" customFormat="1" ht="15" hidden="1" x14ac:dyDescent="0.25">
      <c r="B117" s="29"/>
      <c r="C117" s="29"/>
      <c r="D117" s="33"/>
      <c r="E117" s="33"/>
      <c r="F117" s="29"/>
      <c r="G117" s="29"/>
      <c r="H117" s="33"/>
    </row>
    <row r="118" spans="2:8" s="16" customFormat="1" ht="15" hidden="1" x14ac:dyDescent="0.25">
      <c r="B118" s="29"/>
      <c r="C118" s="29"/>
      <c r="D118" s="33"/>
      <c r="E118" s="33"/>
      <c r="F118" s="29"/>
      <c r="G118" s="29"/>
      <c r="H118" s="33"/>
    </row>
    <row r="119" spans="2:8" hidden="1" x14ac:dyDescent="0.2"/>
    <row r="120" spans="2:8" hidden="1" x14ac:dyDescent="0.2"/>
    <row r="121" spans="2:8" hidden="1" x14ac:dyDescent="0.2"/>
  </sheetData>
  <autoFilter ref="A1:H37"/>
  <customSheetViews>
    <customSheetView guid="{04C50C76-DBA5-4B8F-A929-D0E997573BFE}" fitToPage="1" showAutoFilter="1" hiddenRows="1" hiddenColumns="1">
      <selection activeCell="G12" sqref="G12"/>
      <pageMargins left="0.25" right="0.25" top="0.75" bottom="0.75" header="0.3" footer="0.3"/>
      <pageSetup scale="68" orientation="landscape" r:id="rId1"/>
      <autoFilter ref="A1:H36"/>
    </customSheetView>
    <customSheetView guid="{B93E95F7-2207-4982-B8B5-4CD0F87DD17C}" fitToPage="1" showAutoFilter="1" hiddenRows="1" hiddenColumns="1">
      <selection activeCell="G12" sqref="G12"/>
      <pageMargins left="0.25" right="0.25" top="0.75" bottom="0.75" header="0.3" footer="0.3"/>
      <pageSetup scale="68" orientation="landscape" r:id="rId2"/>
      <autoFilter ref="A1:H36"/>
    </customSheetView>
  </customSheetViews>
  <conditionalFormatting sqref="C119:C1048576">
    <cfRule type="cellIs" dxfId="10" priority="19" operator="equal">
      <formula>"NDC"</formula>
    </cfRule>
  </conditionalFormatting>
  <conditionalFormatting sqref="C1">
    <cfRule type="cellIs" dxfId="9" priority="17" operator="equal">
      <formula>"NDC"</formula>
    </cfRule>
  </conditionalFormatting>
  <conditionalFormatting sqref="C14:C20 C22 C11:C12 C25:C28 C30:C32 C34">
    <cfRule type="cellIs" dxfId="8" priority="7" operator="equal">
      <formula>"ndc"</formula>
    </cfRule>
  </conditionalFormatting>
  <conditionalFormatting sqref="C35 C37">
    <cfRule type="cellIs" dxfId="7" priority="6" operator="equal">
      <formula>"ndc"</formula>
    </cfRule>
  </conditionalFormatting>
  <conditionalFormatting sqref="C10">
    <cfRule type="cellIs" dxfId="6" priority="5" operator="equal">
      <formula>"ndc"</formula>
    </cfRule>
  </conditionalFormatting>
  <conditionalFormatting sqref="C29">
    <cfRule type="cellIs" dxfId="5" priority="4" operator="equal">
      <formula>"ndc"</formula>
    </cfRule>
  </conditionalFormatting>
  <conditionalFormatting sqref="C33">
    <cfRule type="cellIs" dxfId="4" priority="3" operator="equal">
      <formula>"ndc"</formula>
    </cfRule>
  </conditionalFormatting>
  <conditionalFormatting sqref="C7">
    <cfRule type="cellIs" dxfId="3" priority="2" operator="equal">
      <formula>"ndc"</formula>
    </cfRule>
  </conditionalFormatting>
  <conditionalFormatting sqref="C36">
    <cfRule type="cellIs" dxfId="2" priority="1" operator="equal">
      <formula>"ndc"</formula>
    </cfRule>
  </conditionalFormatting>
  <pageMargins left="0.25" right="0.25" top="0.75" bottom="0.75" header="0.3" footer="0.3"/>
  <pageSetup scale="68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CC"/>
  </sheetPr>
  <dimension ref="A1:E11"/>
  <sheetViews>
    <sheetView workbookViewId="0">
      <selection activeCell="D9" sqref="D9"/>
    </sheetView>
  </sheetViews>
  <sheetFormatPr defaultColWidth="0" defaultRowHeight="15" zeroHeight="1" x14ac:dyDescent="0.25"/>
  <cols>
    <col min="1" max="3" width="8.85546875" customWidth="1"/>
    <col min="4" max="4" width="22.5703125" customWidth="1"/>
    <col min="5" max="5" width="17.28515625" customWidth="1"/>
    <col min="6" max="16384" width="8.85546875" hidden="1"/>
  </cols>
  <sheetData>
    <row r="1" spans="1:5" x14ac:dyDescent="0.25">
      <c r="A1" s="5"/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2"/>
      <c r="C3" s="38" t="s">
        <v>132</v>
      </c>
      <c r="D3" s="5"/>
      <c r="E3" s="5"/>
    </row>
    <row r="4" spans="1:5" x14ac:dyDescent="0.25">
      <c r="A4" s="5"/>
      <c r="B4" s="5"/>
      <c r="C4" s="5"/>
      <c r="E4" s="5"/>
    </row>
    <row r="5" spans="1:5" x14ac:dyDescent="0.25">
      <c r="A5" s="5"/>
      <c r="B5" s="5"/>
      <c r="C5" s="5"/>
      <c r="D5" s="5"/>
      <c r="E5" s="5"/>
    </row>
    <row r="6" spans="1:5" x14ac:dyDescent="0.25">
      <c r="A6" s="5"/>
      <c r="B6" s="1"/>
      <c r="C6" s="38" t="s">
        <v>133</v>
      </c>
      <c r="D6" s="5"/>
      <c r="E6" s="5"/>
    </row>
    <row r="7" spans="1:5" x14ac:dyDescent="0.25">
      <c r="A7" s="5"/>
      <c r="B7" s="5"/>
      <c r="C7" s="5"/>
      <c r="D7" s="5"/>
      <c r="E7" s="5"/>
    </row>
    <row r="8" spans="1:5" x14ac:dyDescent="0.25">
      <c r="A8" s="5"/>
      <c r="B8" s="5"/>
      <c r="C8" s="5"/>
      <c r="D8" s="5"/>
      <c r="E8" s="5"/>
    </row>
    <row r="9" spans="1:5" x14ac:dyDescent="0.25">
      <c r="A9" s="5"/>
      <c r="B9" s="39" t="s">
        <v>131</v>
      </c>
      <c r="C9" s="38" t="s">
        <v>130</v>
      </c>
      <c r="D9" s="5"/>
      <c r="E9" s="5"/>
    </row>
    <row r="10" spans="1:5" x14ac:dyDescent="0.25">
      <c r="A10" s="5"/>
      <c r="B10" s="5"/>
      <c r="C10" s="5"/>
      <c r="D10" s="5"/>
      <c r="E10" s="5"/>
    </row>
    <row r="11" spans="1:5" x14ac:dyDescent="0.25">
      <c r="A11" s="5"/>
      <c r="B11" s="5"/>
      <c r="C11" s="5"/>
      <c r="D11" s="5"/>
      <c r="E11" s="5"/>
    </row>
  </sheetData>
  <customSheetViews>
    <customSheetView guid="{04C50C76-DBA5-4B8F-A929-D0E997573BFE}" hiddenRows="1" hiddenColumns="1">
      <selection activeCell="D9" sqref="D9"/>
      <pageMargins left="0.7" right="0.7" top="0.75" bottom="0.75" header="0.3" footer="0.3"/>
      <pageSetup orientation="portrait" r:id="rId1"/>
    </customSheetView>
    <customSheetView guid="{B93E95F7-2207-4982-B8B5-4CD0F87DD17C}" hiddenRows="1" hiddenColumns="1">
      <selection activeCell="D9" sqref="D9"/>
      <pageMargins left="0.7" right="0.7" top="0.75" bottom="0.75" header="0.3" footer="0.3"/>
      <pageSetup orientation="portrait" r:id="rId2"/>
    </customSheetView>
  </customSheetView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FFC000"/>
  </sheetPr>
  <dimension ref="A1:M127"/>
  <sheetViews>
    <sheetView tabSelected="1" topLeftCell="A8" workbookViewId="0">
      <selection activeCell="I19" sqref="I19:K19"/>
    </sheetView>
  </sheetViews>
  <sheetFormatPr defaultColWidth="0" defaultRowHeight="15" zeroHeight="1" x14ac:dyDescent="0.25"/>
  <cols>
    <col min="1" max="1" width="8.7109375" customWidth="1"/>
    <col min="2" max="2" width="2" customWidth="1"/>
    <col min="3" max="3" width="2.140625" customWidth="1"/>
    <col min="4" max="4" width="12.7109375" customWidth="1"/>
    <col min="5" max="5" width="1.42578125" customWidth="1"/>
    <col min="6" max="7" width="2.7109375" customWidth="1"/>
    <col min="8" max="8" width="14.85546875" customWidth="1"/>
    <col min="9" max="9" width="7.7109375" customWidth="1"/>
    <col min="10" max="10" width="2.7109375" style="3" customWidth="1"/>
    <col min="11" max="11" width="6.28515625" style="3" customWidth="1"/>
    <col min="12" max="12" width="13" style="3" customWidth="1"/>
    <col min="13" max="13" width="9.7109375" customWidth="1"/>
    <col min="14" max="16384" width="8.85546875" hidden="1"/>
  </cols>
  <sheetData>
    <row r="1" spans="1:13" s="50" customFormat="1" x14ac:dyDescent="0.25">
      <c r="A1" s="48"/>
      <c r="B1" s="313"/>
      <c r="C1" s="313"/>
      <c r="D1" s="313"/>
      <c r="E1" s="76"/>
      <c r="F1" s="76"/>
      <c r="G1" s="76"/>
      <c r="H1" s="49"/>
      <c r="I1" s="76"/>
      <c r="J1" s="49"/>
      <c r="K1" s="49"/>
      <c r="L1" s="49"/>
      <c r="M1" s="49"/>
    </row>
    <row r="2" spans="1:13" s="50" customFormat="1" x14ac:dyDescent="0.25">
      <c r="A2" s="48"/>
      <c r="B2" s="149" t="s">
        <v>168</v>
      </c>
      <c r="C2" s="110"/>
      <c r="D2" s="148"/>
      <c r="E2" s="76"/>
      <c r="F2" s="76"/>
      <c r="G2" s="76"/>
      <c r="H2" s="49"/>
      <c r="I2" s="76"/>
      <c r="J2" s="49"/>
      <c r="K2" s="49"/>
      <c r="L2" s="49"/>
      <c r="M2" s="49"/>
    </row>
    <row r="3" spans="1:13" s="50" customFormat="1" ht="15.75" thickBot="1" x14ac:dyDescent="0.3">
      <c r="A3" s="51"/>
      <c r="B3" s="109"/>
      <c r="C3" s="109"/>
      <c r="D3" s="109"/>
      <c r="E3" s="109"/>
      <c r="F3" s="109"/>
      <c r="G3" s="109"/>
      <c r="H3" s="109"/>
      <c r="I3" s="109"/>
      <c r="J3" s="51"/>
      <c r="K3" s="51"/>
      <c r="L3" s="51"/>
      <c r="M3" s="51"/>
    </row>
    <row r="4" spans="1:13" x14ac:dyDescent="0.25">
      <c r="A4" s="47"/>
      <c r="B4" s="47"/>
      <c r="C4" s="47"/>
      <c r="D4" s="5"/>
      <c r="E4" s="5"/>
      <c r="F4" s="5"/>
      <c r="G4" s="5"/>
      <c r="H4" s="47"/>
      <c r="I4" s="47"/>
      <c r="J4" s="47"/>
      <c r="K4" s="47"/>
      <c r="L4" s="47"/>
      <c r="M4" s="47"/>
    </row>
    <row r="5" spans="1:13" x14ac:dyDescent="0.25">
      <c r="A5" s="5"/>
      <c r="B5" s="5"/>
      <c r="C5" s="5"/>
      <c r="D5" s="9"/>
      <c r="E5" s="9"/>
      <c r="F5" s="9"/>
      <c r="G5" s="9"/>
      <c r="H5" s="5"/>
      <c r="I5" s="10"/>
      <c r="J5" s="10"/>
      <c r="K5" s="10"/>
      <c r="L5" s="10"/>
      <c r="M5" s="5"/>
    </row>
    <row r="6" spans="1:13" x14ac:dyDescent="0.25">
      <c r="A6" s="5"/>
      <c r="B6" s="9" t="s">
        <v>160</v>
      </c>
      <c r="C6" s="9"/>
      <c r="D6" s="5"/>
      <c r="E6" s="5"/>
      <c r="F6" s="5"/>
      <c r="G6" s="5"/>
      <c r="H6" s="9"/>
      <c r="I6" s="105"/>
      <c r="J6" s="111"/>
      <c r="K6" s="106"/>
      <c r="L6" s="106"/>
      <c r="M6" s="85"/>
    </row>
    <row r="7" spans="1:13" ht="17.45" customHeight="1" x14ac:dyDescent="0.25">
      <c r="A7" s="5"/>
      <c r="B7" s="104"/>
      <c r="C7" s="104"/>
      <c r="D7" s="9"/>
      <c r="E7" s="9"/>
      <c r="F7" s="9"/>
      <c r="G7" s="9"/>
      <c r="H7" s="9"/>
      <c r="I7" s="105"/>
      <c r="J7" s="106"/>
      <c r="K7" s="106"/>
      <c r="L7" s="106"/>
      <c r="M7" s="85"/>
    </row>
    <row r="8" spans="1:13" x14ac:dyDescent="0.25">
      <c r="A8" s="5"/>
      <c r="B8" s="9" t="s">
        <v>162</v>
      </c>
      <c r="C8" s="9"/>
      <c r="D8" s="5"/>
      <c r="E8" s="5"/>
      <c r="F8" s="5"/>
      <c r="G8" s="5"/>
      <c r="H8" s="9"/>
      <c r="I8" s="105"/>
      <c r="J8" s="106"/>
      <c r="K8" s="106"/>
      <c r="L8" s="106"/>
      <c r="M8" s="85"/>
    </row>
    <row r="9" spans="1:13" ht="3.6" customHeight="1" x14ac:dyDescent="0.25">
      <c r="A9" s="5"/>
      <c r="B9" s="9"/>
      <c r="C9" s="9"/>
      <c r="D9" s="5"/>
      <c r="E9" s="5"/>
      <c r="F9" s="5"/>
      <c r="G9" s="5"/>
      <c r="H9" s="9"/>
      <c r="I9" s="105"/>
      <c r="J9" s="106"/>
      <c r="K9" s="106"/>
      <c r="L9" s="106"/>
      <c r="M9" s="85"/>
    </row>
    <row r="10" spans="1:13" ht="9.6" customHeight="1" x14ac:dyDescent="0.25">
      <c r="A10" s="5"/>
      <c r="B10" s="104"/>
      <c r="C10" s="112"/>
      <c r="D10" s="124"/>
      <c r="E10" s="6"/>
      <c r="F10" s="7"/>
      <c r="G10" s="7"/>
      <c r="H10" s="7"/>
      <c r="I10" s="113"/>
      <c r="J10" s="114"/>
      <c r="K10" s="114"/>
      <c r="L10" s="115"/>
      <c r="M10" s="85"/>
    </row>
    <row r="11" spans="1:13" x14ac:dyDescent="0.25">
      <c r="A11" s="5"/>
      <c r="B11" s="104"/>
      <c r="C11" s="116"/>
      <c r="D11" s="314" t="s">
        <v>159</v>
      </c>
      <c r="E11" s="8"/>
      <c r="F11" s="9" t="s">
        <v>180</v>
      </c>
      <c r="G11" s="9"/>
      <c r="H11" s="5"/>
      <c r="I11" s="105"/>
      <c r="J11" s="106"/>
      <c r="K11" s="106"/>
      <c r="L11" s="117"/>
      <c r="M11" s="85"/>
    </row>
    <row r="12" spans="1:13" x14ac:dyDescent="0.25">
      <c r="A12" s="5"/>
      <c r="B12" s="104"/>
      <c r="C12" s="116"/>
      <c r="D12" s="314"/>
      <c r="E12" s="8"/>
      <c r="F12" s="9" t="s">
        <v>181</v>
      </c>
      <c r="G12" s="9"/>
      <c r="H12" s="5"/>
      <c r="I12" s="105"/>
      <c r="J12" s="106"/>
      <c r="K12" s="106"/>
      <c r="L12" s="117"/>
      <c r="M12" s="85"/>
    </row>
    <row r="13" spans="1:13" ht="10.15" customHeight="1" x14ac:dyDescent="0.25">
      <c r="A13" s="5"/>
      <c r="B13" s="104"/>
      <c r="C13" s="118"/>
      <c r="D13" s="126"/>
      <c r="E13" s="127"/>
      <c r="F13" s="119"/>
      <c r="G13" s="119"/>
      <c r="H13" s="119"/>
      <c r="I13" s="120"/>
      <c r="J13" s="121"/>
      <c r="K13" s="121"/>
      <c r="L13" s="122"/>
      <c r="M13" s="85"/>
    </row>
    <row r="14" spans="1:13" x14ac:dyDescent="0.25">
      <c r="A14" s="5"/>
      <c r="B14" s="104"/>
      <c r="C14" s="112"/>
      <c r="D14" s="124"/>
      <c r="E14" s="6"/>
      <c r="F14" s="7"/>
      <c r="G14" s="7"/>
      <c r="H14" s="7"/>
      <c r="I14" s="77"/>
      <c r="J14" s="114"/>
      <c r="K14" s="114"/>
      <c r="L14" s="115"/>
      <c r="M14" s="85"/>
    </row>
    <row r="15" spans="1:13" x14ac:dyDescent="0.25">
      <c r="A15" s="5"/>
      <c r="B15" s="104"/>
      <c r="C15" s="116"/>
      <c r="D15" s="125" t="s">
        <v>161</v>
      </c>
      <c r="E15" s="8"/>
      <c r="F15" s="9" t="s">
        <v>163</v>
      </c>
      <c r="G15" s="9"/>
      <c r="I15" s="102"/>
      <c r="J15" s="106"/>
      <c r="K15" s="106"/>
      <c r="L15" s="117"/>
      <c r="M15" s="85"/>
    </row>
    <row r="16" spans="1:13" x14ac:dyDescent="0.25">
      <c r="A16" s="5"/>
      <c r="B16" s="104"/>
      <c r="C16" s="118"/>
      <c r="D16" s="126"/>
      <c r="E16" s="127"/>
      <c r="F16" s="119"/>
      <c r="G16" s="119"/>
      <c r="H16" s="119"/>
      <c r="I16" s="123"/>
      <c r="J16" s="121"/>
      <c r="K16" s="121"/>
      <c r="L16" s="122"/>
      <c r="M16" s="85"/>
    </row>
    <row r="17" spans="1:13" ht="31.9" customHeight="1" thickBot="1" x14ac:dyDescent="0.3">
      <c r="A17" s="5"/>
      <c r="B17" s="104"/>
      <c r="C17" s="104"/>
      <c r="D17" s="9"/>
      <c r="E17" s="9"/>
      <c r="F17" s="9"/>
      <c r="G17" s="9"/>
      <c r="H17" s="9"/>
      <c r="I17" s="102"/>
      <c r="J17" s="106"/>
      <c r="K17" s="106"/>
      <c r="L17" s="106"/>
      <c r="M17" s="85"/>
    </row>
    <row r="18" spans="1:13" ht="15.6" customHeight="1" x14ac:dyDescent="0.25">
      <c r="A18" s="5"/>
      <c r="B18" s="104"/>
      <c r="C18" s="90"/>
      <c r="D18" s="131"/>
      <c r="E18" s="131"/>
      <c r="F18" s="131"/>
      <c r="G18" s="131"/>
      <c r="H18" s="131"/>
      <c r="I18" s="132"/>
      <c r="J18" s="133"/>
      <c r="K18" s="133"/>
      <c r="L18" s="134"/>
      <c r="M18" s="85"/>
    </row>
    <row r="19" spans="1:13" x14ac:dyDescent="0.25">
      <c r="A19" s="5"/>
      <c r="C19" s="135"/>
      <c r="D19" s="128" t="s">
        <v>164</v>
      </c>
      <c r="E19" s="129"/>
      <c r="F19" s="129"/>
      <c r="G19" s="129"/>
      <c r="H19" s="130"/>
      <c r="I19" s="315" t="s">
        <v>256</v>
      </c>
      <c r="J19" s="316"/>
      <c r="K19" s="317"/>
      <c r="L19" s="136"/>
      <c r="M19" s="85"/>
    </row>
    <row r="20" spans="1:13" ht="15.75" thickBot="1" x14ac:dyDescent="0.3">
      <c r="A20" s="5"/>
      <c r="B20" s="5"/>
      <c r="C20" s="137"/>
      <c r="D20" s="138"/>
      <c r="E20" s="139"/>
      <c r="F20" s="139"/>
      <c r="G20" s="139"/>
      <c r="H20" s="140"/>
      <c r="I20" s="141"/>
      <c r="J20" s="140"/>
      <c r="K20" s="140"/>
      <c r="L20" s="142"/>
      <c r="M20" s="85"/>
    </row>
    <row r="21" spans="1:13" ht="21.6" customHeight="1" x14ac:dyDescent="0.25">
      <c r="A21" s="5"/>
      <c r="B21" s="104"/>
      <c r="C21" s="104"/>
      <c r="D21" s="9"/>
      <c r="E21" s="9"/>
      <c r="F21" s="9"/>
      <c r="G21" s="9"/>
      <c r="H21" s="9"/>
      <c r="I21" s="102"/>
      <c r="J21" s="106"/>
      <c r="K21" s="106"/>
      <c r="L21" s="106"/>
      <c r="M21" s="85"/>
    </row>
    <row r="22" spans="1:13" x14ac:dyDescent="0.25">
      <c r="A22" s="5"/>
      <c r="B22" s="9"/>
      <c r="C22" s="9"/>
      <c r="D22" s="107"/>
      <c r="E22" s="107"/>
      <c r="F22" s="107"/>
      <c r="G22" s="143"/>
      <c r="H22" s="144"/>
      <c r="I22" s="102"/>
      <c r="J22" s="108"/>
      <c r="K22" s="108"/>
      <c r="L22" s="108"/>
      <c r="M22" s="85"/>
    </row>
    <row r="23" spans="1:13" ht="17.45" customHeight="1" x14ac:dyDescent="0.25">
      <c r="A23" s="5"/>
      <c r="B23" s="9"/>
      <c r="C23" s="9"/>
      <c r="D23" s="107"/>
      <c r="E23" s="107"/>
      <c r="F23" s="107"/>
      <c r="G23" s="143"/>
      <c r="H23" s="144"/>
      <c r="I23" s="102"/>
      <c r="J23" s="108"/>
      <c r="K23" s="108"/>
      <c r="L23" s="108"/>
      <c r="M23" s="85"/>
    </row>
    <row r="24" spans="1:13" ht="21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10"/>
      <c r="K24" s="10"/>
      <c r="L24" s="10"/>
      <c r="M24" s="5"/>
    </row>
    <row r="25" spans="1:13" hidden="1" x14ac:dyDescent="0.25"/>
    <row r="26" spans="1:13" hidden="1" x14ac:dyDescent="0.25"/>
    <row r="27" spans="1:13" hidden="1" x14ac:dyDescent="0.25"/>
    <row r="28" spans="1:13" hidden="1" x14ac:dyDescent="0.25"/>
    <row r="29" spans="1:13" hidden="1" x14ac:dyDescent="0.25"/>
    <row r="30" spans="1:13" hidden="1" x14ac:dyDescent="0.25"/>
    <row r="31" spans="1:13" hidden="1" x14ac:dyDescent="0.25">
      <c r="J31"/>
      <c r="K31"/>
      <c r="L31"/>
    </row>
    <row r="32" spans="1:13" hidden="1" x14ac:dyDescent="0.25">
      <c r="J32"/>
      <c r="K32"/>
      <c r="L32"/>
    </row>
    <row r="33" spans="10:12" hidden="1" x14ac:dyDescent="0.25">
      <c r="J33"/>
      <c r="K33"/>
      <c r="L33"/>
    </row>
    <row r="34" spans="10:12" hidden="1" x14ac:dyDescent="0.25">
      <c r="J34"/>
      <c r="K34"/>
      <c r="L34"/>
    </row>
    <row r="35" spans="10:12" hidden="1" x14ac:dyDescent="0.25">
      <c r="J35"/>
      <c r="K35"/>
      <c r="L35"/>
    </row>
    <row r="36" spans="10:12" hidden="1" x14ac:dyDescent="0.25">
      <c r="J36"/>
      <c r="K36"/>
      <c r="L36"/>
    </row>
    <row r="37" spans="10:12" hidden="1" x14ac:dyDescent="0.25">
      <c r="J37"/>
      <c r="K37"/>
      <c r="L37"/>
    </row>
    <row r="38" spans="10:12" hidden="1" x14ac:dyDescent="0.25">
      <c r="J38"/>
      <c r="K38"/>
      <c r="L38"/>
    </row>
    <row r="39" spans="10:12" hidden="1" x14ac:dyDescent="0.25">
      <c r="J39"/>
      <c r="K39"/>
      <c r="L39"/>
    </row>
    <row r="40" spans="10:12" hidden="1" x14ac:dyDescent="0.25">
      <c r="J40"/>
      <c r="K40"/>
      <c r="L40"/>
    </row>
    <row r="41" spans="10:12" hidden="1" x14ac:dyDescent="0.25">
      <c r="J41"/>
      <c r="K41"/>
      <c r="L41"/>
    </row>
    <row r="42" spans="10:12" hidden="1" x14ac:dyDescent="0.25">
      <c r="J42"/>
      <c r="K42"/>
      <c r="L42"/>
    </row>
    <row r="43" spans="10:12" hidden="1" x14ac:dyDescent="0.25">
      <c r="J43"/>
      <c r="K43"/>
      <c r="L43"/>
    </row>
    <row r="44" spans="10:12" hidden="1" x14ac:dyDescent="0.25">
      <c r="J44"/>
      <c r="K44"/>
      <c r="L44"/>
    </row>
    <row r="45" spans="10:12" hidden="1" x14ac:dyDescent="0.25">
      <c r="J45"/>
      <c r="K45"/>
      <c r="L45"/>
    </row>
    <row r="46" spans="10:12" hidden="1" x14ac:dyDescent="0.25">
      <c r="J46"/>
      <c r="K46"/>
      <c r="L46"/>
    </row>
    <row r="47" spans="10:12" hidden="1" x14ac:dyDescent="0.25">
      <c r="J47"/>
      <c r="K47"/>
      <c r="L47"/>
    </row>
    <row r="48" spans="10:12" hidden="1" x14ac:dyDescent="0.25">
      <c r="J48"/>
      <c r="K48"/>
      <c r="L48"/>
    </row>
    <row r="49" spans="10:12" hidden="1" x14ac:dyDescent="0.25">
      <c r="J49"/>
      <c r="K49"/>
      <c r="L49"/>
    </row>
    <row r="50" spans="10:12" hidden="1" x14ac:dyDescent="0.25">
      <c r="J50"/>
      <c r="K50"/>
      <c r="L50"/>
    </row>
    <row r="51" spans="10:12" hidden="1" x14ac:dyDescent="0.25">
      <c r="J51"/>
      <c r="K51"/>
      <c r="L51"/>
    </row>
    <row r="52" spans="10:12" hidden="1" x14ac:dyDescent="0.25">
      <c r="J52"/>
      <c r="K52"/>
      <c r="L52"/>
    </row>
    <row r="53" spans="10:12" hidden="1" x14ac:dyDescent="0.25">
      <c r="J53"/>
      <c r="K53"/>
      <c r="L53"/>
    </row>
    <row r="54" spans="10:12" hidden="1" x14ac:dyDescent="0.25">
      <c r="J54"/>
      <c r="K54"/>
      <c r="L54"/>
    </row>
    <row r="55" spans="10:12" hidden="1" x14ac:dyDescent="0.25">
      <c r="J55"/>
      <c r="K55"/>
      <c r="L55"/>
    </row>
    <row r="56" spans="10:12" hidden="1" x14ac:dyDescent="0.25">
      <c r="J56"/>
      <c r="K56"/>
      <c r="L56"/>
    </row>
    <row r="57" spans="10:12" hidden="1" x14ac:dyDescent="0.25">
      <c r="J57"/>
      <c r="K57"/>
      <c r="L57"/>
    </row>
    <row r="58" spans="10:12" hidden="1" x14ac:dyDescent="0.25">
      <c r="J58"/>
      <c r="K58"/>
      <c r="L58"/>
    </row>
    <row r="59" spans="10:12" hidden="1" x14ac:dyDescent="0.25">
      <c r="J59"/>
      <c r="K59"/>
      <c r="L59"/>
    </row>
    <row r="60" spans="10:12" hidden="1" x14ac:dyDescent="0.25">
      <c r="J60"/>
      <c r="K60"/>
      <c r="L60"/>
    </row>
    <row r="61" spans="10:12" hidden="1" x14ac:dyDescent="0.25">
      <c r="J61"/>
      <c r="K61"/>
      <c r="L61"/>
    </row>
    <row r="62" spans="10:12" hidden="1" x14ac:dyDescent="0.25">
      <c r="J62"/>
      <c r="K62"/>
      <c r="L62"/>
    </row>
    <row r="63" spans="10:12" hidden="1" x14ac:dyDescent="0.25">
      <c r="J63"/>
      <c r="K63"/>
      <c r="L63"/>
    </row>
    <row r="64" spans="10:12" hidden="1" x14ac:dyDescent="0.25">
      <c r="J64"/>
      <c r="K64"/>
      <c r="L64"/>
    </row>
    <row r="65" spans="10:12" hidden="1" x14ac:dyDescent="0.25">
      <c r="J65"/>
      <c r="K65"/>
      <c r="L65"/>
    </row>
    <row r="66" spans="10:12" hidden="1" x14ac:dyDescent="0.25">
      <c r="J66"/>
      <c r="K66"/>
      <c r="L66"/>
    </row>
    <row r="67" spans="10:12" hidden="1" x14ac:dyDescent="0.25">
      <c r="J67"/>
      <c r="K67"/>
      <c r="L67"/>
    </row>
    <row r="68" spans="10:12" hidden="1" x14ac:dyDescent="0.25">
      <c r="J68"/>
      <c r="K68"/>
      <c r="L68"/>
    </row>
    <row r="69" spans="10:12" hidden="1" x14ac:dyDescent="0.25">
      <c r="J69"/>
      <c r="K69"/>
      <c r="L69"/>
    </row>
    <row r="70" spans="10:12" hidden="1" x14ac:dyDescent="0.25">
      <c r="J70"/>
      <c r="K70"/>
      <c r="L70"/>
    </row>
    <row r="71" spans="10:12" hidden="1" x14ac:dyDescent="0.25">
      <c r="J71"/>
      <c r="K71"/>
      <c r="L71"/>
    </row>
    <row r="72" spans="10:12" hidden="1" x14ac:dyDescent="0.25">
      <c r="J72"/>
      <c r="K72"/>
      <c r="L72"/>
    </row>
    <row r="73" spans="10:12" hidden="1" x14ac:dyDescent="0.25">
      <c r="J73"/>
      <c r="K73"/>
      <c r="L73"/>
    </row>
    <row r="74" spans="10:12" hidden="1" x14ac:dyDescent="0.25">
      <c r="J74"/>
      <c r="K74"/>
      <c r="L74"/>
    </row>
    <row r="75" spans="10:12" hidden="1" x14ac:dyDescent="0.25">
      <c r="J75"/>
      <c r="K75"/>
      <c r="L75"/>
    </row>
    <row r="76" spans="10:12" hidden="1" x14ac:dyDescent="0.25">
      <c r="J76"/>
      <c r="K76"/>
      <c r="L76"/>
    </row>
    <row r="77" spans="10:12" hidden="1" x14ac:dyDescent="0.25">
      <c r="J77"/>
      <c r="K77"/>
      <c r="L77"/>
    </row>
    <row r="78" spans="10:12" hidden="1" x14ac:dyDescent="0.25">
      <c r="J78"/>
      <c r="K78"/>
      <c r="L78"/>
    </row>
    <row r="79" spans="10:12" hidden="1" x14ac:dyDescent="0.25">
      <c r="J79"/>
      <c r="K79"/>
      <c r="L79"/>
    </row>
    <row r="80" spans="10:12" hidden="1" x14ac:dyDescent="0.25">
      <c r="J80"/>
      <c r="K80"/>
      <c r="L80"/>
    </row>
    <row r="81" spans="10:12" hidden="1" x14ac:dyDescent="0.25">
      <c r="J81"/>
      <c r="K81"/>
      <c r="L81"/>
    </row>
    <row r="82" spans="10:12" hidden="1" x14ac:dyDescent="0.25">
      <c r="J82"/>
      <c r="K82"/>
      <c r="L82"/>
    </row>
    <row r="83" spans="10:12" hidden="1" x14ac:dyDescent="0.25">
      <c r="J83"/>
      <c r="K83"/>
      <c r="L83"/>
    </row>
    <row r="84" spans="10:12" hidden="1" x14ac:dyDescent="0.25">
      <c r="J84"/>
      <c r="K84"/>
      <c r="L84"/>
    </row>
    <row r="85" spans="10:12" hidden="1" x14ac:dyDescent="0.25">
      <c r="J85"/>
      <c r="K85"/>
      <c r="L85"/>
    </row>
    <row r="86" spans="10:12" hidden="1" x14ac:dyDescent="0.25">
      <c r="J86"/>
      <c r="K86"/>
      <c r="L86"/>
    </row>
    <row r="87" spans="10:12" hidden="1" x14ac:dyDescent="0.25">
      <c r="J87"/>
      <c r="K87"/>
      <c r="L87"/>
    </row>
    <row r="88" spans="10:12" hidden="1" x14ac:dyDescent="0.25">
      <c r="J88"/>
      <c r="K88"/>
      <c r="L88"/>
    </row>
    <row r="89" spans="10:12" hidden="1" x14ac:dyDescent="0.25">
      <c r="J89"/>
      <c r="K89"/>
      <c r="L89"/>
    </row>
    <row r="90" spans="10:12" hidden="1" x14ac:dyDescent="0.25">
      <c r="J90"/>
      <c r="K90"/>
      <c r="L90"/>
    </row>
    <row r="91" spans="10:12" hidden="1" x14ac:dyDescent="0.25">
      <c r="J91"/>
      <c r="K91"/>
      <c r="L91"/>
    </row>
    <row r="92" spans="10:12" hidden="1" x14ac:dyDescent="0.25">
      <c r="J92"/>
      <c r="K92"/>
      <c r="L92"/>
    </row>
    <row r="93" spans="10:12" hidden="1" x14ac:dyDescent="0.25">
      <c r="J93"/>
      <c r="K93"/>
      <c r="L93"/>
    </row>
    <row r="94" spans="10:12" hidden="1" x14ac:dyDescent="0.25">
      <c r="J94"/>
      <c r="K94"/>
      <c r="L94"/>
    </row>
    <row r="95" spans="10:12" hidden="1" x14ac:dyDescent="0.25">
      <c r="J95"/>
      <c r="K95"/>
      <c r="L95"/>
    </row>
    <row r="96" spans="10:12" hidden="1" x14ac:dyDescent="0.25">
      <c r="J96"/>
      <c r="K96"/>
      <c r="L96"/>
    </row>
    <row r="97" spans="10:12" hidden="1" x14ac:dyDescent="0.25">
      <c r="J97"/>
      <c r="K97"/>
      <c r="L97"/>
    </row>
    <row r="98" spans="10:12" hidden="1" x14ac:dyDescent="0.25">
      <c r="J98"/>
      <c r="K98"/>
      <c r="L98"/>
    </row>
    <row r="99" spans="10:12" hidden="1" x14ac:dyDescent="0.25">
      <c r="J99"/>
      <c r="K99"/>
      <c r="L99"/>
    </row>
    <row r="100" spans="10:12" hidden="1" x14ac:dyDescent="0.25">
      <c r="J100"/>
      <c r="K100"/>
      <c r="L100"/>
    </row>
    <row r="101" spans="10:12" hidden="1" x14ac:dyDescent="0.25">
      <c r="J101"/>
      <c r="K101"/>
      <c r="L101"/>
    </row>
    <row r="102" spans="10:12" hidden="1" x14ac:dyDescent="0.25">
      <c r="J102"/>
      <c r="K102"/>
      <c r="L102"/>
    </row>
    <row r="103" spans="10:12" hidden="1" x14ac:dyDescent="0.25">
      <c r="J103"/>
      <c r="K103"/>
      <c r="L103"/>
    </row>
    <row r="104" spans="10:12" hidden="1" x14ac:dyDescent="0.25">
      <c r="J104"/>
      <c r="K104"/>
      <c r="L104"/>
    </row>
    <row r="105" spans="10:12" hidden="1" x14ac:dyDescent="0.25">
      <c r="J105"/>
      <c r="K105"/>
      <c r="L105"/>
    </row>
    <row r="106" spans="10:12" hidden="1" x14ac:dyDescent="0.25">
      <c r="J106"/>
      <c r="K106"/>
      <c r="L106"/>
    </row>
    <row r="107" spans="10:12" hidden="1" x14ac:dyDescent="0.25">
      <c r="J107"/>
      <c r="K107"/>
      <c r="L107"/>
    </row>
    <row r="108" spans="10:12" hidden="1" x14ac:dyDescent="0.25">
      <c r="J108"/>
      <c r="K108"/>
      <c r="L108"/>
    </row>
    <row r="109" spans="10:12" hidden="1" x14ac:dyDescent="0.25">
      <c r="J109"/>
      <c r="K109"/>
      <c r="L109"/>
    </row>
    <row r="110" spans="10:12" hidden="1" x14ac:dyDescent="0.25">
      <c r="J110"/>
      <c r="K110"/>
      <c r="L110"/>
    </row>
    <row r="111" spans="10:12" hidden="1" x14ac:dyDescent="0.25">
      <c r="J111"/>
      <c r="K111"/>
      <c r="L111"/>
    </row>
    <row r="112" spans="10:12" hidden="1" x14ac:dyDescent="0.25">
      <c r="J112"/>
      <c r="K112"/>
      <c r="L112"/>
    </row>
    <row r="113" spans="10:12" hidden="1" x14ac:dyDescent="0.25">
      <c r="J113"/>
      <c r="K113"/>
      <c r="L113"/>
    </row>
    <row r="114" spans="10:12" hidden="1" x14ac:dyDescent="0.25">
      <c r="J114"/>
      <c r="K114"/>
      <c r="L114"/>
    </row>
    <row r="115" spans="10:12" hidden="1" x14ac:dyDescent="0.25">
      <c r="J115"/>
      <c r="K115"/>
      <c r="L115"/>
    </row>
    <row r="116" spans="10:12" hidden="1" x14ac:dyDescent="0.25">
      <c r="J116"/>
      <c r="K116"/>
      <c r="L116"/>
    </row>
    <row r="117" spans="10:12" hidden="1" x14ac:dyDescent="0.25">
      <c r="J117"/>
      <c r="K117"/>
      <c r="L117"/>
    </row>
    <row r="118" spans="10:12" hidden="1" x14ac:dyDescent="0.25">
      <c r="J118"/>
      <c r="K118"/>
      <c r="L118"/>
    </row>
    <row r="119" spans="10:12" hidden="1" x14ac:dyDescent="0.25">
      <c r="J119"/>
      <c r="K119"/>
      <c r="L119"/>
    </row>
    <row r="120" spans="10:12" hidden="1" x14ac:dyDescent="0.25"/>
    <row r="121" spans="10:12" hidden="1" x14ac:dyDescent="0.25"/>
    <row r="122" spans="10:12" hidden="1" x14ac:dyDescent="0.25"/>
    <row r="123" spans="10:12" hidden="1" x14ac:dyDescent="0.25"/>
    <row r="124" spans="10:12" hidden="1" x14ac:dyDescent="0.25"/>
    <row r="125" spans="10:12" hidden="1" x14ac:dyDescent="0.25"/>
    <row r="126" spans="10:12" hidden="1" x14ac:dyDescent="0.25"/>
    <row r="127" spans="10:12" hidden="1" x14ac:dyDescent="0.25"/>
  </sheetData>
  <customSheetViews>
    <customSheetView guid="{04C50C76-DBA5-4B8F-A929-D0E997573BFE}" hiddenRows="1" hiddenColumns="1">
      <selection activeCell="J6" sqref="J6"/>
      <pageMargins left="0.7" right="0.7" top="0.75" bottom="0.75" header="0.3" footer="0.3"/>
      <pageSetup orientation="portrait" r:id="rId1"/>
    </customSheetView>
    <customSheetView guid="{B93E95F7-2207-4982-B8B5-4CD0F87DD17C}" hiddenRows="1" hiddenColumns="1">
      <selection activeCell="J6" sqref="J6"/>
      <pageMargins left="0.7" right="0.7" top="0.75" bottom="0.75" header="0.3" footer="0.3"/>
      <pageSetup orientation="portrait" r:id="rId2"/>
    </customSheetView>
  </customSheetViews>
  <mergeCells count="3">
    <mergeCell ref="B1:D1"/>
    <mergeCell ref="D11:D12"/>
    <mergeCell ref="I19:K19"/>
  </mergeCells>
  <dataValidations count="1">
    <dataValidation type="list" allowBlank="1" showInputMessage="1" showErrorMessage="1" sqref="I19:I20">
      <formula1>"Automated, Manual"</formula1>
    </dataValidation>
  </dataValidations>
  <pageMargins left="0.7" right="0.7" top="0.75" bottom="0.75" header="0.3" footer="0.3"/>
  <pageSetup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6" name="Button 2">
              <controlPr defaultSize="0" print="0" autoFill="0" autoPict="0" macro="[0]!ThisWorkbook.LetsGetStarted">
                <anchor moveWithCells="1" sizeWithCells="1">
                  <from>
                    <xdr:col>6</xdr:col>
                    <xdr:colOff>47625</xdr:colOff>
                    <xdr:row>21</xdr:row>
                    <xdr:rowOff>47625</xdr:rowOff>
                  </from>
                  <to>
                    <xdr:col>7</xdr:col>
                    <xdr:colOff>971550</xdr:colOff>
                    <xdr:row>22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FFC000"/>
    <pageSetUpPr fitToPage="1"/>
  </sheetPr>
  <dimension ref="A1:R129"/>
  <sheetViews>
    <sheetView zoomScaleNormal="100" workbookViewId="0"/>
  </sheetViews>
  <sheetFormatPr defaultColWidth="0" defaultRowHeight="0" customHeight="1" zeroHeight="1" x14ac:dyDescent="0.25"/>
  <cols>
    <col min="1" max="1" width="5.7109375" customWidth="1"/>
    <col min="2" max="2" width="3.85546875" customWidth="1"/>
    <col min="3" max="3" width="6.42578125" customWidth="1"/>
    <col min="4" max="4" width="10.7109375" customWidth="1"/>
    <col min="5" max="5" width="5.28515625" customWidth="1"/>
    <col min="6" max="6" width="4.140625" customWidth="1"/>
    <col min="7" max="7" width="7.28515625" customWidth="1"/>
    <col min="8" max="8" width="11.42578125" customWidth="1"/>
    <col min="9" max="9" width="3.28515625" customWidth="1"/>
    <col min="10" max="10" width="14.5703125" customWidth="1"/>
    <col min="11" max="11" width="2.85546875" hidden="1" customWidth="1"/>
    <col min="12" max="12" width="8.85546875" style="3" customWidth="1"/>
    <col min="13" max="13" width="17.7109375" customWidth="1"/>
    <col min="14" max="14" width="15.5703125" hidden="1" customWidth="1"/>
    <col min="15" max="15" width="18.140625" hidden="1" customWidth="1"/>
    <col min="16" max="16" width="18.28515625" style="157" hidden="1" customWidth="1"/>
    <col min="17" max="18" width="1.28515625" style="157" hidden="1" customWidth="1"/>
    <col min="19" max="16384" width="1.28515625" hidden="1"/>
  </cols>
  <sheetData>
    <row r="1" spans="1:18" s="50" customFormat="1" ht="14.45" customHeight="1" x14ac:dyDescent="0.25">
      <c r="A1" s="48"/>
      <c r="B1" s="146" t="s">
        <v>167</v>
      </c>
      <c r="C1" s="49"/>
      <c r="D1" s="49"/>
      <c r="E1" s="49"/>
      <c r="F1" s="49"/>
      <c r="G1" s="49"/>
      <c r="H1" s="49"/>
      <c r="I1" s="49"/>
      <c r="J1" s="75"/>
      <c r="K1" s="184"/>
      <c r="L1" s="318" t="s">
        <v>178</v>
      </c>
      <c r="M1" s="49"/>
    </row>
    <row r="2" spans="1:18" s="50" customFormat="1" ht="14.45" customHeight="1" x14ac:dyDescent="0.25">
      <c r="A2" s="48"/>
      <c r="B2" s="145" t="s">
        <v>250</v>
      </c>
      <c r="C2" s="76"/>
      <c r="D2" s="76"/>
      <c r="E2" s="76"/>
      <c r="F2" s="76"/>
      <c r="G2" s="76"/>
      <c r="H2" s="76"/>
      <c r="I2" s="76"/>
      <c r="J2" s="76"/>
      <c r="K2" s="184"/>
      <c r="L2" s="318"/>
      <c r="M2" s="49"/>
    </row>
    <row r="3" spans="1:18" s="50" customFormat="1" ht="14.45" customHeight="1" x14ac:dyDescent="0.25">
      <c r="A3" s="48"/>
      <c r="B3" s="48" t="s">
        <v>165</v>
      </c>
      <c r="D3" s="76"/>
      <c r="E3" s="76"/>
      <c r="F3" s="76"/>
      <c r="G3" s="76"/>
      <c r="H3" s="76"/>
      <c r="I3" s="76"/>
      <c r="J3" s="76"/>
      <c r="K3" s="184"/>
      <c r="L3" s="49"/>
      <c r="M3" s="49"/>
    </row>
    <row r="4" spans="1:18" s="50" customFormat="1" ht="15.75" thickBot="1" x14ac:dyDescent="0.3">
      <c r="A4" s="51"/>
      <c r="B4" s="52" t="s">
        <v>169</v>
      </c>
      <c r="C4" s="52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  <c r="O4" s="52"/>
    </row>
    <row r="5" spans="1:18" ht="6" customHeight="1" x14ac:dyDescent="0.25">
      <c r="A5" s="47"/>
      <c r="B5" s="47"/>
      <c r="C5" s="47"/>
      <c r="D5" s="5"/>
      <c r="E5" s="47"/>
      <c r="F5" s="47"/>
      <c r="G5" s="47"/>
      <c r="H5" s="47"/>
      <c r="I5" s="47"/>
      <c r="J5" s="47"/>
      <c r="K5" s="47"/>
      <c r="L5" s="47"/>
      <c r="M5" s="47"/>
      <c r="N5" s="5"/>
      <c r="O5" s="5"/>
      <c r="P5"/>
      <c r="Q5"/>
      <c r="R5"/>
    </row>
    <row r="6" spans="1:18" ht="15.75" thickBot="1" x14ac:dyDescent="0.3">
      <c r="A6" s="5"/>
      <c r="B6" s="5"/>
      <c r="C6" s="301"/>
      <c r="D6" s="302"/>
      <c r="E6" s="5"/>
      <c r="F6" s="5"/>
      <c r="G6" s="5"/>
      <c r="H6" s="5"/>
      <c r="I6" s="5"/>
      <c r="J6" s="10" t="s">
        <v>152</v>
      </c>
      <c r="K6" s="10"/>
      <c r="L6" s="10" t="s">
        <v>142</v>
      </c>
      <c r="M6" s="247">
        <f>COUNTIF(M7:M14,"Please enter a value")+COUNTIF(M7:M14,"Please correct")</f>
        <v>0</v>
      </c>
      <c r="N6" s="185" t="s">
        <v>224</v>
      </c>
      <c r="O6" s="185" t="s">
        <v>227</v>
      </c>
      <c r="P6" s="185" t="s">
        <v>233</v>
      </c>
      <c r="Q6"/>
      <c r="R6"/>
    </row>
    <row r="7" spans="1:18" ht="15" x14ac:dyDescent="0.25">
      <c r="A7" s="215" t="str">
        <f>Share_DME</f>
        <v>No Cost Sharing</v>
      </c>
      <c r="B7" s="5"/>
      <c r="C7" s="90" t="s">
        <v>143</v>
      </c>
      <c r="D7" s="93"/>
      <c r="E7" s="84" t="s">
        <v>135</v>
      </c>
      <c r="F7" s="84"/>
      <c r="G7" s="84"/>
      <c r="H7" s="84"/>
      <c r="I7" s="84"/>
      <c r="J7" s="295" t="str">
        <f>INDEX(Cost_Sharing_List_4,K7)</f>
        <v>No Cost Sharing</v>
      </c>
      <c r="K7" s="298">
        <v>3</v>
      </c>
      <c r="L7" s="292" t="s">
        <v>255</v>
      </c>
      <c r="M7" s="85" t="str">
        <f>IF(AND(OR(Share_DME="Coinsurance",Share_DME="Copayment"),Value_DME=""),"Please enter a value",IF(OR(AND(Share_DME="Coinsurance",Value_DME&gt;1),AND(Value_DME&lt;&gt;"",OR(Share_DME="Not Covered",Share_DME="No Cost Sharing"))),"Please correct",""))</f>
        <v/>
      </c>
      <c r="N7" s="186" t="s">
        <v>225</v>
      </c>
      <c r="O7" s="186" t="s">
        <v>228</v>
      </c>
      <c r="P7" t="s">
        <v>183</v>
      </c>
      <c r="Q7"/>
      <c r="R7"/>
    </row>
    <row r="8" spans="1:18" ht="15" x14ac:dyDescent="0.25">
      <c r="A8" s="215" t="str">
        <f>Share_RX</f>
        <v>Copayment</v>
      </c>
      <c r="B8" s="5"/>
      <c r="C8" s="91"/>
      <c r="D8" s="94"/>
      <c r="E8" s="4" t="s">
        <v>156</v>
      </c>
      <c r="F8" s="4"/>
      <c r="G8" s="4"/>
      <c r="H8" s="4"/>
      <c r="I8" s="4"/>
      <c r="J8" s="296" t="str">
        <f>INDEX(Cost_Sharing_List_4,K8)</f>
        <v>Copayment</v>
      </c>
      <c r="K8" s="299">
        <v>1</v>
      </c>
      <c r="L8" s="293">
        <v>10</v>
      </c>
      <c r="M8" s="85" t="str">
        <f>IF(AND(OR(Share_RX="Coinsurance",Share_RX="Copayment"),Value_RX=""),"Please enter a value",IF(OR(AND(Share_RX="Coinsurance",Value_RX&gt;1),AND(Value_RX&lt;&gt;"",OR(Share_RX="Not Covered",Share_RX="No Cost Sharing"))),"Please correct",""))</f>
        <v/>
      </c>
      <c r="N8" s="9"/>
      <c r="O8" s="9"/>
      <c r="P8" t="s">
        <v>173</v>
      </c>
      <c r="Q8"/>
      <c r="R8"/>
    </row>
    <row r="9" spans="1:18" ht="15" x14ac:dyDescent="0.25">
      <c r="A9" s="215" t="str">
        <f>Share_Hospital</f>
        <v>Coinsurance</v>
      </c>
      <c r="B9" s="5"/>
      <c r="C9" s="91"/>
      <c r="D9" s="94"/>
      <c r="E9" s="9" t="s">
        <v>155</v>
      </c>
      <c r="F9" s="9"/>
      <c r="G9" s="9"/>
      <c r="H9" s="9"/>
      <c r="I9" s="9"/>
      <c r="J9" s="297" t="str">
        <f>INDEX(Cost_Sharing_List_4,K9)</f>
        <v>Coinsurance</v>
      </c>
      <c r="K9" s="300">
        <v>2</v>
      </c>
      <c r="L9" s="308">
        <v>0.3</v>
      </c>
      <c r="M9" s="85" t="str">
        <f>IF(AND(OR(Share_Hospital="Coinsurance",Share_Hospital="Copayment"),Value_Hospital=""),"Please enter a value",IF(OR(AND(Share_Hospital="Coinsurance",Value_Hospital&gt;1),AND(Value_Hospital&lt;&gt;"",OR(Share_Hospital="Not Covered",Share_Hospital="No Cost Sharing"))),"Please correct",""))</f>
        <v/>
      </c>
      <c r="N9" s="9" t="s">
        <v>198</v>
      </c>
      <c r="O9" s="9" t="s">
        <v>230</v>
      </c>
      <c r="P9" t="s">
        <v>232</v>
      </c>
      <c r="Q9"/>
      <c r="R9"/>
    </row>
    <row r="10" spans="1:18" ht="15" x14ac:dyDescent="0.25">
      <c r="A10" s="215" t="str">
        <f>Share_Lab</f>
        <v>No Cost Sharing</v>
      </c>
      <c r="B10" s="5"/>
      <c r="C10" s="91"/>
      <c r="D10" s="94"/>
      <c r="E10" s="4" t="s">
        <v>138</v>
      </c>
      <c r="F10" s="4"/>
      <c r="G10" s="4"/>
      <c r="H10" s="4"/>
      <c r="I10" s="4"/>
      <c r="J10" s="296" t="str">
        <f>INDEX(Cost_Sharing_List_4,K10)</f>
        <v>No Cost Sharing</v>
      </c>
      <c r="K10" s="299">
        <v>3</v>
      </c>
      <c r="L10" s="308" t="s">
        <v>255</v>
      </c>
      <c r="M10" s="85" t="str">
        <f>IF(AND(OR(Share_Lab="Coinsurance",Share_Lab="Copayment"),Value_Lab=""),"Please enter a value",IF(OR(AND(Share_Lab="Coinsurance",Value_Lab&gt;1),AND(Value_Lab&lt;&gt;"",OR(Share_Lab="Not Covered",Share_Lab="No Cost Sharing"))),"Please correct",""))</f>
        <v/>
      </c>
      <c r="N10" s="9"/>
      <c r="O10" s="9"/>
      <c r="P10" t="s">
        <v>229</v>
      </c>
      <c r="Q10"/>
      <c r="R10"/>
    </row>
    <row r="11" spans="1:18" ht="14.45" customHeight="1" x14ac:dyDescent="0.25">
      <c r="A11" s="215" t="str">
        <f>Share_Rad</f>
        <v>Coinsurance</v>
      </c>
      <c r="B11" s="5"/>
      <c r="C11" s="91"/>
      <c r="D11" s="94"/>
      <c r="E11" s="4" t="s">
        <v>154</v>
      </c>
      <c r="F11" s="4"/>
      <c r="G11" s="4"/>
      <c r="H11" s="4"/>
      <c r="I11" s="4"/>
      <c r="J11" s="296" t="str">
        <f>INDEX(Cost_Sharing_List_4,K11)</f>
        <v>Coinsurance</v>
      </c>
      <c r="K11" s="299">
        <v>2</v>
      </c>
      <c r="L11" s="308">
        <v>0.3</v>
      </c>
      <c r="M11" s="85" t="str">
        <f>IF(AND(OR(Share_Rad="Coinsurance",Share_Rad="Copayment"),Value_Rad=""),"Please enter a value",IF(OR(AND(Share_Rad="Coinsurance",Value_Rad&gt;1),AND(Value_Rad&lt;&gt;"",OR(Share_Rad="Not Covered",Share_Rad="No Cost Sharing"))),"Please correct",""))</f>
        <v/>
      </c>
      <c r="N11" s="9"/>
      <c r="O11" s="9"/>
      <c r="P11"/>
      <c r="Q11"/>
      <c r="R11"/>
    </row>
    <row r="12" spans="1:18" ht="14.45" customHeight="1" x14ac:dyDescent="0.25">
      <c r="A12" s="215" t="str">
        <f>Share_Obst</f>
        <v>Copayment</v>
      </c>
      <c r="B12" s="5"/>
      <c r="C12" s="91"/>
      <c r="D12" s="94"/>
      <c r="E12" s="4" t="s">
        <v>139</v>
      </c>
      <c r="F12" s="4"/>
      <c r="G12" s="4"/>
      <c r="H12" s="4"/>
      <c r="I12" s="4"/>
      <c r="J12" s="296" t="str">
        <f>INDEX(Cost_Sharing_List_5,K12)</f>
        <v>Copayment</v>
      </c>
      <c r="K12" s="299">
        <v>1</v>
      </c>
      <c r="L12" s="293">
        <v>40</v>
      </c>
      <c r="M12" s="85" t="str">
        <f>IF(AND(OR(Share_Obst="Coinsurance",Share_Obst="Copayment",Share_Obst="Deductible"),Value_Obst=""),"Please enter a value",IF(OR(AND(Share_Obst="Coinsurance",Value_Obst&gt;1),AND(Value_Obst&lt;&gt;"",OR(Share_Obst="Not Covered",Share_Obst="No Cost Sharing"))),"Please correct",""))</f>
        <v/>
      </c>
      <c r="N12" s="9"/>
      <c r="O12" s="187" t="s">
        <v>226</v>
      </c>
      <c r="P12" s="185" t="s">
        <v>234</v>
      </c>
      <c r="Q12"/>
      <c r="R12"/>
    </row>
    <row r="13" spans="1:18" ht="14.45" customHeight="1" x14ac:dyDescent="0.25">
      <c r="A13" s="215" t="str">
        <f>Share_Vaccine</f>
        <v>No Cost Sharing</v>
      </c>
      <c r="B13" s="5"/>
      <c r="C13" s="91"/>
      <c r="D13" s="94"/>
      <c r="E13" s="4" t="s">
        <v>153</v>
      </c>
      <c r="F13" s="4"/>
      <c r="G13" s="4"/>
      <c r="H13" s="4"/>
      <c r="I13" s="4"/>
      <c r="J13" s="296" t="str">
        <f>INDEX(Cost_Sharing_List_4,K13)</f>
        <v>No Cost Sharing</v>
      </c>
      <c r="K13" s="299">
        <v>3</v>
      </c>
      <c r="L13" s="308" t="s">
        <v>255</v>
      </c>
      <c r="M13" s="85" t="str">
        <f>IF(AND(OR(Share_Vaccine="Coinsurance",Share_Vaccine="Copayment"),Value_Vaccine=""),"Please enter a value",IF(OR(AND(Share_Vaccine="Coinsurance",Value_Vaccine&gt;1),AND(Value_Vaccine&lt;&gt;"",OR(Share_Vaccine="Not Covered",Share_Vaccine="No Cost Sharing"))),"Please correct",""))</f>
        <v/>
      </c>
      <c r="N13" s="9"/>
      <c r="O13" s="9"/>
      <c r="P13" t="s">
        <v>183</v>
      </c>
      <c r="Q13"/>
      <c r="R13"/>
    </row>
    <row r="14" spans="1:18" ht="14.45" customHeight="1" thickBot="1" x14ac:dyDescent="0.3">
      <c r="A14" s="215" t="str">
        <f>Share_Visit</f>
        <v>Copayment</v>
      </c>
      <c r="B14" s="5"/>
      <c r="C14" s="91"/>
      <c r="D14" s="94"/>
      <c r="E14" s="4" t="s">
        <v>140</v>
      </c>
      <c r="F14" s="4"/>
      <c r="G14" s="4"/>
      <c r="H14" s="4"/>
      <c r="I14" s="4"/>
      <c r="J14" s="296" t="str">
        <f>INDEX(Cost_Sharing_List_4,K14)</f>
        <v>Copayment</v>
      </c>
      <c r="K14" s="299">
        <v>1</v>
      </c>
      <c r="L14" s="293">
        <v>40</v>
      </c>
      <c r="M14" s="85" t="str">
        <f>IF(AND(OR(Share_Visit="Coinsurance",Share_Visit="Copayment"),Value_Visit=""),"Please enter a value",IF(OR(AND(Share_Visit="Coinsurance",Value_Visit&gt;1),AND(Value_Visit&lt;&gt;"",OR(Share_Visit="Not Covered",Share_Visit="No Cost Sharing"))),"Please correct",""))</f>
        <v/>
      </c>
      <c r="N14" s="10" t="s">
        <v>186</v>
      </c>
      <c r="O14" s="10" t="s">
        <v>187</v>
      </c>
      <c r="P14" t="s">
        <v>173</v>
      </c>
      <c r="Q14"/>
      <c r="R14"/>
    </row>
    <row r="15" spans="1:18" ht="15" customHeight="1" thickBot="1" x14ac:dyDescent="0.3">
      <c r="A15" s="5"/>
      <c r="B15" s="5"/>
      <c r="C15" s="92"/>
      <c r="D15" s="95"/>
      <c r="E15" s="83" t="s">
        <v>200</v>
      </c>
      <c r="F15" s="83"/>
      <c r="G15" s="83"/>
      <c r="H15" s="83"/>
      <c r="I15" s="83"/>
      <c r="J15" s="78"/>
      <c r="K15" s="211"/>
      <c r="L15" s="294" t="s">
        <v>255</v>
      </c>
      <c r="M15" s="85"/>
      <c r="N15" s="167">
        <f ca="1">INDIRECT(Manual_Scenario&amp;"_Prior_OOP")</f>
        <v>1512.4247456259998</v>
      </c>
      <c r="O15" s="168">
        <f>IF(OR(ISBLANK(Value_OOP),Value_OOP=""),0,Value_OOP-Prior_OOP)</f>
        <v>0</v>
      </c>
      <c r="P15" s="157" t="s">
        <v>182</v>
      </c>
      <c r="Q15"/>
      <c r="R15"/>
    </row>
    <row r="16" spans="1:18" ht="14.45" customHeight="1" x14ac:dyDescent="0.25">
      <c r="A16" s="5"/>
      <c r="B16" s="5"/>
      <c r="C16" s="91" t="s">
        <v>4</v>
      </c>
      <c r="D16" s="94"/>
      <c r="E16" s="84" t="s">
        <v>141</v>
      </c>
      <c r="F16" s="84"/>
      <c r="G16" s="84"/>
      <c r="H16" s="84"/>
      <c r="I16" s="84"/>
      <c r="J16" s="174"/>
      <c r="K16" s="212"/>
      <c r="L16" s="292">
        <v>1000</v>
      </c>
      <c r="M16" s="85"/>
      <c r="N16" s="167">
        <f ca="1">INDIRECT(Manual_Scenario&amp;"_Prior_Deduct_Overall")</f>
        <v>999.99995185600005</v>
      </c>
      <c r="O16" s="168">
        <f ca="1">IF(ISBLANK(Value_Deduct_Overall),0,Value_Deduct_Overall-Prior_Overall)</f>
        <v>4.8143999947569682E-5</v>
      </c>
      <c r="P16" t="s">
        <v>232</v>
      </c>
      <c r="Q16"/>
      <c r="R16"/>
    </row>
    <row r="17" spans="1:18" ht="15" x14ac:dyDescent="0.25">
      <c r="A17" s="5"/>
      <c r="B17" s="5"/>
      <c r="C17" s="91"/>
      <c r="D17" s="94"/>
      <c r="E17" s="4" t="s">
        <v>135</v>
      </c>
      <c r="F17" s="4"/>
      <c r="G17" s="4"/>
      <c r="H17" s="4"/>
      <c r="I17" s="4"/>
      <c r="J17" s="175"/>
      <c r="K17" s="213"/>
      <c r="L17" s="293" t="s">
        <v>255</v>
      </c>
      <c r="M17" s="85"/>
      <c r="N17" s="169">
        <f ca="1">INDIRECT(Manual_Scenario&amp;"_Prior_Deduct_DME")</f>
        <v>0</v>
      </c>
      <c r="O17" s="170" t="e">
        <f ca="1">IF(ISBLANK(Value_Deduct_DME),0,Value_Deduct_DME-Prior_DME)</f>
        <v>#VALUE!</v>
      </c>
      <c r="P17" t="s">
        <v>229</v>
      </c>
      <c r="Q17"/>
      <c r="R17"/>
    </row>
    <row r="18" spans="1:18" ht="15" x14ac:dyDescent="0.25">
      <c r="A18" s="5"/>
      <c r="B18" s="5"/>
      <c r="C18" s="91"/>
      <c r="D18" s="94"/>
      <c r="E18" s="9" t="s">
        <v>136</v>
      </c>
      <c r="F18" s="9"/>
      <c r="G18" s="9"/>
      <c r="H18" s="9"/>
      <c r="I18" s="9"/>
      <c r="J18" s="175"/>
      <c r="K18" s="213"/>
      <c r="L18" s="293">
        <v>100</v>
      </c>
      <c r="M18" s="85"/>
      <c r="N18" s="169">
        <f ca="1">INDIRECT(Manual_Scenario&amp;"_Prior_Deduct_RX")</f>
        <v>100</v>
      </c>
      <c r="O18" s="170">
        <f ca="1">IF(ISBLANK(Value_Deduct_RX),0,Value_Deduct_RX-Prior_RX)</f>
        <v>0</v>
      </c>
      <c r="P18"/>
      <c r="Q18"/>
      <c r="R18"/>
    </row>
    <row r="19" spans="1:18" ht="14.45" customHeight="1" x14ac:dyDescent="0.25">
      <c r="A19" s="5"/>
      <c r="B19" s="5"/>
      <c r="C19" s="91"/>
      <c r="D19" s="94"/>
      <c r="E19" s="4" t="s">
        <v>155</v>
      </c>
      <c r="F19" s="4"/>
      <c r="G19" s="4"/>
      <c r="H19" s="4"/>
      <c r="I19" s="4"/>
      <c r="J19" s="175"/>
      <c r="K19" s="213"/>
      <c r="L19" s="293" t="s">
        <v>255</v>
      </c>
      <c r="M19" s="85"/>
      <c r="N19" s="169">
        <f ca="1">INDIRECT(Manual_Scenario&amp;"_Prior_Deduct_Hospital")</f>
        <v>0</v>
      </c>
      <c r="O19" s="170" t="e">
        <f ca="1">IF(ISBLANK(Value_Deduct_Hospital),0,Value_Deduct_Hospital-Prior_Hospital)</f>
        <v>#VALUE!</v>
      </c>
      <c r="P19"/>
      <c r="Q19"/>
      <c r="R19"/>
    </row>
    <row r="20" spans="1:18" ht="14.45" customHeight="1" x14ac:dyDescent="0.25">
      <c r="A20" s="5"/>
      <c r="B20" s="5"/>
      <c r="C20" s="91"/>
      <c r="D20" s="94"/>
      <c r="E20" s="4" t="s">
        <v>199</v>
      </c>
      <c r="F20" s="4"/>
      <c r="G20" s="4"/>
      <c r="H20" s="4"/>
      <c r="I20" s="4"/>
      <c r="J20" s="176"/>
      <c r="K20" s="214"/>
      <c r="L20" s="79" t="str">
        <f>IF(Share_Obst="Deductible",Value_Obst,"")</f>
        <v/>
      </c>
      <c r="M20" s="85"/>
      <c r="N20" s="216">
        <v>0</v>
      </c>
      <c r="O20" s="170">
        <f>IF(Share_Obst="Deductible",Value_Deduct_Obst,0)</f>
        <v>0</v>
      </c>
      <c r="P20"/>
      <c r="Q20"/>
      <c r="R20"/>
    </row>
    <row r="21" spans="1:18" ht="14.45" customHeight="1" thickBot="1" x14ac:dyDescent="0.3">
      <c r="A21" s="5"/>
      <c r="B21" s="5"/>
      <c r="C21" s="92"/>
      <c r="D21" s="95"/>
      <c r="E21" s="7" t="s">
        <v>153</v>
      </c>
      <c r="F21" s="7"/>
      <c r="G21" s="7"/>
      <c r="H21" s="7"/>
      <c r="I21" s="7"/>
      <c r="J21" s="78"/>
      <c r="K21" s="113"/>
      <c r="L21" s="287" t="s">
        <v>255</v>
      </c>
      <c r="M21" s="85"/>
      <c r="N21" s="171">
        <f ca="1">INDIRECT(Manual_Scenario&amp;"_Prior_Deduct_Vaccine")</f>
        <v>0</v>
      </c>
      <c r="O21" s="172" t="e">
        <f ca="1">IF(ISBLANK(Value_Deduct_Vaccine),0,Value_Deduct_Vaccine-Prior_Vaccine)</f>
        <v>#VALUE!</v>
      </c>
      <c r="P21"/>
      <c r="Q21"/>
      <c r="R21"/>
    </row>
    <row r="22" spans="1:18" ht="14.45" customHeight="1" x14ac:dyDescent="0.25">
      <c r="A22" s="5"/>
      <c r="B22" s="5"/>
      <c r="C22" s="96" t="s">
        <v>151</v>
      </c>
      <c r="D22" s="100" t="s">
        <v>0</v>
      </c>
      <c r="E22" s="103" t="s">
        <v>157</v>
      </c>
      <c r="F22" s="82"/>
      <c r="G22" s="82"/>
      <c r="H22" s="82"/>
      <c r="I22" s="82"/>
      <c r="J22" s="80"/>
      <c r="K22" s="80"/>
      <c r="L22" s="288" t="s">
        <v>255</v>
      </c>
      <c r="M22" s="85"/>
      <c r="N22" s="217">
        <v>0</v>
      </c>
      <c r="O22" s="166">
        <f>IF(Manual_Scenario&lt;&gt;"Mat",0,IF(Manual_Scenario&lt;&gt;"Mat","NA",IF(ISBLANK(Limit_Mat_RX_Month),0,Limit_Mat_RX_Month-Prior_Mat_RX_Month)))</f>
        <v>0</v>
      </c>
      <c r="P22"/>
      <c r="Q22"/>
      <c r="R22"/>
    </row>
    <row r="23" spans="1:18" ht="15.75" thickBot="1" x14ac:dyDescent="0.3">
      <c r="A23" s="5"/>
      <c r="B23" s="5"/>
      <c r="C23" s="97"/>
      <c r="D23" s="101"/>
      <c r="E23" s="173" t="s">
        <v>158</v>
      </c>
      <c r="F23" s="83"/>
      <c r="G23" s="83"/>
      <c r="H23" s="83"/>
      <c r="I23" s="83"/>
      <c r="J23" s="81"/>
      <c r="K23" s="81"/>
      <c r="L23" s="289" t="s">
        <v>255</v>
      </c>
      <c r="M23" s="85"/>
      <c r="N23" s="164" t="str">
        <f ca="1">IF(Manual_Scenario&lt;&gt;"Mat","",INDIRECT(Manual_Scenario&amp;"_Prior_Limit_RX_Year"))</f>
        <v/>
      </c>
      <c r="O23" s="166">
        <f>IF(Manual_Scenario&lt;&gt;"Mat",0,IF(ISBLANK(Limit_Mat_RX_Yr),0,Limit_Mat_RX_Yr-Prior_Mat_RX_Yr))</f>
        <v>0</v>
      </c>
      <c r="P23"/>
      <c r="Q23"/>
      <c r="R23"/>
    </row>
    <row r="24" spans="1:18" ht="15" x14ac:dyDescent="0.25">
      <c r="A24" s="5"/>
      <c r="B24" s="5"/>
      <c r="C24" s="97"/>
      <c r="D24" s="99" t="s">
        <v>3</v>
      </c>
      <c r="E24" s="9" t="s">
        <v>157</v>
      </c>
      <c r="F24" s="9"/>
      <c r="G24" s="9"/>
      <c r="H24" s="9"/>
      <c r="I24" s="9"/>
      <c r="J24" s="102"/>
      <c r="K24" s="102"/>
      <c r="L24" s="290" t="s">
        <v>255</v>
      </c>
      <c r="M24" s="85"/>
      <c r="N24" s="218">
        <v>0</v>
      </c>
      <c r="O24" s="161" t="e">
        <f>IF(Manual_Scenario&lt;&gt;"Dia",0,IF(ISBLANK(Limit_Dia_RX_Month),"0",Limit_Dia_RX_Month-Prior_Dia_RX_Month))</f>
        <v>#VALUE!</v>
      </c>
      <c r="P24"/>
      <c r="Q24"/>
      <c r="R24"/>
    </row>
    <row r="25" spans="1:18" ht="15" x14ac:dyDescent="0.25">
      <c r="A25" s="5"/>
      <c r="B25" s="5"/>
      <c r="C25" s="97"/>
      <c r="D25" s="89"/>
      <c r="E25" s="7" t="s">
        <v>158</v>
      </c>
      <c r="F25" s="7"/>
      <c r="G25" s="7"/>
      <c r="H25" s="7"/>
      <c r="I25" s="7"/>
      <c r="J25" s="77"/>
      <c r="K25" s="77"/>
      <c r="L25" s="291" t="s">
        <v>255</v>
      </c>
      <c r="M25" s="85"/>
      <c r="N25" s="162">
        <f ca="1">IF(Manual_Scenario&lt;&gt;"Dia","",INDIRECT(Manual_Scenario&amp;"_Prior_Limit_RX_Yr"))</f>
        <v>0</v>
      </c>
      <c r="O25" s="163" t="e">
        <f ca="1">IF(Manual_Scenario&lt;&gt;"Dia",0,IF(ISBLANK(Limit_Dia_RX_Yr),0,Limit_Dia_RX_Yr-Prior_Dia_RX_Yr))</f>
        <v>#VALUE!</v>
      </c>
      <c r="P25"/>
      <c r="Q25"/>
      <c r="R25"/>
    </row>
    <row r="26" spans="1:18" ht="15" x14ac:dyDescent="0.25">
      <c r="A26" s="5"/>
      <c r="B26" s="5"/>
      <c r="C26" s="97"/>
      <c r="D26" s="89"/>
      <c r="E26" s="7" t="s">
        <v>149</v>
      </c>
      <c r="F26" s="7"/>
      <c r="G26" s="7"/>
      <c r="H26" s="7"/>
      <c r="I26" s="7"/>
      <c r="J26" s="77"/>
      <c r="K26" s="77"/>
      <c r="L26" s="291" t="s">
        <v>255</v>
      </c>
      <c r="M26" s="85"/>
      <c r="N26" s="216">
        <v>0</v>
      </c>
      <c r="O26" s="163" t="e">
        <f>IF(Manual_Scenario&lt;&gt;"Dia",0,IF(ISBLANK(Limit_Dia_DME_Month),0,Limit_Dia_DME_Month-Prior_Dia_DME_Month))</f>
        <v>#VALUE!</v>
      </c>
      <c r="P26"/>
      <c r="Q26"/>
      <c r="R26"/>
    </row>
    <row r="27" spans="1:18" ht="15" x14ac:dyDescent="0.25">
      <c r="A27" s="5"/>
      <c r="B27" s="5"/>
      <c r="C27" s="97"/>
      <c r="D27" s="89"/>
      <c r="E27" s="7" t="s">
        <v>150</v>
      </c>
      <c r="F27" s="7"/>
      <c r="G27" s="7"/>
      <c r="H27" s="7"/>
      <c r="I27" s="7"/>
      <c r="J27" s="77"/>
      <c r="K27" s="77"/>
      <c r="L27" s="291" t="s">
        <v>255</v>
      </c>
      <c r="M27" s="85"/>
      <c r="N27" s="162">
        <f ca="1">IF(Manual_Scenario&lt;&gt;"Dia","",INDIRECT(Manual_Scenario&amp;"_Prior_Limit_DME_Yr"))</f>
        <v>0</v>
      </c>
      <c r="O27" s="163" t="e">
        <f ca="1">IF(Manual_Scenario&lt;&gt;"Dia",0,IF(ISBLANK(Limit_Dia_DME_Yr),0,Limit_Dia_DME_Yr-Prior_Dia_DME_Yr))</f>
        <v>#VALUE!</v>
      </c>
      <c r="P27"/>
      <c r="Q27"/>
      <c r="R27"/>
    </row>
    <row r="28" spans="1:18" ht="15.75" thickBot="1" x14ac:dyDescent="0.3">
      <c r="A28" s="5"/>
      <c r="B28" s="5"/>
      <c r="C28" s="98"/>
      <c r="D28" s="88"/>
      <c r="E28" s="83" t="s">
        <v>2</v>
      </c>
      <c r="F28" s="83"/>
      <c r="G28" s="83"/>
      <c r="H28" s="83"/>
      <c r="I28" s="83"/>
      <c r="J28" s="81"/>
      <c r="K28" s="81"/>
      <c r="L28" s="289" t="s">
        <v>255</v>
      </c>
      <c r="M28" s="85"/>
      <c r="N28" s="164">
        <f ca="1">IF(Manual_Scenario&lt;&gt;"Dia","",INDIRECT(Manual_Scenario&amp;"_Prior_Limit_Visit_Yr"))</f>
        <v>0</v>
      </c>
      <c r="O28" s="165" t="e">
        <f ca="1">IF(Manual_Scenario&lt;&gt;"Dia",0,IF(ISBLANK(Limit_Dia_Visit_Yr),0,Limit_Dia_Visit_Yr-Prior_Dia_Visit_Yr))</f>
        <v>#VALUE!</v>
      </c>
      <c r="P28"/>
      <c r="Q28"/>
      <c r="R28"/>
    </row>
    <row r="29" spans="1:18" ht="10.1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10"/>
      <c r="M29" s="5"/>
      <c r="N29" s="5"/>
      <c r="O29" s="5"/>
    </row>
    <row r="30" spans="1:18" ht="15" x14ac:dyDescent="0.25">
      <c r="A30" s="5"/>
      <c r="B30" s="9"/>
      <c r="C30" s="9"/>
      <c r="D30" s="107"/>
      <c r="E30" s="107"/>
      <c r="F30" s="107"/>
      <c r="G30" s="143"/>
      <c r="H30" s="143"/>
      <c r="I30" s="107"/>
      <c r="J30" s="107"/>
      <c r="K30" s="107"/>
      <c r="L30" s="9"/>
      <c r="M30" s="9"/>
      <c r="N30" s="9"/>
      <c r="O30" s="108"/>
      <c r="P30" s="158"/>
      <c r="Q30" s="159"/>
    </row>
    <row r="31" spans="1:18" ht="15" x14ac:dyDescent="0.25">
      <c r="A31" s="5"/>
      <c r="B31" s="9"/>
      <c r="C31" s="9"/>
      <c r="D31" s="107"/>
      <c r="E31" s="107"/>
      <c r="F31" s="107"/>
      <c r="G31" s="143"/>
      <c r="H31" s="143"/>
      <c r="I31" s="107"/>
      <c r="J31" s="107"/>
      <c r="K31" s="107"/>
      <c r="L31" s="9"/>
      <c r="M31" s="9"/>
      <c r="N31" s="9"/>
      <c r="O31" s="108"/>
      <c r="P31" s="158"/>
      <c r="Q31" s="159"/>
    </row>
    <row r="32" spans="1:18" ht="9.6" customHeight="1" x14ac:dyDescent="0.25">
      <c r="A32" s="5"/>
      <c r="B32" s="9"/>
      <c r="C32" s="9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8"/>
      <c r="P32" s="158"/>
      <c r="Q32" s="159"/>
    </row>
    <row r="33" spans="1:13" ht="25.15" hidden="1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10"/>
      <c r="M33" s="5"/>
    </row>
    <row r="34" spans="1:13" ht="25.15" hidden="1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10"/>
      <c r="M34" s="5"/>
    </row>
    <row r="35" spans="1:13" ht="15" hidden="1" customHeight="1" x14ac:dyDescent="0.25"/>
    <row r="36" spans="1:13" ht="15" hidden="1" customHeight="1" x14ac:dyDescent="0.25"/>
    <row r="37" spans="1:13" ht="15" hidden="1" customHeight="1" x14ac:dyDescent="0.25"/>
    <row r="38" spans="1:13" ht="15" hidden="1" customHeight="1" x14ac:dyDescent="0.25"/>
    <row r="39" spans="1:13" ht="15" hidden="1" customHeight="1" x14ac:dyDescent="0.25"/>
    <row r="40" spans="1:13" ht="0" hidden="1" customHeight="1" x14ac:dyDescent="0.25"/>
    <row r="41" spans="1:13" ht="0" hidden="1" customHeight="1" x14ac:dyDescent="0.25">
      <c r="L41"/>
    </row>
    <row r="42" spans="1:13" ht="0" hidden="1" customHeight="1" x14ac:dyDescent="0.25">
      <c r="L42"/>
    </row>
    <row r="43" spans="1:13" ht="0" hidden="1" customHeight="1" x14ac:dyDescent="0.25">
      <c r="L43"/>
    </row>
    <row r="44" spans="1:13" ht="0" hidden="1" customHeight="1" x14ac:dyDescent="0.25">
      <c r="L44"/>
    </row>
    <row r="45" spans="1:13" ht="0" hidden="1" customHeight="1" x14ac:dyDescent="0.25">
      <c r="L45"/>
    </row>
    <row r="46" spans="1:13" ht="0" hidden="1" customHeight="1" x14ac:dyDescent="0.25">
      <c r="L46"/>
    </row>
    <row r="47" spans="1:13" ht="0" hidden="1" customHeight="1" x14ac:dyDescent="0.25">
      <c r="L47"/>
    </row>
    <row r="48" spans="1:13" ht="0" hidden="1" customHeight="1" x14ac:dyDescent="0.25">
      <c r="L48"/>
    </row>
    <row r="49" spans="12:12" ht="0" hidden="1" customHeight="1" x14ac:dyDescent="0.25">
      <c r="L49"/>
    </row>
    <row r="50" spans="12:12" ht="0" hidden="1" customHeight="1" x14ac:dyDescent="0.25">
      <c r="L50"/>
    </row>
    <row r="51" spans="12:12" ht="0" hidden="1" customHeight="1" x14ac:dyDescent="0.25">
      <c r="L51"/>
    </row>
    <row r="52" spans="12:12" ht="0" hidden="1" customHeight="1" x14ac:dyDescent="0.25">
      <c r="L52"/>
    </row>
    <row r="53" spans="12:12" ht="0" hidden="1" customHeight="1" x14ac:dyDescent="0.25">
      <c r="L53"/>
    </row>
    <row r="54" spans="12:12" ht="0" hidden="1" customHeight="1" x14ac:dyDescent="0.25">
      <c r="L54"/>
    </row>
    <row r="55" spans="12:12" ht="0" hidden="1" customHeight="1" x14ac:dyDescent="0.25">
      <c r="L55"/>
    </row>
    <row r="56" spans="12:12" ht="0" hidden="1" customHeight="1" x14ac:dyDescent="0.25">
      <c r="L56"/>
    </row>
    <row r="57" spans="12:12" ht="0" hidden="1" customHeight="1" x14ac:dyDescent="0.25">
      <c r="L57"/>
    </row>
    <row r="58" spans="12:12" ht="0" hidden="1" customHeight="1" x14ac:dyDescent="0.25">
      <c r="L58"/>
    </row>
    <row r="59" spans="12:12" ht="0" hidden="1" customHeight="1" x14ac:dyDescent="0.25">
      <c r="L59"/>
    </row>
    <row r="60" spans="12:12" ht="0" hidden="1" customHeight="1" x14ac:dyDescent="0.25">
      <c r="L60"/>
    </row>
    <row r="61" spans="12:12" ht="0" hidden="1" customHeight="1" x14ac:dyDescent="0.25">
      <c r="L61"/>
    </row>
    <row r="62" spans="12:12" ht="0" hidden="1" customHeight="1" x14ac:dyDescent="0.25">
      <c r="L62"/>
    </row>
    <row r="63" spans="12:12" ht="0" hidden="1" customHeight="1" x14ac:dyDescent="0.25">
      <c r="L63"/>
    </row>
    <row r="64" spans="12:12" ht="0" hidden="1" customHeight="1" x14ac:dyDescent="0.25">
      <c r="L64"/>
    </row>
    <row r="65" spans="12:12" ht="0" hidden="1" customHeight="1" x14ac:dyDescent="0.25">
      <c r="L65"/>
    </row>
    <row r="66" spans="12:12" ht="0" hidden="1" customHeight="1" x14ac:dyDescent="0.25">
      <c r="L66"/>
    </row>
    <row r="67" spans="12:12" ht="0" hidden="1" customHeight="1" x14ac:dyDescent="0.25">
      <c r="L67"/>
    </row>
    <row r="68" spans="12:12" ht="0" hidden="1" customHeight="1" x14ac:dyDescent="0.25">
      <c r="L68"/>
    </row>
    <row r="69" spans="12:12" ht="0" hidden="1" customHeight="1" x14ac:dyDescent="0.25">
      <c r="L69"/>
    </row>
    <row r="70" spans="12:12" ht="0" hidden="1" customHeight="1" x14ac:dyDescent="0.25">
      <c r="L70"/>
    </row>
    <row r="71" spans="12:12" ht="0" hidden="1" customHeight="1" x14ac:dyDescent="0.25">
      <c r="L71"/>
    </row>
    <row r="72" spans="12:12" ht="0" hidden="1" customHeight="1" x14ac:dyDescent="0.25">
      <c r="L72"/>
    </row>
    <row r="73" spans="12:12" ht="0" hidden="1" customHeight="1" x14ac:dyDescent="0.25">
      <c r="L73"/>
    </row>
    <row r="74" spans="12:12" ht="0" hidden="1" customHeight="1" x14ac:dyDescent="0.25">
      <c r="L74"/>
    </row>
    <row r="75" spans="12:12" ht="0" hidden="1" customHeight="1" x14ac:dyDescent="0.25">
      <c r="L75"/>
    </row>
    <row r="76" spans="12:12" ht="0" hidden="1" customHeight="1" x14ac:dyDescent="0.25">
      <c r="L76"/>
    </row>
    <row r="77" spans="12:12" ht="0" hidden="1" customHeight="1" x14ac:dyDescent="0.25">
      <c r="L77"/>
    </row>
    <row r="78" spans="12:12" ht="0" hidden="1" customHeight="1" x14ac:dyDescent="0.25">
      <c r="L78"/>
    </row>
    <row r="79" spans="12:12" ht="0" hidden="1" customHeight="1" x14ac:dyDescent="0.25">
      <c r="L79"/>
    </row>
    <row r="80" spans="12:12" ht="0" hidden="1" customHeight="1" x14ac:dyDescent="0.25">
      <c r="L80"/>
    </row>
    <row r="81" spans="12:12" ht="0" hidden="1" customHeight="1" x14ac:dyDescent="0.25">
      <c r="L81"/>
    </row>
    <row r="82" spans="12:12" ht="0" hidden="1" customHeight="1" x14ac:dyDescent="0.25">
      <c r="L82"/>
    </row>
    <row r="83" spans="12:12" ht="0" hidden="1" customHeight="1" x14ac:dyDescent="0.25">
      <c r="L83"/>
    </row>
    <row r="84" spans="12:12" ht="0" hidden="1" customHeight="1" x14ac:dyDescent="0.25">
      <c r="L84"/>
    </row>
    <row r="85" spans="12:12" ht="0" hidden="1" customHeight="1" x14ac:dyDescent="0.25">
      <c r="L85"/>
    </row>
    <row r="86" spans="12:12" ht="0" hidden="1" customHeight="1" x14ac:dyDescent="0.25">
      <c r="L86"/>
    </row>
    <row r="87" spans="12:12" ht="0" hidden="1" customHeight="1" x14ac:dyDescent="0.25">
      <c r="L87"/>
    </row>
    <row r="88" spans="12:12" ht="0" hidden="1" customHeight="1" x14ac:dyDescent="0.25">
      <c r="L88"/>
    </row>
    <row r="89" spans="12:12" ht="0" hidden="1" customHeight="1" x14ac:dyDescent="0.25">
      <c r="L89"/>
    </row>
    <row r="90" spans="12:12" ht="0" hidden="1" customHeight="1" x14ac:dyDescent="0.25">
      <c r="L90"/>
    </row>
    <row r="91" spans="12:12" ht="0" hidden="1" customHeight="1" x14ac:dyDescent="0.25">
      <c r="L91"/>
    </row>
    <row r="92" spans="12:12" ht="0" hidden="1" customHeight="1" x14ac:dyDescent="0.25">
      <c r="L92"/>
    </row>
    <row r="93" spans="12:12" ht="0" hidden="1" customHeight="1" x14ac:dyDescent="0.25">
      <c r="L93"/>
    </row>
    <row r="94" spans="12:12" ht="0" hidden="1" customHeight="1" x14ac:dyDescent="0.25">
      <c r="L94"/>
    </row>
    <row r="95" spans="12:12" ht="0" hidden="1" customHeight="1" x14ac:dyDescent="0.25">
      <c r="L95"/>
    </row>
    <row r="96" spans="12:12" ht="0" hidden="1" customHeight="1" x14ac:dyDescent="0.25">
      <c r="L96"/>
    </row>
    <row r="97" spans="12:12" ht="0" hidden="1" customHeight="1" x14ac:dyDescent="0.25">
      <c r="L97"/>
    </row>
    <row r="98" spans="12:12" ht="0" hidden="1" customHeight="1" x14ac:dyDescent="0.25">
      <c r="L98"/>
    </row>
    <row r="99" spans="12:12" ht="0" hidden="1" customHeight="1" x14ac:dyDescent="0.25">
      <c r="L99"/>
    </row>
    <row r="100" spans="12:12" ht="0" hidden="1" customHeight="1" x14ac:dyDescent="0.25">
      <c r="L100"/>
    </row>
    <row r="101" spans="12:12" ht="0" hidden="1" customHeight="1" x14ac:dyDescent="0.25">
      <c r="L101"/>
    </row>
    <row r="102" spans="12:12" ht="0" hidden="1" customHeight="1" x14ac:dyDescent="0.25">
      <c r="L102"/>
    </row>
    <row r="103" spans="12:12" ht="0" hidden="1" customHeight="1" x14ac:dyDescent="0.25">
      <c r="L103"/>
    </row>
    <row r="104" spans="12:12" ht="0" hidden="1" customHeight="1" x14ac:dyDescent="0.25">
      <c r="L104"/>
    </row>
    <row r="105" spans="12:12" ht="0" hidden="1" customHeight="1" x14ac:dyDescent="0.25">
      <c r="L105"/>
    </row>
    <row r="106" spans="12:12" ht="0" hidden="1" customHeight="1" x14ac:dyDescent="0.25">
      <c r="L106"/>
    </row>
    <row r="107" spans="12:12" ht="0" hidden="1" customHeight="1" x14ac:dyDescent="0.25">
      <c r="L107"/>
    </row>
    <row r="108" spans="12:12" ht="0" hidden="1" customHeight="1" x14ac:dyDescent="0.25">
      <c r="L108"/>
    </row>
    <row r="109" spans="12:12" ht="0" hidden="1" customHeight="1" x14ac:dyDescent="0.25">
      <c r="L109"/>
    </row>
    <row r="110" spans="12:12" ht="0" hidden="1" customHeight="1" x14ac:dyDescent="0.25">
      <c r="L110"/>
    </row>
    <row r="111" spans="12:12" ht="0" hidden="1" customHeight="1" x14ac:dyDescent="0.25">
      <c r="L111"/>
    </row>
    <row r="112" spans="12:12" ht="0" hidden="1" customHeight="1" x14ac:dyDescent="0.25">
      <c r="L112"/>
    </row>
    <row r="113" spans="12:12" ht="0" hidden="1" customHeight="1" x14ac:dyDescent="0.25">
      <c r="L113"/>
    </row>
    <row r="114" spans="12:12" ht="0" hidden="1" customHeight="1" x14ac:dyDescent="0.25">
      <c r="L114"/>
    </row>
    <row r="115" spans="12:12" ht="0" hidden="1" customHeight="1" x14ac:dyDescent="0.25">
      <c r="L115"/>
    </row>
    <row r="116" spans="12:12" ht="0" hidden="1" customHeight="1" x14ac:dyDescent="0.25">
      <c r="L116"/>
    </row>
    <row r="117" spans="12:12" ht="0" hidden="1" customHeight="1" x14ac:dyDescent="0.25">
      <c r="L117"/>
    </row>
    <row r="118" spans="12:12" ht="0" hidden="1" customHeight="1" x14ac:dyDescent="0.25">
      <c r="L118"/>
    </row>
    <row r="119" spans="12:12" ht="0" hidden="1" customHeight="1" x14ac:dyDescent="0.25">
      <c r="L119"/>
    </row>
    <row r="120" spans="12:12" ht="0" hidden="1" customHeight="1" x14ac:dyDescent="0.25">
      <c r="L120"/>
    </row>
    <row r="121" spans="12:12" ht="0" hidden="1" customHeight="1" x14ac:dyDescent="0.25">
      <c r="L121"/>
    </row>
    <row r="122" spans="12:12" ht="0" hidden="1" customHeight="1" x14ac:dyDescent="0.25">
      <c r="L122"/>
    </row>
    <row r="123" spans="12:12" ht="0" hidden="1" customHeight="1" x14ac:dyDescent="0.25">
      <c r="L123"/>
    </row>
    <row r="124" spans="12:12" ht="0" hidden="1" customHeight="1" x14ac:dyDescent="0.25">
      <c r="L124"/>
    </row>
    <row r="125" spans="12:12" ht="0" hidden="1" customHeight="1" x14ac:dyDescent="0.25">
      <c r="L125"/>
    </row>
    <row r="126" spans="12:12" ht="0" hidden="1" customHeight="1" x14ac:dyDescent="0.25">
      <c r="L126"/>
    </row>
    <row r="127" spans="12:12" ht="0" hidden="1" customHeight="1" x14ac:dyDescent="0.25">
      <c r="L127"/>
    </row>
    <row r="128" spans="12:12" ht="0" hidden="1" customHeight="1" x14ac:dyDescent="0.25">
      <c r="L128"/>
    </row>
    <row r="129" spans="12:12" ht="0" hidden="1" customHeight="1" x14ac:dyDescent="0.25">
      <c r="L129"/>
    </row>
  </sheetData>
  <customSheetViews>
    <customSheetView guid="{04C50C76-DBA5-4B8F-A929-D0E997573BFE}" fitToPage="1" hiddenRows="1" hiddenColumns="1" topLeftCell="A19">
      <selection activeCell="M24" sqref="M24"/>
      <pageMargins left="0.7" right="0.7" top="0.25" bottom="0.25" header="0.3" footer="0.3"/>
      <printOptions horizontalCentered="1"/>
      <pageSetup scale="67" fitToHeight="2" orientation="portrait" r:id="rId1"/>
    </customSheetView>
    <customSheetView guid="{B93E95F7-2207-4982-B8B5-4CD0F87DD17C}" fitToPage="1" hiddenRows="1" hiddenColumns="1" topLeftCell="A19">
      <selection activeCell="M24" sqref="M24"/>
      <pageMargins left="0.7" right="0.7" top="0.25" bottom="0.25" header="0.3" footer="0.3"/>
      <printOptions horizontalCentered="1"/>
      <pageSetup scale="67" fitToHeight="2" orientation="portrait" r:id="rId2"/>
    </customSheetView>
  </customSheetViews>
  <mergeCells count="1">
    <mergeCell ref="L1:L2"/>
  </mergeCells>
  <printOptions horizontalCentered="1"/>
  <pageMargins left="0.7" right="0.7" top="0.25" bottom="0.25" header="0.3" footer="0.3"/>
  <pageSetup scale="67" fitToHeight="2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0]!ThisWorkbook.runSinglePlan">
                <anchor moveWithCells="1" sizeWithCells="1">
                  <from>
                    <xdr:col>6</xdr:col>
                    <xdr:colOff>28575</xdr:colOff>
                    <xdr:row>29</xdr:row>
                    <xdr:rowOff>28575</xdr:rowOff>
                  </from>
                  <to>
                    <xdr:col>7</xdr:col>
                    <xdr:colOff>742950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Button 5">
              <controlPr defaultSize="0" print="0" autoFill="0" autoPict="0" macro="[0]!ThisWorkbook.clearManualEntries">
                <anchor moveWithCells="1" sizeWithCells="1">
                  <from>
                    <xdr:col>12</xdr:col>
                    <xdr:colOff>47625</xdr:colOff>
                    <xdr:row>2</xdr:row>
                    <xdr:rowOff>57150</xdr:rowOff>
                  </from>
                  <to>
                    <xdr:col>12</xdr:col>
                    <xdr:colOff>666750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Button 6">
              <controlPr defaultSize="0" print="0" autoFill="0" autoPict="0" macro="[0]!ThisWorkbook.GotoAutomated">
                <anchor moveWithCells="1" sizeWithCells="1">
                  <from>
                    <xdr:col>12</xdr:col>
                    <xdr:colOff>47625</xdr:colOff>
                    <xdr:row>0</xdr:row>
                    <xdr:rowOff>57150</xdr:rowOff>
                  </from>
                  <to>
                    <xdr:col>12</xdr:col>
                    <xdr:colOff>666750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dd_DME">
              <controlPr locked="0" defaultSize="0" autoLine="0" autoPict="0" macro="[0]!ThisWorkbook.dd_DME">
                <anchor moveWithCells="1">
                  <from>
                    <xdr:col>9</xdr:col>
                    <xdr:colOff>28575</xdr:colOff>
                    <xdr:row>6</xdr:row>
                    <xdr:rowOff>19050</xdr:rowOff>
                  </from>
                  <to>
                    <xdr:col>9</xdr:col>
                    <xdr:colOff>971550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dd_RX">
              <controlPr locked="0" defaultSize="0" autoLine="0" autoPict="0" macro="[0]!ThisWorkbook.dd_RX">
                <anchor moveWithCells="1">
                  <from>
                    <xdr:col>9</xdr:col>
                    <xdr:colOff>28575</xdr:colOff>
                    <xdr:row>7</xdr:row>
                    <xdr:rowOff>19050</xdr:rowOff>
                  </from>
                  <to>
                    <xdr:col>9</xdr:col>
                    <xdr:colOff>971550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dd_Hospital">
              <controlPr locked="0" defaultSize="0" autoLine="0" autoPict="0" macro="[0]!ThisWorkbook.dd_Hospital">
                <anchor moveWithCells="1">
                  <from>
                    <xdr:col>9</xdr:col>
                    <xdr:colOff>28575</xdr:colOff>
                    <xdr:row>8</xdr:row>
                    <xdr:rowOff>19050</xdr:rowOff>
                  </from>
                  <to>
                    <xdr:col>9</xdr:col>
                    <xdr:colOff>971550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dd_Lab">
              <controlPr locked="0" defaultSize="0" autoLine="0" autoPict="0" macro="[0]!ThisWorkbook.dd_Lab">
                <anchor moveWithCells="1">
                  <from>
                    <xdr:col>9</xdr:col>
                    <xdr:colOff>28575</xdr:colOff>
                    <xdr:row>9</xdr:row>
                    <xdr:rowOff>19050</xdr:rowOff>
                  </from>
                  <to>
                    <xdr:col>9</xdr:col>
                    <xdr:colOff>971550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dd_Rad">
              <controlPr locked="0" defaultSize="0" autoLine="0" autoPict="0" macro="[0]!ThisWorkbook.dd_Rad">
                <anchor moveWithCells="1">
                  <from>
                    <xdr:col>9</xdr:col>
                    <xdr:colOff>28575</xdr:colOff>
                    <xdr:row>10</xdr:row>
                    <xdr:rowOff>19050</xdr:rowOff>
                  </from>
                  <to>
                    <xdr:col>9</xdr:col>
                    <xdr:colOff>971550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dd_Obst">
              <controlPr locked="0" defaultSize="0" autoLine="0" autoPict="0" macro="[0]!ThisWorkbook.dd_Obst">
                <anchor moveWithCells="1">
                  <from>
                    <xdr:col>9</xdr:col>
                    <xdr:colOff>28575</xdr:colOff>
                    <xdr:row>11</xdr:row>
                    <xdr:rowOff>19050</xdr:rowOff>
                  </from>
                  <to>
                    <xdr:col>9</xdr:col>
                    <xdr:colOff>971550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dd_Vaccine">
              <controlPr locked="0" defaultSize="0" autoLine="0" autoPict="0" macro="[0]!ThisWorkbook.dd_Vaccine">
                <anchor moveWithCells="1">
                  <from>
                    <xdr:col>9</xdr:col>
                    <xdr:colOff>28575</xdr:colOff>
                    <xdr:row>12</xdr:row>
                    <xdr:rowOff>19050</xdr:rowOff>
                  </from>
                  <to>
                    <xdr:col>9</xdr:col>
                    <xdr:colOff>971550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dd_Visit">
              <controlPr locked="0" defaultSize="0" autoLine="0" autoPict="0" macro="[0]!ThisWorkbook.dd_Visit">
                <anchor moveWithCells="1">
                  <from>
                    <xdr:col>9</xdr:col>
                    <xdr:colOff>28575</xdr:colOff>
                    <xdr:row>13</xdr:row>
                    <xdr:rowOff>19050</xdr:rowOff>
                  </from>
                  <to>
                    <xdr:col>9</xdr:col>
                    <xdr:colOff>971550</xdr:colOff>
                    <xdr:row>13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FFC000"/>
  </sheetPr>
  <dimension ref="A1:L117"/>
  <sheetViews>
    <sheetView zoomScaleNormal="100" workbookViewId="0"/>
  </sheetViews>
  <sheetFormatPr defaultColWidth="0" defaultRowHeight="15" zeroHeight="1" x14ac:dyDescent="0.25"/>
  <cols>
    <col min="1" max="1" width="4.140625" customWidth="1"/>
    <col min="2" max="2" width="9.85546875" customWidth="1"/>
    <col min="3" max="3" width="2.140625" customWidth="1"/>
    <col min="4" max="4" width="1.7109375" customWidth="1"/>
    <col min="5" max="5" width="20.28515625" customWidth="1"/>
    <col min="6" max="6" width="8.28515625" customWidth="1"/>
    <col min="7" max="7" width="6.5703125" customWidth="1"/>
    <col min="8" max="8" width="3.7109375" customWidth="1"/>
    <col min="9" max="9" width="17.28515625" customWidth="1"/>
    <col min="10" max="10" width="5.28515625" style="3" customWidth="1"/>
    <col min="11" max="11" width="7.85546875" style="3" customWidth="1"/>
    <col min="12" max="12" width="11.140625" customWidth="1"/>
    <col min="13" max="16384" width="8.85546875" hidden="1"/>
  </cols>
  <sheetData>
    <row r="1" spans="1:12" s="50" customFormat="1" x14ac:dyDescent="0.25">
      <c r="A1" s="48"/>
      <c r="B1" s="146" t="s">
        <v>166</v>
      </c>
      <c r="C1" s="146"/>
      <c r="D1" s="146"/>
      <c r="E1" s="146"/>
      <c r="F1" s="146"/>
      <c r="G1" s="76"/>
      <c r="H1" s="76"/>
      <c r="I1" s="76"/>
      <c r="J1" s="320" t="s">
        <v>178</v>
      </c>
      <c r="K1" s="320"/>
      <c r="L1" s="49"/>
    </row>
    <row r="2" spans="1:12" s="50" customFormat="1" x14ac:dyDescent="0.25">
      <c r="A2" s="48"/>
      <c r="B2" s="145" t="s">
        <v>246</v>
      </c>
      <c r="C2" s="145"/>
      <c r="D2" s="145"/>
      <c r="E2" s="145"/>
      <c r="F2" s="145"/>
      <c r="G2" s="76"/>
      <c r="H2" s="76"/>
      <c r="I2" s="76"/>
      <c r="J2" s="320"/>
      <c r="K2" s="320"/>
      <c r="L2" s="49"/>
    </row>
    <row r="3" spans="1:12" s="50" customFormat="1" ht="15.75" thickBot="1" x14ac:dyDescent="0.3">
      <c r="A3" s="51"/>
      <c r="B3" s="52" t="s">
        <v>247</v>
      </c>
      <c r="C3" s="52"/>
      <c r="D3" s="52"/>
      <c r="E3" s="52"/>
      <c r="F3" s="52"/>
      <c r="G3" s="109"/>
      <c r="H3" s="109"/>
      <c r="I3" s="109"/>
      <c r="J3" s="51"/>
      <c r="K3" s="51"/>
      <c r="L3" s="51"/>
    </row>
    <row r="4" spans="1:12" x14ac:dyDescent="0.25">
      <c r="A4" s="47"/>
      <c r="B4" s="47"/>
      <c r="C4" s="47"/>
      <c r="D4" s="5"/>
      <c r="E4" s="5"/>
      <c r="F4" s="5"/>
      <c r="G4" s="5"/>
      <c r="H4" s="5"/>
      <c r="I4" s="5"/>
      <c r="J4" s="47"/>
      <c r="K4" s="47"/>
      <c r="L4" s="47"/>
    </row>
    <row r="5" spans="1:12" x14ac:dyDescent="0.25">
      <c r="A5" s="5"/>
      <c r="B5" s="250"/>
      <c r="C5" s="5"/>
      <c r="D5" s="9"/>
      <c r="E5" s="9"/>
      <c r="F5" s="9"/>
      <c r="G5" s="9"/>
      <c r="H5" s="9"/>
      <c r="I5" s="9"/>
      <c r="J5" s="10"/>
      <c r="K5" s="10"/>
      <c r="L5" s="5"/>
    </row>
    <row r="6" spans="1:12" ht="15.75" thickBot="1" x14ac:dyDescent="0.3">
      <c r="A6" s="5"/>
      <c r="B6" s="104"/>
      <c r="C6" s="104"/>
      <c r="D6" s="9"/>
      <c r="E6" s="9"/>
      <c r="F6" s="9"/>
      <c r="G6" s="9"/>
      <c r="H6" s="9"/>
      <c r="I6" s="9"/>
      <c r="J6" s="106"/>
      <c r="K6" s="106"/>
      <c r="L6" s="85"/>
    </row>
    <row r="7" spans="1:12" ht="12.6" customHeight="1" x14ac:dyDescent="0.25">
      <c r="A7" s="5"/>
      <c r="B7" s="104"/>
      <c r="C7" s="90"/>
      <c r="D7" s="131"/>
      <c r="E7" s="131"/>
      <c r="F7" s="131"/>
      <c r="G7" s="131"/>
      <c r="H7" s="131"/>
      <c r="I7" s="131"/>
      <c r="J7" s="134"/>
      <c r="K7" s="106"/>
      <c r="L7" s="85"/>
    </row>
    <row r="8" spans="1:12" ht="7.9" customHeight="1" x14ac:dyDescent="0.25">
      <c r="A8" s="5"/>
      <c r="B8" s="104"/>
      <c r="C8" s="91"/>
      <c r="D8" s="130"/>
      <c r="E8" s="130"/>
      <c r="F8" s="130"/>
      <c r="G8" s="130"/>
      <c r="H8" s="130"/>
      <c r="I8" s="144"/>
      <c r="J8" s="147"/>
      <c r="K8" s="319"/>
      <c r="L8" s="85"/>
    </row>
    <row r="9" spans="1:12" x14ac:dyDescent="0.25">
      <c r="A9" s="5"/>
      <c r="B9" s="5"/>
      <c r="C9" s="135"/>
      <c r="D9" s="128"/>
      <c r="E9" s="128" t="s">
        <v>248</v>
      </c>
      <c r="F9" s="128"/>
      <c r="G9" s="128"/>
      <c r="H9" s="128"/>
      <c r="I9" s="144"/>
      <c r="J9" s="136"/>
      <c r="K9" s="319"/>
      <c r="L9" s="85"/>
    </row>
    <row r="10" spans="1:12" ht="8.4499999999999993" customHeight="1" x14ac:dyDescent="0.25">
      <c r="A10" s="5"/>
      <c r="B10" s="5"/>
      <c r="C10" s="135"/>
      <c r="D10" s="128"/>
      <c r="E10" s="128"/>
      <c r="F10" s="128"/>
      <c r="G10" s="128"/>
      <c r="H10" s="128"/>
      <c r="I10" s="144"/>
      <c r="J10" s="136"/>
      <c r="K10" s="319"/>
      <c r="L10" s="85"/>
    </row>
    <row r="11" spans="1:12" ht="15.75" thickBot="1" x14ac:dyDescent="0.3">
      <c r="A11" s="5"/>
      <c r="B11" s="5"/>
      <c r="C11" s="137"/>
      <c r="D11" s="138"/>
      <c r="E11" s="138"/>
      <c r="F11" s="138"/>
      <c r="G11" s="138"/>
      <c r="H11" s="138"/>
      <c r="I11" s="138"/>
      <c r="J11" s="142"/>
      <c r="K11" s="102"/>
      <c r="L11" s="85"/>
    </row>
    <row r="12" spans="1:12" ht="24" customHeight="1" x14ac:dyDescent="0.25">
      <c r="A12" s="5"/>
      <c r="B12" s="104"/>
      <c r="C12" s="104"/>
      <c r="D12" s="9"/>
      <c r="E12" s="9"/>
      <c r="F12" s="9"/>
      <c r="G12" s="9"/>
      <c r="H12" s="9"/>
      <c r="I12" s="9"/>
      <c r="J12" s="106"/>
      <c r="K12" s="106"/>
      <c r="L12" s="85"/>
    </row>
    <row r="13" spans="1:12" x14ac:dyDescent="0.25">
      <c r="A13" s="5"/>
      <c r="B13" s="9"/>
      <c r="C13" s="9"/>
      <c r="D13" s="107"/>
      <c r="E13" s="107"/>
      <c r="F13" s="107"/>
      <c r="G13" s="107"/>
      <c r="H13" s="107"/>
      <c r="I13" s="107"/>
      <c r="J13" s="108"/>
      <c r="K13" s="108"/>
      <c r="L13" s="85"/>
    </row>
    <row r="14" spans="1:12" x14ac:dyDescent="0.25">
      <c r="A14" s="5"/>
      <c r="B14" s="9"/>
      <c r="C14" s="9"/>
      <c r="D14" s="107"/>
      <c r="E14" s="107"/>
      <c r="F14" s="107"/>
      <c r="G14" s="107"/>
      <c r="H14" s="107"/>
      <c r="I14" s="107"/>
      <c r="J14" s="108"/>
      <c r="K14" s="108"/>
      <c r="L14" s="85"/>
    </row>
    <row r="15" spans="1:12" x14ac:dyDescent="0.25">
      <c r="A15" s="5"/>
      <c r="B15" s="9"/>
      <c r="C15" s="9"/>
      <c r="D15" s="107"/>
      <c r="E15" s="107"/>
      <c r="F15" s="107"/>
      <c r="G15" s="107"/>
      <c r="H15" s="107"/>
      <c r="I15" s="107"/>
      <c r="J15" s="108"/>
      <c r="K15" s="108"/>
      <c r="L15" s="85"/>
    </row>
    <row r="16" spans="1:12" hidden="1" x14ac:dyDescent="0.25">
      <c r="A16" s="5"/>
      <c r="B16" s="9"/>
      <c r="C16" s="9"/>
      <c r="D16" s="107"/>
      <c r="E16" s="107"/>
      <c r="F16" s="107"/>
      <c r="G16" s="107"/>
      <c r="H16" s="107"/>
      <c r="I16" s="107"/>
      <c r="J16" s="108"/>
      <c r="K16" s="108"/>
      <c r="L16" s="85"/>
    </row>
    <row r="17" spans="1:12" hidden="1" x14ac:dyDescent="0.25">
      <c r="A17" s="5"/>
      <c r="B17" s="5"/>
      <c r="C17" s="5"/>
      <c r="D17" s="5"/>
      <c r="E17" s="5"/>
      <c r="F17" s="5"/>
      <c r="G17" s="5"/>
      <c r="H17" s="5"/>
      <c r="I17" s="5"/>
      <c r="J17" s="10"/>
      <c r="K17" s="10"/>
      <c r="L17" s="5"/>
    </row>
    <row r="18" spans="1:12" hidden="1" x14ac:dyDescent="0.25"/>
    <row r="19" spans="1:12" hidden="1" x14ac:dyDescent="0.25"/>
    <row r="20" spans="1:12" hidden="1" x14ac:dyDescent="0.25"/>
    <row r="21" spans="1:12" hidden="1" x14ac:dyDescent="0.25"/>
    <row r="22" spans="1:12" hidden="1" x14ac:dyDescent="0.25"/>
    <row r="23" spans="1:12" hidden="1" x14ac:dyDescent="0.25"/>
    <row r="24" spans="1:12" hidden="1" x14ac:dyDescent="0.25">
      <c r="J24"/>
      <c r="K24"/>
    </row>
    <row r="25" spans="1:12" hidden="1" x14ac:dyDescent="0.25">
      <c r="J25"/>
      <c r="K25"/>
    </row>
    <row r="26" spans="1:12" hidden="1" x14ac:dyDescent="0.25">
      <c r="J26"/>
      <c r="K26"/>
    </row>
    <row r="27" spans="1:12" hidden="1" x14ac:dyDescent="0.25">
      <c r="J27"/>
      <c r="K27"/>
    </row>
    <row r="28" spans="1:12" hidden="1" x14ac:dyDescent="0.25">
      <c r="J28"/>
      <c r="K28"/>
    </row>
    <row r="29" spans="1:12" hidden="1" x14ac:dyDescent="0.25">
      <c r="J29"/>
      <c r="K29"/>
    </row>
    <row r="30" spans="1:12" hidden="1" x14ac:dyDescent="0.25">
      <c r="J30"/>
      <c r="K30"/>
    </row>
    <row r="31" spans="1:12" hidden="1" x14ac:dyDescent="0.25">
      <c r="J31"/>
      <c r="K31"/>
    </row>
    <row r="32" spans="1:12" hidden="1" x14ac:dyDescent="0.25">
      <c r="J32"/>
      <c r="K32"/>
    </row>
    <row r="33" spans="10:11" hidden="1" x14ac:dyDescent="0.25">
      <c r="J33"/>
      <c r="K33"/>
    </row>
    <row r="34" spans="10:11" hidden="1" x14ac:dyDescent="0.25">
      <c r="J34"/>
      <c r="K34"/>
    </row>
    <row r="35" spans="10:11" hidden="1" x14ac:dyDescent="0.25">
      <c r="J35"/>
      <c r="K35"/>
    </row>
    <row r="36" spans="10:11" hidden="1" x14ac:dyDescent="0.25">
      <c r="J36"/>
      <c r="K36"/>
    </row>
    <row r="37" spans="10:11" hidden="1" x14ac:dyDescent="0.25">
      <c r="J37"/>
      <c r="K37"/>
    </row>
    <row r="38" spans="10:11" hidden="1" x14ac:dyDescent="0.25">
      <c r="J38"/>
      <c r="K38"/>
    </row>
    <row r="39" spans="10:11" hidden="1" x14ac:dyDescent="0.25">
      <c r="J39"/>
      <c r="K39"/>
    </row>
    <row r="40" spans="10:11" hidden="1" x14ac:dyDescent="0.25">
      <c r="J40"/>
      <c r="K40"/>
    </row>
    <row r="41" spans="10:11" hidden="1" x14ac:dyDescent="0.25">
      <c r="J41"/>
      <c r="K41"/>
    </row>
    <row r="42" spans="10:11" hidden="1" x14ac:dyDescent="0.25">
      <c r="J42"/>
      <c r="K42"/>
    </row>
    <row r="43" spans="10:11" hidden="1" x14ac:dyDescent="0.25">
      <c r="J43"/>
      <c r="K43"/>
    </row>
    <row r="44" spans="10:11" hidden="1" x14ac:dyDescent="0.25">
      <c r="J44"/>
      <c r="K44"/>
    </row>
    <row r="45" spans="10:11" hidden="1" x14ac:dyDescent="0.25">
      <c r="J45"/>
      <c r="K45"/>
    </row>
    <row r="46" spans="10:11" hidden="1" x14ac:dyDescent="0.25">
      <c r="J46"/>
      <c r="K46"/>
    </row>
    <row r="47" spans="10:11" hidden="1" x14ac:dyDescent="0.25">
      <c r="J47"/>
      <c r="K47"/>
    </row>
    <row r="48" spans="10:11" hidden="1" x14ac:dyDescent="0.25">
      <c r="J48"/>
      <c r="K48"/>
    </row>
    <row r="49" spans="10:11" hidden="1" x14ac:dyDescent="0.25">
      <c r="J49"/>
      <c r="K49"/>
    </row>
    <row r="50" spans="10:11" hidden="1" x14ac:dyDescent="0.25">
      <c r="J50"/>
      <c r="K50"/>
    </row>
    <row r="51" spans="10:11" hidden="1" x14ac:dyDescent="0.25">
      <c r="J51"/>
      <c r="K51"/>
    </row>
    <row r="52" spans="10:11" hidden="1" x14ac:dyDescent="0.25">
      <c r="J52"/>
      <c r="K52"/>
    </row>
    <row r="53" spans="10:11" hidden="1" x14ac:dyDescent="0.25">
      <c r="J53"/>
      <c r="K53"/>
    </row>
    <row r="54" spans="10:11" hidden="1" x14ac:dyDescent="0.25">
      <c r="J54"/>
      <c r="K54"/>
    </row>
    <row r="55" spans="10:11" hidden="1" x14ac:dyDescent="0.25">
      <c r="J55"/>
      <c r="K55"/>
    </row>
    <row r="56" spans="10:11" hidden="1" x14ac:dyDescent="0.25">
      <c r="J56"/>
      <c r="K56"/>
    </row>
    <row r="57" spans="10:11" hidden="1" x14ac:dyDescent="0.25">
      <c r="J57"/>
      <c r="K57"/>
    </row>
    <row r="58" spans="10:11" hidden="1" x14ac:dyDescent="0.25">
      <c r="J58"/>
      <c r="K58"/>
    </row>
    <row r="59" spans="10:11" hidden="1" x14ac:dyDescent="0.25">
      <c r="J59"/>
      <c r="K59"/>
    </row>
    <row r="60" spans="10:11" hidden="1" x14ac:dyDescent="0.25">
      <c r="J60"/>
      <c r="K60"/>
    </row>
    <row r="61" spans="10:11" hidden="1" x14ac:dyDescent="0.25">
      <c r="J61"/>
      <c r="K61"/>
    </row>
    <row r="62" spans="10:11" hidden="1" x14ac:dyDescent="0.25">
      <c r="J62"/>
      <c r="K62"/>
    </row>
    <row r="63" spans="10:11" hidden="1" x14ac:dyDescent="0.25">
      <c r="J63"/>
      <c r="K63"/>
    </row>
    <row r="64" spans="10:11" hidden="1" x14ac:dyDescent="0.25">
      <c r="J64"/>
      <c r="K64"/>
    </row>
    <row r="65" spans="10:11" hidden="1" x14ac:dyDescent="0.25">
      <c r="J65"/>
      <c r="K65"/>
    </row>
    <row r="66" spans="10:11" hidden="1" x14ac:dyDescent="0.25">
      <c r="J66"/>
      <c r="K66"/>
    </row>
    <row r="67" spans="10:11" hidden="1" x14ac:dyDescent="0.25">
      <c r="J67"/>
      <c r="K67"/>
    </row>
    <row r="68" spans="10:11" hidden="1" x14ac:dyDescent="0.25">
      <c r="J68"/>
      <c r="K68"/>
    </row>
    <row r="69" spans="10:11" hidden="1" x14ac:dyDescent="0.25">
      <c r="J69"/>
      <c r="K69"/>
    </row>
    <row r="70" spans="10:11" hidden="1" x14ac:dyDescent="0.25">
      <c r="J70"/>
      <c r="K70"/>
    </row>
    <row r="71" spans="10:11" hidden="1" x14ac:dyDescent="0.25">
      <c r="J71"/>
      <c r="K71"/>
    </row>
    <row r="72" spans="10:11" hidden="1" x14ac:dyDescent="0.25">
      <c r="J72"/>
      <c r="K72"/>
    </row>
    <row r="73" spans="10:11" hidden="1" x14ac:dyDescent="0.25">
      <c r="J73"/>
      <c r="K73"/>
    </row>
    <row r="74" spans="10:11" hidden="1" x14ac:dyDescent="0.25">
      <c r="J74"/>
      <c r="K74"/>
    </row>
    <row r="75" spans="10:11" hidden="1" x14ac:dyDescent="0.25">
      <c r="J75"/>
      <c r="K75"/>
    </row>
    <row r="76" spans="10:11" hidden="1" x14ac:dyDescent="0.25">
      <c r="J76"/>
      <c r="K76"/>
    </row>
    <row r="77" spans="10:11" hidden="1" x14ac:dyDescent="0.25">
      <c r="J77"/>
      <c r="K77"/>
    </row>
    <row r="78" spans="10:11" hidden="1" x14ac:dyDescent="0.25">
      <c r="J78"/>
      <c r="K78"/>
    </row>
    <row r="79" spans="10:11" hidden="1" x14ac:dyDescent="0.25">
      <c r="J79"/>
      <c r="K79"/>
    </row>
    <row r="80" spans="10:11" hidden="1" x14ac:dyDescent="0.25">
      <c r="J80"/>
      <c r="K80"/>
    </row>
    <row r="81" spans="10:11" hidden="1" x14ac:dyDescent="0.25">
      <c r="J81"/>
      <c r="K81"/>
    </row>
    <row r="82" spans="10:11" hidden="1" x14ac:dyDescent="0.25">
      <c r="J82"/>
      <c r="K82"/>
    </row>
    <row r="83" spans="10:11" hidden="1" x14ac:dyDescent="0.25">
      <c r="J83"/>
      <c r="K83"/>
    </row>
    <row r="84" spans="10:11" hidden="1" x14ac:dyDescent="0.25">
      <c r="J84"/>
      <c r="K84"/>
    </row>
    <row r="85" spans="10:11" hidden="1" x14ac:dyDescent="0.25">
      <c r="J85"/>
      <c r="K85"/>
    </row>
    <row r="86" spans="10:11" hidden="1" x14ac:dyDescent="0.25">
      <c r="J86"/>
      <c r="K86"/>
    </row>
    <row r="87" spans="10:11" hidden="1" x14ac:dyDescent="0.25">
      <c r="J87"/>
      <c r="K87"/>
    </row>
    <row r="88" spans="10:11" hidden="1" x14ac:dyDescent="0.25">
      <c r="J88"/>
      <c r="K88"/>
    </row>
    <row r="89" spans="10:11" hidden="1" x14ac:dyDescent="0.25">
      <c r="J89"/>
      <c r="K89"/>
    </row>
    <row r="90" spans="10:11" hidden="1" x14ac:dyDescent="0.25">
      <c r="J90"/>
      <c r="K90"/>
    </row>
    <row r="91" spans="10:11" hidden="1" x14ac:dyDescent="0.25">
      <c r="J91"/>
      <c r="K91"/>
    </row>
    <row r="92" spans="10:11" hidden="1" x14ac:dyDescent="0.25">
      <c r="J92"/>
      <c r="K92"/>
    </row>
    <row r="93" spans="10:11" hidden="1" x14ac:dyDescent="0.25">
      <c r="J93"/>
      <c r="K93"/>
    </row>
    <row r="94" spans="10:11" hidden="1" x14ac:dyDescent="0.25">
      <c r="J94"/>
      <c r="K94"/>
    </row>
    <row r="95" spans="10:11" hidden="1" x14ac:dyDescent="0.25">
      <c r="J95"/>
      <c r="K95"/>
    </row>
    <row r="96" spans="10:11" hidden="1" x14ac:dyDescent="0.25">
      <c r="J96"/>
      <c r="K96"/>
    </row>
    <row r="97" spans="10:11" hidden="1" x14ac:dyDescent="0.25">
      <c r="J97"/>
      <c r="K97"/>
    </row>
    <row r="98" spans="10:11" hidden="1" x14ac:dyDescent="0.25">
      <c r="J98"/>
      <c r="K98"/>
    </row>
    <row r="99" spans="10:11" hidden="1" x14ac:dyDescent="0.25">
      <c r="J99"/>
      <c r="K99"/>
    </row>
    <row r="100" spans="10:11" hidden="1" x14ac:dyDescent="0.25">
      <c r="J100"/>
      <c r="K100"/>
    </row>
    <row r="101" spans="10:11" hidden="1" x14ac:dyDescent="0.25">
      <c r="J101"/>
      <c r="K101"/>
    </row>
    <row r="102" spans="10:11" hidden="1" x14ac:dyDescent="0.25">
      <c r="J102"/>
      <c r="K102"/>
    </row>
    <row r="103" spans="10:11" hidden="1" x14ac:dyDescent="0.25">
      <c r="J103"/>
      <c r="K103"/>
    </row>
    <row r="104" spans="10:11" hidden="1" x14ac:dyDescent="0.25">
      <c r="J104"/>
      <c r="K104"/>
    </row>
    <row r="105" spans="10:11" hidden="1" x14ac:dyDescent="0.25">
      <c r="J105"/>
      <c r="K105"/>
    </row>
    <row r="106" spans="10:11" hidden="1" x14ac:dyDescent="0.25">
      <c r="J106"/>
      <c r="K106"/>
    </row>
    <row r="107" spans="10:11" hidden="1" x14ac:dyDescent="0.25">
      <c r="J107"/>
      <c r="K107"/>
    </row>
    <row r="108" spans="10:11" hidden="1" x14ac:dyDescent="0.25">
      <c r="J108"/>
      <c r="K108"/>
    </row>
    <row r="109" spans="10:11" hidden="1" x14ac:dyDescent="0.25">
      <c r="J109"/>
      <c r="K109"/>
    </row>
    <row r="110" spans="10:11" hidden="1" x14ac:dyDescent="0.25">
      <c r="J110"/>
      <c r="K110"/>
    </row>
    <row r="111" spans="10:11" hidden="1" x14ac:dyDescent="0.25">
      <c r="J111"/>
      <c r="K111"/>
    </row>
    <row r="112" spans="10:11" hidden="1" x14ac:dyDescent="0.25">
      <c r="J112"/>
      <c r="K112"/>
    </row>
    <row r="113" hidden="1" x14ac:dyDescent="0.25"/>
    <row r="114" hidden="1" x14ac:dyDescent="0.25"/>
    <row r="115" hidden="1" x14ac:dyDescent="0.25"/>
    <row r="116" hidden="1" x14ac:dyDescent="0.25"/>
    <row r="117" hidden="1" x14ac:dyDescent="0.25"/>
  </sheetData>
  <customSheetViews>
    <customSheetView guid="{04C50C76-DBA5-4B8F-A929-D0E997573BFE}" hiddenRows="1" hiddenColumns="1">
      <selection activeCell="L6" sqref="L6"/>
      <pageMargins left="0.7" right="0.7" top="0.75" bottom="0.75" header="0.3" footer="0.3"/>
      <pageSetup orientation="portrait" r:id="rId1"/>
    </customSheetView>
    <customSheetView guid="{B93E95F7-2207-4982-B8B5-4CD0F87DD17C}" hiddenRows="1" hiddenColumns="1">
      <selection activeCell="L6" sqref="L6"/>
      <pageMargins left="0.7" right="0.7" top="0.75" bottom="0.75" header="0.3" footer="0.3"/>
      <pageSetup orientation="portrait" r:id="rId2"/>
    </customSheetView>
  </customSheetViews>
  <mergeCells count="2">
    <mergeCell ref="K8:K10"/>
    <mergeCell ref="J1:K2"/>
  </mergeCells>
  <pageMargins left="0.7" right="0.7" top="0.75" bottom="0.75" header="0.3" footer="0.3"/>
  <pageSetup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9" r:id="rId6" name="Button 9">
              <controlPr defaultSize="0" print="0" autoFill="0" autoPict="0" macro="[0]!ThisWorkbook.runAutomatedImport">
                <anchor moveWithCells="1" sizeWithCells="1">
                  <from>
                    <xdr:col>8</xdr:col>
                    <xdr:colOff>28575</xdr:colOff>
                    <xdr:row>7</xdr:row>
                    <xdr:rowOff>38100</xdr:rowOff>
                  </from>
                  <to>
                    <xdr:col>8</xdr:col>
                    <xdr:colOff>1143000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7" name="Button 13">
              <controlPr defaultSize="0" print="0" autoFill="0" autoPict="0" macro="[0]!ThisWorkbook.GotoManual">
                <anchor moveWithCells="1" sizeWithCells="1">
                  <from>
                    <xdr:col>11</xdr:col>
                    <xdr:colOff>47625</xdr:colOff>
                    <xdr:row>0</xdr:row>
                    <xdr:rowOff>57150</xdr:rowOff>
                  </from>
                  <to>
                    <xdr:col>11</xdr:col>
                    <xdr:colOff>600075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CC"/>
    <outlinePr summaryRight="0"/>
    <pageSetUpPr autoPageBreaks="0" fitToPage="1"/>
  </sheetPr>
  <dimension ref="A1:BD402"/>
  <sheetViews>
    <sheetView zoomScale="75" zoomScaleNormal="50" workbookViewId="0">
      <pane ySplit="2" topLeftCell="A3" activePane="bottomLeft" state="frozen"/>
      <selection pane="bottomLeft" activeCell="P9" sqref="P9"/>
    </sheetView>
  </sheetViews>
  <sheetFormatPr defaultColWidth="0" defaultRowHeight="15" zeroHeight="1" x14ac:dyDescent="0.25"/>
  <cols>
    <col min="1" max="1" width="7.42578125" customWidth="1"/>
    <col min="2" max="2" width="13.42578125" hidden="1" customWidth="1"/>
    <col min="3" max="3" width="13.42578125" customWidth="1"/>
    <col min="4" max="4" width="9.85546875" customWidth="1"/>
    <col min="5" max="6" width="13.42578125" customWidth="1"/>
    <col min="7" max="7" width="16.42578125" customWidth="1"/>
    <col min="8" max="8" width="13.42578125" hidden="1" customWidth="1"/>
    <col min="9" max="9" width="5.5703125" customWidth="1"/>
    <col min="10" max="10" width="5.28515625" customWidth="1"/>
    <col min="11" max="11" width="5.7109375" customWidth="1"/>
    <col min="12" max="12" width="4.7109375" customWidth="1"/>
    <col min="13" max="13" width="5.5703125" customWidth="1"/>
    <col min="14" max="14" width="5.28515625" customWidth="1"/>
    <col min="15" max="15" width="5.42578125" customWidth="1"/>
    <col min="16" max="16" width="5" customWidth="1"/>
    <col min="17" max="17" width="13.42578125" style="222" customWidth="1"/>
    <col min="18" max="18" width="11.7109375" style="256" customWidth="1"/>
    <col min="19" max="19" width="9.42578125" hidden="1" customWidth="1"/>
    <col min="20" max="20" width="10.85546875" style="256" customWidth="1"/>
    <col min="21" max="21" width="9.42578125" hidden="1" customWidth="1"/>
    <col min="22" max="22" width="9.42578125" style="256" customWidth="1"/>
    <col min="23" max="23" width="9.42578125" hidden="1" customWidth="1"/>
    <col min="24" max="24" width="9.42578125" style="256" customWidth="1"/>
    <col min="25" max="25" width="9.42578125" hidden="1" customWidth="1"/>
    <col min="26" max="26" width="9.42578125" style="256" customWidth="1"/>
    <col min="27" max="27" width="9.42578125" hidden="1" customWidth="1"/>
    <col min="28" max="28" width="10.7109375" style="256" customWidth="1"/>
    <col min="29" max="29" width="9.42578125" hidden="1" customWidth="1"/>
    <col min="30" max="31" width="9.42578125" customWidth="1"/>
    <col min="32" max="32" width="9.42578125" style="256" customWidth="1"/>
    <col min="33" max="33" width="9.42578125" hidden="1" customWidth="1"/>
    <col min="34" max="34" width="9.42578125" style="256" customWidth="1"/>
    <col min="35" max="35" width="9.42578125" hidden="1" customWidth="1"/>
    <col min="36" max="36" width="9.42578125" style="256" customWidth="1"/>
    <col min="37" max="37" width="9.42578125" hidden="1" customWidth="1"/>
    <col min="38" max="38" width="9.42578125" style="256" customWidth="1"/>
    <col min="39" max="39" width="9.42578125" hidden="1" customWidth="1"/>
    <col min="40" max="40" width="9.42578125" style="256" customWidth="1"/>
    <col min="41" max="41" width="9.42578125" hidden="1" customWidth="1"/>
    <col min="42" max="42" width="9.42578125" style="256" customWidth="1"/>
    <col min="43" max="43" width="9.42578125" hidden="1" customWidth="1"/>
    <col min="44" max="44" width="9" style="276" customWidth="1"/>
    <col min="45" max="45" width="9.42578125" style="3" hidden="1" customWidth="1"/>
    <col min="46" max="46" width="7.42578125" style="276" customWidth="1"/>
    <col min="47" max="47" width="9.42578125" style="228" hidden="1" customWidth="1"/>
    <col min="48" max="48" width="7.140625" style="276" customWidth="1"/>
    <col min="49" max="49" width="9.42578125" style="3" hidden="1" customWidth="1"/>
    <col min="50" max="50" width="6.85546875" style="276" customWidth="1"/>
    <col min="51" max="51" width="9.42578125" style="3" hidden="1" customWidth="1"/>
    <col min="52" max="52" width="7.5703125" style="276" customWidth="1"/>
    <col min="53" max="53" width="9.42578125" hidden="1" customWidth="1"/>
    <col min="54" max="54" width="12.7109375" hidden="1" customWidth="1"/>
    <col min="55" max="55" width="10.140625" hidden="1" customWidth="1"/>
    <col min="56" max="16384" width="8.85546875" hidden="1"/>
  </cols>
  <sheetData>
    <row r="1" spans="1:56" s="183" customFormat="1" ht="15.75" thickBot="1" x14ac:dyDescent="0.3">
      <c r="A1" s="180"/>
      <c r="B1" s="181"/>
      <c r="C1" s="182"/>
      <c r="D1" s="182"/>
      <c r="E1" s="181"/>
      <c r="F1" s="181"/>
      <c r="G1" s="181"/>
      <c r="H1" s="181"/>
      <c r="I1" s="321" t="s">
        <v>223</v>
      </c>
      <c r="J1" s="321"/>
      <c r="K1" s="321"/>
      <c r="L1" s="321"/>
      <c r="M1" s="321"/>
      <c r="N1" s="321"/>
      <c r="O1" s="321"/>
      <c r="P1" s="321"/>
      <c r="Q1" s="219"/>
      <c r="R1" s="322" t="s">
        <v>222</v>
      </c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3" t="s">
        <v>4</v>
      </c>
      <c r="AG1" s="324"/>
      <c r="AH1" s="324"/>
      <c r="AI1" s="324"/>
      <c r="AJ1" s="324"/>
      <c r="AK1" s="324"/>
      <c r="AL1" s="324"/>
      <c r="AM1" s="324"/>
      <c r="AN1" s="324"/>
      <c r="AO1" s="324"/>
      <c r="AP1" s="324"/>
      <c r="AQ1" s="324"/>
      <c r="AR1" s="325" t="s">
        <v>151</v>
      </c>
      <c r="AS1" s="326"/>
      <c r="AT1" s="326"/>
      <c r="AU1" s="326"/>
      <c r="AV1" s="326"/>
      <c r="AW1" s="326"/>
      <c r="AX1" s="326"/>
      <c r="AY1" s="326"/>
      <c r="AZ1" s="326"/>
      <c r="BA1" s="210"/>
    </row>
    <row r="2" spans="1:56" s="37" customFormat="1" ht="52.9" customHeight="1" thickBot="1" x14ac:dyDescent="0.3">
      <c r="A2" s="177" t="s">
        <v>126</v>
      </c>
      <c r="B2" s="177" t="s">
        <v>128</v>
      </c>
      <c r="C2" s="177" t="s">
        <v>122</v>
      </c>
      <c r="D2" s="177" t="s">
        <v>121</v>
      </c>
      <c r="E2" s="177" t="s">
        <v>124</v>
      </c>
      <c r="F2" s="177" t="s">
        <v>27</v>
      </c>
      <c r="G2" s="178" t="s">
        <v>28</v>
      </c>
      <c r="H2" s="177" t="s">
        <v>29</v>
      </c>
      <c r="I2" s="203" t="s">
        <v>144</v>
      </c>
      <c r="J2" s="204" t="s">
        <v>136</v>
      </c>
      <c r="K2" s="204" t="s">
        <v>137</v>
      </c>
      <c r="L2" s="204" t="s">
        <v>145</v>
      </c>
      <c r="M2" s="204" t="s">
        <v>95</v>
      </c>
      <c r="N2" s="204" t="s">
        <v>146</v>
      </c>
      <c r="O2" s="204" t="s">
        <v>148</v>
      </c>
      <c r="P2" s="205" t="s">
        <v>147</v>
      </c>
      <c r="Q2" s="220" t="s">
        <v>134</v>
      </c>
      <c r="R2" s="251" t="s">
        <v>184</v>
      </c>
      <c r="S2" s="194" t="s">
        <v>202</v>
      </c>
      <c r="T2" s="257" t="s">
        <v>170</v>
      </c>
      <c r="U2" s="194" t="s">
        <v>203</v>
      </c>
      <c r="V2" s="257" t="s">
        <v>185</v>
      </c>
      <c r="W2" s="194" t="s">
        <v>204</v>
      </c>
      <c r="X2" s="257" t="s">
        <v>182</v>
      </c>
      <c r="Y2" s="194" t="s">
        <v>205</v>
      </c>
      <c r="Z2" s="257" t="s">
        <v>183</v>
      </c>
      <c r="AA2" s="194" t="s">
        <v>206</v>
      </c>
      <c r="AB2" s="257" t="s">
        <v>173</v>
      </c>
      <c r="AC2" s="194" t="s">
        <v>207</v>
      </c>
      <c r="AD2" s="198" t="s">
        <v>188</v>
      </c>
      <c r="AE2" s="199" t="s">
        <v>208</v>
      </c>
      <c r="AF2" s="262" t="s">
        <v>190</v>
      </c>
      <c r="AG2" s="194" t="s">
        <v>209</v>
      </c>
      <c r="AH2" s="266" t="s">
        <v>144</v>
      </c>
      <c r="AI2" s="195" t="s">
        <v>210</v>
      </c>
      <c r="AJ2" s="270" t="s">
        <v>136</v>
      </c>
      <c r="AK2" s="194" t="s">
        <v>211</v>
      </c>
      <c r="AL2" s="270" t="s">
        <v>137</v>
      </c>
      <c r="AM2" s="194" t="s">
        <v>212</v>
      </c>
      <c r="AN2" s="270" t="s">
        <v>146</v>
      </c>
      <c r="AO2" s="194" t="s">
        <v>213</v>
      </c>
      <c r="AP2" s="270" t="s">
        <v>148</v>
      </c>
      <c r="AQ2" s="196" t="s">
        <v>214</v>
      </c>
      <c r="AR2" s="271" t="s">
        <v>193</v>
      </c>
      <c r="AS2" s="191" t="s">
        <v>217</v>
      </c>
      <c r="AT2" s="277" t="s">
        <v>194</v>
      </c>
      <c r="AU2" s="191" t="s">
        <v>218</v>
      </c>
      <c r="AV2" s="277" t="s">
        <v>195</v>
      </c>
      <c r="AW2" s="191" t="s">
        <v>219</v>
      </c>
      <c r="AX2" s="277" t="s">
        <v>196</v>
      </c>
      <c r="AY2" s="191" t="s">
        <v>220</v>
      </c>
      <c r="AZ2" s="277" t="s">
        <v>197</v>
      </c>
      <c r="BA2" s="192" t="s">
        <v>221</v>
      </c>
      <c r="BB2"/>
      <c r="BC2"/>
      <c r="BD2"/>
    </row>
    <row r="3" spans="1:56" s="34" customFormat="1" x14ac:dyDescent="0.25">
      <c r="A3" s="87">
        <v>40546</v>
      </c>
      <c r="B3" s="42">
        <v>25</v>
      </c>
      <c r="C3" s="41" t="str">
        <f t="shared" ref="C3:C34" si="0">IF(ISBLANK(VLOOKUP(Dia_Claim,Dia_UniqueLine,2,FALSE)),"",VLOOKUP(Dia_Claim,Dia_UniqueLine,2,FALSE))</f>
        <v>250.00, V58.66, V58.67</v>
      </c>
      <c r="D3" s="41" t="str">
        <f t="shared" ref="D3:D34" si="1">IF(ISBLANK(VLOOKUP(Dia_Claim,Dia_UniqueLine,3,FALSE)),"",VLOOKUP(Dia_Claim,Dia_UniqueLine,3,FALSE))</f>
        <v>OTC</v>
      </c>
      <c r="E3" s="40" t="str">
        <f t="shared" ref="E3:E34" si="2">IF(ISBLANK(VLOOKUP(Dia_Claim,Dia_UniqueLine,4,FALSE)),"",VLOOKUP(Dia_Claim,Dia_UniqueLine,4,FALSE))</f>
        <v>Pharmacy Retail</v>
      </c>
      <c r="F3" s="40" t="str">
        <f t="shared" ref="F3:F34" si="3">IF(ISBLANK(VLOOKUP(Dia_Claim,Dia_UniqueLine,5,FALSE)),"",VLOOKUP(Dia_Claim,Dia_UniqueLine,5,FALSE))</f>
        <v>Medical equipment and supplies</v>
      </c>
      <c r="G3" s="40" t="str">
        <f t="shared" ref="G3:G34" si="4">IF(ISBLANK(VLOOKUP(Dia_Claim,Dia_UniqueLine,6,FALSE)),"",VLOOKUP(Dia_Claim,Dia_UniqueLine,6,FALSE))</f>
        <v>Alcohol swabs (OTC - box of 100)  [usage = 3 wipes/day; 90 wipes/month]</v>
      </c>
      <c r="H3" s="40" t="str">
        <f t="shared" ref="H3:H34" si="5">IF(ISBLANK(VLOOKUP(Dia_Claim,Dia_UniqueLine,8,FALSE)),"",VLOOKUP(Dia_Claim,Dia_UniqueLine,8,FALSE))</f>
        <v/>
      </c>
      <c r="I3" s="200">
        <f t="shared" ref="I3:I34" si="6">IF(Dia_Col_Category="Medical equipment and supplies",1,"")</f>
        <v>1</v>
      </c>
      <c r="J3" s="201" t="str">
        <f t="shared" ref="J3:J34" si="7">IF(AND(Dia_Col_Category="Pharmacy",Dia_Col_BillCode&lt;&gt;"OTC"),1,"")</f>
        <v/>
      </c>
      <c r="K3" s="201" t="str">
        <f t="shared" ref="K3:K34" si="8">IF(AND(Dia_Col_Category="Anesthesia",Dia_Col_Provider&lt;&gt;"Inpatient facility"),1,"")</f>
        <v/>
      </c>
      <c r="L3" s="201" t="str">
        <f t="shared" ref="L3:L34" si="9">IF(Dia_Col_Category="Laboratory tests",1,"")</f>
        <v/>
      </c>
      <c r="M3" s="201" t="str">
        <f t="shared" ref="M3:M34" si="10">IF(Dia_Col_Category="Radiology",1,"")</f>
        <v/>
      </c>
      <c r="N3" s="201" t="str">
        <f t="shared" ref="N3:N34" si="11">IF(Dia_Col_BillCode="Bundled in global OB package - 59400",1,"")</f>
        <v/>
      </c>
      <c r="O3" s="201" t="str">
        <f t="shared" ref="O3:O34" si="12">IF(Dia_Col_Category="Vaccines, other preventive",1,"")</f>
        <v/>
      </c>
      <c r="P3" s="202" t="str">
        <f t="shared" ref="P3:P34" si="13">IF(Dia_Col_Category="Office visits &amp; procedures",1,"")</f>
        <v/>
      </c>
      <c r="Q3" s="221">
        <f t="shared" ref="Q3:Q34" si="14">IF(ISBLANK(VLOOKUP(Dia_Claim,Dia_UniqueLine,7,FALSE)),"",VLOOKUP(Dia_Claim,Dia_UniqueLine,7,FALSE))</f>
        <v>3</v>
      </c>
      <c r="R3" s="252"/>
      <c r="S3" s="193">
        <f>R3</f>
        <v>0</v>
      </c>
      <c r="T3" s="258">
        <v>3</v>
      </c>
      <c r="U3" s="193">
        <f>T3</f>
        <v>3</v>
      </c>
      <c r="V3" s="258"/>
      <c r="W3" s="193">
        <f>V3</f>
        <v>0</v>
      </c>
      <c r="X3" s="258"/>
      <c r="Y3" s="193">
        <f>X3</f>
        <v>0</v>
      </c>
      <c r="Z3" s="258"/>
      <c r="AA3" s="193">
        <f>Z3</f>
        <v>0</v>
      </c>
      <c r="AB3" s="258"/>
      <c r="AC3" s="193">
        <f>AB3</f>
        <v>0</v>
      </c>
      <c r="AD3" s="197">
        <f t="shared" ref="AD3:AD66" si="15">Dia_Col_Deduct+Dia_Col_Copay+Dia_Col_Coinsur</f>
        <v>0</v>
      </c>
      <c r="AE3" s="193">
        <f>AD3</f>
        <v>0</v>
      </c>
      <c r="AF3" s="263"/>
      <c r="AG3" s="193">
        <f>AF3</f>
        <v>0</v>
      </c>
      <c r="AH3" s="267"/>
      <c r="AI3" s="193">
        <f>AH3</f>
        <v>0</v>
      </c>
      <c r="AJ3" s="267"/>
      <c r="AK3" s="193">
        <f>AJ3</f>
        <v>0</v>
      </c>
      <c r="AL3" s="267"/>
      <c r="AM3" s="193">
        <f>AL3</f>
        <v>0</v>
      </c>
      <c r="AN3" s="267"/>
      <c r="AO3" s="193">
        <f>AN3</f>
        <v>0</v>
      </c>
      <c r="AP3" s="267"/>
      <c r="AQ3" s="193">
        <f>AP3</f>
        <v>0</v>
      </c>
      <c r="AR3" s="272"/>
      <c r="AS3" s="208">
        <f>AR3</f>
        <v>0</v>
      </c>
      <c r="AT3" s="272"/>
      <c r="AU3" s="225">
        <f>AT3</f>
        <v>0</v>
      </c>
      <c r="AV3" s="272"/>
      <c r="AW3" s="208">
        <f>AV3</f>
        <v>0</v>
      </c>
      <c r="AX3" s="272"/>
      <c r="AY3" s="208">
        <f>AX3</f>
        <v>0</v>
      </c>
      <c r="AZ3" s="272"/>
      <c r="BA3" s="193">
        <f>AZ3</f>
        <v>0</v>
      </c>
      <c r="BB3"/>
      <c r="BC3"/>
      <c r="BD3"/>
    </row>
    <row r="4" spans="1:56" s="34" customFormat="1" x14ac:dyDescent="0.25">
      <c r="A4" s="87">
        <v>40546</v>
      </c>
      <c r="B4" s="42">
        <v>14</v>
      </c>
      <c r="C4" s="41" t="str">
        <f t="shared" si="0"/>
        <v>250.00, V58.66, V58.67</v>
      </c>
      <c r="D4" s="41">
        <f t="shared" si="1"/>
        <v>8290328279</v>
      </c>
      <c r="E4" s="40" t="str">
        <f t="shared" si="2"/>
        <v>Pharmacy Retail</v>
      </c>
      <c r="F4" s="40" t="str">
        <f t="shared" si="3"/>
        <v>Medical equipment and supplies</v>
      </c>
      <c r="G4" s="40" t="str">
        <f t="shared" si="4"/>
        <v>BD Ultrafine Insulin Syringes / 30G/ 0.5cc  [usage = 30 syringes per month]</v>
      </c>
      <c r="H4" s="40" t="str">
        <f t="shared" si="5"/>
        <v/>
      </c>
      <c r="I4" s="160">
        <f t="shared" si="6"/>
        <v>1</v>
      </c>
      <c r="J4" s="41" t="str">
        <f t="shared" si="7"/>
        <v/>
      </c>
      <c r="K4" s="41" t="str">
        <f t="shared" si="8"/>
        <v/>
      </c>
      <c r="L4" s="41" t="str">
        <f t="shared" si="9"/>
        <v/>
      </c>
      <c r="M4" s="41" t="str">
        <f t="shared" si="10"/>
        <v/>
      </c>
      <c r="N4" s="41" t="str">
        <f t="shared" si="11"/>
        <v/>
      </c>
      <c r="O4" s="41" t="str">
        <f t="shared" si="12"/>
        <v/>
      </c>
      <c r="P4" s="188" t="str">
        <f t="shared" si="13"/>
        <v/>
      </c>
      <c r="Q4" s="221">
        <f t="shared" si="14"/>
        <v>8.4</v>
      </c>
      <c r="R4" s="253">
        <v>8.4</v>
      </c>
      <c r="S4" s="179">
        <f>R4+S3</f>
        <v>8.4</v>
      </c>
      <c r="T4" s="259"/>
      <c r="U4" s="179">
        <f>T4+U3</f>
        <v>3</v>
      </c>
      <c r="V4" s="259"/>
      <c r="W4" s="179">
        <f>V4+W3</f>
        <v>0</v>
      </c>
      <c r="X4" s="259"/>
      <c r="Y4" s="179">
        <f>X4+Y3</f>
        <v>0</v>
      </c>
      <c r="Z4" s="259"/>
      <c r="AA4" s="179">
        <f>Z4+AA3</f>
        <v>0</v>
      </c>
      <c r="AB4" s="259"/>
      <c r="AC4" s="179">
        <f>AB4+AC3</f>
        <v>0</v>
      </c>
      <c r="AD4" s="189">
        <f t="shared" si="15"/>
        <v>0</v>
      </c>
      <c r="AE4" s="179">
        <f>AD4+AE3</f>
        <v>0</v>
      </c>
      <c r="AF4" s="264"/>
      <c r="AG4" s="179">
        <f>AF4+AG3</f>
        <v>0</v>
      </c>
      <c r="AH4" s="268"/>
      <c r="AI4" s="179">
        <f>AH4+AI3</f>
        <v>0</v>
      </c>
      <c r="AJ4" s="268"/>
      <c r="AK4" s="179">
        <f>AJ4+AK3</f>
        <v>0</v>
      </c>
      <c r="AL4" s="268"/>
      <c r="AM4" s="179">
        <f>AL4+AM3</f>
        <v>0</v>
      </c>
      <c r="AN4" s="268"/>
      <c r="AO4" s="179">
        <f>AN4+AO3</f>
        <v>0</v>
      </c>
      <c r="AP4" s="268"/>
      <c r="AQ4" s="179">
        <f>AP4+AQ3</f>
        <v>0</v>
      </c>
      <c r="AR4" s="273"/>
      <c r="AS4" s="209">
        <f>AR4+AS3</f>
        <v>0</v>
      </c>
      <c r="AT4" s="273"/>
      <c r="AU4" s="226">
        <f>AT4+AU3</f>
        <v>0</v>
      </c>
      <c r="AV4" s="273"/>
      <c r="AW4" s="209">
        <f>AV4+AW3</f>
        <v>0</v>
      </c>
      <c r="AX4" s="273"/>
      <c r="AY4" s="209">
        <f>AX4+AY3</f>
        <v>0</v>
      </c>
      <c r="AZ4" s="273"/>
      <c r="BA4" s="179">
        <f>AZ4+BA3</f>
        <v>0</v>
      </c>
      <c r="BB4"/>
      <c r="BC4"/>
      <c r="BD4"/>
    </row>
    <row r="5" spans="1:56" s="34" customFormat="1" x14ac:dyDescent="0.25">
      <c r="A5" s="87">
        <v>40546</v>
      </c>
      <c r="B5" s="42">
        <v>5</v>
      </c>
      <c r="C5" s="41" t="str">
        <f t="shared" si="0"/>
        <v>250.00, V58.66, V58.67</v>
      </c>
      <c r="D5" s="41">
        <f t="shared" si="1"/>
        <v>53885039310</v>
      </c>
      <c r="E5" s="40" t="str">
        <f t="shared" si="2"/>
        <v>Pharmacy Retail</v>
      </c>
      <c r="F5" s="40" t="str">
        <f t="shared" si="3"/>
        <v>Medical equipment and supplies</v>
      </c>
      <c r="G5" s="40" t="str">
        <f t="shared" si="4"/>
        <v>OneTouch Delica Lancets (100 per box)  [usage = 60 lancets per month]</v>
      </c>
      <c r="H5" s="40" t="str">
        <f t="shared" si="5"/>
        <v/>
      </c>
      <c r="I5" s="160">
        <f t="shared" si="6"/>
        <v>1</v>
      </c>
      <c r="J5" s="41" t="str">
        <f t="shared" si="7"/>
        <v/>
      </c>
      <c r="K5" s="41" t="str">
        <f t="shared" si="8"/>
        <v/>
      </c>
      <c r="L5" s="41" t="str">
        <f t="shared" si="9"/>
        <v/>
      </c>
      <c r="M5" s="41" t="str">
        <f t="shared" si="10"/>
        <v/>
      </c>
      <c r="N5" s="41" t="str">
        <f t="shared" si="11"/>
        <v/>
      </c>
      <c r="O5" s="41" t="str">
        <f t="shared" si="12"/>
        <v/>
      </c>
      <c r="P5" s="188" t="str">
        <f t="shared" si="13"/>
        <v/>
      </c>
      <c r="Q5" s="221">
        <f t="shared" si="14"/>
        <v>9</v>
      </c>
      <c r="R5" s="253">
        <v>9</v>
      </c>
      <c r="S5" s="179">
        <f t="shared" ref="S5:S68" si="16">R5+S4</f>
        <v>17.399999999999999</v>
      </c>
      <c r="T5" s="259"/>
      <c r="U5" s="179">
        <f t="shared" ref="U5:U68" si="17">T5+U4</f>
        <v>3</v>
      </c>
      <c r="V5" s="259"/>
      <c r="W5" s="179">
        <f t="shared" ref="W5:W68" si="18">V5+W4</f>
        <v>0</v>
      </c>
      <c r="X5" s="259"/>
      <c r="Y5" s="179">
        <f t="shared" ref="Y5:Y68" si="19">X5+Y4</f>
        <v>0</v>
      </c>
      <c r="Z5" s="259"/>
      <c r="AA5" s="179">
        <f t="shared" ref="AA5:AA68" si="20">Z5+AA4</f>
        <v>0</v>
      </c>
      <c r="AB5" s="259"/>
      <c r="AC5" s="179">
        <f t="shared" ref="AC5:AC68" si="21">AB5+AC4</f>
        <v>0</v>
      </c>
      <c r="AD5" s="189">
        <f t="shared" si="15"/>
        <v>0</v>
      </c>
      <c r="AE5" s="179">
        <f t="shared" ref="AE5:AE68" si="22">AD5+AE4</f>
        <v>0</v>
      </c>
      <c r="AF5" s="264"/>
      <c r="AG5" s="179">
        <f t="shared" ref="AG5:AG68" si="23">AF5+AG4</f>
        <v>0</v>
      </c>
      <c r="AH5" s="268"/>
      <c r="AI5" s="179">
        <f t="shared" ref="AI5:AI68" si="24">AH5+AI4</f>
        <v>0</v>
      </c>
      <c r="AJ5" s="268"/>
      <c r="AK5" s="179">
        <f t="shared" ref="AK5:AK68" si="25">AJ5+AK4</f>
        <v>0</v>
      </c>
      <c r="AL5" s="268"/>
      <c r="AM5" s="179">
        <f t="shared" ref="AM5:AM68" si="26">AL5+AM4</f>
        <v>0</v>
      </c>
      <c r="AN5" s="268"/>
      <c r="AO5" s="179">
        <f t="shared" ref="AO5:AO68" si="27">AN5+AO4</f>
        <v>0</v>
      </c>
      <c r="AP5" s="268"/>
      <c r="AQ5" s="179">
        <f t="shared" ref="AQ5:AQ68" si="28">AP5+AQ4</f>
        <v>0</v>
      </c>
      <c r="AR5" s="273"/>
      <c r="AS5" s="209">
        <f t="shared" ref="AS5:AS68" si="29">AR5+AS4</f>
        <v>0</v>
      </c>
      <c r="AT5" s="273"/>
      <c r="AU5" s="226">
        <f t="shared" ref="AU5:AU68" si="30">AT5+AU4</f>
        <v>0</v>
      </c>
      <c r="AV5" s="273"/>
      <c r="AW5" s="209">
        <f t="shared" ref="AW5:AW68" si="31">AV5+AW4</f>
        <v>0</v>
      </c>
      <c r="AX5" s="273"/>
      <c r="AY5" s="209">
        <f t="shared" ref="AY5:AY68" si="32">AX5+AY4</f>
        <v>0</v>
      </c>
      <c r="AZ5" s="273"/>
      <c r="BA5" s="179">
        <f t="shared" ref="BA5:BA68" si="33">AZ5+BA4</f>
        <v>0</v>
      </c>
      <c r="BB5"/>
      <c r="BC5"/>
      <c r="BD5"/>
    </row>
    <row r="6" spans="1:56" s="34" customFormat="1" x14ac:dyDescent="0.25">
      <c r="A6" s="87">
        <v>40546</v>
      </c>
      <c r="B6" s="42">
        <v>3</v>
      </c>
      <c r="C6" s="41" t="str">
        <f t="shared" si="0"/>
        <v>250.00, V58.66, V58.67</v>
      </c>
      <c r="D6" s="41" t="str">
        <f t="shared" si="1"/>
        <v>53885014201</v>
      </c>
      <c r="E6" s="40" t="str">
        <f t="shared" si="2"/>
        <v>Pharmacy Retail</v>
      </c>
      <c r="F6" s="40" t="str">
        <f t="shared" si="3"/>
        <v>Medical equipment and supplies</v>
      </c>
      <c r="G6" s="40" t="str">
        <f t="shared" si="4"/>
        <v xml:space="preserve">OneTouch Delica Lancing Device </v>
      </c>
      <c r="H6" s="40" t="str">
        <f t="shared" si="5"/>
        <v/>
      </c>
      <c r="I6" s="160">
        <f t="shared" si="6"/>
        <v>1</v>
      </c>
      <c r="J6" s="41" t="str">
        <f t="shared" si="7"/>
        <v/>
      </c>
      <c r="K6" s="41" t="str">
        <f t="shared" si="8"/>
        <v/>
      </c>
      <c r="L6" s="41" t="str">
        <f t="shared" si="9"/>
        <v/>
      </c>
      <c r="M6" s="41" t="str">
        <f t="shared" si="10"/>
        <v/>
      </c>
      <c r="N6" s="41" t="str">
        <f t="shared" si="11"/>
        <v/>
      </c>
      <c r="O6" s="41" t="str">
        <f t="shared" si="12"/>
        <v/>
      </c>
      <c r="P6" s="188" t="str">
        <f t="shared" si="13"/>
        <v/>
      </c>
      <c r="Q6" s="221">
        <f t="shared" si="14"/>
        <v>18</v>
      </c>
      <c r="R6" s="253">
        <v>18</v>
      </c>
      <c r="S6" s="179">
        <f t="shared" si="16"/>
        <v>35.4</v>
      </c>
      <c r="T6" s="259"/>
      <c r="U6" s="179">
        <f t="shared" si="17"/>
        <v>3</v>
      </c>
      <c r="V6" s="259"/>
      <c r="W6" s="179">
        <f t="shared" si="18"/>
        <v>0</v>
      </c>
      <c r="X6" s="259"/>
      <c r="Y6" s="179">
        <f t="shared" si="19"/>
        <v>0</v>
      </c>
      <c r="Z6" s="259"/>
      <c r="AA6" s="179">
        <f t="shared" si="20"/>
        <v>0</v>
      </c>
      <c r="AB6" s="259"/>
      <c r="AC6" s="179">
        <f t="shared" si="21"/>
        <v>0</v>
      </c>
      <c r="AD6" s="189">
        <f t="shared" si="15"/>
        <v>0</v>
      </c>
      <c r="AE6" s="179">
        <f t="shared" si="22"/>
        <v>0</v>
      </c>
      <c r="AF6" s="264"/>
      <c r="AG6" s="179">
        <f t="shared" si="23"/>
        <v>0</v>
      </c>
      <c r="AH6" s="268"/>
      <c r="AI6" s="179">
        <f t="shared" si="24"/>
        <v>0</v>
      </c>
      <c r="AJ6" s="268"/>
      <c r="AK6" s="179">
        <f t="shared" si="25"/>
        <v>0</v>
      </c>
      <c r="AL6" s="268"/>
      <c r="AM6" s="179">
        <f t="shared" si="26"/>
        <v>0</v>
      </c>
      <c r="AN6" s="268"/>
      <c r="AO6" s="179">
        <f t="shared" si="27"/>
        <v>0</v>
      </c>
      <c r="AP6" s="268"/>
      <c r="AQ6" s="179">
        <f t="shared" si="28"/>
        <v>0</v>
      </c>
      <c r="AR6" s="273"/>
      <c r="AS6" s="209">
        <f t="shared" si="29"/>
        <v>0</v>
      </c>
      <c r="AT6" s="273"/>
      <c r="AU6" s="226">
        <f t="shared" si="30"/>
        <v>0</v>
      </c>
      <c r="AV6" s="273"/>
      <c r="AW6" s="209">
        <f t="shared" si="31"/>
        <v>0</v>
      </c>
      <c r="AX6" s="273"/>
      <c r="AY6" s="209">
        <f t="shared" si="32"/>
        <v>0</v>
      </c>
      <c r="AZ6" s="273"/>
      <c r="BA6" s="179">
        <f t="shared" si="33"/>
        <v>0</v>
      </c>
      <c r="BB6"/>
      <c r="BC6"/>
      <c r="BD6"/>
    </row>
    <row r="7" spans="1:56" s="34" customFormat="1" x14ac:dyDescent="0.25">
      <c r="A7" s="87">
        <v>40546</v>
      </c>
      <c r="B7" s="42">
        <v>7</v>
      </c>
      <c r="C7" s="41" t="str">
        <f t="shared" si="0"/>
        <v>250.00, V58.66, V58.67</v>
      </c>
      <c r="D7" s="41">
        <f t="shared" si="1"/>
        <v>53885044801</v>
      </c>
      <c r="E7" s="40" t="str">
        <f t="shared" si="2"/>
        <v>Pharmacy Retail</v>
      </c>
      <c r="F7" s="40" t="str">
        <f t="shared" si="3"/>
        <v>Medical equipment and supplies</v>
      </c>
      <c r="G7" s="40" t="str">
        <f t="shared" si="4"/>
        <v>OneTouch Ultra 2 Blood Glucose Meter Kit</v>
      </c>
      <c r="H7" s="40" t="str">
        <f t="shared" si="5"/>
        <v/>
      </c>
      <c r="I7" s="160">
        <f t="shared" si="6"/>
        <v>1</v>
      </c>
      <c r="J7" s="41" t="str">
        <f t="shared" si="7"/>
        <v/>
      </c>
      <c r="K7" s="41" t="str">
        <f t="shared" si="8"/>
        <v/>
      </c>
      <c r="L7" s="41" t="str">
        <f t="shared" si="9"/>
        <v/>
      </c>
      <c r="M7" s="41" t="str">
        <f t="shared" si="10"/>
        <v/>
      </c>
      <c r="N7" s="41" t="str">
        <f t="shared" si="11"/>
        <v/>
      </c>
      <c r="O7" s="41" t="str">
        <f t="shared" si="12"/>
        <v/>
      </c>
      <c r="P7" s="188" t="str">
        <f t="shared" si="13"/>
        <v/>
      </c>
      <c r="Q7" s="221">
        <f t="shared" si="14"/>
        <v>66</v>
      </c>
      <c r="R7" s="253">
        <v>66</v>
      </c>
      <c r="S7" s="179">
        <f t="shared" si="16"/>
        <v>101.4</v>
      </c>
      <c r="T7" s="259"/>
      <c r="U7" s="179">
        <f t="shared" si="17"/>
        <v>3</v>
      </c>
      <c r="V7" s="259"/>
      <c r="W7" s="179">
        <f t="shared" si="18"/>
        <v>0</v>
      </c>
      <c r="X7" s="259"/>
      <c r="Y7" s="179">
        <f t="shared" si="19"/>
        <v>0</v>
      </c>
      <c r="Z7" s="259"/>
      <c r="AA7" s="179">
        <f t="shared" si="20"/>
        <v>0</v>
      </c>
      <c r="AB7" s="259"/>
      <c r="AC7" s="179">
        <f t="shared" si="21"/>
        <v>0</v>
      </c>
      <c r="AD7" s="189">
        <f t="shared" si="15"/>
        <v>0</v>
      </c>
      <c r="AE7" s="179">
        <f t="shared" si="22"/>
        <v>0</v>
      </c>
      <c r="AF7" s="264"/>
      <c r="AG7" s="179">
        <f t="shared" si="23"/>
        <v>0</v>
      </c>
      <c r="AH7" s="268"/>
      <c r="AI7" s="179">
        <f t="shared" si="24"/>
        <v>0</v>
      </c>
      <c r="AJ7" s="268"/>
      <c r="AK7" s="179">
        <f t="shared" si="25"/>
        <v>0</v>
      </c>
      <c r="AL7" s="268"/>
      <c r="AM7" s="179">
        <f t="shared" si="26"/>
        <v>0</v>
      </c>
      <c r="AN7" s="268"/>
      <c r="AO7" s="179">
        <f t="shared" si="27"/>
        <v>0</v>
      </c>
      <c r="AP7" s="268"/>
      <c r="AQ7" s="179">
        <f t="shared" si="28"/>
        <v>0</v>
      </c>
      <c r="AR7" s="273"/>
      <c r="AS7" s="209">
        <f t="shared" si="29"/>
        <v>0</v>
      </c>
      <c r="AT7" s="273"/>
      <c r="AU7" s="226">
        <f t="shared" si="30"/>
        <v>0</v>
      </c>
      <c r="AV7" s="273"/>
      <c r="AW7" s="209">
        <f t="shared" si="31"/>
        <v>0</v>
      </c>
      <c r="AX7" s="273"/>
      <c r="AY7" s="209">
        <f t="shared" si="32"/>
        <v>0</v>
      </c>
      <c r="AZ7" s="273"/>
      <c r="BA7" s="179">
        <f t="shared" si="33"/>
        <v>0</v>
      </c>
      <c r="BB7"/>
      <c r="BC7"/>
      <c r="BD7"/>
    </row>
    <row r="8" spans="1:56" s="34" customFormat="1" x14ac:dyDescent="0.25">
      <c r="A8" s="87">
        <v>40546</v>
      </c>
      <c r="B8" s="42">
        <v>4</v>
      </c>
      <c r="C8" s="41" t="str">
        <f t="shared" si="0"/>
        <v>250.00, V58.66, V58.67</v>
      </c>
      <c r="D8" s="41">
        <f t="shared" si="1"/>
        <v>53885024510</v>
      </c>
      <c r="E8" s="40" t="str">
        <f t="shared" si="2"/>
        <v>Pharmacy Retail</v>
      </c>
      <c r="F8" s="40" t="str">
        <f t="shared" si="3"/>
        <v>Medical equipment and supplies</v>
      </c>
      <c r="G8" s="40" t="str">
        <f t="shared" si="4"/>
        <v xml:space="preserve">OneTouch Ultra Blue Test Strips (Rx - box of 100) [usage = 2 strips/day; 60 per month] </v>
      </c>
      <c r="H8" s="40" t="str">
        <f t="shared" si="5"/>
        <v/>
      </c>
      <c r="I8" s="160">
        <f t="shared" si="6"/>
        <v>1</v>
      </c>
      <c r="J8" s="41" t="str">
        <f t="shared" si="7"/>
        <v/>
      </c>
      <c r="K8" s="41" t="str">
        <f t="shared" si="8"/>
        <v/>
      </c>
      <c r="L8" s="41" t="str">
        <f t="shared" si="9"/>
        <v/>
      </c>
      <c r="M8" s="41" t="str">
        <f t="shared" si="10"/>
        <v/>
      </c>
      <c r="N8" s="41" t="str">
        <f t="shared" si="11"/>
        <v/>
      </c>
      <c r="O8" s="41" t="str">
        <f t="shared" si="12"/>
        <v/>
      </c>
      <c r="P8" s="188" t="str">
        <f t="shared" si="13"/>
        <v/>
      </c>
      <c r="Q8" s="221">
        <f t="shared" si="14"/>
        <v>123.6</v>
      </c>
      <c r="R8" s="253">
        <v>123.6</v>
      </c>
      <c r="S8" s="179">
        <f t="shared" si="16"/>
        <v>225</v>
      </c>
      <c r="T8" s="259"/>
      <c r="U8" s="179">
        <f t="shared" si="17"/>
        <v>3</v>
      </c>
      <c r="V8" s="259"/>
      <c r="W8" s="179">
        <f t="shared" si="18"/>
        <v>0</v>
      </c>
      <c r="X8" s="259"/>
      <c r="Y8" s="179">
        <f t="shared" si="19"/>
        <v>0</v>
      </c>
      <c r="Z8" s="259"/>
      <c r="AA8" s="179">
        <f t="shared" si="20"/>
        <v>0</v>
      </c>
      <c r="AB8" s="259"/>
      <c r="AC8" s="179">
        <f t="shared" si="21"/>
        <v>0</v>
      </c>
      <c r="AD8" s="189">
        <f t="shared" si="15"/>
        <v>0</v>
      </c>
      <c r="AE8" s="179">
        <f t="shared" si="22"/>
        <v>0</v>
      </c>
      <c r="AF8" s="264"/>
      <c r="AG8" s="179">
        <f t="shared" si="23"/>
        <v>0</v>
      </c>
      <c r="AH8" s="268"/>
      <c r="AI8" s="179">
        <f t="shared" si="24"/>
        <v>0</v>
      </c>
      <c r="AJ8" s="268"/>
      <c r="AK8" s="179">
        <f t="shared" si="25"/>
        <v>0</v>
      </c>
      <c r="AL8" s="268"/>
      <c r="AM8" s="179">
        <f t="shared" si="26"/>
        <v>0</v>
      </c>
      <c r="AN8" s="268"/>
      <c r="AO8" s="179">
        <f t="shared" si="27"/>
        <v>0</v>
      </c>
      <c r="AP8" s="268"/>
      <c r="AQ8" s="179">
        <f t="shared" si="28"/>
        <v>0</v>
      </c>
      <c r="AR8" s="273"/>
      <c r="AS8" s="209">
        <f t="shared" si="29"/>
        <v>0</v>
      </c>
      <c r="AT8" s="273"/>
      <c r="AU8" s="226">
        <f t="shared" si="30"/>
        <v>0</v>
      </c>
      <c r="AV8" s="273"/>
      <c r="AW8" s="209">
        <f t="shared" si="31"/>
        <v>0</v>
      </c>
      <c r="AX8" s="273"/>
      <c r="AY8" s="209">
        <f t="shared" si="32"/>
        <v>0</v>
      </c>
      <c r="AZ8" s="273"/>
      <c r="BA8" s="179">
        <f t="shared" si="33"/>
        <v>0</v>
      </c>
      <c r="BB8"/>
      <c r="BC8"/>
      <c r="BD8"/>
    </row>
    <row r="9" spans="1:56" s="34" customFormat="1" x14ac:dyDescent="0.25">
      <c r="A9" s="87">
        <v>40546</v>
      </c>
      <c r="B9" s="42">
        <v>6</v>
      </c>
      <c r="C9" s="41" t="str">
        <f t="shared" si="0"/>
        <v>250.00, V58.66, V58.67</v>
      </c>
      <c r="D9" s="41" t="str">
        <f t="shared" si="1"/>
        <v>53885041601</v>
      </c>
      <c r="E9" s="40" t="str">
        <f t="shared" si="2"/>
        <v>Pharmacy Retail</v>
      </c>
      <c r="F9" s="40" t="str">
        <f t="shared" si="3"/>
        <v>Medical equipment and supplies</v>
      </c>
      <c r="G9" s="40" t="str">
        <f t="shared" si="4"/>
        <v>OneTouch Ultra Control Solution (2 vials/box)</v>
      </c>
      <c r="H9" s="40" t="str">
        <f t="shared" si="5"/>
        <v/>
      </c>
      <c r="I9" s="160">
        <f t="shared" si="6"/>
        <v>1</v>
      </c>
      <c r="J9" s="41" t="str">
        <f t="shared" si="7"/>
        <v/>
      </c>
      <c r="K9" s="41" t="str">
        <f t="shared" si="8"/>
        <v/>
      </c>
      <c r="L9" s="41" t="str">
        <f t="shared" si="9"/>
        <v/>
      </c>
      <c r="M9" s="41" t="str">
        <f t="shared" si="10"/>
        <v/>
      </c>
      <c r="N9" s="41" t="str">
        <f t="shared" si="11"/>
        <v/>
      </c>
      <c r="O9" s="41" t="str">
        <f t="shared" si="12"/>
        <v/>
      </c>
      <c r="P9" s="188" t="str">
        <f t="shared" si="13"/>
        <v/>
      </c>
      <c r="Q9" s="221">
        <f t="shared" si="14"/>
        <v>6.02</v>
      </c>
      <c r="R9" s="253">
        <v>6.02</v>
      </c>
      <c r="S9" s="179">
        <f t="shared" si="16"/>
        <v>231.02</v>
      </c>
      <c r="T9" s="259"/>
      <c r="U9" s="179">
        <f t="shared" si="17"/>
        <v>3</v>
      </c>
      <c r="V9" s="259"/>
      <c r="W9" s="179">
        <f t="shared" si="18"/>
        <v>0</v>
      </c>
      <c r="X9" s="259"/>
      <c r="Y9" s="179">
        <f t="shared" si="19"/>
        <v>0</v>
      </c>
      <c r="Z9" s="259"/>
      <c r="AA9" s="179">
        <f t="shared" si="20"/>
        <v>0</v>
      </c>
      <c r="AB9" s="259"/>
      <c r="AC9" s="179">
        <f t="shared" si="21"/>
        <v>0</v>
      </c>
      <c r="AD9" s="189">
        <f t="shared" si="15"/>
        <v>0</v>
      </c>
      <c r="AE9" s="179">
        <f t="shared" si="22"/>
        <v>0</v>
      </c>
      <c r="AF9" s="264"/>
      <c r="AG9" s="179">
        <f t="shared" si="23"/>
        <v>0</v>
      </c>
      <c r="AH9" s="268"/>
      <c r="AI9" s="179">
        <f t="shared" si="24"/>
        <v>0</v>
      </c>
      <c r="AJ9" s="268"/>
      <c r="AK9" s="179">
        <f t="shared" si="25"/>
        <v>0</v>
      </c>
      <c r="AL9" s="268"/>
      <c r="AM9" s="179">
        <f t="shared" si="26"/>
        <v>0</v>
      </c>
      <c r="AN9" s="268"/>
      <c r="AO9" s="179">
        <f t="shared" si="27"/>
        <v>0</v>
      </c>
      <c r="AP9" s="268"/>
      <c r="AQ9" s="179">
        <f t="shared" si="28"/>
        <v>0</v>
      </c>
      <c r="AR9" s="273"/>
      <c r="AS9" s="209">
        <f t="shared" si="29"/>
        <v>0</v>
      </c>
      <c r="AT9" s="273"/>
      <c r="AU9" s="226">
        <f t="shared" si="30"/>
        <v>0</v>
      </c>
      <c r="AV9" s="273"/>
      <c r="AW9" s="209">
        <f t="shared" si="31"/>
        <v>0</v>
      </c>
      <c r="AX9" s="273"/>
      <c r="AY9" s="209">
        <f t="shared" si="32"/>
        <v>0</v>
      </c>
      <c r="AZ9" s="273"/>
      <c r="BA9" s="179">
        <f t="shared" si="33"/>
        <v>0</v>
      </c>
      <c r="BB9"/>
      <c r="BC9"/>
      <c r="BD9"/>
    </row>
    <row r="10" spans="1:56" s="34" customFormat="1" x14ac:dyDescent="0.25">
      <c r="A10" s="87">
        <v>40546</v>
      </c>
      <c r="B10" s="42">
        <v>26</v>
      </c>
      <c r="C10" s="41" t="str">
        <f t="shared" si="0"/>
        <v>250.00, V58.66, V58.67</v>
      </c>
      <c r="D10" s="41" t="str">
        <f t="shared" si="1"/>
        <v>OTC</v>
      </c>
      <c r="E10" s="40" t="str">
        <f t="shared" si="2"/>
        <v>Pharmacy Retail</v>
      </c>
      <c r="F10" s="40" t="str">
        <f t="shared" si="3"/>
        <v>Pharmacy</v>
      </c>
      <c r="G10" s="40" t="str">
        <f t="shared" si="4"/>
        <v>Aspirin 81mg (OTC - bottle 100) [usage = 1 QD; #30 pills per month]</v>
      </c>
      <c r="H10" s="40" t="str">
        <f t="shared" si="5"/>
        <v/>
      </c>
      <c r="I10" s="160" t="str">
        <f t="shared" si="6"/>
        <v/>
      </c>
      <c r="J10" s="41" t="str">
        <f t="shared" si="7"/>
        <v/>
      </c>
      <c r="K10" s="41" t="str">
        <f t="shared" si="8"/>
        <v/>
      </c>
      <c r="L10" s="41" t="str">
        <f t="shared" si="9"/>
        <v/>
      </c>
      <c r="M10" s="41" t="str">
        <f t="shared" si="10"/>
        <v/>
      </c>
      <c r="N10" s="41" t="str">
        <f t="shared" si="11"/>
        <v/>
      </c>
      <c r="O10" s="41" t="str">
        <f t="shared" si="12"/>
        <v/>
      </c>
      <c r="P10" s="188" t="str">
        <f t="shared" si="13"/>
        <v/>
      </c>
      <c r="Q10" s="221">
        <f t="shared" si="14"/>
        <v>8</v>
      </c>
      <c r="R10" s="253"/>
      <c r="S10" s="179">
        <f t="shared" si="16"/>
        <v>231.02</v>
      </c>
      <c r="T10" s="259">
        <v>8</v>
      </c>
      <c r="U10" s="179">
        <f t="shared" si="17"/>
        <v>11</v>
      </c>
      <c r="V10" s="259"/>
      <c r="W10" s="179">
        <f t="shared" si="18"/>
        <v>0</v>
      </c>
      <c r="X10" s="259"/>
      <c r="Y10" s="179">
        <f t="shared" si="19"/>
        <v>0</v>
      </c>
      <c r="Z10" s="259"/>
      <c r="AA10" s="179">
        <f t="shared" si="20"/>
        <v>0</v>
      </c>
      <c r="AB10" s="259"/>
      <c r="AC10" s="179">
        <f t="shared" si="21"/>
        <v>0</v>
      </c>
      <c r="AD10" s="189">
        <f t="shared" si="15"/>
        <v>0</v>
      </c>
      <c r="AE10" s="179">
        <f t="shared" si="22"/>
        <v>0</v>
      </c>
      <c r="AF10" s="264"/>
      <c r="AG10" s="179">
        <f t="shared" si="23"/>
        <v>0</v>
      </c>
      <c r="AH10" s="268"/>
      <c r="AI10" s="179">
        <f t="shared" si="24"/>
        <v>0</v>
      </c>
      <c r="AJ10" s="268"/>
      <c r="AK10" s="179">
        <f t="shared" si="25"/>
        <v>0</v>
      </c>
      <c r="AL10" s="268"/>
      <c r="AM10" s="179">
        <f t="shared" si="26"/>
        <v>0</v>
      </c>
      <c r="AN10" s="268"/>
      <c r="AO10" s="179">
        <f t="shared" si="27"/>
        <v>0</v>
      </c>
      <c r="AP10" s="268"/>
      <c r="AQ10" s="179">
        <f t="shared" si="28"/>
        <v>0</v>
      </c>
      <c r="AR10" s="273"/>
      <c r="AS10" s="209">
        <f t="shared" si="29"/>
        <v>0</v>
      </c>
      <c r="AT10" s="273"/>
      <c r="AU10" s="226">
        <f t="shared" si="30"/>
        <v>0</v>
      </c>
      <c r="AV10" s="273"/>
      <c r="AW10" s="209">
        <f t="shared" si="31"/>
        <v>0</v>
      </c>
      <c r="AX10" s="273"/>
      <c r="AY10" s="209">
        <f t="shared" si="32"/>
        <v>0</v>
      </c>
      <c r="AZ10" s="273"/>
      <c r="BA10" s="179">
        <f t="shared" si="33"/>
        <v>0</v>
      </c>
      <c r="BB10"/>
      <c r="BC10"/>
      <c r="BD10"/>
    </row>
    <row r="11" spans="1:56" s="34" customFormat="1" x14ac:dyDescent="0.25">
      <c r="A11" s="87">
        <v>40546</v>
      </c>
      <c r="B11" s="42">
        <v>1</v>
      </c>
      <c r="C11" s="41" t="str">
        <f t="shared" si="0"/>
        <v>250.00, V58.66, V58.67</v>
      </c>
      <c r="D11" s="41">
        <f t="shared" si="1"/>
        <v>2803101</v>
      </c>
      <c r="E11" s="40" t="str">
        <f t="shared" si="2"/>
        <v>Pharmacy Retail</v>
      </c>
      <c r="F11" s="40" t="str">
        <f t="shared" si="3"/>
        <v>Pharmacy</v>
      </c>
      <c r="G11" s="40" t="str">
        <f t="shared" si="4"/>
        <v>Glucagon Emergency Kit</v>
      </c>
      <c r="H11" s="40" t="str">
        <f t="shared" si="5"/>
        <v/>
      </c>
      <c r="I11" s="160" t="str">
        <f t="shared" si="6"/>
        <v/>
      </c>
      <c r="J11" s="41">
        <f t="shared" si="7"/>
        <v>1</v>
      </c>
      <c r="K11" s="41" t="str">
        <f t="shared" si="8"/>
        <v/>
      </c>
      <c r="L11" s="41" t="str">
        <f t="shared" si="9"/>
        <v/>
      </c>
      <c r="M11" s="41" t="str">
        <f t="shared" si="10"/>
        <v/>
      </c>
      <c r="N11" s="41" t="str">
        <f t="shared" si="11"/>
        <v/>
      </c>
      <c r="O11" s="41" t="str">
        <f t="shared" si="12"/>
        <v/>
      </c>
      <c r="P11" s="188" t="str">
        <f t="shared" si="13"/>
        <v/>
      </c>
      <c r="Q11" s="221">
        <f t="shared" si="14"/>
        <v>153</v>
      </c>
      <c r="R11" s="253">
        <v>43</v>
      </c>
      <c r="S11" s="179">
        <f t="shared" si="16"/>
        <v>274.02</v>
      </c>
      <c r="T11" s="259"/>
      <c r="U11" s="179">
        <f t="shared" si="17"/>
        <v>11</v>
      </c>
      <c r="V11" s="259"/>
      <c r="W11" s="179">
        <f t="shared" si="18"/>
        <v>0</v>
      </c>
      <c r="X11" s="259">
        <v>100</v>
      </c>
      <c r="Y11" s="179">
        <f t="shared" si="19"/>
        <v>100</v>
      </c>
      <c r="Z11" s="259">
        <v>10</v>
      </c>
      <c r="AA11" s="179">
        <f t="shared" si="20"/>
        <v>10</v>
      </c>
      <c r="AB11" s="259"/>
      <c r="AC11" s="179">
        <f t="shared" si="21"/>
        <v>0</v>
      </c>
      <c r="AD11" s="189">
        <f t="shared" si="15"/>
        <v>110</v>
      </c>
      <c r="AE11" s="179">
        <f t="shared" si="22"/>
        <v>110</v>
      </c>
      <c r="AF11" s="264"/>
      <c r="AG11" s="179">
        <f t="shared" si="23"/>
        <v>0</v>
      </c>
      <c r="AH11" s="268"/>
      <c r="AI11" s="179">
        <f t="shared" si="24"/>
        <v>0</v>
      </c>
      <c r="AJ11" s="268">
        <v>100</v>
      </c>
      <c r="AK11" s="179">
        <f t="shared" si="25"/>
        <v>100</v>
      </c>
      <c r="AL11" s="268"/>
      <c r="AM11" s="179">
        <f t="shared" si="26"/>
        <v>0</v>
      </c>
      <c r="AN11" s="268"/>
      <c r="AO11" s="179">
        <f t="shared" si="27"/>
        <v>0</v>
      </c>
      <c r="AP11" s="268"/>
      <c r="AQ11" s="179">
        <f t="shared" si="28"/>
        <v>0</v>
      </c>
      <c r="AR11" s="273"/>
      <c r="AS11" s="209">
        <f t="shared" si="29"/>
        <v>0</v>
      </c>
      <c r="AT11" s="273"/>
      <c r="AU11" s="226">
        <f t="shared" si="30"/>
        <v>0</v>
      </c>
      <c r="AV11" s="273"/>
      <c r="AW11" s="209">
        <f t="shared" si="31"/>
        <v>0</v>
      </c>
      <c r="AX11" s="273"/>
      <c r="AY11" s="209">
        <f t="shared" si="32"/>
        <v>0</v>
      </c>
      <c r="AZ11" s="273"/>
      <c r="BA11" s="179">
        <f t="shared" si="33"/>
        <v>0</v>
      </c>
      <c r="BB11"/>
      <c r="BC11"/>
      <c r="BD11"/>
    </row>
    <row r="12" spans="1:56" s="34" customFormat="1" x14ac:dyDescent="0.25">
      <c r="A12" s="87">
        <v>40546</v>
      </c>
      <c r="B12" s="42">
        <v>17</v>
      </c>
      <c r="C12" s="41" t="str">
        <f t="shared" si="0"/>
        <v>250.00, V58.66, V58.67</v>
      </c>
      <c r="D12" s="41">
        <f t="shared" si="1"/>
        <v>88222033</v>
      </c>
      <c r="E12" s="40" t="str">
        <f t="shared" si="2"/>
        <v>Pharmacy Retail</v>
      </c>
      <c r="F12" s="40" t="str">
        <f t="shared" si="3"/>
        <v>Pharmacy</v>
      </c>
      <c r="G12" s="40" t="str">
        <f t="shared" si="4"/>
        <v>Insulin glargine 100 unit/ml injectable solution (Rx - 10ml vial)  [20 units QD; expires 28 days after first use]</v>
      </c>
      <c r="H12" s="40" t="str">
        <f t="shared" si="5"/>
        <v/>
      </c>
      <c r="I12" s="160" t="str">
        <f t="shared" si="6"/>
        <v/>
      </c>
      <c r="J12" s="41">
        <f t="shared" si="7"/>
        <v>1</v>
      </c>
      <c r="K12" s="41" t="str">
        <f t="shared" si="8"/>
        <v/>
      </c>
      <c r="L12" s="41" t="str">
        <f t="shared" si="9"/>
        <v/>
      </c>
      <c r="M12" s="41" t="str">
        <f t="shared" si="10"/>
        <v/>
      </c>
      <c r="N12" s="41" t="str">
        <f t="shared" si="11"/>
        <v/>
      </c>
      <c r="O12" s="41" t="str">
        <f t="shared" si="12"/>
        <v/>
      </c>
      <c r="P12" s="188" t="str">
        <f t="shared" si="13"/>
        <v/>
      </c>
      <c r="Q12" s="221">
        <f t="shared" si="14"/>
        <v>119.2</v>
      </c>
      <c r="R12" s="253">
        <v>109.2</v>
      </c>
      <c r="S12" s="179">
        <f t="shared" si="16"/>
        <v>383.21999999999997</v>
      </c>
      <c r="T12" s="259"/>
      <c r="U12" s="179">
        <f t="shared" si="17"/>
        <v>11</v>
      </c>
      <c r="V12" s="259"/>
      <c r="W12" s="179">
        <f t="shared" si="18"/>
        <v>0</v>
      </c>
      <c r="X12" s="259">
        <v>0</v>
      </c>
      <c r="Y12" s="179">
        <f t="shared" si="19"/>
        <v>100</v>
      </c>
      <c r="Z12" s="259">
        <v>10</v>
      </c>
      <c r="AA12" s="179">
        <f t="shared" si="20"/>
        <v>20</v>
      </c>
      <c r="AB12" s="259"/>
      <c r="AC12" s="179">
        <f t="shared" si="21"/>
        <v>0</v>
      </c>
      <c r="AD12" s="189">
        <f t="shared" si="15"/>
        <v>10</v>
      </c>
      <c r="AE12" s="179">
        <f t="shared" si="22"/>
        <v>120</v>
      </c>
      <c r="AF12" s="264"/>
      <c r="AG12" s="179">
        <f t="shared" si="23"/>
        <v>0</v>
      </c>
      <c r="AH12" s="268"/>
      <c r="AI12" s="179">
        <f t="shared" si="24"/>
        <v>0</v>
      </c>
      <c r="AJ12" s="268">
        <v>0</v>
      </c>
      <c r="AK12" s="179">
        <f t="shared" si="25"/>
        <v>100</v>
      </c>
      <c r="AL12" s="268"/>
      <c r="AM12" s="179">
        <f t="shared" si="26"/>
        <v>0</v>
      </c>
      <c r="AN12" s="268"/>
      <c r="AO12" s="179">
        <f t="shared" si="27"/>
        <v>0</v>
      </c>
      <c r="AP12" s="268"/>
      <c r="AQ12" s="179">
        <f t="shared" si="28"/>
        <v>0</v>
      </c>
      <c r="AR12" s="273"/>
      <c r="AS12" s="209">
        <f t="shared" si="29"/>
        <v>0</v>
      </c>
      <c r="AT12" s="273"/>
      <c r="AU12" s="226">
        <f t="shared" si="30"/>
        <v>0</v>
      </c>
      <c r="AV12" s="273"/>
      <c r="AW12" s="209">
        <f t="shared" si="31"/>
        <v>0</v>
      </c>
      <c r="AX12" s="273"/>
      <c r="AY12" s="209">
        <f t="shared" si="32"/>
        <v>0</v>
      </c>
      <c r="AZ12" s="273"/>
      <c r="BA12" s="179">
        <f t="shared" si="33"/>
        <v>0</v>
      </c>
      <c r="BB12"/>
      <c r="BC12"/>
      <c r="BD12"/>
    </row>
    <row r="13" spans="1:56" s="34" customFormat="1" x14ac:dyDescent="0.25">
      <c r="A13" s="87">
        <v>40546</v>
      </c>
      <c r="B13" s="42">
        <v>18</v>
      </c>
      <c r="C13" s="41" t="str">
        <f t="shared" si="0"/>
        <v>250.00, V58.66, V58.67</v>
      </c>
      <c r="D13" s="41">
        <f t="shared" si="1"/>
        <v>93104801</v>
      </c>
      <c r="E13" s="40" t="str">
        <f t="shared" si="2"/>
        <v>Pharmacy Retail</v>
      </c>
      <c r="F13" s="40" t="str">
        <f t="shared" si="3"/>
        <v>Pharmacy</v>
      </c>
      <c r="G13" s="40" t="str">
        <f t="shared" si="4"/>
        <v>Metformin hydrochloride 500mg (Rx) [1 BID; #60 pills/month]</v>
      </c>
      <c r="H13" s="40" t="str">
        <f t="shared" si="5"/>
        <v/>
      </c>
      <c r="I13" s="160" t="str">
        <f t="shared" si="6"/>
        <v/>
      </c>
      <c r="J13" s="41">
        <f t="shared" si="7"/>
        <v>1</v>
      </c>
      <c r="K13" s="41" t="str">
        <f t="shared" si="8"/>
        <v/>
      </c>
      <c r="L13" s="41" t="str">
        <f t="shared" si="9"/>
        <v/>
      </c>
      <c r="M13" s="41" t="str">
        <f t="shared" si="10"/>
        <v/>
      </c>
      <c r="N13" s="41" t="str">
        <f t="shared" si="11"/>
        <v/>
      </c>
      <c r="O13" s="41" t="str">
        <f t="shared" si="12"/>
        <v/>
      </c>
      <c r="P13" s="188" t="str">
        <f t="shared" si="13"/>
        <v/>
      </c>
      <c r="Q13" s="221">
        <f t="shared" si="14"/>
        <v>34.369999999999997</v>
      </c>
      <c r="R13" s="253">
        <v>24.369999999999997</v>
      </c>
      <c r="S13" s="179">
        <f t="shared" si="16"/>
        <v>407.59</v>
      </c>
      <c r="T13" s="259"/>
      <c r="U13" s="179">
        <f t="shared" si="17"/>
        <v>11</v>
      </c>
      <c r="V13" s="259"/>
      <c r="W13" s="179">
        <f t="shared" si="18"/>
        <v>0</v>
      </c>
      <c r="X13" s="259">
        <v>0</v>
      </c>
      <c r="Y13" s="179">
        <f t="shared" si="19"/>
        <v>100</v>
      </c>
      <c r="Z13" s="259">
        <v>10</v>
      </c>
      <c r="AA13" s="179">
        <f t="shared" si="20"/>
        <v>30</v>
      </c>
      <c r="AB13" s="259"/>
      <c r="AC13" s="179">
        <f t="shared" si="21"/>
        <v>0</v>
      </c>
      <c r="AD13" s="189">
        <f t="shared" si="15"/>
        <v>10</v>
      </c>
      <c r="AE13" s="179">
        <f t="shared" si="22"/>
        <v>130</v>
      </c>
      <c r="AF13" s="264"/>
      <c r="AG13" s="179">
        <f t="shared" si="23"/>
        <v>0</v>
      </c>
      <c r="AH13" s="268"/>
      <c r="AI13" s="179">
        <f t="shared" si="24"/>
        <v>0</v>
      </c>
      <c r="AJ13" s="268">
        <v>0</v>
      </c>
      <c r="AK13" s="179">
        <f t="shared" si="25"/>
        <v>100</v>
      </c>
      <c r="AL13" s="268"/>
      <c r="AM13" s="179">
        <f t="shared" si="26"/>
        <v>0</v>
      </c>
      <c r="AN13" s="268"/>
      <c r="AO13" s="179">
        <f t="shared" si="27"/>
        <v>0</v>
      </c>
      <c r="AP13" s="268"/>
      <c r="AQ13" s="179">
        <f t="shared" si="28"/>
        <v>0</v>
      </c>
      <c r="AR13" s="273"/>
      <c r="AS13" s="209">
        <f t="shared" si="29"/>
        <v>0</v>
      </c>
      <c r="AT13" s="273"/>
      <c r="AU13" s="226">
        <f t="shared" si="30"/>
        <v>0</v>
      </c>
      <c r="AV13" s="273"/>
      <c r="AW13" s="209">
        <f t="shared" si="31"/>
        <v>0</v>
      </c>
      <c r="AX13" s="273"/>
      <c r="AY13" s="209">
        <f t="shared" si="32"/>
        <v>0</v>
      </c>
      <c r="AZ13" s="273"/>
      <c r="BA13" s="179">
        <f t="shared" si="33"/>
        <v>0</v>
      </c>
      <c r="BB13"/>
      <c r="BC13"/>
      <c r="BD13"/>
    </row>
    <row r="14" spans="1:56" s="34" customFormat="1" x14ac:dyDescent="0.25">
      <c r="A14" s="87">
        <v>40546</v>
      </c>
      <c r="B14" s="42">
        <v>19</v>
      </c>
      <c r="C14" s="41" t="str">
        <f t="shared" si="0"/>
        <v>250.00, V58.66, V58.67</v>
      </c>
      <c r="D14" s="41">
        <f t="shared" si="1"/>
        <v>93743801</v>
      </c>
      <c r="E14" s="40" t="str">
        <f t="shared" si="2"/>
        <v>Pharmacy Retail</v>
      </c>
      <c r="F14" s="40" t="str">
        <f t="shared" si="3"/>
        <v>Pharmacy</v>
      </c>
      <c r="G14" s="40" t="str">
        <f t="shared" si="4"/>
        <v>Ramipril 10mg (Rx) [1 QD; #30 pills/month]</v>
      </c>
      <c r="H14" s="40" t="str">
        <f t="shared" si="5"/>
        <v/>
      </c>
      <c r="I14" s="160" t="str">
        <f t="shared" si="6"/>
        <v/>
      </c>
      <c r="J14" s="41">
        <f t="shared" si="7"/>
        <v>1</v>
      </c>
      <c r="K14" s="41" t="str">
        <f t="shared" si="8"/>
        <v/>
      </c>
      <c r="L14" s="41" t="str">
        <f t="shared" si="9"/>
        <v/>
      </c>
      <c r="M14" s="41" t="str">
        <f t="shared" si="10"/>
        <v/>
      </c>
      <c r="N14" s="41" t="str">
        <f t="shared" si="11"/>
        <v/>
      </c>
      <c r="O14" s="41" t="str">
        <f t="shared" si="12"/>
        <v/>
      </c>
      <c r="P14" s="188" t="str">
        <f t="shared" si="13"/>
        <v/>
      </c>
      <c r="Q14" s="221">
        <f t="shared" si="14"/>
        <v>53.81</v>
      </c>
      <c r="R14" s="253">
        <v>43.81</v>
      </c>
      <c r="S14" s="179">
        <f t="shared" si="16"/>
        <v>451.4</v>
      </c>
      <c r="T14" s="259"/>
      <c r="U14" s="179">
        <f t="shared" si="17"/>
        <v>11</v>
      </c>
      <c r="V14" s="259"/>
      <c r="W14" s="179">
        <f t="shared" si="18"/>
        <v>0</v>
      </c>
      <c r="X14" s="259">
        <v>0</v>
      </c>
      <c r="Y14" s="179">
        <f t="shared" si="19"/>
        <v>100</v>
      </c>
      <c r="Z14" s="259">
        <v>10</v>
      </c>
      <c r="AA14" s="179">
        <f t="shared" si="20"/>
        <v>40</v>
      </c>
      <c r="AB14" s="259"/>
      <c r="AC14" s="179">
        <f t="shared" si="21"/>
        <v>0</v>
      </c>
      <c r="AD14" s="189">
        <f t="shared" si="15"/>
        <v>10</v>
      </c>
      <c r="AE14" s="179">
        <f t="shared" si="22"/>
        <v>140</v>
      </c>
      <c r="AF14" s="264"/>
      <c r="AG14" s="179">
        <f t="shared" si="23"/>
        <v>0</v>
      </c>
      <c r="AH14" s="268"/>
      <c r="AI14" s="179">
        <f t="shared" si="24"/>
        <v>0</v>
      </c>
      <c r="AJ14" s="268">
        <v>0</v>
      </c>
      <c r="AK14" s="179">
        <f t="shared" si="25"/>
        <v>100</v>
      </c>
      <c r="AL14" s="268"/>
      <c r="AM14" s="179">
        <f t="shared" si="26"/>
        <v>0</v>
      </c>
      <c r="AN14" s="268"/>
      <c r="AO14" s="179">
        <f t="shared" si="27"/>
        <v>0</v>
      </c>
      <c r="AP14" s="268"/>
      <c r="AQ14" s="179">
        <f t="shared" si="28"/>
        <v>0</v>
      </c>
      <c r="AR14" s="273"/>
      <c r="AS14" s="209">
        <f t="shared" si="29"/>
        <v>0</v>
      </c>
      <c r="AT14" s="273"/>
      <c r="AU14" s="226">
        <f t="shared" si="30"/>
        <v>0</v>
      </c>
      <c r="AV14" s="273"/>
      <c r="AW14" s="209">
        <f t="shared" si="31"/>
        <v>0</v>
      </c>
      <c r="AX14" s="273"/>
      <c r="AY14" s="209">
        <f t="shared" si="32"/>
        <v>0</v>
      </c>
      <c r="AZ14" s="273"/>
      <c r="BA14" s="179">
        <f t="shared" si="33"/>
        <v>0</v>
      </c>
      <c r="BB14"/>
      <c r="BC14"/>
      <c r="BD14"/>
    </row>
    <row r="15" spans="1:56" s="34" customFormat="1" x14ac:dyDescent="0.25">
      <c r="A15" s="87">
        <v>40546</v>
      </c>
      <c r="B15" s="42">
        <v>15</v>
      </c>
      <c r="C15" s="41" t="str">
        <f t="shared" si="0"/>
        <v>250.00, V58.66, V58.67</v>
      </c>
      <c r="D15" s="41">
        <f t="shared" si="1"/>
        <v>82947</v>
      </c>
      <c r="E15" s="40" t="str">
        <f t="shared" si="2"/>
        <v>Primary</v>
      </c>
      <c r="F15" s="40" t="str">
        <f t="shared" si="3"/>
        <v>Laboratory tests</v>
      </c>
      <c r="G15" s="40" t="str">
        <f t="shared" si="4"/>
        <v>Assay Glucose Blood Quant</v>
      </c>
      <c r="H15" s="40" t="str">
        <f t="shared" si="5"/>
        <v/>
      </c>
      <c r="I15" s="160" t="str">
        <f t="shared" si="6"/>
        <v/>
      </c>
      <c r="J15" s="41" t="str">
        <f t="shared" si="7"/>
        <v/>
      </c>
      <c r="K15" s="41" t="str">
        <f t="shared" si="8"/>
        <v/>
      </c>
      <c r="L15" s="41">
        <f t="shared" si="9"/>
        <v>1</v>
      </c>
      <c r="M15" s="41" t="str">
        <f t="shared" si="10"/>
        <v/>
      </c>
      <c r="N15" s="41" t="str">
        <f t="shared" si="11"/>
        <v/>
      </c>
      <c r="O15" s="41" t="str">
        <f t="shared" si="12"/>
        <v/>
      </c>
      <c r="P15" s="188" t="str">
        <f t="shared" si="13"/>
        <v/>
      </c>
      <c r="Q15" s="221">
        <f t="shared" si="14"/>
        <v>6.4317604084999997</v>
      </c>
      <c r="R15" s="253">
        <v>6.4317604084999997</v>
      </c>
      <c r="S15" s="179">
        <f t="shared" si="16"/>
        <v>457.83176040849997</v>
      </c>
      <c r="T15" s="259"/>
      <c r="U15" s="179">
        <f t="shared" si="17"/>
        <v>11</v>
      </c>
      <c r="V15" s="259"/>
      <c r="W15" s="179">
        <f t="shared" si="18"/>
        <v>0</v>
      </c>
      <c r="X15" s="259"/>
      <c r="Y15" s="179">
        <f t="shared" si="19"/>
        <v>100</v>
      </c>
      <c r="Z15" s="259"/>
      <c r="AA15" s="179">
        <f t="shared" si="20"/>
        <v>40</v>
      </c>
      <c r="AB15" s="259"/>
      <c r="AC15" s="179">
        <f t="shared" si="21"/>
        <v>0</v>
      </c>
      <c r="AD15" s="189">
        <f t="shared" si="15"/>
        <v>0</v>
      </c>
      <c r="AE15" s="179">
        <f t="shared" si="22"/>
        <v>140</v>
      </c>
      <c r="AF15" s="264"/>
      <c r="AG15" s="179">
        <f t="shared" si="23"/>
        <v>0</v>
      </c>
      <c r="AH15" s="268"/>
      <c r="AI15" s="179">
        <f t="shared" si="24"/>
        <v>0</v>
      </c>
      <c r="AJ15" s="268"/>
      <c r="AK15" s="179">
        <f t="shared" si="25"/>
        <v>100</v>
      </c>
      <c r="AL15" s="268"/>
      <c r="AM15" s="179">
        <f t="shared" si="26"/>
        <v>0</v>
      </c>
      <c r="AN15" s="268"/>
      <c r="AO15" s="179">
        <f t="shared" si="27"/>
        <v>0</v>
      </c>
      <c r="AP15" s="268"/>
      <c r="AQ15" s="179">
        <f t="shared" si="28"/>
        <v>0</v>
      </c>
      <c r="AR15" s="273"/>
      <c r="AS15" s="209">
        <f t="shared" si="29"/>
        <v>0</v>
      </c>
      <c r="AT15" s="273"/>
      <c r="AU15" s="226">
        <f t="shared" si="30"/>
        <v>0</v>
      </c>
      <c r="AV15" s="273"/>
      <c r="AW15" s="209">
        <f t="shared" si="31"/>
        <v>0</v>
      </c>
      <c r="AX15" s="273"/>
      <c r="AY15" s="209">
        <f t="shared" si="32"/>
        <v>0</v>
      </c>
      <c r="AZ15" s="273"/>
      <c r="BA15" s="179">
        <f t="shared" si="33"/>
        <v>0</v>
      </c>
      <c r="BB15"/>
      <c r="BC15"/>
      <c r="BD15"/>
    </row>
    <row r="16" spans="1:56" s="34" customFormat="1" x14ac:dyDescent="0.25">
      <c r="A16" s="87">
        <v>40546</v>
      </c>
      <c r="B16" s="42">
        <v>13</v>
      </c>
      <c r="C16" s="41" t="str">
        <f t="shared" si="0"/>
        <v>250.00, V58.66, V58.67</v>
      </c>
      <c r="D16" s="41">
        <f t="shared" si="1"/>
        <v>82570</v>
      </c>
      <c r="E16" s="40" t="str">
        <f t="shared" si="2"/>
        <v>Primary</v>
      </c>
      <c r="F16" s="40" t="str">
        <f t="shared" si="3"/>
        <v>Laboratory tests</v>
      </c>
      <c r="G16" s="40" t="str">
        <f t="shared" si="4"/>
        <v>Assay of Urine Creatinine</v>
      </c>
      <c r="H16" s="40" t="str">
        <f t="shared" si="5"/>
        <v/>
      </c>
      <c r="I16" s="160" t="str">
        <f t="shared" si="6"/>
        <v/>
      </c>
      <c r="J16" s="41" t="str">
        <f t="shared" si="7"/>
        <v/>
      </c>
      <c r="K16" s="41" t="str">
        <f t="shared" si="8"/>
        <v/>
      </c>
      <c r="L16" s="41">
        <f t="shared" si="9"/>
        <v>1</v>
      </c>
      <c r="M16" s="41" t="str">
        <f t="shared" si="10"/>
        <v/>
      </c>
      <c r="N16" s="41" t="str">
        <f t="shared" si="11"/>
        <v/>
      </c>
      <c r="O16" s="41" t="str">
        <f t="shared" si="12"/>
        <v/>
      </c>
      <c r="P16" s="188" t="str">
        <f t="shared" si="13"/>
        <v/>
      </c>
      <c r="Q16" s="221">
        <f t="shared" si="14"/>
        <v>7.1686463557</v>
      </c>
      <c r="R16" s="253">
        <v>7.1686463557</v>
      </c>
      <c r="S16" s="179">
        <f t="shared" si="16"/>
        <v>465.00040676419997</v>
      </c>
      <c r="T16" s="259"/>
      <c r="U16" s="179">
        <f t="shared" si="17"/>
        <v>11</v>
      </c>
      <c r="V16" s="259"/>
      <c r="W16" s="179">
        <f t="shared" si="18"/>
        <v>0</v>
      </c>
      <c r="X16" s="259"/>
      <c r="Y16" s="179">
        <f t="shared" si="19"/>
        <v>100</v>
      </c>
      <c r="Z16" s="259"/>
      <c r="AA16" s="179">
        <f t="shared" si="20"/>
        <v>40</v>
      </c>
      <c r="AB16" s="259"/>
      <c r="AC16" s="179">
        <f t="shared" si="21"/>
        <v>0</v>
      </c>
      <c r="AD16" s="189">
        <f t="shared" si="15"/>
        <v>0</v>
      </c>
      <c r="AE16" s="179">
        <f t="shared" si="22"/>
        <v>140</v>
      </c>
      <c r="AF16" s="264"/>
      <c r="AG16" s="179">
        <f t="shared" si="23"/>
        <v>0</v>
      </c>
      <c r="AH16" s="268"/>
      <c r="AI16" s="179">
        <f t="shared" si="24"/>
        <v>0</v>
      </c>
      <c r="AJ16" s="268"/>
      <c r="AK16" s="179">
        <f t="shared" si="25"/>
        <v>100</v>
      </c>
      <c r="AL16" s="268"/>
      <c r="AM16" s="179">
        <f t="shared" si="26"/>
        <v>0</v>
      </c>
      <c r="AN16" s="268"/>
      <c r="AO16" s="179">
        <f t="shared" si="27"/>
        <v>0</v>
      </c>
      <c r="AP16" s="268"/>
      <c r="AQ16" s="179">
        <f t="shared" si="28"/>
        <v>0</v>
      </c>
      <c r="AR16" s="273"/>
      <c r="AS16" s="209">
        <f t="shared" si="29"/>
        <v>0</v>
      </c>
      <c r="AT16" s="273"/>
      <c r="AU16" s="226">
        <f t="shared" si="30"/>
        <v>0</v>
      </c>
      <c r="AV16" s="273"/>
      <c r="AW16" s="209">
        <f t="shared" si="31"/>
        <v>0</v>
      </c>
      <c r="AX16" s="273"/>
      <c r="AY16" s="209">
        <f t="shared" si="32"/>
        <v>0</v>
      </c>
      <c r="AZ16" s="273"/>
      <c r="BA16" s="179">
        <f t="shared" si="33"/>
        <v>0</v>
      </c>
      <c r="BB16"/>
      <c r="BC16"/>
      <c r="BD16"/>
    </row>
    <row r="17" spans="1:56" s="34" customFormat="1" x14ac:dyDescent="0.25">
      <c r="A17" s="87">
        <v>40546</v>
      </c>
      <c r="B17" s="42">
        <v>8</v>
      </c>
      <c r="C17" s="41" t="str">
        <f t="shared" si="0"/>
        <v>250.00, V58.66, V58.67</v>
      </c>
      <c r="D17" s="41">
        <f t="shared" si="1"/>
        <v>80053</v>
      </c>
      <c r="E17" s="40" t="str">
        <f t="shared" si="2"/>
        <v>Primary</v>
      </c>
      <c r="F17" s="40" t="str">
        <f t="shared" si="3"/>
        <v>Laboratory tests</v>
      </c>
      <c r="G17" s="40" t="str">
        <f t="shared" si="4"/>
        <v>Comprehen Metabolic Panel</v>
      </c>
      <c r="H17" s="40" t="str">
        <f t="shared" si="5"/>
        <v/>
      </c>
      <c r="I17" s="160" t="str">
        <f t="shared" si="6"/>
        <v/>
      </c>
      <c r="J17" s="41" t="str">
        <f t="shared" si="7"/>
        <v/>
      </c>
      <c r="K17" s="41" t="str">
        <f t="shared" si="8"/>
        <v/>
      </c>
      <c r="L17" s="41">
        <f t="shared" si="9"/>
        <v>1</v>
      </c>
      <c r="M17" s="41" t="str">
        <f t="shared" si="10"/>
        <v/>
      </c>
      <c r="N17" s="41" t="str">
        <f t="shared" si="11"/>
        <v/>
      </c>
      <c r="O17" s="41" t="str">
        <f t="shared" si="12"/>
        <v/>
      </c>
      <c r="P17" s="188" t="str">
        <f t="shared" si="13"/>
        <v/>
      </c>
      <c r="Q17" s="221">
        <f t="shared" si="14"/>
        <v>18.130348149</v>
      </c>
      <c r="R17" s="253">
        <v>18.130348149</v>
      </c>
      <c r="S17" s="179">
        <f t="shared" si="16"/>
        <v>483.13075491319995</v>
      </c>
      <c r="T17" s="259"/>
      <c r="U17" s="179">
        <f t="shared" si="17"/>
        <v>11</v>
      </c>
      <c r="V17" s="259"/>
      <c r="W17" s="179">
        <f t="shared" si="18"/>
        <v>0</v>
      </c>
      <c r="X17" s="259"/>
      <c r="Y17" s="179">
        <f t="shared" si="19"/>
        <v>100</v>
      </c>
      <c r="Z17" s="259"/>
      <c r="AA17" s="179">
        <f t="shared" si="20"/>
        <v>40</v>
      </c>
      <c r="AB17" s="259"/>
      <c r="AC17" s="179">
        <f t="shared" si="21"/>
        <v>0</v>
      </c>
      <c r="AD17" s="189">
        <f t="shared" si="15"/>
        <v>0</v>
      </c>
      <c r="AE17" s="179">
        <f t="shared" si="22"/>
        <v>140</v>
      </c>
      <c r="AF17" s="264"/>
      <c r="AG17" s="179">
        <f t="shared" si="23"/>
        <v>0</v>
      </c>
      <c r="AH17" s="268"/>
      <c r="AI17" s="179">
        <f t="shared" si="24"/>
        <v>0</v>
      </c>
      <c r="AJ17" s="268"/>
      <c r="AK17" s="179">
        <f t="shared" si="25"/>
        <v>100</v>
      </c>
      <c r="AL17" s="268"/>
      <c r="AM17" s="179">
        <f t="shared" si="26"/>
        <v>0</v>
      </c>
      <c r="AN17" s="268"/>
      <c r="AO17" s="179">
        <f t="shared" si="27"/>
        <v>0</v>
      </c>
      <c r="AP17" s="268"/>
      <c r="AQ17" s="179">
        <f t="shared" si="28"/>
        <v>0</v>
      </c>
      <c r="AR17" s="273"/>
      <c r="AS17" s="209">
        <f t="shared" si="29"/>
        <v>0</v>
      </c>
      <c r="AT17" s="273"/>
      <c r="AU17" s="226">
        <f t="shared" si="30"/>
        <v>0</v>
      </c>
      <c r="AV17" s="273"/>
      <c r="AW17" s="209">
        <f t="shared" si="31"/>
        <v>0</v>
      </c>
      <c r="AX17" s="273"/>
      <c r="AY17" s="209">
        <f t="shared" si="32"/>
        <v>0</v>
      </c>
      <c r="AZ17" s="273"/>
      <c r="BA17" s="179">
        <f t="shared" si="33"/>
        <v>0</v>
      </c>
      <c r="BB17"/>
      <c r="BC17"/>
      <c r="BD17"/>
    </row>
    <row r="18" spans="1:56" s="34" customFormat="1" x14ac:dyDescent="0.25">
      <c r="A18" s="87">
        <v>40546</v>
      </c>
      <c r="B18" s="42">
        <v>16</v>
      </c>
      <c r="C18" s="41" t="str">
        <f t="shared" si="0"/>
        <v>250.00, V58.66, V58.67</v>
      </c>
      <c r="D18" s="41">
        <f t="shared" si="1"/>
        <v>83036</v>
      </c>
      <c r="E18" s="40" t="str">
        <f t="shared" si="2"/>
        <v>Primary</v>
      </c>
      <c r="F18" s="40" t="str">
        <f t="shared" si="3"/>
        <v>Laboratory tests</v>
      </c>
      <c r="G18" s="40" t="str">
        <f t="shared" si="4"/>
        <v>Glycosylated Hemoglobin Test</v>
      </c>
      <c r="H18" s="40" t="str">
        <f t="shared" si="5"/>
        <v/>
      </c>
      <c r="I18" s="160" t="str">
        <f t="shared" si="6"/>
        <v/>
      </c>
      <c r="J18" s="41" t="str">
        <f t="shared" si="7"/>
        <v/>
      </c>
      <c r="K18" s="41" t="str">
        <f t="shared" si="8"/>
        <v/>
      </c>
      <c r="L18" s="41">
        <f t="shared" si="9"/>
        <v>1</v>
      </c>
      <c r="M18" s="41" t="str">
        <f t="shared" si="10"/>
        <v/>
      </c>
      <c r="N18" s="41" t="str">
        <f t="shared" si="11"/>
        <v/>
      </c>
      <c r="O18" s="41" t="str">
        <f t="shared" si="12"/>
        <v/>
      </c>
      <c r="P18" s="188" t="str">
        <f t="shared" si="13"/>
        <v/>
      </c>
      <c r="Q18" s="221">
        <f t="shared" si="14"/>
        <v>14.074362869</v>
      </c>
      <c r="R18" s="253">
        <v>14.074362869</v>
      </c>
      <c r="S18" s="179">
        <f t="shared" si="16"/>
        <v>497.20511778219998</v>
      </c>
      <c r="T18" s="259"/>
      <c r="U18" s="179">
        <f t="shared" si="17"/>
        <v>11</v>
      </c>
      <c r="V18" s="259"/>
      <c r="W18" s="179">
        <f t="shared" si="18"/>
        <v>0</v>
      </c>
      <c r="X18" s="259"/>
      <c r="Y18" s="179">
        <f t="shared" si="19"/>
        <v>100</v>
      </c>
      <c r="Z18" s="259"/>
      <c r="AA18" s="179">
        <f t="shared" si="20"/>
        <v>40</v>
      </c>
      <c r="AB18" s="259"/>
      <c r="AC18" s="179">
        <f t="shared" si="21"/>
        <v>0</v>
      </c>
      <c r="AD18" s="189">
        <f t="shared" si="15"/>
        <v>0</v>
      </c>
      <c r="AE18" s="179">
        <f t="shared" si="22"/>
        <v>140</v>
      </c>
      <c r="AF18" s="264"/>
      <c r="AG18" s="179">
        <f t="shared" si="23"/>
        <v>0</v>
      </c>
      <c r="AH18" s="268"/>
      <c r="AI18" s="179">
        <f t="shared" si="24"/>
        <v>0</v>
      </c>
      <c r="AJ18" s="268"/>
      <c r="AK18" s="179">
        <f t="shared" si="25"/>
        <v>100</v>
      </c>
      <c r="AL18" s="268"/>
      <c r="AM18" s="179">
        <f t="shared" si="26"/>
        <v>0</v>
      </c>
      <c r="AN18" s="268"/>
      <c r="AO18" s="179">
        <f t="shared" si="27"/>
        <v>0</v>
      </c>
      <c r="AP18" s="268"/>
      <c r="AQ18" s="179">
        <f t="shared" si="28"/>
        <v>0</v>
      </c>
      <c r="AR18" s="273"/>
      <c r="AS18" s="209">
        <f t="shared" si="29"/>
        <v>0</v>
      </c>
      <c r="AT18" s="273"/>
      <c r="AU18" s="226">
        <f t="shared" si="30"/>
        <v>0</v>
      </c>
      <c r="AV18" s="273"/>
      <c r="AW18" s="209">
        <f t="shared" si="31"/>
        <v>0</v>
      </c>
      <c r="AX18" s="273"/>
      <c r="AY18" s="209">
        <f t="shared" si="32"/>
        <v>0</v>
      </c>
      <c r="AZ18" s="273"/>
      <c r="BA18" s="179">
        <f t="shared" si="33"/>
        <v>0</v>
      </c>
      <c r="BB18"/>
      <c r="BC18"/>
      <c r="BD18"/>
    </row>
    <row r="19" spans="1:56" s="34" customFormat="1" x14ac:dyDescent="0.25">
      <c r="A19" s="87">
        <v>40546</v>
      </c>
      <c r="B19" s="42">
        <v>9</v>
      </c>
      <c r="C19" s="41" t="str">
        <f t="shared" si="0"/>
        <v>250.00, V58.66, V58.67</v>
      </c>
      <c r="D19" s="41">
        <f t="shared" si="1"/>
        <v>80061</v>
      </c>
      <c r="E19" s="40" t="str">
        <f t="shared" si="2"/>
        <v>Primary</v>
      </c>
      <c r="F19" s="40" t="str">
        <f t="shared" si="3"/>
        <v>Laboratory tests</v>
      </c>
      <c r="G19" s="40" t="str">
        <f t="shared" si="4"/>
        <v>Lipid panel</v>
      </c>
      <c r="H19" s="40" t="str">
        <f t="shared" si="5"/>
        <v/>
      </c>
      <c r="I19" s="160" t="str">
        <f t="shared" si="6"/>
        <v/>
      </c>
      <c r="J19" s="41" t="str">
        <f t="shared" si="7"/>
        <v/>
      </c>
      <c r="K19" s="41" t="str">
        <f t="shared" si="8"/>
        <v/>
      </c>
      <c r="L19" s="41">
        <f t="shared" si="9"/>
        <v>1</v>
      </c>
      <c r="M19" s="41" t="str">
        <f t="shared" si="10"/>
        <v/>
      </c>
      <c r="N19" s="41" t="str">
        <f t="shared" si="11"/>
        <v/>
      </c>
      <c r="O19" s="41" t="str">
        <f t="shared" si="12"/>
        <v/>
      </c>
      <c r="P19" s="188" t="str">
        <f t="shared" si="13"/>
        <v/>
      </c>
      <c r="Q19" s="221">
        <f t="shared" si="14"/>
        <v>19.234491976000001</v>
      </c>
      <c r="R19" s="253">
        <v>19.234491976000001</v>
      </c>
      <c r="S19" s="179">
        <f t="shared" si="16"/>
        <v>516.43960975819994</v>
      </c>
      <c r="T19" s="259"/>
      <c r="U19" s="179">
        <f t="shared" si="17"/>
        <v>11</v>
      </c>
      <c r="V19" s="259"/>
      <c r="W19" s="179">
        <f t="shared" si="18"/>
        <v>0</v>
      </c>
      <c r="X19" s="259"/>
      <c r="Y19" s="179">
        <f t="shared" si="19"/>
        <v>100</v>
      </c>
      <c r="Z19" s="259"/>
      <c r="AA19" s="179">
        <f t="shared" si="20"/>
        <v>40</v>
      </c>
      <c r="AB19" s="259"/>
      <c r="AC19" s="179">
        <f t="shared" si="21"/>
        <v>0</v>
      </c>
      <c r="AD19" s="189">
        <f t="shared" si="15"/>
        <v>0</v>
      </c>
      <c r="AE19" s="179">
        <f t="shared" si="22"/>
        <v>140</v>
      </c>
      <c r="AF19" s="264"/>
      <c r="AG19" s="179">
        <f t="shared" si="23"/>
        <v>0</v>
      </c>
      <c r="AH19" s="268"/>
      <c r="AI19" s="179">
        <f t="shared" si="24"/>
        <v>0</v>
      </c>
      <c r="AJ19" s="268"/>
      <c r="AK19" s="179">
        <f t="shared" si="25"/>
        <v>100</v>
      </c>
      <c r="AL19" s="268"/>
      <c r="AM19" s="179">
        <f t="shared" si="26"/>
        <v>0</v>
      </c>
      <c r="AN19" s="268"/>
      <c r="AO19" s="179">
        <f t="shared" si="27"/>
        <v>0</v>
      </c>
      <c r="AP19" s="268"/>
      <c r="AQ19" s="179">
        <f t="shared" si="28"/>
        <v>0</v>
      </c>
      <c r="AR19" s="273"/>
      <c r="AS19" s="209">
        <f t="shared" si="29"/>
        <v>0</v>
      </c>
      <c r="AT19" s="273"/>
      <c r="AU19" s="226">
        <f t="shared" si="30"/>
        <v>0</v>
      </c>
      <c r="AV19" s="273"/>
      <c r="AW19" s="209">
        <f t="shared" si="31"/>
        <v>0</v>
      </c>
      <c r="AX19" s="273"/>
      <c r="AY19" s="209">
        <f t="shared" si="32"/>
        <v>0</v>
      </c>
      <c r="AZ19" s="273"/>
      <c r="BA19" s="179">
        <f t="shared" si="33"/>
        <v>0</v>
      </c>
      <c r="BB19"/>
      <c r="BC19"/>
      <c r="BD19"/>
    </row>
    <row r="20" spans="1:56" s="34" customFormat="1" x14ac:dyDescent="0.25">
      <c r="A20" s="87">
        <v>40546</v>
      </c>
      <c r="B20" s="42">
        <v>12</v>
      </c>
      <c r="C20" s="41" t="str">
        <f t="shared" si="0"/>
        <v>250.00, V58.66, V58.67</v>
      </c>
      <c r="D20" s="41">
        <f t="shared" si="1"/>
        <v>82043</v>
      </c>
      <c r="E20" s="40" t="str">
        <f t="shared" si="2"/>
        <v>Primary</v>
      </c>
      <c r="F20" s="40" t="str">
        <f t="shared" si="3"/>
        <v>Laboratory tests</v>
      </c>
      <c r="G20" s="40" t="str">
        <f t="shared" si="4"/>
        <v>Microalbumin Quantitative</v>
      </c>
      <c r="H20" s="40" t="str">
        <f t="shared" si="5"/>
        <v/>
      </c>
      <c r="I20" s="160" t="str">
        <f t="shared" si="6"/>
        <v/>
      </c>
      <c r="J20" s="41" t="str">
        <f t="shared" si="7"/>
        <v/>
      </c>
      <c r="K20" s="41" t="str">
        <f t="shared" si="8"/>
        <v/>
      </c>
      <c r="L20" s="41">
        <f t="shared" si="9"/>
        <v>1</v>
      </c>
      <c r="M20" s="41" t="str">
        <f t="shared" si="10"/>
        <v/>
      </c>
      <c r="N20" s="41" t="str">
        <f t="shared" si="11"/>
        <v/>
      </c>
      <c r="O20" s="41" t="str">
        <f t="shared" si="12"/>
        <v/>
      </c>
      <c r="P20" s="188" t="str">
        <f t="shared" si="13"/>
        <v/>
      </c>
      <c r="Q20" s="221">
        <f t="shared" si="14"/>
        <v>8.3096516433000005</v>
      </c>
      <c r="R20" s="253">
        <v>8.3096516433000005</v>
      </c>
      <c r="S20" s="179">
        <f t="shared" si="16"/>
        <v>524.74926140149989</v>
      </c>
      <c r="T20" s="259"/>
      <c r="U20" s="179">
        <f t="shared" si="17"/>
        <v>11</v>
      </c>
      <c r="V20" s="259"/>
      <c r="W20" s="179">
        <f t="shared" si="18"/>
        <v>0</v>
      </c>
      <c r="X20" s="259"/>
      <c r="Y20" s="179">
        <f t="shared" si="19"/>
        <v>100</v>
      </c>
      <c r="Z20" s="259"/>
      <c r="AA20" s="179">
        <f t="shared" si="20"/>
        <v>40</v>
      </c>
      <c r="AB20" s="259"/>
      <c r="AC20" s="179">
        <f t="shared" si="21"/>
        <v>0</v>
      </c>
      <c r="AD20" s="189">
        <f t="shared" si="15"/>
        <v>0</v>
      </c>
      <c r="AE20" s="179">
        <f t="shared" si="22"/>
        <v>140</v>
      </c>
      <c r="AF20" s="264"/>
      <c r="AG20" s="179">
        <f t="shared" si="23"/>
        <v>0</v>
      </c>
      <c r="AH20" s="268"/>
      <c r="AI20" s="179">
        <f t="shared" si="24"/>
        <v>0</v>
      </c>
      <c r="AJ20" s="268"/>
      <c r="AK20" s="179">
        <f t="shared" si="25"/>
        <v>100</v>
      </c>
      <c r="AL20" s="268"/>
      <c r="AM20" s="179">
        <f t="shared" si="26"/>
        <v>0</v>
      </c>
      <c r="AN20" s="268"/>
      <c r="AO20" s="179">
        <f t="shared" si="27"/>
        <v>0</v>
      </c>
      <c r="AP20" s="268"/>
      <c r="AQ20" s="179">
        <f t="shared" si="28"/>
        <v>0</v>
      </c>
      <c r="AR20" s="273"/>
      <c r="AS20" s="209">
        <f t="shared" si="29"/>
        <v>0</v>
      </c>
      <c r="AT20" s="273"/>
      <c r="AU20" s="226">
        <f t="shared" si="30"/>
        <v>0</v>
      </c>
      <c r="AV20" s="273"/>
      <c r="AW20" s="209">
        <f t="shared" si="31"/>
        <v>0</v>
      </c>
      <c r="AX20" s="273"/>
      <c r="AY20" s="209">
        <f t="shared" si="32"/>
        <v>0</v>
      </c>
      <c r="AZ20" s="273"/>
      <c r="BA20" s="179">
        <f t="shared" si="33"/>
        <v>0</v>
      </c>
      <c r="BB20"/>
      <c r="BC20"/>
      <c r="BD20"/>
    </row>
    <row r="21" spans="1:56" s="34" customFormat="1" x14ac:dyDescent="0.25">
      <c r="A21" s="87">
        <v>40546</v>
      </c>
      <c r="B21" s="42">
        <v>10</v>
      </c>
      <c r="C21" s="41" t="str">
        <f t="shared" si="0"/>
        <v>250.00, V58.66, V58.67</v>
      </c>
      <c r="D21" s="41">
        <f t="shared" si="1"/>
        <v>80069</v>
      </c>
      <c r="E21" s="40" t="str">
        <f t="shared" si="2"/>
        <v>Primary</v>
      </c>
      <c r="F21" s="40" t="str">
        <f t="shared" si="3"/>
        <v>Laboratory tests</v>
      </c>
      <c r="G21" s="40" t="str">
        <f t="shared" si="4"/>
        <v>Renal Function Panel</v>
      </c>
      <c r="H21" s="40" t="str">
        <f t="shared" si="5"/>
        <v/>
      </c>
      <c r="I21" s="160" t="str">
        <f t="shared" si="6"/>
        <v/>
      </c>
      <c r="J21" s="41" t="str">
        <f t="shared" si="7"/>
        <v/>
      </c>
      <c r="K21" s="41" t="str">
        <f t="shared" si="8"/>
        <v/>
      </c>
      <c r="L21" s="41">
        <f t="shared" si="9"/>
        <v>1</v>
      </c>
      <c r="M21" s="41" t="str">
        <f t="shared" si="10"/>
        <v/>
      </c>
      <c r="N21" s="41" t="str">
        <f t="shared" si="11"/>
        <v/>
      </c>
      <c r="O21" s="41" t="str">
        <f t="shared" si="12"/>
        <v/>
      </c>
      <c r="P21" s="188" t="str">
        <f t="shared" si="13"/>
        <v/>
      </c>
      <c r="Q21" s="221">
        <f t="shared" si="14"/>
        <v>14.302656536000001</v>
      </c>
      <c r="R21" s="253">
        <v>14.302656536000001</v>
      </c>
      <c r="S21" s="179">
        <f t="shared" si="16"/>
        <v>539.05191793749987</v>
      </c>
      <c r="T21" s="259"/>
      <c r="U21" s="179">
        <f t="shared" si="17"/>
        <v>11</v>
      </c>
      <c r="V21" s="259"/>
      <c r="W21" s="179">
        <f t="shared" si="18"/>
        <v>0</v>
      </c>
      <c r="X21" s="259"/>
      <c r="Y21" s="179">
        <f t="shared" si="19"/>
        <v>100</v>
      </c>
      <c r="Z21" s="259"/>
      <c r="AA21" s="179">
        <f t="shared" si="20"/>
        <v>40</v>
      </c>
      <c r="AB21" s="259"/>
      <c r="AC21" s="179">
        <f t="shared" si="21"/>
        <v>0</v>
      </c>
      <c r="AD21" s="189">
        <f t="shared" si="15"/>
        <v>0</v>
      </c>
      <c r="AE21" s="179">
        <f t="shared" si="22"/>
        <v>140</v>
      </c>
      <c r="AF21" s="264"/>
      <c r="AG21" s="179">
        <f t="shared" si="23"/>
        <v>0</v>
      </c>
      <c r="AH21" s="268"/>
      <c r="AI21" s="179">
        <f t="shared" si="24"/>
        <v>0</v>
      </c>
      <c r="AJ21" s="268"/>
      <c r="AK21" s="179">
        <f t="shared" si="25"/>
        <v>100</v>
      </c>
      <c r="AL21" s="268"/>
      <c r="AM21" s="179">
        <f t="shared" si="26"/>
        <v>0</v>
      </c>
      <c r="AN21" s="268"/>
      <c r="AO21" s="179">
        <f t="shared" si="27"/>
        <v>0</v>
      </c>
      <c r="AP21" s="268"/>
      <c r="AQ21" s="179">
        <f t="shared" si="28"/>
        <v>0</v>
      </c>
      <c r="AR21" s="273"/>
      <c r="AS21" s="209">
        <f t="shared" si="29"/>
        <v>0</v>
      </c>
      <c r="AT21" s="273"/>
      <c r="AU21" s="226">
        <f t="shared" si="30"/>
        <v>0</v>
      </c>
      <c r="AV21" s="273"/>
      <c r="AW21" s="209">
        <f t="shared" si="31"/>
        <v>0</v>
      </c>
      <c r="AX21" s="273"/>
      <c r="AY21" s="209">
        <f t="shared" si="32"/>
        <v>0</v>
      </c>
      <c r="AZ21" s="273"/>
      <c r="BA21" s="179">
        <f t="shared" si="33"/>
        <v>0</v>
      </c>
      <c r="BB21"/>
      <c r="BC21"/>
      <c r="BD21"/>
    </row>
    <row r="22" spans="1:56" s="34" customFormat="1" x14ac:dyDescent="0.25">
      <c r="A22" s="87">
        <v>40546</v>
      </c>
      <c r="B22" s="42">
        <v>2</v>
      </c>
      <c r="C22" s="41" t="str">
        <f t="shared" si="0"/>
        <v>250.00, V58.66, V58.67</v>
      </c>
      <c r="D22" s="41">
        <f t="shared" si="1"/>
        <v>36415</v>
      </c>
      <c r="E22" s="40" t="str">
        <f t="shared" si="2"/>
        <v>Primary</v>
      </c>
      <c r="F22" s="40" t="str">
        <f t="shared" si="3"/>
        <v>Laboratory tests</v>
      </c>
      <c r="G22" s="40" t="str">
        <f t="shared" si="4"/>
        <v>Routine Venipuncture</v>
      </c>
      <c r="H22" s="40" t="str">
        <f t="shared" si="5"/>
        <v/>
      </c>
      <c r="I22" s="160" t="str">
        <f t="shared" si="6"/>
        <v/>
      </c>
      <c r="J22" s="41" t="str">
        <f t="shared" si="7"/>
        <v/>
      </c>
      <c r="K22" s="41" t="str">
        <f t="shared" si="8"/>
        <v/>
      </c>
      <c r="L22" s="41">
        <f t="shared" si="9"/>
        <v>1</v>
      </c>
      <c r="M22" s="41" t="str">
        <f t="shared" si="10"/>
        <v/>
      </c>
      <c r="N22" s="41" t="str">
        <f t="shared" si="11"/>
        <v/>
      </c>
      <c r="O22" s="41" t="str">
        <f t="shared" si="12"/>
        <v/>
      </c>
      <c r="P22" s="188" t="str">
        <f t="shared" si="13"/>
        <v/>
      </c>
      <c r="Q22" s="221">
        <f t="shared" si="14"/>
        <v>4.1312550556999996</v>
      </c>
      <c r="R22" s="253">
        <v>4.1312550556999996</v>
      </c>
      <c r="S22" s="179">
        <f t="shared" si="16"/>
        <v>543.18317299319983</v>
      </c>
      <c r="T22" s="259"/>
      <c r="U22" s="179">
        <f t="shared" si="17"/>
        <v>11</v>
      </c>
      <c r="V22" s="259"/>
      <c r="W22" s="179">
        <f t="shared" si="18"/>
        <v>0</v>
      </c>
      <c r="X22" s="259"/>
      <c r="Y22" s="179">
        <f t="shared" si="19"/>
        <v>100</v>
      </c>
      <c r="Z22" s="259"/>
      <c r="AA22" s="179">
        <f t="shared" si="20"/>
        <v>40</v>
      </c>
      <c r="AB22" s="259"/>
      <c r="AC22" s="179">
        <f t="shared" si="21"/>
        <v>0</v>
      </c>
      <c r="AD22" s="189">
        <f t="shared" si="15"/>
        <v>0</v>
      </c>
      <c r="AE22" s="179">
        <f t="shared" si="22"/>
        <v>140</v>
      </c>
      <c r="AF22" s="264"/>
      <c r="AG22" s="179">
        <f t="shared" si="23"/>
        <v>0</v>
      </c>
      <c r="AH22" s="268"/>
      <c r="AI22" s="179">
        <f t="shared" si="24"/>
        <v>0</v>
      </c>
      <c r="AJ22" s="268"/>
      <c r="AK22" s="179">
        <f t="shared" si="25"/>
        <v>100</v>
      </c>
      <c r="AL22" s="268"/>
      <c r="AM22" s="179">
        <f t="shared" si="26"/>
        <v>0</v>
      </c>
      <c r="AN22" s="268"/>
      <c r="AO22" s="179">
        <f t="shared" si="27"/>
        <v>0</v>
      </c>
      <c r="AP22" s="268"/>
      <c r="AQ22" s="179">
        <f t="shared" si="28"/>
        <v>0</v>
      </c>
      <c r="AR22" s="273"/>
      <c r="AS22" s="209">
        <f t="shared" si="29"/>
        <v>0</v>
      </c>
      <c r="AT22" s="273"/>
      <c r="AU22" s="226">
        <f t="shared" si="30"/>
        <v>0</v>
      </c>
      <c r="AV22" s="273"/>
      <c r="AW22" s="209">
        <f t="shared" si="31"/>
        <v>0</v>
      </c>
      <c r="AX22" s="273"/>
      <c r="AY22" s="209">
        <f t="shared" si="32"/>
        <v>0</v>
      </c>
      <c r="AZ22" s="273"/>
      <c r="BA22" s="179">
        <f t="shared" si="33"/>
        <v>0</v>
      </c>
      <c r="BB22"/>
      <c r="BC22"/>
      <c r="BD22"/>
    </row>
    <row r="23" spans="1:56" s="34" customFormat="1" x14ac:dyDescent="0.25">
      <c r="A23" s="87">
        <v>40546</v>
      </c>
      <c r="B23" s="42">
        <v>11</v>
      </c>
      <c r="C23" s="41" t="str">
        <f t="shared" si="0"/>
        <v>250.00, V58.66, V58.67</v>
      </c>
      <c r="D23" s="41">
        <f t="shared" si="1"/>
        <v>81003</v>
      </c>
      <c r="E23" s="40" t="str">
        <f t="shared" si="2"/>
        <v>Primary</v>
      </c>
      <c r="F23" s="40" t="str">
        <f t="shared" si="3"/>
        <v>Laboratory tests</v>
      </c>
      <c r="G23" s="40" t="str">
        <f t="shared" si="4"/>
        <v>Urinalysis Auto W/O Scope</v>
      </c>
      <c r="H23" s="40" t="str">
        <f t="shared" si="5"/>
        <v/>
      </c>
      <c r="I23" s="160" t="str">
        <f t="shared" si="6"/>
        <v/>
      </c>
      <c r="J23" s="41" t="str">
        <f t="shared" si="7"/>
        <v/>
      </c>
      <c r="K23" s="41" t="str">
        <f t="shared" si="8"/>
        <v/>
      </c>
      <c r="L23" s="41">
        <f t="shared" si="9"/>
        <v>1</v>
      </c>
      <c r="M23" s="41" t="str">
        <f t="shared" si="10"/>
        <v/>
      </c>
      <c r="N23" s="41" t="str">
        <f t="shared" si="11"/>
        <v/>
      </c>
      <c r="O23" s="41" t="str">
        <f t="shared" si="12"/>
        <v/>
      </c>
      <c r="P23" s="188" t="str">
        <f t="shared" si="13"/>
        <v/>
      </c>
      <c r="Q23" s="221">
        <f t="shared" si="14"/>
        <v>3.1785047792999999</v>
      </c>
      <c r="R23" s="253">
        <v>3.1785047792999999</v>
      </c>
      <c r="S23" s="179">
        <f t="shared" si="16"/>
        <v>546.36167777249989</v>
      </c>
      <c r="T23" s="259"/>
      <c r="U23" s="179">
        <f t="shared" si="17"/>
        <v>11</v>
      </c>
      <c r="V23" s="259"/>
      <c r="W23" s="179">
        <f t="shared" si="18"/>
        <v>0</v>
      </c>
      <c r="X23" s="259"/>
      <c r="Y23" s="179">
        <f t="shared" si="19"/>
        <v>100</v>
      </c>
      <c r="Z23" s="259"/>
      <c r="AA23" s="179">
        <f t="shared" si="20"/>
        <v>40</v>
      </c>
      <c r="AB23" s="259"/>
      <c r="AC23" s="179">
        <f t="shared" si="21"/>
        <v>0</v>
      </c>
      <c r="AD23" s="189">
        <f t="shared" si="15"/>
        <v>0</v>
      </c>
      <c r="AE23" s="179">
        <f t="shared" si="22"/>
        <v>140</v>
      </c>
      <c r="AF23" s="264"/>
      <c r="AG23" s="179">
        <f t="shared" si="23"/>
        <v>0</v>
      </c>
      <c r="AH23" s="268"/>
      <c r="AI23" s="179">
        <f t="shared" si="24"/>
        <v>0</v>
      </c>
      <c r="AJ23" s="268"/>
      <c r="AK23" s="179">
        <f t="shared" si="25"/>
        <v>100</v>
      </c>
      <c r="AL23" s="268"/>
      <c r="AM23" s="179">
        <f t="shared" si="26"/>
        <v>0</v>
      </c>
      <c r="AN23" s="268"/>
      <c r="AO23" s="179">
        <f t="shared" si="27"/>
        <v>0</v>
      </c>
      <c r="AP23" s="268"/>
      <c r="AQ23" s="179">
        <f t="shared" si="28"/>
        <v>0</v>
      </c>
      <c r="AR23" s="273"/>
      <c r="AS23" s="209">
        <f t="shared" si="29"/>
        <v>0</v>
      </c>
      <c r="AT23" s="273"/>
      <c r="AU23" s="226">
        <f t="shared" si="30"/>
        <v>0</v>
      </c>
      <c r="AV23" s="273"/>
      <c r="AW23" s="209">
        <f t="shared" si="31"/>
        <v>0</v>
      </c>
      <c r="AX23" s="273"/>
      <c r="AY23" s="209">
        <f t="shared" si="32"/>
        <v>0</v>
      </c>
      <c r="AZ23" s="273"/>
      <c r="BA23" s="179">
        <f t="shared" si="33"/>
        <v>0</v>
      </c>
      <c r="BB23"/>
      <c r="BC23"/>
      <c r="BD23"/>
    </row>
    <row r="24" spans="1:56" s="34" customFormat="1" x14ac:dyDescent="0.25">
      <c r="A24" s="87">
        <v>40546</v>
      </c>
      <c r="B24" s="42">
        <v>24</v>
      </c>
      <c r="C24" s="41" t="str">
        <f t="shared" si="0"/>
        <v>250.00, V58.66, V58.67</v>
      </c>
      <c r="D24" s="41">
        <f t="shared" si="1"/>
        <v>99214</v>
      </c>
      <c r="E24" s="40" t="str">
        <f t="shared" si="2"/>
        <v>Primary</v>
      </c>
      <c r="F24" s="40" t="str">
        <f t="shared" si="3"/>
        <v>Office visits &amp; procedures</v>
      </c>
      <c r="G24" s="40" t="str">
        <f t="shared" si="4"/>
        <v>Office/Outpatient Visit Est</v>
      </c>
      <c r="H24" s="40" t="str">
        <f t="shared" si="5"/>
        <v/>
      </c>
      <c r="I24" s="160" t="str">
        <f t="shared" si="6"/>
        <v/>
      </c>
      <c r="J24" s="41" t="str">
        <f t="shared" si="7"/>
        <v/>
      </c>
      <c r="K24" s="41" t="str">
        <f t="shared" si="8"/>
        <v/>
      </c>
      <c r="L24" s="41" t="str">
        <f t="shared" si="9"/>
        <v/>
      </c>
      <c r="M24" s="41" t="str">
        <f t="shared" si="10"/>
        <v/>
      </c>
      <c r="N24" s="41" t="str">
        <f t="shared" si="11"/>
        <v/>
      </c>
      <c r="O24" s="41" t="str">
        <f t="shared" si="12"/>
        <v/>
      </c>
      <c r="P24" s="188">
        <f t="shared" si="13"/>
        <v>1</v>
      </c>
      <c r="Q24" s="221">
        <f t="shared" si="14"/>
        <v>102.47359376999999</v>
      </c>
      <c r="R24" s="253">
        <v>0</v>
      </c>
      <c r="S24" s="179">
        <f t="shared" si="16"/>
        <v>546.36167777249989</v>
      </c>
      <c r="T24" s="259"/>
      <c r="U24" s="179">
        <f t="shared" si="17"/>
        <v>11</v>
      </c>
      <c r="V24" s="259"/>
      <c r="W24" s="179">
        <f t="shared" si="18"/>
        <v>0</v>
      </c>
      <c r="X24" s="259">
        <v>102.47359376999999</v>
      </c>
      <c r="Y24" s="179">
        <f t="shared" si="19"/>
        <v>202.47359376999998</v>
      </c>
      <c r="Z24" s="259">
        <v>0</v>
      </c>
      <c r="AA24" s="179">
        <f t="shared" si="20"/>
        <v>40</v>
      </c>
      <c r="AB24" s="259"/>
      <c r="AC24" s="179">
        <f t="shared" si="21"/>
        <v>0</v>
      </c>
      <c r="AD24" s="189">
        <f t="shared" si="15"/>
        <v>102.47359376999999</v>
      </c>
      <c r="AE24" s="179">
        <f t="shared" si="22"/>
        <v>242.47359376999998</v>
      </c>
      <c r="AF24" s="264">
        <v>102.47359376999999</v>
      </c>
      <c r="AG24" s="179">
        <f t="shared" si="23"/>
        <v>102.47359376999999</v>
      </c>
      <c r="AH24" s="268"/>
      <c r="AI24" s="179">
        <f t="shared" si="24"/>
        <v>0</v>
      </c>
      <c r="AJ24" s="268"/>
      <c r="AK24" s="179">
        <f t="shared" si="25"/>
        <v>100</v>
      </c>
      <c r="AL24" s="268"/>
      <c r="AM24" s="179">
        <f t="shared" si="26"/>
        <v>0</v>
      </c>
      <c r="AN24" s="268"/>
      <c r="AO24" s="179">
        <f t="shared" si="27"/>
        <v>0</v>
      </c>
      <c r="AP24" s="268"/>
      <c r="AQ24" s="179">
        <f t="shared" si="28"/>
        <v>0</v>
      </c>
      <c r="AR24" s="273"/>
      <c r="AS24" s="209">
        <f t="shared" si="29"/>
        <v>0</v>
      </c>
      <c r="AT24" s="273"/>
      <c r="AU24" s="226">
        <f t="shared" si="30"/>
        <v>0</v>
      </c>
      <c r="AV24" s="273"/>
      <c r="AW24" s="209">
        <f t="shared" si="31"/>
        <v>0</v>
      </c>
      <c r="AX24" s="273"/>
      <c r="AY24" s="209">
        <f t="shared" si="32"/>
        <v>0</v>
      </c>
      <c r="AZ24" s="273"/>
      <c r="BA24" s="179">
        <f t="shared" si="33"/>
        <v>0</v>
      </c>
      <c r="BB24"/>
      <c r="BC24"/>
      <c r="BD24"/>
    </row>
    <row r="25" spans="1:56" s="34" customFormat="1" x14ac:dyDescent="0.25">
      <c r="A25" s="87">
        <v>40547</v>
      </c>
      <c r="B25" s="42">
        <v>21</v>
      </c>
      <c r="C25" s="41" t="str">
        <f t="shared" si="0"/>
        <v>250.00, V58.66, V58.67</v>
      </c>
      <c r="D25" s="41">
        <f t="shared" si="1"/>
        <v>98960</v>
      </c>
      <c r="E25" s="40" t="str">
        <f t="shared" si="2"/>
        <v>Diabetes Educator</v>
      </c>
      <c r="F25" s="40" t="str">
        <f t="shared" si="3"/>
        <v>Office visits &amp; procedures</v>
      </c>
      <c r="G25" s="40" t="str">
        <f t="shared" si="4"/>
        <v>Self-mgmt educ &amp; train 1 pt</v>
      </c>
      <c r="H25" s="40" t="str">
        <f t="shared" si="5"/>
        <v/>
      </c>
      <c r="I25" s="160" t="str">
        <f t="shared" si="6"/>
        <v/>
      </c>
      <c r="J25" s="41" t="str">
        <f t="shared" si="7"/>
        <v/>
      </c>
      <c r="K25" s="41" t="str">
        <f t="shared" si="8"/>
        <v/>
      </c>
      <c r="L25" s="41" t="str">
        <f t="shared" si="9"/>
        <v/>
      </c>
      <c r="M25" s="41" t="str">
        <f t="shared" si="10"/>
        <v/>
      </c>
      <c r="N25" s="41" t="str">
        <f t="shared" si="11"/>
        <v/>
      </c>
      <c r="O25" s="41" t="str">
        <f t="shared" si="12"/>
        <v/>
      </c>
      <c r="P25" s="188">
        <f t="shared" si="13"/>
        <v>1</v>
      </c>
      <c r="Q25" s="221">
        <f t="shared" si="14"/>
        <v>80.526112889000004</v>
      </c>
      <c r="R25" s="253">
        <v>0</v>
      </c>
      <c r="S25" s="179">
        <f t="shared" si="16"/>
        <v>546.36167777249989</v>
      </c>
      <c r="T25" s="259"/>
      <c r="U25" s="179">
        <f t="shared" si="17"/>
        <v>11</v>
      </c>
      <c r="V25" s="259"/>
      <c r="W25" s="179">
        <f t="shared" si="18"/>
        <v>0</v>
      </c>
      <c r="X25" s="259">
        <v>80.526112889000004</v>
      </c>
      <c r="Y25" s="179">
        <f t="shared" si="19"/>
        <v>282.99970665899997</v>
      </c>
      <c r="Z25" s="259">
        <v>0</v>
      </c>
      <c r="AA25" s="179">
        <f t="shared" si="20"/>
        <v>40</v>
      </c>
      <c r="AB25" s="259"/>
      <c r="AC25" s="179">
        <f t="shared" si="21"/>
        <v>0</v>
      </c>
      <c r="AD25" s="189">
        <f t="shared" si="15"/>
        <v>80.526112889000004</v>
      </c>
      <c r="AE25" s="179">
        <f t="shared" si="22"/>
        <v>322.99970665899997</v>
      </c>
      <c r="AF25" s="264">
        <v>80.526112889000004</v>
      </c>
      <c r="AG25" s="179">
        <f t="shared" si="23"/>
        <v>182.999706659</v>
      </c>
      <c r="AH25" s="268"/>
      <c r="AI25" s="179">
        <f t="shared" si="24"/>
        <v>0</v>
      </c>
      <c r="AJ25" s="268"/>
      <c r="AK25" s="179">
        <f t="shared" si="25"/>
        <v>100</v>
      </c>
      <c r="AL25" s="268"/>
      <c r="AM25" s="179">
        <f t="shared" si="26"/>
        <v>0</v>
      </c>
      <c r="AN25" s="268"/>
      <c r="AO25" s="179">
        <f t="shared" si="27"/>
        <v>0</v>
      </c>
      <c r="AP25" s="268"/>
      <c r="AQ25" s="179">
        <f t="shared" si="28"/>
        <v>0</v>
      </c>
      <c r="AR25" s="273"/>
      <c r="AS25" s="209">
        <f t="shared" si="29"/>
        <v>0</v>
      </c>
      <c r="AT25" s="273"/>
      <c r="AU25" s="226">
        <f t="shared" si="30"/>
        <v>0</v>
      </c>
      <c r="AV25" s="273"/>
      <c r="AW25" s="209">
        <f t="shared" si="31"/>
        <v>0</v>
      </c>
      <c r="AX25" s="273"/>
      <c r="AY25" s="209">
        <f t="shared" si="32"/>
        <v>0</v>
      </c>
      <c r="AZ25" s="273"/>
      <c r="BA25" s="179">
        <f t="shared" si="33"/>
        <v>0</v>
      </c>
      <c r="BB25"/>
      <c r="BC25"/>
      <c r="BD25"/>
    </row>
    <row r="26" spans="1:56" s="34" customFormat="1" x14ac:dyDescent="0.25">
      <c r="A26" s="87">
        <v>40547</v>
      </c>
      <c r="B26" s="42">
        <v>20</v>
      </c>
      <c r="C26" s="41" t="str">
        <f t="shared" si="0"/>
        <v>250.00, V58.66, V58.67</v>
      </c>
      <c r="D26" s="41">
        <f t="shared" si="1"/>
        <v>97803</v>
      </c>
      <c r="E26" s="40" t="str">
        <f t="shared" si="2"/>
        <v>Dietician</v>
      </c>
      <c r="F26" s="40" t="str">
        <f t="shared" si="3"/>
        <v>Office visits &amp; procedures</v>
      </c>
      <c r="G26" s="40" t="str">
        <f t="shared" si="4"/>
        <v>Med Nutrition Indiv Subseq</v>
      </c>
      <c r="H26" s="40" t="str">
        <f t="shared" si="5"/>
        <v/>
      </c>
      <c r="I26" s="160" t="str">
        <f t="shared" si="6"/>
        <v/>
      </c>
      <c r="J26" s="41" t="str">
        <f t="shared" si="7"/>
        <v/>
      </c>
      <c r="K26" s="41" t="str">
        <f t="shared" si="8"/>
        <v/>
      </c>
      <c r="L26" s="41" t="str">
        <f t="shared" si="9"/>
        <v/>
      </c>
      <c r="M26" s="41" t="str">
        <f t="shared" si="10"/>
        <v/>
      </c>
      <c r="N26" s="41" t="str">
        <f t="shared" si="11"/>
        <v/>
      </c>
      <c r="O26" s="41" t="str">
        <f t="shared" si="12"/>
        <v/>
      </c>
      <c r="P26" s="188">
        <f t="shared" si="13"/>
        <v>1</v>
      </c>
      <c r="Q26" s="221">
        <f t="shared" si="14"/>
        <v>63.127764974000002</v>
      </c>
      <c r="R26" s="253">
        <v>0</v>
      </c>
      <c r="S26" s="179">
        <f t="shared" si="16"/>
        <v>546.36167777249989</v>
      </c>
      <c r="T26" s="259"/>
      <c r="U26" s="179">
        <f t="shared" si="17"/>
        <v>11</v>
      </c>
      <c r="V26" s="259"/>
      <c r="W26" s="179">
        <f t="shared" si="18"/>
        <v>0</v>
      </c>
      <c r="X26" s="259">
        <v>63.127764974000002</v>
      </c>
      <c r="Y26" s="179">
        <f t="shared" si="19"/>
        <v>346.12747163299997</v>
      </c>
      <c r="Z26" s="259">
        <v>0</v>
      </c>
      <c r="AA26" s="179">
        <f t="shared" si="20"/>
        <v>40</v>
      </c>
      <c r="AB26" s="259"/>
      <c r="AC26" s="179">
        <f t="shared" si="21"/>
        <v>0</v>
      </c>
      <c r="AD26" s="189">
        <f t="shared" si="15"/>
        <v>63.127764974000002</v>
      </c>
      <c r="AE26" s="179">
        <f t="shared" si="22"/>
        <v>386.12747163299997</v>
      </c>
      <c r="AF26" s="264">
        <v>63.127764974000002</v>
      </c>
      <c r="AG26" s="179">
        <f t="shared" si="23"/>
        <v>246.127471633</v>
      </c>
      <c r="AH26" s="268"/>
      <c r="AI26" s="179">
        <f t="shared" si="24"/>
        <v>0</v>
      </c>
      <c r="AJ26" s="268"/>
      <c r="AK26" s="179">
        <f t="shared" si="25"/>
        <v>100</v>
      </c>
      <c r="AL26" s="268"/>
      <c r="AM26" s="179">
        <f t="shared" si="26"/>
        <v>0</v>
      </c>
      <c r="AN26" s="268"/>
      <c r="AO26" s="179">
        <f t="shared" si="27"/>
        <v>0</v>
      </c>
      <c r="AP26" s="268"/>
      <c r="AQ26" s="179">
        <f t="shared" si="28"/>
        <v>0</v>
      </c>
      <c r="AR26" s="273"/>
      <c r="AS26" s="209">
        <f t="shared" si="29"/>
        <v>0</v>
      </c>
      <c r="AT26" s="273"/>
      <c r="AU26" s="226">
        <f t="shared" si="30"/>
        <v>0</v>
      </c>
      <c r="AV26" s="273"/>
      <c r="AW26" s="209">
        <f t="shared" si="31"/>
        <v>0</v>
      </c>
      <c r="AX26" s="273"/>
      <c r="AY26" s="209">
        <f t="shared" si="32"/>
        <v>0</v>
      </c>
      <c r="AZ26" s="273"/>
      <c r="BA26" s="179">
        <f t="shared" si="33"/>
        <v>0</v>
      </c>
      <c r="BB26"/>
      <c r="BC26"/>
      <c r="BD26"/>
    </row>
    <row r="27" spans="1:56" s="34" customFormat="1" x14ac:dyDescent="0.25">
      <c r="A27" s="87">
        <v>40549</v>
      </c>
      <c r="B27" s="42">
        <v>23</v>
      </c>
      <c r="C27" s="41" t="str">
        <f t="shared" si="0"/>
        <v>250.00, V58.66, V58.67</v>
      </c>
      <c r="D27" s="41">
        <f t="shared" si="1"/>
        <v>99204</v>
      </c>
      <c r="E27" s="40" t="str">
        <f t="shared" si="2"/>
        <v>Podiatry</v>
      </c>
      <c r="F27" s="40" t="str">
        <f t="shared" si="3"/>
        <v>Office visits &amp; procedures</v>
      </c>
      <c r="G27" s="40" t="str">
        <f t="shared" si="4"/>
        <v>Office/Outpatient Visit New</v>
      </c>
      <c r="H27" s="40" t="str">
        <f t="shared" si="5"/>
        <v>Annual foot exam</v>
      </c>
      <c r="I27" s="160" t="str">
        <f t="shared" si="6"/>
        <v/>
      </c>
      <c r="J27" s="41" t="str">
        <f t="shared" si="7"/>
        <v/>
      </c>
      <c r="K27" s="41" t="str">
        <f t="shared" si="8"/>
        <v/>
      </c>
      <c r="L27" s="41" t="str">
        <f t="shared" si="9"/>
        <v/>
      </c>
      <c r="M27" s="41" t="str">
        <f t="shared" si="10"/>
        <v/>
      </c>
      <c r="N27" s="41" t="str">
        <f t="shared" si="11"/>
        <v/>
      </c>
      <c r="O27" s="41" t="str">
        <f t="shared" si="12"/>
        <v/>
      </c>
      <c r="P27" s="188">
        <f t="shared" si="13"/>
        <v>1</v>
      </c>
      <c r="Q27" s="221">
        <f t="shared" si="14"/>
        <v>157.61130740999999</v>
      </c>
      <c r="R27" s="253">
        <v>0</v>
      </c>
      <c r="S27" s="179">
        <f t="shared" si="16"/>
        <v>546.36167777249989</v>
      </c>
      <c r="T27" s="259"/>
      <c r="U27" s="179">
        <f t="shared" si="17"/>
        <v>11</v>
      </c>
      <c r="V27" s="259"/>
      <c r="W27" s="179">
        <f t="shared" si="18"/>
        <v>0</v>
      </c>
      <c r="X27" s="259">
        <v>157.61130740999999</v>
      </c>
      <c r="Y27" s="179">
        <f t="shared" si="19"/>
        <v>503.73877904299997</v>
      </c>
      <c r="Z27" s="259">
        <v>0</v>
      </c>
      <c r="AA27" s="179">
        <f t="shared" si="20"/>
        <v>40</v>
      </c>
      <c r="AB27" s="259"/>
      <c r="AC27" s="179">
        <f t="shared" si="21"/>
        <v>0</v>
      </c>
      <c r="AD27" s="189">
        <f t="shared" si="15"/>
        <v>157.61130740999999</v>
      </c>
      <c r="AE27" s="179">
        <f t="shared" si="22"/>
        <v>543.73877904300002</v>
      </c>
      <c r="AF27" s="264">
        <v>157.61130740999999</v>
      </c>
      <c r="AG27" s="179">
        <f t="shared" si="23"/>
        <v>403.73877904300002</v>
      </c>
      <c r="AH27" s="268"/>
      <c r="AI27" s="179">
        <f t="shared" si="24"/>
        <v>0</v>
      </c>
      <c r="AJ27" s="268"/>
      <c r="AK27" s="179">
        <f t="shared" si="25"/>
        <v>100</v>
      </c>
      <c r="AL27" s="268"/>
      <c r="AM27" s="179">
        <f t="shared" si="26"/>
        <v>0</v>
      </c>
      <c r="AN27" s="268"/>
      <c r="AO27" s="179">
        <f t="shared" si="27"/>
        <v>0</v>
      </c>
      <c r="AP27" s="268"/>
      <c r="AQ27" s="179">
        <f t="shared" si="28"/>
        <v>0</v>
      </c>
      <c r="AR27" s="273"/>
      <c r="AS27" s="209">
        <f t="shared" si="29"/>
        <v>0</v>
      </c>
      <c r="AT27" s="273"/>
      <c r="AU27" s="226">
        <f t="shared" si="30"/>
        <v>0</v>
      </c>
      <c r="AV27" s="273"/>
      <c r="AW27" s="209">
        <f t="shared" si="31"/>
        <v>0</v>
      </c>
      <c r="AX27" s="273"/>
      <c r="AY27" s="209">
        <f t="shared" si="32"/>
        <v>0</v>
      </c>
      <c r="AZ27" s="273"/>
      <c r="BA27" s="179">
        <f t="shared" si="33"/>
        <v>0</v>
      </c>
      <c r="BB27"/>
      <c r="BC27"/>
      <c r="BD27"/>
    </row>
    <row r="28" spans="1:56" s="34" customFormat="1" x14ac:dyDescent="0.25">
      <c r="A28" s="87">
        <v>40550</v>
      </c>
      <c r="B28" s="42">
        <v>22</v>
      </c>
      <c r="C28" s="41" t="str">
        <f t="shared" si="0"/>
        <v>250.00, V58.66, V58.67</v>
      </c>
      <c r="D28" s="41">
        <f t="shared" si="1"/>
        <v>99204</v>
      </c>
      <c r="E28" s="40" t="str">
        <f t="shared" si="2"/>
        <v>Ophthalmology</v>
      </c>
      <c r="F28" s="40" t="str">
        <f t="shared" si="3"/>
        <v>Office visits &amp; procedures</v>
      </c>
      <c r="G28" s="40" t="str">
        <f t="shared" si="4"/>
        <v>Office/Outpatient Visit New</v>
      </c>
      <c r="H28" s="40" t="str">
        <f t="shared" si="5"/>
        <v>Annual eye exam</v>
      </c>
      <c r="I28" s="160" t="str">
        <f t="shared" si="6"/>
        <v/>
      </c>
      <c r="J28" s="41" t="str">
        <f t="shared" si="7"/>
        <v/>
      </c>
      <c r="K28" s="41" t="str">
        <f t="shared" si="8"/>
        <v/>
      </c>
      <c r="L28" s="41" t="str">
        <f t="shared" si="9"/>
        <v/>
      </c>
      <c r="M28" s="41" t="str">
        <f t="shared" si="10"/>
        <v/>
      </c>
      <c r="N28" s="41" t="str">
        <f t="shared" si="11"/>
        <v/>
      </c>
      <c r="O28" s="41" t="str">
        <f t="shared" si="12"/>
        <v/>
      </c>
      <c r="P28" s="188">
        <f t="shared" si="13"/>
        <v>1</v>
      </c>
      <c r="Q28" s="221">
        <f t="shared" si="14"/>
        <v>157.61130740999999</v>
      </c>
      <c r="R28" s="253">
        <v>0</v>
      </c>
      <c r="S28" s="179">
        <f t="shared" si="16"/>
        <v>546.36167777249989</v>
      </c>
      <c r="T28" s="259"/>
      <c r="U28" s="179">
        <f t="shared" si="17"/>
        <v>11</v>
      </c>
      <c r="V28" s="259"/>
      <c r="W28" s="179">
        <f t="shared" si="18"/>
        <v>0</v>
      </c>
      <c r="X28" s="259">
        <v>157.61130740999999</v>
      </c>
      <c r="Y28" s="179">
        <f t="shared" si="19"/>
        <v>661.3500864529999</v>
      </c>
      <c r="Z28" s="259">
        <v>0</v>
      </c>
      <c r="AA28" s="179">
        <f t="shared" si="20"/>
        <v>40</v>
      </c>
      <c r="AB28" s="259"/>
      <c r="AC28" s="179">
        <f t="shared" si="21"/>
        <v>0</v>
      </c>
      <c r="AD28" s="189">
        <f t="shared" si="15"/>
        <v>157.61130740999999</v>
      </c>
      <c r="AE28" s="179">
        <f t="shared" si="22"/>
        <v>701.35008645300002</v>
      </c>
      <c r="AF28" s="264">
        <v>157.61130740999999</v>
      </c>
      <c r="AG28" s="179">
        <f t="shared" si="23"/>
        <v>561.35008645300002</v>
      </c>
      <c r="AH28" s="268"/>
      <c r="AI28" s="179">
        <f t="shared" si="24"/>
        <v>0</v>
      </c>
      <c r="AJ28" s="268"/>
      <c r="AK28" s="179">
        <f t="shared" si="25"/>
        <v>100</v>
      </c>
      <c r="AL28" s="268"/>
      <c r="AM28" s="179">
        <f t="shared" si="26"/>
        <v>0</v>
      </c>
      <c r="AN28" s="268"/>
      <c r="AO28" s="179">
        <f t="shared" si="27"/>
        <v>0</v>
      </c>
      <c r="AP28" s="268"/>
      <c r="AQ28" s="179">
        <f t="shared" si="28"/>
        <v>0</v>
      </c>
      <c r="AR28" s="273"/>
      <c r="AS28" s="209">
        <f t="shared" si="29"/>
        <v>0</v>
      </c>
      <c r="AT28" s="273"/>
      <c r="AU28" s="226">
        <f t="shared" si="30"/>
        <v>0</v>
      </c>
      <c r="AV28" s="273"/>
      <c r="AW28" s="209">
        <f t="shared" si="31"/>
        <v>0</v>
      </c>
      <c r="AX28" s="273"/>
      <c r="AY28" s="209">
        <f t="shared" si="32"/>
        <v>0</v>
      </c>
      <c r="AZ28" s="273"/>
      <c r="BA28" s="179">
        <f t="shared" si="33"/>
        <v>0</v>
      </c>
      <c r="BB28"/>
      <c r="BC28"/>
      <c r="BD28"/>
    </row>
    <row r="29" spans="1:56" s="34" customFormat="1" x14ac:dyDescent="0.25">
      <c r="A29" s="87">
        <v>40574</v>
      </c>
      <c r="B29" s="42">
        <v>17</v>
      </c>
      <c r="C29" s="41" t="str">
        <f t="shared" si="0"/>
        <v>250.00, V58.66, V58.67</v>
      </c>
      <c r="D29" s="41">
        <f t="shared" si="1"/>
        <v>88222033</v>
      </c>
      <c r="E29" s="40" t="str">
        <f t="shared" si="2"/>
        <v>Pharmacy Retail</v>
      </c>
      <c r="F29" s="40" t="str">
        <f t="shared" si="3"/>
        <v>Pharmacy</v>
      </c>
      <c r="G29" s="40" t="str">
        <f t="shared" si="4"/>
        <v>Insulin glargine 100 unit/ml injectable solution (Rx - 10ml vial)  [20 units QD; expires 28 days after first use]</v>
      </c>
      <c r="H29" s="40" t="str">
        <f t="shared" si="5"/>
        <v/>
      </c>
      <c r="I29" s="160" t="str">
        <f t="shared" si="6"/>
        <v/>
      </c>
      <c r="J29" s="41">
        <f t="shared" si="7"/>
        <v>1</v>
      </c>
      <c r="K29" s="41" t="str">
        <f t="shared" si="8"/>
        <v/>
      </c>
      <c r="L29" s="41" t="str">
        <f t="shared" si="9"/>
        <v/>
      </c>
      <c r="M29" s="41" t="str">
        <f t="shared" si="10"/>
        <v/>
      </c>
      <c r="N29" s="41" t="str">
        <f t="shared" si="11"/>
        <v/>
      </c>
      <c r="O29" s="41" t="str">
        <f t="shared" si="12"/>
        <v/>
      </c>
      <c r="P29" s="188" t="str">
        <f t="shared" si="13"/>
        <v/>
      </c>
      <c r="Q29" s="221">
        <f t="shared" si="14"/>
        <v>119.2</v>
      </c>
      <c r="R29" s="253">
        <v>109.2</v>
      </c>
      <c r="S29" s="179">
        <f t="shared" si="16"/>
        <v>655.56167777249993</v>
      </c>
      <c r="T29" s="259"/>
      <c r="U29" s="179">
        <f t="shared" si="17"/>
        <v>11</v>
      </c>
      <c r="V29" s="259"/>
      <c r="W29" s="179">
        <f t="shared" si="18"/>
        <v>0</v>
      </c>
      <c r="X29" s="259">
        <v>0</v>
      </c>
      <c r="Y29" s="179">
        <f t="shared" si="19"/>
        <v>661.3500864529999</v>
      </c>
      <c r="Z29" s="259">
        <v>10</v>
      </c>
      <c r="AA29" s="179">
        <f t="shared" si="20"/>
        <v>50</v>
      </c>
      <c r="AB29" s="259"/>
      <c r="AC29" s="179">
        <f t="shared" si="21"/>
        <v>0</v>
      </c>
      <c r="AD29" s="189">
        <f t="shared" si="15"/>
        <v>10</v>
      </c>
      <c r="AE29" s="179">
        <f t="shared" si="22"/>
        <v>711.35008645300002</v>
      </c>
      <c r="AF29" s="264"/>
      <c r="AG29" s="179">
        <f t="shared" si="23"/>
        <v>561.35008645300002</v>
      </c>
      <c r="AH29" s="268"/>
      <c r="AI29" s="179">
        <f t="shared" si="24"/>
        <v>0</v>
      </c>
      <c r="AJ29" s="268">
        <v>0</v>
      </c>
      <c r="AK29" s="179">
        <f t="shared" si="25"/>
        <v>100</v>
      </c>
      <c r="AL29" s="268"/>
      <c r="AM29" s="179">
        <f t="shared" si="26"/>
        <v>0</v>
      </c>
      <c r="AN29" s="268"/>
      <c r="AO29" s="179">
        <f t="shared" si="27"/>
        <v>0</v>
      </c>
      <c r="AP29" s="268"/>
      <c r="AQ29" s="179">
        <f t="shared" si="28"/>
        <v>0</v>
      </c>
      <c r="AR29" s="273"/>
      <c r="AS29" s="209">
        <f t="shared" si="29"/>
        <v>0</v>
      </c>
      <c r="AT29" s="273"/>
      <c r="AU29" s="226">
        <f t="shared" si="30"/>
        <v>0</v>
      </c>
      <c r="AV29" s="273"/>
      <c r="AW29" s="209">
        <f t="shared" si="31"/>
        <v>0</v>
      </c>
      <c r="AX29" s="273"/>
      <c r="AY29" s="209">
        <f t="shared" si="32"/>
        <v>0</v>
      </c>
      <c r="AZ29" s="273"/>
      <c r="BA29" s="179">
        <f t="shared" si="33"/>
        <v>0</v>
      </c>
      <c r="BB29"/>
      <c r="BC29"/>
      <c r="BD29"/>
    </row>
    <row r="30" spans="1:56" s="34" customFormat="1" x14ac:dyDescent="0.25">
      <c r="A30" s="87">
        <v>40576</v>
      </c>
      <c r="B30" s="42">
        <v>25</v>
      </c>
      <c r="C30" s="41" t="str">
        <f t="shared" si="0"/>
        <v>250.00, V58.66, V58.67</v>
      </c>
      <c r="D30" s="41" t="str">
        <f t="shared" si="1"/>
        <v>OTC</v>
      </c>
      <c r="E30" s="40" t="str">
        <f t="shared" si="2"/>
        <v>Pharmacy Retail</v>
      </c>
      <c r="F30" s="40" t="str">
        <f t="shared" si="3"/>
        <v>Medical equipment and supplies</v>
      </c>
      <c r="G30" s="40" t="str">
        <f t="shared" si="4"/>
        <v>Alcohol swabs (OTC - box of 100)  [usage = 3 wipes/day; 90 wipes/month]</v>
      </c>
      <c r="H30" s="40" t="str">
        <f t="shared" si="5"/>
        <v/>
      </c>
      <c r="I30" s="160">
        <f t="shared" si="6"/>
        <v>1</v>
      </c>
      <c r="J30" s="41" t="str">
        <f t="shared" si="7"/>
        <v/>
      </c>
      <c r="K30" s="41" t="str">
        <f t="shared" si="8"/>
        <v/>
      </c>
      <c r="L30" s="41" t="str">
        <f t="shared" si="9"/>
        <v/>
      </c>
      <c r="M30" s="41" t="str">
        <f t="shared" si="10"/>
        <v/>
      </c>
      <c r="N30" s="41" t="str">
        <f t="shared" si="11"/>
        <v/>
      </c>
      <c r="O30" s="41" t="str">
        <f t="shared" si="12"/>
        <v/>
      </c>
      <c r="P30" s="188" t="str">
        <f t="shared" si="13"/>
        <v/>
      </c>
      <c r="Q30" s="221">
        <f t="shared" si="14"/>
        <v>3</v>
      </c>
      <c r="R30" s="253"/>
      <c r="S30" s="179">
        <f t="shared" si="16"/>
        <v>655.56167777249993</v>
      </c>
      <c r="T30" s="259">
        <v>3</v>
      </c>
      <c r="U30" s="179">
        <f t="shared" si="17"/>
        <v>14</v>
      </c>
      <c r="V30" s="259"/>
      <c r="W30" s="179">
        <f t="shared" si="18"/>
        <v>0</v>
      </c>
      <c r="X30" s="259"/>
      <c r="Y30" s="179">
        <f t="shared" si="19"/>
        <v>661.3500864529999</v>
      </c>
      <c r="Z30" s="259"/>
      <c r="AA30" s="179">
        <f t="shared" si="20"/>
        <v>50</v>
      </c>
      <c r="AB30" s="259"/>
      <c r="AC30" s="179">
        <f t="shared" si="21"/>
        <v>0</v>
      </c>
      <c r="AD30" s="189">
        <f t="shared" si="15"/>
        <v>0</v>
      </c>
      <c r="AE30" s="179">
        <f t="shared" si="22"/>
        <v>711.35008645300002</v>
      </c>
      <c r="AF30" s="264"/>
      <c r="AG30" s="179">
        <f t="shared" si="23"/>
        <v>561.35008645300002</v>
      </c>
      <c r="AH30" s="268"/>
      <c r="AI30" s="179">
        <f t="shared" si="24"/>
        <v>0</v>
      </c>
      <c r="AJ30" s="268"/>
      <c r="AK30" s="179">
        <f t="shared" si="25"/>
        <v>100</v>
      </c>
      <c r="AL30" s="268"/>
      <c r="AM30" s="179">
        <f t="shared" si="26"/>
        <v>0</v>
      </c>
      <c r="AN30" s="268"/>
      <c r="AO30" s="179">
        <f t="shared" si="27"/>
        <v>0</v>
      </c>
      <c r="AP30" s="268"/>
      <c r="AQ30" s="179">
        <f t="shared" si="28"/>
        <v>0</v>
      </c>
      <c r="AR30" s="273"/>
      <c r="AS30" s="209">
        <f t="shared" si="29"/>
        <v>0</v>
      </c>
      <c r="AT30" s="273"/>
      <c r="AU30" s="226">
        <f t="shared" si="30"/>
        <v>0</v>
      </c>
      <c r="AV30" s="273"/>
      <c r="AW30" s="209">
        <f t="shared" si="31"/>
        <v>0</v>
      </c>
      <c r="AX30" s="273"/>
      <c r="AY30" s="209">
        <f t="shared" si="32"/>
        <v>0</v>
      </c>
      <c r="AZ30" s="273"/>
      <c r="BA30" s="179">
        <f t="shared" si="33"/>
        <v>0</v>
      </c>
      <c r="BB30"/>
      <c r="BC30"/>
      <c r="BD30"/>
    </row>
    <row r="31" spans="1:56" s="34" customFormat="1" x14ac:dyDescent="0.25">
      <c r="A31" s="87">
        <v>40576</v>
      </c>
      <c r="B31" s="42">
        <v>14</v>
      </c>
      <c r="C31" s="41" t="str">
        <f t="shared" si="0"/>
        <v>250.00, V58.66, V58.67</v>
      </c>
      <c r="D31" s="41">
        <f t="shared" si="1"/>
        <v>8290328279</v>
      </c>
      <c r="E31" s="40" t="str">
        <f t="shared" si="2"/>
        <v>Pharmacy Retail</v>
      </c>
      <c r="F31" s="40" t="str">
        <f t="shared" si="3"/>
        <v>Medical equipment and supplies</v>
      </c>
      <c r="G31" s="40" t="str">
        <f t="shared" si="4"/>
        <v>BD Ultrafine Insulin Syringes / 30G/ 0.5cc  [usage = 30 syringes per month]</v>
      </c>
      <c r="H31" s="40" t="str">
        <f t="shared" si="5"/>
        <v/>
      </c>
      <c r="I31" s="160">
        <f t="shared" si="6"/>
        <v>1</v>
      </c>
      <c r="J31" s="41" t="str">
        <f t="shared" si="7"/>
        <v/>
      </c>
      <c r="K31" s="41" t="str">
        <f t="shared" si="8"/>
        <v/>
      </c>
      <c r="L31" s="41" t="str">
        <f t="shared" si="9"/>
        <v/>
      </c>
      <c r="M31" s="41" t="str">
        <f t="shared" si="10"/>
        <v/>
      </c>
      <c r="N31" s="41" t="str">
        <f t="shared" si="11"/>
        <v/>
      </c>
      <c r="O31" s="41" t="str">
        <f t="shared" si="12"/>
        <v/>
      </c>
      <c r="P31" s="188" t="str">
        <f t="shared" si="13"/>
        <v/>
      </c>
      <c r="Q31" s="221">
        <f t="shared" si="14"/>
        <v>8.4</v>
      </c>
      <c r="R31" s="253">
        <v>8.4</v>
      </c>
      <c r="S31" s="179">
        <f t="shared" si="16"/>
        <v>663.96167777249991</v>
      </c>
      <c r="T31" s="259"/>
      <c r="U31" s="179">
        <f t="shared" si="17"/>
        <v>14</v>
      </c>
      <c r="V31" s="259"/>
      <c r="W31" s="179">
        <f t="shared" si="18"/>
        <v>0</v>
      </c>
      <c r="X31" s="259"/>
      <c r="Y31" s="179">
        <f t="shared" si="19"/>
        <v>661.3500864529999</v>
      </c>
      <c r="Z31" s="259"/>
      <c r="AA31" s="179">
        <f t="shared" si="20"/>
        <v>50</v>
      </c>
      <c r="AB31" s="259"/>
      <c r="AC31" s="179">
        <f t="shared" si="21"/>
        <v>0</v>
      </c>
      <c r="AD31" s="189">
        <f t="shared" si="15"/>
        <v>0</v>
      </c>
      <c r="AE31" s="179">
        <f t="shared" si="22"/>
        <v>711.35008645300002</v>
      </c>
      <c r="AF31" s="264"/>
      <c r="AG31" s="179">
        <f t="shared" si="23"/>
        <v>561.35008645300002</v>
      </c>
      <c r="AH31" s="268"/>
      <c r="AI31" s="179">
        <f t="shared" si="24"/>
        <v>0</v>
      </c>
      <c r="AJ31" s="268"/>
      <c r="AK31" s="179">
        <f t="shared" si="25"/>
        <v>100</v>
      </c>
      <c r="AL31" s="268"/>
      <c r="AM31" s="179">
        <f t="shared" si="26"/>
        <v>0</v>
      </c>
      <c r="AN31" s="268"/>
      <c r="AO31" s="179">
        <f t="shared" si="27"/>
        <v>0</v>
      </c>
      <c r="AP31" s="268"/>
      <c r="AQ31" s="179">
        <f t="shared" si="28"/>
        <v>0</v>
      </c>
      <c r="AR31" s="273"/>
      <c r="AS31" s="209">
        <f t="shared" si="29"/>
        <v>0</v>
      </c>
      <c r="AT31" s="273"/>
      <c r="AU31" s="226">
        <f t="shared" si="30"/>
        <v>0</v>
      </c>
      <c r="AV31" s="273"/>
      <c r="AW31" s="209">
        <f t="shared" si="31"/>
        <v>0</v>
      </c>
      <c r="AX31" s="273"/>
      <c r="AY31" s="209">
        <f t="shared" si="32"/>
        <v>0</v>
      </c>
      <c r="AZ31" s="273"/>
      <c r="BA31" s="179">
        <f t="shared" si="33"/>
        <v>0</v>
      </c>
      <c r="BB31"/>
      <c r="BC31"/>
      <c r="BD31"/>
    </row>
    <row r="32" spans="1:56" s="34" customFormat="1" x14ac:dyDescent="0.25">
      <c r="A32" s="87">
        <v>40576</v>
      </c>
      <c r="B32" s="42">
        <v>18</v>
      </c>
      <c r="C32" s="41" t="str">
        <f t="shared" si="0"/>
        <v>250.00, V58.66, V58.67</v>
      </c>
      <c r="D32" s="41">
        <f t="shared" si="1"/>
        <v>93104801</v>
      </c>
      <c r="E32" s="40" t="str">
        <f t="shared" si="2"/>
        <v>Pharmacy Retail</v>
      </c>
      <c r="F32" s="40" t="str">
        <f t="shared" si="3"/>
        <v>Pharmacy</v>
      </c>
      <c r="G32" s="40" t="str">
        <f t="shared" si="4"/>
        <v>Metformin hydrochloride 500mg (Rx) [1 BID; #60 pills/month]</v>
      </c>
      <c r="H32" s="40" t="str">
        <f t="shared" si="5"/>
        <v/>
      </c>
      <c r="I32" s="160" t="str">
        <f t="shared" si="6"/>
        <v/>
      </c>
      <c r="J32" s="41">
        <f t="shared" si="7"/>
        <v>1</v>
      </c>
      <c r="K32" s="41" t="str">
        <f t="shared" si="8"/>
        <v/>
      </c>
      <c r="L32" s="41" t="str">
        <f t="shared" si="9"/>
        <v/>
      </c>
      <c r="M32" s="41" t="str">
        <f t="shared" si="10"/>
        <v/>
      </c>
      <c r="N32" s="41" t="str">
        <f t="shared" si="11"/>
        <v/>
      </c>
      <c r="O32" s="41" t="str">
        <f t="shared" si="12"/>
        <v/>
      </c>
      <c r="P32" s="188" t="str">
        <f t="shared" si="13"/>
        <v/>
      </c>
      <c r="Q32" s="221">
        <f t="shared" si="14"/>
        <v>34.369999999999997</v>
      </c>
      <c r="R32" s="253">
        <v>24.369999999999997</v>
      </c>
      <c r="S32" s="179">
        <f t="shared" si="16"/>
        <v>688.33167777249992</v>
      </c>
      <c r="T32" s="259"/>
      <c r="U32" s="179">
        <f t="shared" si="17"/>
        <v>14</v>
      </c>
      <c r="V32" s="259"/>
      <c r="W32" s="179">
        <f t="shared" si="18"/>
        <v>0</v>
      </c>
      <c r="X32" s="259">
        <v>0</v>
      </c>
      <c r="Y32" s="179">
        <f t="shared" si="19"/>
        <v>661.3500864529999</v>
      </c>
      <c r="Z32" s="259">
        <v>10</v>
      </c>
      <c r="AA32" s="179">
        <f t="shared" si="20"/>
        <v>60</v>
      </c>
      <c r="AB32" s="259"/>
      <c r="AC32" s="179">
        <f t="shared" si="21"/>
        <v>0</v>
      </c>
      <c r="AD32" s="189">
        <f t="shared" si="15"/>
        <v>10</v>
      </c>
      <c r="AE32" s="179">
        <f t="shared" si="22"/>
        <v>721.35008645300002</v>
      </c>
      <c r="AF32" s="264"/>
      <c r="AG32" s="179">
        <f t="shared" si="23"/>
        <v>561.35008645300002</v>
      </c>
      <c r="AH32" s="268"/>
      <c r="AI32" s="179">
        <f t="shared" si="24"/>
        <v>0</v>
      </c>
      <c r="AJ32" s="268">
        <v>0</v>
      </c>
      <c r="AK32" s="179">
        <f t="shared" si="25"/>
        <v>100</v>
      </c>
      <c r="AL32" s="268"/>
      <c r="AM32" s="179">
        <f t="shared" si="26"/>
        <v>0</v>
      </c>
      <c r="AN32" s="268"/>
      <c r="AO32" s="179">
        <f t="shared" si="27"/>
        <v>0</v>
      </c>
      <c r="AP32" s="268"/>
      <c r="AQ32" s="179">
        <f t="shared" si="28"/>
        <v>0</v>
      </c>
      <c r="AR32" s="273"/>
      <c r="AS32" s="209">
        <f t="shared" si="29"/>
        <v>0</v>
      </c>
      <c r="AT32" s="273"/>
      <c r="AU32" s="226">
        <f t="shared" si="30"/>
        <v>0</v>
      </c>
      <c r="AV32" s="273"/>
      <c r="AW32" s="209">
        <f t="shared" si="31"/>
        <v>0</v>
      </c>
      <c r="AX32" s="273"/>
      <c r="AY32" s="209">
        <f t="shared" si="32"/>
        <v>0</v>
      </c>
      <c r="AZ32" s="273"/>
      <c r="BA32" s="179">
        <f t="shared" si="33"/>
        <v>0</v>
      </c>
      <c r="BB32"/>
      <c r="BC32"/>
      <c r="BD32"/>
    </row>
    <row r="33" spans="1:56" s="34" customFormat="1" x14ac:dyDescent="0.25">
      <c r="A33" s="87">
        <v>40576</v>
      </c>
      <c r="B33" s="42">
        <v>19</v>
      </c>
      <c r="C33" s="41" t="str">
        <f t="shared" si="0"/>
        <v>250.00, V58.66, V58.67</v>
      </c>
      <c r="D33" s="41">
        <f t="shared" si="1"/>
        <v>93743801</v>
      </c>
      <c r="E33" s="40" t="str">
        <f t="shared" si="2"/>
        <v>Pharmacy Retail</v>
      </c>
      <c r="F33" s="40" t="str">
        <f t="shared" si="3"/>
        <v>Pharmacy</v>
      </c>
      <c r="G33" s="40" t="str">
        <f t="shared" si="4"/>
        <v>Ramipril 10mg (Rx) [1 QD; #30 pills/month]</v>
      </c>
      <c r="H33" s="40" t="str">
        <f t="shared" si="5"/>
        <v/>
      </c>
      <c r="I33" s="160" t="str">
        <f t="shared" si="6"/>
        <v/>
      </c>
      <c r="J33" s="41">
        <f t="shared" si="7"/>
        <v>1</v>
      </c>
      <c r="K33" s="41" t="str">
        <f t="shared" si="8"/>
        <v/>
      </c>
      <c r="L33" s="41" t="str">
        <f t="shared" si="9"/>
        <v/>
      </c>
      <c r="M33" s="41" t="str">
        <f t="shared" si="10"/>
        <v/>
      </c>
      <c r="N33" s="41" t="str">
        <f t="shared" si="11"/>
        <v/>
      </c>
      <c r="O33" s="41" t="str">
        <f t="shared" si="12"/>
        <v/>
      </c>
      <c r="P33" s="188" t="str">
        <f t="shared" si="13"/>
        <v/>
      </c>
      <c r="Q33" s="221">
        <f t="shared" si="14"/>
        <v>53.81</v>
      </c>
      <c r="R33" s="253">
        <v>43.81</v>
      </c>
      <c r="S33" s="179">
        <f t="shared" si="16"/>
        <v>732.14167777249986</v>
      </c>
      <c r="T33" s="259"/>
      <c r="U33" s="179">
        <f t="shared" si="17"/>
        <v>14</v>
      </c>
      <c r="V33" s="259"/>
      <c r="W33" s="179">
        <f t="shared" si="18"/>
        <v>0</v>
      </c>
      <c r="X33" s="259">
        <v>0</v>
      </c>
      <c r="Y33" s="179">
        <f t="shared" si="19"/>
        <v>661.3500864529999</v>
      </c>
      <c r="Z33" s="259">
        <v>10</v>
      </c>
      <c r="AA33" s="179">
        <f t="shared" si="20"/>
        <v>70</v>
      </c>
      <c r="AB33" s="259"/>
      <c r="AC33" s="179">
        <f t="shared" si="21"/>
        <v>0</v>
      </c>
      <c r="AD33" s="189">
        <f t="shared" si="15"/>
        <v>10</v>
      </c>
      <c r="AE33" s="179">
        <f t="shared" si="22"/>
        <v>731.35008645300002</v>
      </c>
      <c r="AF33" s="264"/>
      <c r="AG33" s="179">
        <f t="shared" si="23"/>
        <v>561.35008645300002</v>
      </c>
      <c r="AH33" s="268"/>
      <c r="AI33" s="179">
        <f t="shared" si="24"/>
        <v>0</v>
      </c>
      <c r="AJ33" s="268">
        <v>0</v>
      </c>
      <c r="AK33" s="179">
        <f t="shared" si="25"/>
        <v>100</v>
      </c>
      <c r="AL33" s="268"/>
      <c r="AM33" s="179">
        <f t="shared" si="26"/>
        <v>0</v>
      </c>
      <c r="AN33" s="268"/>
      <c r="AO33" s="179">
        <f t="shared" si="27"/>
        <v>0</v>
      </c>
      <c r="AP33" s="268"/>
      <c r="AQ33" s="179">
        <f t="shared" si="28"/>
        <v>0</v>
      </c>
      <c r="AR33" s="273"/>
      <c r="AS33" s="209">
        <f t="shared" si="29"/>
        <v>0</v>
      </c>
      <c r="AT33" s="273"/>
      <c r="AU33" s="226">
        <f t="shared" si="30"/>
        <v>0</v>
      </c>
      <c r="AV33" s="273"/>
      <c r="AW33" s="209">
        <f t="shared" si="31"/>
        <v>0</v>
      </c>
      <c r="AX33" s="273"/>
      <c r="AY33" s="209">
        <f t="shared" si="32"/>
        <v>0</v>
      </c>
      <c r="AZ33" s="273"/>
      <c r="BA33" s="179">
        <f t="shared" si="33"/>
        <v>0</v>
      </c>
      <c r="BB33"/>
      <c r="BC33"/>
      <c r="BD33"/>
    </row>
    <row r="34" spans="1:56" s="34" customFormat="1" x14ac:dyDescent="0.25">
      <c r="A34" s="87">
        <v>40596</v>
      </c>
      <c r="B34" s="42">
        <v>5</v>
      </c>
      <c r="C34" s="41" t="str">
        <f t="shared" si="0"/>
        <v>250.00, V58.66, V58.67</v>
      </c>
      <c r="D34" s="41">
        <f t="shared" si="1"/>
        <v>53885039310</v>
      </c>
      <c r="E34" s="40" t="str">
        <f t="shared" si="2"/>
        <v>Pharmacy Retail</v>
      </c>
      <c r="F34" s="40" t="str">
        <f t="shared" si="3"/>
        <v>Medical equipment and supplies</v>
      </c>
      <c r="G34" s="40" t="str">
        <f t="shared" si="4"/>
        <v>OneTouch Delica Lancets (100 per box)  [usage = 60 lancets per month]</v>
      </c>
      <c r="H34" s="40" t="str">
        <f t="shared" si="5"/>
        <v/>
      </c>
      <c r="I34" s="160">
        <f t="shared" si="6"/>
        <v>1</v>
      </c>
      <c r="J34" s="41" t="str">
        <f t="shared" si="7"/>
        <v/>
      </c>
      <c r="K34" s="41" t="str">
        <f t="shared" si="8"/>
        <v/>
      </c>
      <c r="L34" s="41" t="str">
        <f t="shared" si="9"/>
        <v/>
      </c>
      <c r="M34" s="41" t="str">
        <f t="shared" si="10"/>
        <v/>
      </c>
      <c r="N34" s="41" t="str">
        <f t="shared" si="11"/>
        <v/>
      </c>
      <c r="O34" s="41" t="str">
        <f t="shared" si="12"/>
        <v/>
      </c>
      <c r="P34" s="188" t="str">
        <f t="shared" si="13"/>
        <v/>
      </c>
      <c r="Q34" s="221">
        <f t="shared" si="14"/>
        <v>9</v>
      </c>
      <c r="R34" s="253">
        <v>9</v>
      </c>
      <c r="S34" s="179">
        <f t="shared" si="16"/>
        <v>741.14167777249986</v>
      </c>
      <c r="T34" s="259"/>
      <c r="U34" s="179">
        <f t="shared" si="17"/>
        <v>14</v>
      </c>
      <c r="V34" s="259"/>
      <c r="W34" s="179">
        <f t="shared" si="18"/>
        <v>0</v>
      </c>
      <c r="X34" s="259"/>
      <c r="Y34" s="179">
        <f t="shared" si="19"/>
        <v>661.3500864529999</v>
      </c>
      <c r="Z34" s="259"/>
      <c r="AA34" s="179">
        <f t="shared" si="20"/>
        <v>70</v>
      </c>
      <c r="AB34" s="259"/>
      <c r="AC34" s="179">
        <f t="shared" si="21"/>
        <v>0</v>
      </c>
      <c r="AD34" s="189">
        <f t="shared" si="15"/>
        <v>0</v>
      </c>
      <c r="AE34" s="179">
        <f t="shared" si="22"/>
        <v>731.35008645300002</v>
      </c>
      <c r="AF34" s="264"/>
      <c r="AG34" s="179">
        <f t="shared" si="23"/>
        <v>561.35008645300002</v>
      </c>
      <c r="AH34" s="268"/>
      <c r="AI34" s="179">
        <f t="shared" si="24"/>
        <v>0</v>
      </c>
      <c r="AJ34" s="268"/>
      <c r="AK34" s="179">
        <f t="shared" si="25"/>
        <v>100</v>
      </c>
      <c r="AL34" s="268"/>
      <c r="AM34" s="179">
        <f t="shared" si="26"/>
        <v>0</v>
      </c>
      <c r="AN34" s="268"/>
      <c r="AO34" s="179">
        <f t="shared" si="27"/>
        <v>0</v>
      </c>
      <c r="AP34" s="268"/>
      <c r="AQ34" s="179">
        <f t="shared" si="28"/>
        <v>0</v>
      </c>
      <c r="AR34" s="273"/>
      <c r="AS34" s="209">
        <f t="shared" si="29"/>
        <v>0</v>
      </c>
      <c r="AT34" s="273"/>
      <c r="AU34" s="226">
        <f t="shared" si="30"/>
        <v>0</v>
      </c>
      <c r="AV34" s="273"/>
      <c r="AW34" s="209">
        <f t="shared" si="31"/>
        <v>0</v>
      </c>
      <c r="AX34" s="273"/>
      <c r="AY34" s="209">
        <f t="shared" si="32"/>
        <v>0</v>
      </c>
      <c r="AZ34" s="273"/>
      <c r="BA34" s="179">
        <f t="shared" si="33"/>
        <v>0</v>
      </c>
      <c r="BB34"/>
      <c r="BC34"/>
      <c r="BD34"/>
    </row>
    <row r="35" spans="1:56" s="34" customFormat="1" x14ac:dyDescent="0.25">
      <c r="A35" s="87">
        <v>40596</v>
      </c>
      <c r="B35" s="42">
        <v>4</v>
      </c>
      <c r="C35" s="41" t="str">
        <f t="shared" ref="C35:C66" si="34">IF(ISBLANK(VLOOKUP(Dia_Claim,Dia_UniqueLine,2,FALSE)),"",VLOOKUP(Dia_Claim,Dia_UniqueLine,2,FALSE))</f>
        <v>250.00, V58.66, V58.67</v>
      </c>
      <c r="D35" s="41">
        <f t="shared" ref="D35:D66" si="35">IF(ISBLANK(VLOOKUP(Dia_Claim,Dia_UniqueLine,3,FALSE)),"",VLOOKUP(Dia_Claim,Dia_UniqueLine,3,FALSE))</f>
        <v>53885024510</v>
      </c>
      <c r="E35" s="40" t="str">
        <f t="shared" ref="E35:E66" si="36">IF(ISBLANK(VLOOKUP(Dia_Claim,Dia_UniqueLine,4,FALSE)),"",VLOOKUP(Dia_Claim,Dia_UniqueLine,4,FALSE))</f>
        <v>Pharmacy Retail</v>
      </c>
      <c r="F35" s="40" t="str">
        <f t="shared" ref="F35:F66" si="37">IF(ISBLANK(VLOOKUP(Dia_Claim,Dia_UniqueLine,5,FALSE)),"",VLOOKUP(Dia_Claim,Dia_UniqueLine,5,FALSE))</f>
        <v>Medical equipment and supplies</v>
      </c>
      <c r="G35" s="40" t="str">
        <f t="shared" ref="G35:G66" si="38">IF(ISBLANK(VLOOKUP(Dia_Claim,Dia_UniqueLine,6,FALSE)),"",VLOOKUP(Dia_Claim,Dia_UniqueLine,6,FALSE))</f>
        <v xml:space="preserve">OneTouch Ultra Blue Test Strips (Rx - box of 100) [usage = 2 strips/day; 60 per month] </v>
      </c>
      <c r="H35" s="40" t="str">
        <f t="shared" ref="H35:H66" si="39">IF(ISBLANK(VLOOKUP(Dia_Claim,Dia_UniqueLine,8,FALSE)),"",VLOOKUP(Dia_Claim,Dia_UniqueLine,8,FALSE))</f>
        <v/>
      </c>
      <c r="I35" s="160">
        <f t="shared" ref="I35:I66" si="40">IF(Dia_Col_Category="Medical equipment and supplies",1,"")</f>
        <v>1</v>
      </c>
      <c r="J35" s="41" t="str">
        <f t="shared" ref="J35:J66" si="41">IF(AND(Dia_Col_Category="Pharmacy",Dia_Col_BillCode&lt;&gt;"OTC"),1,"")</f>
        <v/>
      </c>
      <c r="K35" s="41" t="str">
        <f t="shared" ref="K35:K66" si="42">IF(AND(Dia_Col_Category="Anesthesia",Dia_Col_Provider&lt;&gt;"Inpatient facility"),1,"")</f>
        <v/>
      </c>
      <c r="L35" s="41" t="str">
        <f t="shared" ref="L35:L66" si="43">IF(Dia_Col_Category="Laboratory tests",1,"")</f>
        <v/>
      </c>
      <c r="M35" s="41" t="str">
        <f t="shared" ref="M35:M66" si="44">IF(Dia_Col_Category="Radiology",1,"")</f>
        <v/>
      </c>
      <c r="N35" s="41" t="str">
        <f t="shared" ref="N35:N66" si="45">IF(Dia_Col_BillCode="Bundled in global OB package - 59400",1,"")</f>
        <v/>
      </c>
      <c r="O35" s="41" t="str">
        <f t="shared" ref="O35:O66" si="46">IF(Dia_Col_Category="Vaccines, other preventive",1,"")</f>
        <v/>
      </c>
      <c r="P35" s="188" t="str">
        <f t="shared" ref="P35:P66" si="47">IF(Dia_Col_Category="Office visits &amp; procedures",1,"")</f>
        <v/>
      </c>
      <c r="Q35" s="221">
        <f t="shared" ref="Q35:Q66" si="48">IF(ISBLANK(VLOOKUP(Dia_Claim,Dia_UniqueLine,7,FALSE)),"",VLOOKUP(Dia_Claim,Dia_UniqueLine,7,FALSE))</f>
        <v>123.6</v>
      </c>
      <c r="R35" s="253">
        <v>123.6</v>
      </c>
      <c r="S35" s="179">
        <f t="shared" si="16"/>
        <v>864.74167777249988</v>
      </c>
      <c r="T35" s="259"/>
      <c r="U35" s="179">
        <f t="shared" si="17"/>
        <v>14</v>
      </c>
      <c r="V35" s="259"/>
      <c r="W35" s="179">
        <f t="shared" si="18"/>
        <v>0</v>
      </c>
      <c r="X35" s="259"/>
      <c r="Y35" s="179">
        <f t="shared" si="19"/>
        <v>661.3500864529999</v>
      </c>
      <c r="Z35" s="259"/>
      <c r="AA35" s="179">
        <f t="shared" si="20"/>
        <v>70</v>
      </c>
      <c r="AB35" s="259"/>
      <c r="AC35" s="179">
        <f t="shared" si="21"/>
        <v>0</v>
      </c>
      <c r="AD35" s="189">
        <f t="shared" si="15"/>
        <v>0</v>
      </c>
      <c r="AE35" s="179">
        <f t="shared" si="22"/>
        <v>731.35008645300002</v>
      </c>
      <c r="AF35" s="264"/>
      <c r="AG35" s="179">
        <f t="shared" si="23"/>
        <v>561.35008645300002</v>
      </c>
      <c r="AH35" s="268"/>
      <c r="AI35" s="179">
        <f t="shared" si="24"/>
        <v>0</v>
      </c>
      <c r="AJ35" s="268"/>
      <c r="AK35" s="179">
        <f t="shared" si="25"/>
        <v>100</v>
      </c>
      <c r="AL35" s="268"/>
      <c r="AM35" s="179">
        <f t="shared" si="26"/>
        <v>0</v>
      </c>
      <c r="AN35" s="268"/>
      <c r="AO35" s="179">
        <f t="shared" si="27"/>
        <v>0</v>
      </c>
      <c r="AP35" s="268"/>
      <c r="AQ35" s="179">
        <f t="shared" si="28"/>
        <v>0</v>
      </c>
      <c r="AR35" s="273"/>
      <c r="AS35" s="209">
        <f t="shared" si="29"/>
        <v>0</v>
      </c>
      <c r="AT35" s="273"/>
      <c r="AU35" s="226">
        <f t="shared" si="30"/>
        <v>0</v>
      </c>
      <c r="AV35" s="273"/>
      <c r="AW35" s="209">
        <f t="shared" si="31"/>
        <v>0</v>
      </c>
      <c r="AX35" s="273"/>
      <c r="AY35" s="209">
        <f t="shared" si="32"/>
        <v>0</v>
      </c>
      <c r="AZ35" s="273"/>
      <c r="BA35" s="179">
        <f t="shared" si="33"/>
        <v>0</v>
      </c>
      <c r="BB35"/>
      <c r="BC35"/>
      <c r="BD35"/>
    </row>
    <row r="36" spans="1:56" s="34" customFormat="1" x14ac:dyDescent="0.25">
      <c r="A36" s="87">
        <v>40602</v>
      </c>
      <c r="B36" s="42">
        <v>17</v>
      </c>
      <c r="C36" s="41" t="str">
        <f t="shared" si="34"/>
        <v>250.00, V58.66, V58.67</v>
      </c>
      <c r="D36" s="41">
        <f t="shared" si="35"/>
        <v>88222033</v>
      </c>
      <c r="E36" s="40" t="str">
        <f t="shared" si="36"/>
        <v>Pharmacy Retail</v>
      </c>
      <c r="F36" s="40" t="str">
        <f t="shared" si="37"/>
        <v>Pharmacy</v>
      </c>
      <c r="G36" s="40" t="str">
        <f t="shared" si="38"/>
        <v>Insulin glargine 100 unit/ml injectable solution (Rx - 10ml vial)  [20 units QD; expires 28 days after first use]</v>
      </c>
      <c r="H36" s="40" t="str">
        <f t="shared" si="39"/>
        <v/>
      </c>
      <c r="I36" s="160" t="str">
        <f t="shared" si="40"/>
        <v/>
      </c>
      <c r="J36" s="41">
        <f t="shared" si="41"/>
        <v>1</v>
      </c>
      <c r="K36" s="41" t="str">
        <f t="shared" si="42"/>
        <v/>
      </c>
      <c r="L36" s="41" t="str">
        <f t="shared" si="43"/>
        <v/>
      </c>
      <c r="M36" s="41" t="str">
        <f t="shared" si="44"/>
        <v/>
      </c>
      <c r="N36" s="41" t="str">
        <f t="shared" si="45"/>
        <v/>
      </c>
      <c r="O36" s="41" t="str">
        <f t="shared" si="46"/>
        <v/>
      </c>
      <c r="P36" s="188" t="str">
        <f t="shared" si="47"/>
        <v/>
      </c>
      <c r="Q36" s="221">
        <f t="shared" si="48"/>
        <v>119.2</v>
      </c>
      <c r="R36" s="253">
        <v>109.2</v>
      </c>
      <c r="S36" s="179">
        <f t="shared" si="16"/>
        <v>973.94167777249993</v>
      </c>
      <c r="T36" s="259"/>
      <c r="U36" s="179">
        <f t="shared" si="17"/>
        <v>14</v>
      </c>
      <c r="V36" s="259"/>
      <c r="W36" s="179">
        <f t="shared" si="18"/>
        <v>0</v>
      </c>
      <c r="X36" s="259">
        <v>0</v>
      </c>
      <c r="Y36" s="179">
        <f t="shared" si="19"/>
        <v>661.3500864529999</v>
      </c>
      <c r="Z36" s="259">
        <v>10</v>
      </c>
      <c r="AA36" s="179">
        <f t="shared" si="20"/>
        <v>80</v>
      </c>
      <c r="AB36" s="259"/>
      <c r="AC36" s="179">
        <f t="shared" si="21"/>
        <v>0</v>
      </c>
      <c r="AD36" s="189">
        <f t="shared" si="15"/>
        <v>10</v>
      </c>
      <c r="AE36" s="179">
        <f t="shared" si="22"/>
        <v>741.35008645300002</v>
      </c>
      <c r="AF36" s="264"/>
      <c r="AG36" s="179">
        <f t="shared" si="23"/>
        <v>561.35008645300002</v>
      </c>
      <c r="AH36" s="268"/>
      <c r="AI36" s="179">
        <f t="shared" si="24"/>
        <v>0</v>
      </c>
      <c r="AJ36" s="268">
        <v>0</v>
      </c>
      <c r="AK36" s="179">
        <f t="shared" si="25"/>
        <v>100</v>
      </c>
      <c r="AL36" s="268"/>
      <c r="AM36" s="179">
        <f t="shared" si="26"/>
        <v>0</v>
      </c>
      <c r="AN36" s="268"/>
      <c r="AO36" s="179">
        <f t="shared" si="27"/>
        <v>0</v>
      </c>
      <c r="AP36" s="268"/>
      <c r="AQ36" s="179">
        <f t="shared" si="28"/>
        <v>0</v>
      </c>
      <c r="AR36" s="273"/>
      <c r="AS36" s="209">
        <f t="shared" si="29"/>
        <v>0</v>
      </c>
      <c r="AT36" s="273"/>
      <c r="AU36" s="226">
        <f t="shared" si="30"/>
        <v>0</v>
      </c>
      <c r="AV36" s="273"/>
      <c r="AW36" s="209">
        <f t="shared" si="31"/>
        <v>0</v>
      </c>
      <c r="AX36" s="273"/>
      <c r="AY36" s="209">
        <f t="shared" si="32"/>
        <v>0</v>
      </c>
      <c r="AZ36" s="273"/>
      <c r="BA36" s="179">
        <f t="shared" si="33"/>
        <v>0</v>
      </c>
      <c r="BB36"/>
      <c r="BC36"/>
      <c r="BD36"/>
    </row>
    <row r="37" spans="1:56" s="34" customFormat="1" x14ac:dyDescent="0.25">
      <c r="A37" s="87">
        <v>40606</v>
      </c>
      <c r="B37" s="42">
        <v>25</v>
      </c>
      <c r="C37" s="41" t="str">
        <f t="shared" si="34"/>
        <v>250.00, V58.66, V58.67</v>
      </c>
      <c r="D37" s="41" t="str">
        <f t="shared" si="35"/>
        <v>OTC</v>
      </c>
      <c r="E37" s="40" t="str">
        <f t="shared" si="36"/>
        <v>Pharmacy Retail</v>
      </c>
      <c r="F37" s="40" t="str">
        <f t="shared" si="37"/>
        <v>Medical equipment and supplies</v>
      </c>
      <c r="G37" s="40" t="str">
        <f t="shared" si="38"/>
        <v>Alcohol swabs (OTC - box of 100)  [usage = 3 wipes/day; 90 wipes/month]</v>
      </c>
      <c r="H37" s="40" t="str">
        <f t="shared" si="39"/>
        <v/>
      </c>
      <c r="I37" s="160">
        <f t="shared" si="40"/>
        <v>1</v>
      </c>
      <c r="J37" s="41" t="str">
        <f t="shared" si="41"/>
        <v/>
      </c>
      <c r="K37" s="41" t="str">
        <f t="shared" si="42"/>
        <v/>
      </c>
      <c r="L37" s="41" t="str">
        <f t="shared" si="43"/>
        <v/>
      </c>
      <c r="M37" s="41" t="str">
        <f t="shared" si="44"/>
        <v/>
      </c>
      <c r="N37" s="41" t="str">
        <f t="shared" si="45"/>
        <v/>
      </c>
      <c r="O37" s="41" t="str">
        <f t="shared" si="46"/>
        <v/>
      </c>
      <c r="P37" s="188" t="str">
        <f t="shared" si="47"/>
        <v/>
      </c>
      <c r="Q37" s="221">
        <f t="shared" si="48"/>
        <v>3</v>
      </c>
      <c r="R37" s="253"/>
      <c r="S37" s="179">
        <f t="shared" si="16"/>
        <v>973.94167777249993</v>
      </c>
      <c r="T37" s="259">
        <v>3</v>
      </c>
      <c r="U37" s="179">
        <f t="shared" si="17"/>
        <v>17</v>
      </c>
      <c r="V37" s="259"/>
      <c r="W37" s="179">
        <f t="shared" si="18"/>
        <v>0</v>
      </c>
      <c r="X37" s="259"/>
      <c r="Y37" s="179">
        <f t="shared" si="19"/>
        <v>661.3500864529999</v>
      </c>
      <c r="Z37" s="259"/>
      <c r="AA37" s="179">
        <f t="shared" si="20"/>
        <v>80</v>
      </c>
      <c r="AB37" s="259"/>
      <c r="AC37" s="179">
        <f t="shared" si="21"/>
        <v>0</v>
      </c>
      <c r="AD37" s="189">
        <f t="shared" si="15"/>
        <v>0</v>
      </c>
      <c r="AE37" s="179">
        <f t="shared" si="22"/>
        <v>741.35008645300002</v>
      </c>
      <c r="AF37" s="264"/>
      <c r="AG37" s="179">
        <f t="shared" si="23"/>
        <v>561.35008645300002</v>
      </c>
      <c r="AH37" s="268"/>
      <c r="AI37" s="179">
        <f t="shared" si="24"/>
        <v>0</v>
      </c>
      <c r="AJ37" s="268"/>
      <c r="AK37" s="179">
        <f t="shared" si="25"/>
        <v>100</v>
      </c>
      <c r="AL37" s="268"/>
      <c r="AM37" s="179">
        <f t="shared" si="26"/>
        <v>0</v>
      </c>
      <c r="AN37" s="268"/>
      <c r="AO37" s="179">
        <f t="shared" si="27"/>
        <v>0</v>
      </c>
      <c r="AP37" s="268"/>
      <c r="AQ37" s="179">
        <f t="shared" si="28"/>
        <v>0</v>
      </c>
      <c r="AR37" s="273"/>
      <c r="AS37" s="209">
        <f t="shared" si="29"/>
        <v>0</v>
      </c>
      <c r="AT37" s="273"/>
      <c r="AU37" s="226">
        <f t="shared" si="30"/>
        <v>0</v>
      </c>
      <c r="AV37" s="273"/>
      <c r="AW37" s="209">
        <f t="shared" si="31"/>
        <v>0</v>
      </c>
      <c r="AX37" s="273"/>
      <c r="AY37" s="209">
        <f t="shared" si="32"/>
        <v>0</v>
      </c>
      <c r="AZ37" s="273"/>
      <c r="BA37" s="179">
        <f t="shared" si="33"/>
        <v>0</v>
      </c>
      <c r="BB37"/>
      <c r="BC37"/>
      <c r="BD37"/>
    </row>
    <row r="38" spans="1:56" s="34" customFormat="1" x14ac:dyDescent="0.25">
      <c r="A38" s="87">
        <v>40606</v>
      </c>
      <c r="B38" s="42">
        <v>14</v>
      </c>
      <c r="C38" s="41" t="str">
        <f t="shared" si="34"/>
        <v>250.00, V58.66, V58.67</v>
      </c>
      <c r="D38" s="41">
        <f t="shared" si="35"/>
        <v>8290328279</v>
      </c>
      <c r="E38" s="40" t="str">
        <f t="shared" si="36"/>
        <v>Pharmacy Retail</v>
      </c>
      <c r="F38" s="40" t="str">
        <f t="shared" si="37"/>
        <v>Medical equipment and supplies</v>
      </c>
      <c r="G38" s="40" t="str">
        <f t="shared" si="38"/>
        <v>BD Ultrafine Insulin Syringes / 30G/ 0.5cc  [usage = 30 syringes per month]</v>
      </c>
      <c r="H38" s="40" t="str">
        <f t="shared" si="39"/>
        <v/>
      </c>
      <c r="I38" s="160">
        <f t="shared" si="40"/>
        <v>1</v>
      </c>
      <c r="J38" s="41" t="str">
        <f t="shared" si="41"/>
        <v/>
      </c>
      <c r="K38" s="41" t="str">
        <f t="shared" si="42"/>
        <v/>
      </c>
      <c r="L38" s="41" t="str">
        <f t="shared" si="43"/>
        <v/>
      </c>
      <c r="M38" s="41" t="str">
        <f t="shared" si="44"/>
        <v/>
      </c>
      <c r="N38" s="41" t="str">
        <f t="shared" si="45"/>
        <v/>
      </c>
      <c r="O38" s="41" t="str">
        <f t="shared" si="46"/>
        <v/>
      </c>
      <c r="P38" s="188" t="str">
        <f t="shared" si="47"/>
        <v/>
      </c>
      <c r="Q38" s="221">
        <f t="shared" si="48"/>
        <v>8.4</v>
      </c>
      <c r="R38" s="253">
        <v>8.4</v>
      </c>
      <c r="S38" s="179">
        <f t="shared" si="16"/>
        <v>982.34167777249991</v>
      </c>
      <c r="T38" s="259"/>
      <c r="U38" s="179">
        <f t="shared" si="17"/>
        <v>17</v>
      </c>
      <c r="V38" s="259"/>
      <c r="W38" s="179">
        <f t="shared" si="18"/>
        <v>0</v>
      </c>
      <c r="X38" s="259"/>
      <c r="Y38" s="179">
        <f t="shared" si="19"/>
        <v>661.3500864529999</v>
      </c>
      <c r="Z38" s="259"/>
      <c r="AA38" s="179">
        <f t="shared" si="20"/>
        <v>80</v>
      </c>
      <c r="AB38" s="259"/>
      <c r="AC38" s="179">
        <f t="shared" si="21"/>
        <v>0</v>
      </c>
      <c r="AD38" s="189">
        <f t="shared" si="15"/>
        <v>0</v>
      </c>
      <c r="AE38" s="179">
        <f t="shared" si="22"/>
        <v>741.35008645300002</v>
      </c>
      <c r="AF38" s="264"/>
      <c r="AG38" s="179">
        <f t="shared" si="23"/>
        <v>561.35008645300002</v>
      </c>
      <c r="AH38" s="268"/>
      <c r="AI38" s="179">
        <f t="shared" si="24"/>
        <v>0</v>
      </c>
      <c r="AJ38" s="268"/>
      <c r="AK38" s="179">
        <f t="shared" si="25"/>
        <v>100</v>
      </c>
      <c r="AL38" s="268"/>
      <c r="AM38" s="179">
        <f t="shared" si="26"/>
        <v>0</v>
      </c>
      <c r="AN38" s="268"/>
      <c r="AO38" s="179">
        <f t="shared" si="27"/>
        <v>0</v>
      </c>
      <c r="AP38" s="268"/>
      <c r="AQ38" s="179">
        <f t="shared" si="28"/>
        <v>0</v>
      </c>
      <c r="AR38" s="273"/>
      <c r="AS38" s="209">
        <f t="shared" si="29"/>
        <v>0</v>
      </c>
      <c r="AT38" s="273"/>
      <c r="AU38" s="226">
        <f t="shared" si="30"/>
        <v>0</v>
      </c>
      <c r="AV38" s="273"/>
      <c r="AW38" s="209">
        <f t="shared" si="31"/>
        <v>0</v>
      </c>
      <c r="AX38" s="273"/>
      <c r="AY38" s="209">
        <f t="shared" si="32"/>
        <v>0</v>
      </c>
      <c r="AZ38" s="273"/>
      <c r="BA38" s="179">
        <f t="shared" si="33"/>
        <v>0</v>
      </c>
      <c r="BB38"/>
      <c r="BC38"/>
      <c r="BD38"/>
    </row>
    <row r="39" spans="1:56" s="34" customFormat="1" x14ac:dyDescent="0.25">
      <c r="A39" s="87">
        <v>40606</v>
      </c>
      <c r="B39" s="42">
        <v>18</v>
      </c>
      <c r="C39" s="41" t="str">
        <f t="shared" si="34"/>
        <v>250.00, V58.66, V58.67</v>
      </c>
      <c r="D39" s="41">
        <f t="shared" si="35"/>
        <v>93104801</v>
      </c>
      <c r="E39" s="40" t="str">
        <f t="shared" si="36"/>
        <v>Pharmacy Retail</v>
      </c>
      <c r="F39" s="40" t="str">
        <f t="shared" si="37"/>
        <v>Pharmacy</v>
      </c>
      <c r="G39" s="40" t="str">
        <f t="shared" si="38"/>
        <v>Metformin hydrochloride 500mg (Rx) [1 BID; #60 pills/month]</v>
      </c>
      <c r="H39" s="40" t="str">
        <f t="shared" si="39"/>
        <v/>
      </c>
      <c r="I39" s="160" t="str">
        <f t="shared" si="40"/>
        <v/>
      </c>
      <c r="J39" s="41">
        <f t="shared" si="41"/>
        <v>1</v>
      </c>
      <c r="K39" s="41" t="str">
        <f t="shared" si="42"/>
        <v/>
      </c>
      <c r="L39" s="41" t="str">
        <f t="shared" si="43"/>
        <v/>
      </c>
      <c r="M39" s="41" t="str">
        <f t="shared" si="44"/>
        <v/>
      </c>
      <c r="N39" s="41" t="str">
        <f t="shared" si="45"/>
        <v/>
      </c>
      <c r="O39" s="41" t="str">
        <f t="shared" si="46"/>
        <v/>
      </c>
      <c r="P39" s="188" t="str">
        <f t="shared" si="47"/>
        <v/>
      </c>
      <c r="Q39" s="221">
        <f t="shared" si="48"/>
        <v>34.369999999999997</v>
      </c>
      <c r="R39" s="253">
        <v>24.369999999999997</v>
      </c>
      <c r="S39" s="179">
        <f t="shared" si="16"/>
        <v>1006.7116777724999</v>
      </c>
      <c r="T39" s="259"/>
      <c r="U39" s="179">
        <f t="shared" si="17"/>
        <v>17</v>
      </c>
      <c r="V39" s="259"/>
      <c r="W39" s="179">
        <f t="shared" si="18"/>
        <v>0</v>
      </c>
      <c r="X39" s="259">
        <v>0</v>
      </c>
      <c r="Y39" s="179">
        <f t="shared" si="19"/>
        <v>661.3500864529999</v>
      </c>
      <c r="Z39" s="259">
        <v>10</v>
      </c>
      <c r="AA39" s="179">
        <f t="shared" si="20"/>
        <v>90</v>
      </c>
      <c r="AB39" s="259"/>
      <c r="AC39" s="179">
        <f t="shared" si="21"/>
        <v>0</v>
      </c>
      <c r="AD39" s="189">
        <f t="shared" si="15"/>
        <v>10</v>
      </c>
      <c r="AE39" s="179">
        <f t="shared" si="22"/>
        <v>751.35008645300002</v>
      </c>
      <c r="AF39" s="264"/>
      <c r="AG39" s="179">
        <f t="shared" si="23"/>
        <v>561.35008645300002</v>
      </c>
      <c r="AH39" s="268"/>
      <c r="AI39" s="179">
        <f t="shared" si="24"/>
        <v>0</v>
      </c>
      <c r="AJ39" s="268">
        <v>0</v>
      </c>
      <c r="AK39" s="179">
        <f t="shared" si="25"/>
        <v>100</v>
      </c>
      <c r="AL39" s="268"/>
      <c r="AM39" s="179">
        <f t="shared" si="26"/>
        <v>0</v>
      </c>
      <c r="AN39" s="268"/>
      <c r="AO39" s="179">
        <f t="shared" si="27"/>
        <v>0</v>
      </c>
      <c r="AP39" s="268"/>
      <c r="AQ39" s="179">
        <f t="shared" si="28"/>
        <v>0</v>
      </c>
      <c r="AR39" s="273"/>
      <c r="AS39" s="209">
        <f t="shared" si="29"/>
        <v>0</v>
      </c>
      <c r="AT39" s="273"/>
      <c r="AU39" s="226">
        <f t="shared" si="30"/>
        <v>0</v>
      </c>
      <c r="AV39" s="273"/>
      <c r="AW39" s="209">
        <f t="shared" si="31"/>
        <v>0</v>
      </c>
      <c r="AX39" s="273"/>
      <c r="AY39" s="209">
        <f t="shared" si="32"/>
        <v>0</v>
      </c>
      <c r="AZ39" s="273"/>
      <c r="BA39" s="179">
        <f t="shared" si="33"/>
        <v>0</v>
      </c>
      <c r="BB39"/>
      <c r="BC39"/>
      <c r="BD39"/>
    </row>
    <row r="40" spans="1:56" s="34" customFormat="1" x14ac:dyDescent="0.25">
      <c r="A40" s="87">
        <v>40606</v>
      </c>
      <c r="B40" s="42">
        <v>19</v>
      </c>
      <c r="C40" s="41" t="str">
        <f t="shared" si="34"/>
        <v>250.00, V58.66, V58.67</v>
      </c>
      <c r="D40" s="41">
        <f t="shared" si="35"/>
        <v>93743801</v>
      </c>
      <c r="E40" s="40" t="str">
        <f t="shared" si="36"/>
        <v>Pharmacy Retail</v>
      </c>
      <c r="F40" s="40" t="str">
        <f t="shared" si="37"/>
        <v>Pharmacy</v>
      </c>
      <c r="G40" s="40" t="str">
        <f t="shared" si="38"/>
        <v>Ramipril 10mg (Rx) [1 QD; #30 pills/month]</v>
      </c>
      <c r="H40" s="40" t="str">
        <f t="shared" si="39"/>
        <v/>
      </c>
      <c r="I40" s="160" t="str">
        <f t="shared" si="40"/>
        <v/>
      </c>
      <c r="J40" s="41">
        <f t="shared" si="41"/>
        <v>1</v>
      </c>
      <c r="K40" s="41" t="str">
        <f t="shared" si="42"/>
        <v/>
      </c>
      <c r="L40" s="41" t="str">
        <f t="shared" si="43"/>
        <v/>
      </c>
      <c r="M40" s="41" t="str">
        <f t="shared" si="44"/>
        <v/>
      </c>
      <c r="N40" s="41" t="str">
        <f t="shared" si="45"/>
        <v/>
      </c>
      <c r="O40" s="41" t="str">
        <f t="shared" si="46"/>
        <v/>
      </c>
      <c r="P40" s="188" t="str">
        <f t="shared" si="47"/>
        <v/>
      </c>
      <c r="Q40" s="221">
        <f t="shared" si="48"/>
        <v>53.81</v>
      </c>
      <c r="R40" s="253">
        <v>43.81</v>
      </c>
      <c r="S40" s="179">
        <f t="shared" si="16"/>
        <v>1050.5216777725</v>
      </c>
      <c r="T40" s="259"/>
      <c r="U40" s="179">
        <f t="shared" si="17"/>
        <v>17</v>
      </c>
      <c r="V40" s="259"/>
      <c r="W40" s="179">
        <f t="shared" si="18"/>
        <v>0</v>
      </c>
      <c r="X40" s="259">
        <v>0</v>
      </c>
      <c r="Y40" s="179">
        <f t="shared" si="19"/>
        <v>661.3500864529999</v>
      </c>
      <c r="Z40" s="259">
        <v>10</v>
      </c>
      <c r="AA40" s="179">
        <f t="shared" si="20"/>
        <v>100</v>
      </c>
      <c r="AB40" s="259"/>
      <c r="AC40" s="179">
        <f t="shared" si="21"/>
        <v>0</v>
      </c>
      <c r="AD40" s="189">
        <f t="shared" si="15"/>
        <v>10</v>
      </c>
      <c r="AE40" s="179">
        <f t="shared" si="22"/>
        <v>761.35008645300002</v>
      </c>
      <c r="AF40" s="264"/>
      <c r="AG40" s="179">
        <f t="shared" si="23"/>
        <v>561.35008645300002</v>
      </c>
      <c r="AH40" s="268"/>
      <c r="AI40" s="179">
        <f t="shared" si="24"/>
        <v>0</v>
      </c>
      <c r="AJ40" s="268">
        <v>0</v>
      </c>
      <c r="AK40" s="179">
        <f t="shared" si="25"/>
        <v>100</v>
      </c>
      <c r="AL40" s="268"/>
      <c r="AM40" s="179">
        <f t="shared" si="26"/>
        <v>0</v>
      </c>
      <c r="AN40" s="268"/>
      <c r="AO40" s="179">
        <f t="shared" si="27"/>
        <v>0</v>
      </c>
      <c r="AP40" s="268"/>
      <c r="AQ40" s="179">
        <f t="shared" si="28"/>
        <v>0</v>
      </c>
      <c r="AR40" s="273"/>
      <c r="AS40" s="209">
        <f t="shared" si="29"/>
        <v>0</v>
      </c>
      <c r="AT40" s="273"/>
      <c r="AU40" s="226">
        <f t="shared" si="30"/>
        <v>0</v>
      </c>
      <c r="AV40" s="273"/>
      <c r="AW40" s="209">
        <f t="shared" si="31"/>
        <v>0</v>
      </c>
      <c r="AX40" s="273"/>
      <c r="AY40" s="209">
        <f t="shared" si="32"/>
        <v>0</v>
      </c>
      <c r="AZ40" s="273"/>
      <c r="BA40" s="179">
        <f t="shared" si="33"/>
        <v>0</v>
      </c>
      <c r="BB40"/>
      <c r="BC40"/>
      <c r="BD40"/>
    </row>
    <row r="41" spans="1:56" s="34" customFormat="1" x14ac:dyDescent="0.25">
      <c r="A41" s="87">
        <v>40630</v>
      </c>
      <c r="B41" s="42">
        <v>26</v>
      </c>
      <c r="C41" s="41" t="str">
        <f t="shared" si="34"/>
        <v>250.00, V58.66, V58.67</v>
      </c>
      <c r="D41" s="41" t="str">
        <f t="shared" si="35"/>
        <v>OTC</v>
      </c>
      <c r="E41" s="40" t="str">
        <f t="shared" si="36"/>
        <v>Pharmacy Retail</v>
      </c>
      <c r="F41" s="40" t="str">
        <f t="shared" si="37"/>
        <v>Pharmacy</v>
      </c>
      <c r="G41" s="40" t="str">
        <f t="shared" si="38"/>
        <v>Aspirin 81mg (OTC - bottle 100) [usage = 1 QD; #30 pills per month]</v>
      </c>
      <c r="H41" s="40" t="str">
        <f t="shared" si="39"/>
        <v/>
      </c>
      <c r="I41" s="160" t="str">
        <f t="shared" si="40"/>
        <v/>
      </c>
      <c r="J41" s="41" t="str">
        <f t="shared" si="41"/>
        <v/>
      </c>
      <c r="K41" s="41" t="str">
        <f t="shared" si="42"/>
        <v/>
      </c>
      <c r="L41" s="41" t="str">
        <f t="shared" si="43"/>
        <v/>
      </c>
      <c r="M41" s="41" t="str">
        <f t="shared" si="44"/>
        <v/>
      </c>
      <c r="N41" s="41" t="str">
        <f t="shared" si="45"/>
        <v/>
      </c>
      <c r="O41" s="41" t="str">
        <f t="shared" si="46"/>
        <v/>
      </c>
      <c r="P41" s="188" t="str">
        <f t="shared" si="47"/>
        <v/>
      </c>
      <c r="Q41" s="221">
        <f t="shared" si="48"/>
        <v>8</v>
      </c>
      <c r="R41" s="253"/>
      <c r="S41" s="179">
        <f t="shared" si="16"/>
        <v>1050.5216777725</v>
      </c>
      <c r="T41" s="259">
        <v>8</v>
      </c>
      <c r="U41" s="179">
        <f t="shared" si="17"/>
        <v>25</v>
      </c>
      <c r="V41" s="259"/>
      <c r="W41" s="179">
        <f t="shared" si="18"/>
        <v>0</v>
      </c>
      <c r="X41" s="259"/>
      <c r="Y41" s="179">
        <f t="shared" si="19"/>
        <v>661.3500864529999</v>
      </c>
      <c r="Z41" s="259"/>
      <c r="AA41" s="179">
        <f t="shared" si="20"/>
        <v>100</v>
      </c>
      <c r="AB41" s="259"/>
      <c r="AC41" s="179">
        <f t="shared" si="21"/>
        <v>0</v>
      </c>
      <c r="AD41" s="189">
        <f t="shared" si="15"/>
        <v>0</v>
      </c>
      <c r="AE41" s="179">
        <f t="shared" si="22"/>
        <v>761.35008645300002</v>
      </c>
      <c r="AF41" s="264"/>
      <c r="AG41" s="179">
        <f t="shared" si="23"/>
        <v>561.35008645300002</v>
      </c>
      <c r="AH41" s="268"/>
      <c r="AI41" s="179">
        <f t="shared" si="24"/>
        <v>0</v>
      </c>
      <c r="AJ41" s="268"/>
      <c r="AK41" s="179">
        <f t="shared" si="25"/>
        <v>100</v>
      </c>
      <c r="AL41" s="268"/>
      <c r="AM41" s="179">
        <f t="shared" si="26"/>
        <v>0</v>
      </c>
      <c r="AN41" s="268"/>
      <c r="AO41" s="179">
        <f t="shared" si="27"/>
        <v>0</v>
      </c>
      <c r="AP41" s="268"/>
      <c r="AQ41" s="179">
        <f t="shared" si="28"/>
        <v>0</v>
      </c>
      <c r="AR41" s="273"/>
      <c r="AS41" s="209">
        <f t="shared" si="29"/>
        <v>0</v>
      </c>
      <c r="AT41" s="273"/>
      <c r="AU41" s="226">
        <f t="shared" si="30"/>
        <v>0</v>
      </c>
      <c r="AV41" s="273"/>
      <c r="AW41" s="209">
        <f t="shared" si="31"/>
        <v>0</v>
      </c>
      <c r="AX41" s="273"/>
      <c r="AY41" s="209">
        <f t="shared" si="32"/>
        <v>0</v>
      </c>
      <c r="AZ41" s="273"/>
      <c r="BA41" s="179">
        <f t="shared" si="33"/>
        <v>0</v>
      </c>
      <c r="BB41"/>
      <c r="BC41"/>
      <c r="BD41"/>
    </row>
    <row r="42" spans="1:56" s="34" customFormat="1" x14ac:dyDescent="0.25">
      <c r="A42" s="87">
        <v>40630</v>
      </c>
      <c r="B42" s="42">
        <v>17</v>
      </c>
      <c r="C42" s="41" t="str">
        <f t="shared" si="34"/>
        <v>250.00, V58.66, V58.67</v>
      </c>
      <c r="D42" s="41">
        <f t="shared" si="35"/>
        <v>88222033</v>
      </c>
      <c r="E42" s="40" t="str">
        <f t="shared" si="36"/>
        <v>Pharmacy Retail</v>
      </c>
      <c r="F42" s="40" t="str">
        <f t="shared" si="37"/>
        <v>Pharmacy</v>
      </c>
      <c r="G42" s="40" t="str">
        <f t="shared" si="38"/>
        <v>Insulin glargine 100 unit/ml injectable solution (Rx - 10ml vial)  [20 units QD; expires 28 days after first use]</v>
      </c>
      <c r="H42" s="40" t="str">
        <f t="shared" si="39"/>
        <v/>
      </c>
      <c r="I42" s="160" t="str">
        <f t="shared" si="40"/>
        <v/>
      </c>
      <c r="J42" s="41">
        <f t="shared" si="41"/>
        <v>1</v>
      </c>
      <c r="K42" s="41" t="str">
        <f t="shared" si="42"/>
        <v/>
      </c>
      <c r="L42" s="41" t="str">
        <f t="shared" si="43"/>
        <v/>
      </c>
      <c r="M42" s="41" t="str">
        <f t="shared" si="44"/>
        <v/>
      </c>
      <c r="N42" s="41" t="str">
        <f t="shared" si="45"/>
        <v/>
      </c>
      <c r="O42" s="41" t="str">
        <f t="shared" si="46"/>
        <v/>
      </c>
      <c r="P42" s="188" t="str">
        <f t="shared" si="47"/>
        <v/>
      </c>
      <c r="Q42" s="221">
        <f t="shared" si="48"/>
        <v>119.2</v>
      </c>
      <c r="R42" s="253">
        <v>109.2</v>
      </c>
      <c r="S42" s="179">
        <f t="shared" si="16"/>
        <v>1159.7216777725</v>
      </c>
      <c r="T42" s="259"/>
      <c r="U42" s="179">
        <f t="shared" si="17"/>
        <v>25</v>
      </c>
      <c r="V42" s="259"/>
      <c r="W42" s="179">
        <f t="shared" si="18"/>
        <v>0</v>
      </c>
      <c r="X42" s="259">
        <v>0</v>
      </c>
      <c r="Y42" s="179">
        <f t="shared" si="19"/>
        <v>661.3500864529999</v>
      </c>
      <c r="Z42" s="259">
        <v>10</v>
      </c>
      <c r="AA42" s="179">
        <f t="shared" si="20"/>
        <v>110</v>
      </c>
      <c r="AB42" s="259"/>
      <c r="AC42" s="179">
        <f t="shared" si="21"/>
        <v>0</v>
      </c>
      <c r="AD42" s="189">
        <f t="shared" si="15"/>
        <v>10</v>
      </c>
      <c r="AE42" s="179">
        <f t="shared" si="22"/>
        <v>771.35008645300002</v>
      </c>
      <c r="AF42" s="264"/>
      <c r="AG42" s="179">
        <f t="shared" si="23"/>
        <v>561.35008645300002</v>
      </c>
      <c r="AH42" s="268"/>
      <c r="AI42" s="179">
        <f t="shared" si="24"/>
        <v>0</v>
      </c>
      <c r="AJ42" s="268">
        <v>0</v>
      </c>
      <c r="AK42" s="179">
        <f t="shared" si="25"/>
        <v>100</v>
      </c>
      <c r="AL42" s="268"/>
      <c r="AM42" s="179">
        <f t="shared" si="26"/>
        <v>0</v>
      </c>
      <c r="AN42" s="268"/>
      <c r="AO42" s="179">
        <f t="shared" si="27"/>
        <v>0</v>
      </c>
      <c r="AP42" s="268"/>
      <c r="AQ42" s="179">
        <f t="shared" si="28"/>
        <v>0</v>
      </c>
      <c r="AR42" s="273"/>
      <c r="AS42" s="209">
        <f t="shared" si="29"/>
        <v>0</v>
      </c>
      <c r="AT42" s="273"/>
      <c r="AU42" s="226">
        <f t="shared" si="30"/>
        <v>0</v>
      </c>
      <c r="AV42" s="273"/>
      <c r="AW42" s="209">
        <f t="shared" si="31"/>
        <v>0</v>
      </c>
      <c r="AX42" s="273"/>
      <c r="AY42" s="209">
        <f t="shared" si="32"/>
        <v>0</v>
      </c>
      <c r="AZ42" s="273"/>
      <c r="BA42" s="179">
        <f t="shared" si="33"/>
        <v>0</v>
      </c>
      <c r="BB42"/>
      <c r="BC42"/>
      <c r="BD42"/>
    </row>
    <row r="43" spans="1:56" s="34" customFormat="1" x14ac:dyDescent="0.25">
      <c r="A43" s="87">
        <v>40630</v>
      </c>
      <c r="B43" s="42">
        <v>24</v>
      </c>
      <c r="C43" s="41" t="str">
        <f t="shared" si="34"/>
        <v>250.00, V58.66, V58.67</v>
      </c>
      <c r="D43" s="41">
        <f t="shared" si="35"/>
        <v>99214</v>
      </c>
      <c r="E43" s="40" t="str">
        <f t="shared" si="36"/>
        <v>Primary</v>
      </c>
      <c r="F43" s="40" t="str">
        <f t="shared" si="37"/>
        <v>Office visits &amp; procedures</v>
      </c>
      <c r="G43" s="40" t="str">
        <f t="shared" si="38"/>
        <v>Office/Outpatient Visit Est</v>
      </c>
      <c r="H43" s="40" t="str">
        <f t="shared" si="39"/>
        <v/>
      </c>
      <c r="I43" s="160" t="str">
        <f t="shared" si="40"/>
        <v/>
      </c>
      <c r="J43" s="41" t="str">
        <f t="shared" si="41"/>
        <v/>
      </c>
      <c r="K43" s="41" t="str">
        <f t="shared" si="42"/>
        <v/>
      </c>
      <c r="L43" s="41" t="str">
        <f t="shared" si="43"/>
        <v/>
      </c>
      <c r="M43" s="41" t="str">
        <f t="shared" si="44"/>
        <v/>
      </c>
      <c r="N43" s="41" t="str">
        <f t="shared" si="45"/>
        <v/>
      </c>
      <c r="O43" s="41" t="str">
        <f t="shared" si="46"/>
        <v/>
      </c>
      <c r="P43" s="188">
        <f t="shared" si="47"/>
        <v>1</v>
      </c>
      <c r="Q43" s="221">
        <f t="shared" si="48"/>
        <v>102.47359376999999</v>
      </c>
      <c r="R43" s="253">
        <v>0</v>
      </c>
      <c r="S43" s="179">
        <f t="shared" si="16"/>
        <v>1159.7216777725</v>
      </c>
      <c r="T43" s="259"/>
      <c r="U43" s="179">
        <f t="shared" si="17"/>
        <v>25</v>
      </c>
      <c r="V43" s="259"/>
      <c r="W43" s="179">
        <f t="shared" si="18"/>
        <v>0</v>
      </c>
      <c r="X43" s="259">
        <v>102.47359376999999</v>
      </c>
      <c r="Y43" s="179">
        <f t="shared" si="19"/>
        <v>763.82368022299988</v>
      </c>
      <c r="Z43" s="259">
        <v>0</v>
      </c>
      <c r="AA43" s="179">
        <f t="shared" si="20"/>
        <v>110</v>
      </c>
      <c r="AB43" s="259"/>
      <c r="AC43" s="179">
        <f t="shared" si="21"/>
        <v>0</v>
      </c>
      <c r="AD43" s="189">
        <f t="shared" si="15"/>
        <v>102.47359376999999</v>
      </c>
      <c r="AE43" s="179">
        <f t="shared" si="22"/>
        <v>873.823680223</v>
      </c>
      <c r="AF43" s="264">
        <v>102.47359376999999</v>
      </c>
      <c r="AG43" s="179">
        <f t="shared" si="23"/>
        <v>663.823680223</v>
      </c>
      <c r="AH43" s="268"/>
      <c r="AI43" s="179">
        <f t="shared" si="24"/>
        <v>0</v>
      </c>
      <c r="AJ43" s="268"/>
      <c r="AK43" s="179">
        <f t="shared" si="25"/>
        <v>100</v>
      </c>
      <c r="AL43" s="268"/>
      <c r="AM43" s="179">
        <f t="shared" si="26"/>
        <v>0</v>
      </c>
      <c r="AN43" s="268"/>
      <c r="AO43" s="179">
        <f t="shared" si="27"/>
        <v>0</v>
      </c>
      <c r="AP43" s="268"/>
      <c r="AQ43" s="179">
        <f t="shared" si="28"/>
        <v>0</v>
      </c>
      <c r="AR43" s="273"/>
      <c r="AS43" s="209">
        <f t="shared" si="29"/>
        <v>0</v>
      </c>
      <c r="AT43" s="273"/>
      <c r="AU43" s="226">
        <f t="shared" si="30"/>
        <v>0</v>
      </c>
      <c r="AV43" s="273"/>
      <c r="AW43" s="209">
        <f t="shared" si="31"/>
        <v>0</v>
      </c>
      <c r="AX43" s="273"/>
      <c r="AY43" s="209">
        <f t="shared" si="32"/>
        <v>0</v>
      </c>
      <c r="AZ43" s="273"/>
      <c r="BA43" s="179">
        <f t="shared" si="33"/>
        <v>0</v>
      </c>
      <c r="BB43"/>
      <c r="BC43"/>
      <c r="BD43"/>
    </row>
    <row r="44" spans="1:56" s="34" customFormat="1" x14ac:dyDescent="0.25">
      <c r="A44" s="87">
        <v>40636</v>
      </c>
      <c r="B44" s="42">
        <v>25</v>
      </c>
      <c r="C44" s="41" t="str">
        <f t="shared" si="34"/>
        <v>250.00, V58.66, V58.67</v>
      </c>
      <c r="D44" s="41" t="str">
        <f t="shared" si="35"/>
        <v>OTC</v>
      </c>
      <c r="E44" s="40" t="str">
        <f t="shared" si="36"/>
        <v>Pharmacy Retail</v>
      </c>
      <c r="F44" s="40" t="str">
        <f t="shared" si="37"/>
        <v>Medical equipment and supplies</v>
      </c>
      <c r="G44" s="40" t="str">
        <f t="shared" si="38"/>
        <v>Alcohol swabs (OTC - box of 100)  [usage = 3 wipes/day; 90 wipes/month]</v>
      </c>
      <c r="H44" s="40" t="str">
        <f t="shared" si="39"/>
        <v/>
      </c>
      <c r="I44" s="160">
        <f t="shared" si="40"/>
        <v>1</v>
      </c>
      <c r="J44" s="41" t="str">
        <f t="shared" si="41"/>
        <v/>
      </c>
      <c r="K44" s="41" t="str">
        <f t="shared" si="42"/>
        <v/>
      </c>
      <c r="L44" s="41" t="str">
        <f t="shared" si="43"/>
        <v/>
      </c>
      <c r="M44" s="41" t="str">
        <f t="shared" si="44"/>
        <v/>
      </c>
      <c r="N44" s="41" t="str">
        <f t="shared" si="45"/>
        <v/>
      </c>
      <c r="O44" s="41" t="str">
        <f t="shared" si="46"/>
        <v/>
      </c>
      <c r="P44" s="188" t="str">
        <f t="shared" si="47"/>
        <v/>
      </c>
      <c r="Q44" s="221">
        <f t="shared" si="48"/>
        <v>3</v>
      </c>
      <c r="R44" s="253"/>
      <c r="S44" s="179">
        <f t="shared" si="16"/>
        <v>1159.7216777725</v>
      </c>
      <c r="T44" s="259">
        <v>3</v>
      </c>
      <c r="U44" s="179">
        <f t="shared" si="17"/>
        <v>28</v>
      </c>
      <c r="V44" s="259"/>
      <c r="W44" s="179">
        <f t="shared" si="18"/>
        <v>0</v>
      </c>
      <c r="X44" s="259"/>
      <c r="Y44" s="179">
        <f t="shared" si="19"/>
        <v>763.82368022299988</v>
      </c>
      <c r="Z44" s="259"/>
      <c r="AA44" s="179">
        <f t="shared" si="20"/>
        <v>110</v>
      </c>
      <c r="AB44" s="259"/>
      <c r="AC44" s="179">
        <f t="shared" si="21"/>
        <v>0</v>
      </c>
      <c r="AD44" s="189">
        <f t="shared" si="15"/>
        <v>0</v>
      </c>
      <c r="AE44" s="179">
        <f t="shared" si="22"/>
        <v>873.823680223</v>
      </c>
      <c r="AF44" s="264"/>
      <c r="AG44" s="179">
        <f t="shared" si="23"/>
        <v>663.823680223</v>
      </c>
      <c r="AH44" s="268"/>
      <c r="AI44" s="179">
        <f t="shared" si="24"/>
        <v>0</v>
      </c>
      <c r="AJ44" s="268"/>
      <c r="AK44" s="179">
        <f t="shared" si="25"/>
        <v>100</v>
      </c>
      <c r="AL44" s="268"/>
      <c r="AM44" s="179">
        <f t="shared" si="26"/>
        <v>0</v>
      </c>
      <c r="AN44" s="268"/>
      <c r="AO44" s="179">
        <f t="shared" si="27"/>
        <v>0</v>
      </c>
      <c r="AP44" s="268"/>
      <c r="AQ44" s="179">
        <f t="shared" si="28"/>
        <v>0</v>
      </c>
      <c r="AR44" s="273"/>
      <c r="AS44" s="209">
        <f t="shared" si="29"/>
        <v>0</v>
      </c>
      <c r="AT44" s="273"/>
      <c r="AU44" s="226">
        <f t="shared" si="30"/>
        <v>0</v>
      </c>
      <c r="AV44" s="273"/>
      <c r="AW44" s="209">
        <f t="shared" si="31"/>
        <v>0</v>
      </c>
      <c r="AX44" s="273"/>
      <c r="AY44" s="209">
        <f t="shared" si="32"/>
        <v>0</v>
      </c>
      <c r="AZ44" s="273"/>
      <c r="BA44" s="179">
        <f t="shared" si="33"/>
        <v>0</v>
      </c>
      <c r="BB44"/>
      <c r="BC44"/>
      <c r="BD44"/>
    </row>
    <row r="45" spans="1:56" s="34" customFormat="1" x14ac:dyDescent="0.25">
      <c r="A45" s="87">
        <v>40636</v>
      </c>
      <c r="B45" s="42">
        <v>14</v>
      </c>
      <c r="C45" s="41" t="str">
        <f t="shared" si="34"/>
        <v>250.00, V58.66, V58.67</v>
      </c>
      <c r="D45" s="41">
        <f t="shared" si="35"/>
        <v>8290328279</v>
      </c>
      <c r="E45" s="40" t="str">
        <f t="shared" si="36"/>
        <v>Pharmacy Retail</v>
      </c>
      <c r="F45" s="40" t="str">
        <f t="shared" si="37"/>
        <v>Medical equipment and supplies</v>
      </c>
      <c r="G45" s="40" t="str">
        <f t="shared" si="38"/>
        <v>BD Ultrafine Insulin Syringes / 30G/ 0.5cc  [usage = 30 syringes per month]</v>
      </c>
      <c r="H45" s="40" t="str">
        <f t="shared" si="39"/>
        <v/>
      </c>
      <c r="I45" s="160">
        <f t="shared" si="40"/>
        <v>1</v>
      </c>
      <c r="J45" s="41" t="str">
        <f t="shared" si="41"/>
        <v/>
      </c>
      <c r="K45" s="41" t="str">
        <f t="shared" si="42"/>
        <v/>
      </c>
      <c r="L45" s="41" t="str">
        <f t="shared" si="43"/>
        <v/>
      </c>
      <c r="M45" s="41" t="str">
        <f t="shared" si="44"/>
        <v/>
      </c>
      <c r="N45" s="41" t="str">
        <f t="shared" si="45"/>
        <v/>
      </c>
      <c r="O45" s="41" t="str">
        <f t="shared" si="46"/>
        <v/>
      </c>
      <c r="P45" s="188" t="str">
        <f t="shared" si="47"/>
        <v/>
      </c>
      <c r="Q45" s="221">
        <f t="shared" si="48"/>
        <v>8.4</v>
      </c>
      <c r="R45" s="253">
        <v>8.4</v>
      </c>
      <c r="S45" s="179">
        <f t="shared" si="16"/>
        <v>1168.1216777725001</v>
      </c>
      <c r="T45" s="259"/>
      <c r="U45" s="179">
        <f t="shared" si="17"/>
        <v>28</v>
      </c>
      <c r="V45" s="259"/>
      <c r="W45" s="179">
        <f t="shared" si="18"/>
        <v>0</v>
      </c>
      <c r="X45" s="259"/>
      <c r="Y45" s="179">
        <f t="shared" si="19"/>
        <v>763.82368022299988</v>
      </c>
      <c r="Z45" s="259"/>
      <c r="AA45" s="179">
        <f t="shared" si="20"/>
        <v>110</v>
      </c>
      <c r="AB45" s="259"/>
      <c r="AC45" s="179">
        <f t="shared" si="21"/>
        <v>0</v>
      </c>
      <c r="AD45" s="189">
        <f t="shared" si="15"/>
        <v>0</v>
      </c>
      <c r="AE45" s="179">
        <f t="shared" si="22"/>
        <v>873.823680223</v>
      </c>
      <c r="AF45" s="264"/>
      <c r="AG45" s="179">
        <f t="shared" si="23"/>
        <v>663.823680223</v>
      </c>
      <c r="AH45" s="268"/>
      <c r="AI45" s="179">
        <f t="shared" si="24"/>
        <v>0</v>
      </c>
      <c r="AJ45" s="268"/>
      <c r="AK45" s="179">
        <f t="shared" si="25"/>
        <v>100</v>
      </c>
      <c r="AL45" s="268"/>
      <c r="AM45" s="179">
        <f t="shared" si="26"/>
        <v>0</v>
      </c>
      <c r="AN45" s="268"/>
      <c r="AO45" s="179">
        <f t="shared" si="27"/>
        <v>0</v>
      </c>
      <c r="AP45" s="268"/>
      <c r="AQ45" s="179">
        <f t="shared" si="28"/>
        <v>0</v>
      </c>
      <c r="AR45" s="273"/>
      <c r="AS45" s="209">
        <f t="shared" si="29"/>
        <v>0</v>
      </c>
      <c r="AT45" s="273"/>
      <c r="AU45" s="226">
        <f t="shared" si="30"/>
        <v>0</v>
      </c>
      <c r="AV45" s="273"/>
      <c r="AW45" s="209">
        <f t="shared" si="31"/>
        <v>0</v>
      </c>
      <c r="AX45" s="273"/>
      <c r="AY45" s="209">
        <f t="shared" si="32"/>
        <v>0</v>
      </c>
      <c r="AZ45" s="273"/>
      <c r="BA45" s="179">
        <f t="shared" si="33"/>
        <v>0</v>
      </c>
      <c r="BB45"/>
      <c r="BC45"/>
      <c r="BD45"/>
    </row>
    <row r="46" spans="1:56" s="34" customFormat="1" x14ac:dyDescent="0.25">
      <c r="A46" s="87">
        <v>40636</v>
      </c>
      <c r="B46" s="42">
        <v>18</v>
      </c>
      <c r="C46" s="41" t="str">
        <f t="shared" si="34"/>
        <v>250.00, V58.66, V58.67</v>
      </c>
      <c r="D46" s="41">
        <f t="shared" si="35"/>
        <v>93104801</v>
      </c>
      <c r="E46" s="40" t="str">
        <f t="shared" si="36"/>
        <v>Pharmacy Retail</v>
      </c>
      <c r="F46" s="40" t="str">
        <f t="shared" si="37"/>
        <v>Pharmacy</v>
      </c>
      <c r="G46" s="40" t="str">
        <f t="shared" si="38"/>
        <v>Metformin hydrochloride 500mg (Rx) [1 BID; #60 pills/month]</v>
      </c>
      <c r="H46" s="40" t="str">
        <f t="shared" si="39"/>
        <v/>
      </c>
      <c r="I46" s="160" t="str">
        <f t="shared" si="40"/>
        <v/>
      </c>
      <c r="J46" s="41">
        <f t="shared" si="41"/>
        <v>1</v>
      </c>
      <c r="K46" s="41" t="str">
        <f t="shared" si="42"/>
        <v/>
      </c>
      <c r="L46" s="41" t="str">
        <f t="shared" si="43"/>
        <v/>
      </c>
      <c r="M46" s="41" t="str">
        <f t="shared" si="44"/>
        <v/>
      </c>
      <c r="N46" s="41" t="str">
        <f t="shared" si="45"/>
        <v/>
      </c>
      <c r="O46" s="41" t="str">
        <f t="shared" si="46"/>
        <v/>
      </c>
      <c r="P46" s="188" t="str">
        <f t="shared" si="47"/>
        <v/>
      </c>
      <c r="Q46" s="221">
        <f t="shared" si="48"/>
        <v>34.369999999999997</v>
      </c>
      <c r="R46" s="253">
        <v>24.369999999999997</v>
      </c>
      <c r="S46" s="179">
        <f t="shared" si="16"/>
        <v>1192.4916777725</v>
      </c>
      <c r="T46" s="259"/>
      <c r="U46" s="179">
        <f t="shared" si="17"/>
        <v>28</v>
      </c>
      <c r="V46" s="259"/>
      <c r="W46" s="179">
        <f t="shared" si="18"/>
        <v>0</v>
      </c>
      <c r="X46" s="259">
        <v>0</v>
      </c>
      <c r="Y46" s="179">
        <f t="shared" si="19"/>
        <v>763.82368022299988</v>
      </c>
      <c r="Z46" s="259">
        <v>10</v>
      </c>
      <c r="AA46" s="179">
        <f t="shared" si="20"/>
        <v>120</v>
      </c>
      <c r="AB46" s="259"/>
      <c r="AC46" s="179">
        <f t="shared" si="21"/>
        <v>0</v>
      </c>
      <c r="AD46" s="189">
        <f t="shared" si="15"/>
        <v>10</v>
      </c>
      <c r="AE46" s="179">
        <f t="shared" si="22"/>
        <v>883.823680223</v>
      </c>
      <c r="AF46" s="264"/>
      <c r="AG46" s="179">
        <f t="shared" si="23"/>
        <v>663.823680223</v>
      </c>
      <c r="AH46" s="268"/>
      <c r="AI46" s="179">
        <f t="shared" si="24"/>
        <v>0</v>
      </c>
      <c r="AJ46" s="268">
        <v>0</v>
      </c>
      <c r="AK46" s="179">
        <f t="shared" si="25"/>
        <v>100</v>
      </c>
      <c r="AL46" s="268"/>
      <c r="AM46" s="179">
        <f t="shared" si="26"/>
        <v>0</v>
      </c>
      <c r="AN46" s="268"/>
      <c r="AO46" s="179">
        <f t="shared" si="27"/>
        <v>0</v>
      </c>
      <c r="AP46" s="268"/>
      <c r="AQ46" s="179">
        <f t="shared" si="28"/>
        <v>0</v>
      </c>
      <c r="AR46" s="273"/>
      <c r="AS46" s="209">
        <f t="shared" si="29"/>
        <v>0</v>
      </c>
      <c r="AT46" s="273"/>
      <c r="AU46" s="226">
        <f t="shared" si="30"/>
        <v>0</v>
      </c>
      <c r="AV46" s="273"/>
      <c r="AW46" s="209">
        <f t="shared" si="31"/>
        <v>0</v>
      </c>
      <c r="AX46" s="273"/>
      <c r="AY46" s="209">
        <f t="shared" si="32"/>
        <v>0</v>
      </c>
      <c r="AZ46" s="273"/>
      <c r="BA46" s="179">
        <f t="shared" si="33"/>
        <v>0</v>
      </c>
      <c r="BB46"/>
      <c r="BC46"/>
      <c r="BD46"/>
    </row>
    <row r="47" spans="1:56" s="34" customFormat="1" x14ac:dyDescent="0.25">
      <c r="A47" s="87">
        <v>40636</v>
      </c>
      <c r="B47" s="42">
        <v>19</v>
      </c>
      <c r="C47" s="41" t="str">
        <f t="shared" si="34"/>
        <v>250.00, V58.66, V58.67</v>
      </c>
      <c r="D47" s="41">
        <f t="shared" si="35"/>
        <v>93743801</v>
      </c>
      <c r="E47" s="40" t="str">
        <f t="shared" si="36"/>
        <v>Pharmacy Retail</v>
      </c>
      <c r="F47" s="40" t="str">
        <f t="shared" si="37"/>
        <v>Pharmacy</v>
      </c>
      <c r="G47" s="40" t="str">
        <f t="shared" si="38"/>
        <v>Ramipril 10mg (Rx) [1 QD; #30 pills/month]</v>
      </c>
      <c r="H47" s="40" t="str">
        <f t="shared" si="39"/>
        <v/>
      </c>
      <c r="I47" s="160" t="str">
        <f t="shared" si="40"/>
        <v/>
      </c>
      <c r="J47" s="41">
        <f t="shared" si="41"/>
        <v>1</v>
      </c>
      <c r="K47" s="41" t="str">
        <f t="shared" si="42"/>
        <v/>
      </c>
      <c r="L47" s="41" t="str">
        <f t="shared" si="43"/>
        <v/>
      </c>
      <c r="M47" s="41" t="str">
        <f t="shared" si="44"/>
        <v/>
      </c>
      <c r="N47" s="41" t="str">
        <f t="shared" si="45"/>
        <v/>
      </c>
      <c r="O47" s="41" t="str">
        <f t="shared" si="46"/>
        <v/>
      </c>
      <c r="P47" s="188" t="str">
        <f t="shared" si="47"/>
        <v/>
      </c>
      <c r="Q47" s="221">
        <f t="shared" si="48"/>
        <v>53.81</v>
      </c>
      <c r="R47" s="253">
        <v>43.81</v>
      </c>
      <c r="S47" s="179">
        <f t="shared" si="16"/>
        <v>1236.3016777724999</v>
      </c>
      <c r="T47" s="259"/>
      <c r="U47" s="179">
        <f t="shared" si="17"/>
        <v>28</v>
      </c>
      <c r="V47" s="259"/>
      <c r="W47" s="179">
        <f t="shared" si="18"/>
        <v>0</v>
      </c>
      <c r="X47" s="259">
        <v>0</v>
      </c>
      <c r="Y47" s="179">
        <f t="shared" si="19"/>
        <v>763.82368022299988</v>
      </c>
      <c r="Z47" s="259">
        <v>10</v>
      </c>
      <c r="AA47" s="179">
        <f t="shared" si="20"/>
        <v>130</v>
      </c>
      <c r="AB47" s="259"/>
      <c r="AC47" s="179">
        <f t="shared" si="21"/>
        <v>0</v>
      </c>
      <c r="AD47" s="189">
        <f t="shared" si="15"/>
        <v>10</v>
      </c>
      <c r="AE47" s="179">
        <f t="shared" si="22"/>
        <v>893.823680223</v>
      </c>
      <c r="AF47" s="264"/>
      <c r="AG47" s="179">
        <f t="shared" si="23"/>
        <v>663.823680223</v>
      </c>
      <c r="AH47" s="268"/>
      <c r="AI47" s="179">
        <f t="shared" si="24"/>
        <v>0</v>
      </c>
      <c r="AJ47" s="268">
        <v>0</v>
      </c>
      <c r="AK47" s="179">
        <f t="shared" si="25"/>
        <v>100</v>
      </c>
      <c r="AL47" s="268"/>
      <c r="AM47" s="179">
        <f t="shared" si="26"/>
        <v>0</v>
      </c>
      <c r="AN47" s="268"/>
      <c r="AO47" s="179">
        <f t="shared" si="27"/>
        <v>0</v>
      </c>
      <c r="AP47" s="268"/>
      <c r="AQ47" s="179">
        <f t="shared" si="28"/>
        <v>0</v>
      </c>
      <c r="AR47" s="273"/>
      <c r="AS47" s="209">
        <f t="shared" si="29"/>
        <v>0</v>
      </c>
      <c r="AT47" s="273"/>
      <c r="AU47" s="226">
        <f t="shared" si="30"/>
        <v>0</v>
      </c>
      <c r="AV47" s="273"/>
      <c r="AW47" s="209">
        <f t="shared" si="31"/>
        <v>0</v>
      </c>
      <c r="AX47" s="273"/>
      <c r="AY47" s="209">
        <f t="shared" si="32"/>
        <v>0</v>
      </c>
      <c r="AZ47" s="273"/>
      <c r="BA47" s="179">
        <f t="shared" si="33"/>
        <v>0</v>
      </c>
      <c r="BB47"/>
      <c r="BC47"/>
      <c r="BD47"/>
    </row>
    <row r="48" spans="1:56" s="34" customFormat="1" x14ac:dyDescent="0.25">
      <c r="A48" s="87">
        <v>40646</v>
      </c>
      <c r="B48" s="42">
        <v>5</v>
      </c>
      <c r="C48" s="41" t="str">
        <f t="shared" si="34"/>
        <v>250.00, V58.66, V58.67</v>
      </c>
      <c r="D48" s="41">
        <f t="shared" si="35"/>
        <v>53885039310</v>
      </c>
      <c r="E48" s="40" t="str">
        <f t="shared" si="36"/>
        <v>Pharmacy Retail</v>
      </c>
      <c r="F48" s="40" t="str">
        <f t="shared" si="37"/>
        <v>Medical equipment and supplies</v>
      </c>
      <c r="G48" s="40" t="str">
        <f t="shared" si="38"/>
        <v>OneTouch Delica Lancets (100 per box)  [usage = 60 lancets per month]</v>
      </c>
      <c r="H48" s="40" t="str">
        <f t="shared" si="39"/>
        <v/>
      </c>
      <c r="I48" s="160">
        <f t="shared" si="40"/>
        <v>1</v>
      </c>
      <c r="J48" s="41" t="str">
        <f t="shared" si="41"/>
        <v/>
      </c>
      <c r="K48" s="41" t="str">
        <f t="shared" si="42"/>
        <v/>
      </c>
      <c r="L48" s="41" t="str">
        <f t="shared" si="43"/>
        <v/>
      </c>
      <c r="M48" s="41" t="str">
        <f t="shared" si="44"/>
        <v/>
      </c>
      <c r="N48" s="41" t="str">
        <f t="shared" si="45"/>
        <v/>
      </c>
      <c r="O48" s="41" t="str">
        <f t="shared" si="46"/>
        <v/>
      </c>
      <c r="P48" s="188" t="str">
        <f t="shared" si="47"/>
        <v/>
      </c>
      <c r="Q48" s="221">
        <f t="shared" si="48"/>
        <v>9</v>
      </c>
      <c r="R48" s="253">
        <v>9</v>
      </c>
      <c r="S48" s="179">
        <f t="shared" si="16"/>
        <v>1245.3016777724999</v>
      </c>
      <c r="T48" s="259"/>
      <c r="U48" s="179">
        <f t="shared" si="17"/>
        <v>28</v>
      </c>
      <c r="V48" s="259"/>
      <c r="W48" s="179">
        <f t="shared" si="18"/>
        <v>0</v>
      </c>
      <c r="X48" s="259"/>
      <c r="Y48" s="179">
        <f t="shared" si="19"/>
        <v>763.82368022299988</v>
      </c>
      <c r="Z48" s="259"/>
      <c r="AA48" s="179">
        <f t="shared" si="20"/>
        <v>130</v>
      </c>
      <c r="AB48" s="259"/>
      <c r="AC48" s="179">
        <f t="shared" si="21"/>
        <v>0</v>
      </c>
      <c r="AD48" s="189">
        <f t="shared" si="15"/>
        <v>0</v>
      </c>
      <c r="AE48" s="179">
        <f t="shared" si="22"/>
        <v>893.823680223</v>
      </c>
      <c r="AF48" s="264"/>
      <c r="AG48" s="179">
        <f t="shared" si="23"/>
        <v>663.823680223</v>
      </c>
      <c r="AH48" s="268"/>
      <c r="AI48" s="179">
        <f t="shared" si="24"/>
        <v>0</v>
      </c>
      <c r="AJ48" s="268"/>
      <c r="AK48" s="179">
        <f t="shared" si="25"/>
        <v>100</v>
      </c>
      <c r="AL48" s="268"/>
      <c r="AM48" s="179">
        <f t="shared" si="26"/>
        <v>0</v>
      </c>
      <c r="AN48" s="268"/>
      <c r="AO48" s="179">
        <f t="shared" si="27"/>
        <v>0</v>
      </c>
      <c r="AP48" s="268"/>
      <c r="AQ48" s="179">
        <f t="shared" si="28"/>
        <v>0</v>
      </c>
      <c r="AR48" s="273"/>
      <c r="AS48" s="209">
        <f t="shared" si="29"/>
        <v>0</v>
      </c>
      <c r="AT48" s="273"/>
      <c r="AU48" s="226">
        <f t="shared" si="30"/>
        <v>0</v>
      </c>
      <c r="AV48" s="273"/>
      <c r="AW48" s="209">
        <f t="shared" si="31"/>
        <v>0</v>
      </c>
      <c r="AX48" s="273"/>
      <c r="AY48" s="209">
        <f t="shared" si="32"/>
        <v>0</v>
      </c>
      <c r="AZ48" s="273"/>
      <c r="BA48" s="179">
        <f t="shared" si="33"/>
        <v>0</v>
      </c>
      <c r="BB48"/>
      <c r="BC48"/>
      <c r="BD48"/>
    </row>
    <row r="49" spans="1:56" s="34" customFormat="1" x14ac:dyDescent="0.25">
      <c r="A49" s="87">
        <v>40646</v>
      </c>
      <c r="B49" s="42">
        <v>4</v>
      </c>
      <c r="C49" s="41" t="str">
        <f t="shared" si="34"/>
        <v>250.00, V58.66, V58.67</v>
      </c>
      <c r="D49" s="41">
        <f t="shared" si="35"/>
        <v>53885024510</v>
      </c>
      <c r="E49" s="40" t="str">
        <f t="shared" si="36"/>
        <v>Pharmacy Retail</v>
      </c>
      <c r="F49" s="40" t="str">
        <f t="shared" si="37"/>
        <v>Medical equipment and supplies</v>
      </c>
      <c r="G49" s="40" t="str">
        <f t="shared" si="38"/>
        <v xml:space="preserve">OneTouch Ultra Blue Test Strips (Rx - box of 100) [usage = 2 strips/day; 60 per month] </v>
      </c>
      <c r="H49" s="40" t="str">
        <f t="shared" si="39"/>
        <v/>
      </c>
      <c r="I49" s="160">
        <f t="shared" si="40"/>
        <v>1</v>
      </c>
      <c r="J49" s="41" t="str">
        <f t="shared" si="41"/>
        <v/>
      </c>
      <c r="K49" s="41" t="str">
        <f t="shared" si="42"/>
        <v/>
      </c>
      <c r="L49" s="41" t="str">
        <f t="shared" si="43"/>
        <v/>
      </c>
      <c r="M49" s="41" t="str">
        <f t="shared" si="44"/>
        <v/>
      </c>
      <c r="N49" s="41" t="str">
        <f t="shared" si="45"/>
        <v/>
      </c>
      <c r="O49" s="41" t="str">
        <f t="shared" si="46"/>
        <v/>
      </c>
      <c r="P49" s="188" t="str">
        <f t="shared" si="47"/>
        <v/>
      </c>
      <c r="Q49" s="221">
        <f t="shared" si="48"/>
        <v>123.6</v>
      </c>
      <c r="R49" s="253">
        <v>123.6</v>
      </c>
      <c r="S49" s="179">
        <f t="shared" si="16"/>
        <v>1368.9016777724999</v>
      </c>
      <c r="T49" s="259"/>
      <c r="U49" s="179">
        <f t="shared" si="17"/>
        <v>28</v>
      </c>
      <c r="V49" s="259"/>
      <c r="W49" s="179">
        <f t="shared" si="18"/>
        <v>0</v>
      </c>
      <c r="X49" s="259"/>
      <c r="Y49" s="179">
        <f t="shared" si="19"/>
        <v>763.82368022299988</v>
      </c>
      <c r="Z49" s="259"/>
      <c r="AA49" s="179">
        <f t="shared" si="20"/>
        <v>130</v>
      </c>
      <c r="AB49" s="259"/>
      <c r="AC49" s="179">
        <f t="shared" si="21"/>
        <v>0</v>
      </c>
      <c r="AD49" s="189">
        <f t="shared" si="15"/>
        <v>0</v>
      </c>
      <c r="AE49" s="179">
        <f t="shared" si="22"/>
        <v>893.823680223</v>
      </c>
      <c r="AF49" s="264"/>
      <c r="AG49" s="179">
        <f t="shared" si="23"/>
        <v>663.823680223</v>
      </c>
      <c r="AH49" s="268"/>
      <c r="AI49" s="179">
        <f t="shared" si="24"/>
        <v>0</v>
      </c>
      <c r="AJ49" s="268"/>
      <c r="AK49" s="179">
        <f t="shared" si="25"/>
        <v>100</v>
      </c>
      <c r="AL49" s="268"/>
      <c r="AM49" s="179">
        <f t="shared" si="26"/>
        <v>0</v>
      </c>
      <c r="AN49" s="268"/>
      <c r="AO49" s="179">
        <f t="shared" si="27"/>
        <v>0</v>
      </c>
      <c r="AP49" s="268"/>
      <c r="AQ49" s="179">
        <f t="shared" si="28"/>
        <v>0</v>
      </c>
      <c r="AR49" s="273"/>
      <c r="AS49" s="209">
        <f t="shared" si="29"/>
        <v>0</v>
      </c>
      <c r="AT49" s="273"/>
      <c r="AU49" s="226">
        <f t="shared" si="30"/>
        <v>0</v>
      </c>
      <c r="AV49" s="273"/>
      <c r="AW49" s="209">
        <f t="shared" si="31"/>
        <v>0</v>
      </c>
      <c r="AX49" s="273"/>
      <c r="AY49" s="209">
        <f t="shared" si="32"/>
        <v>0</v>
      </c>
      <c r="AZ49" s="273"/>
      <c r="BA49" s="179">
        <f t="shared" si="33"/>
        <v>0</v>
      </c>
      <c r="BB49"/>
      <c r="BC49"/>
      <c r="BD49"/>
    </row>
    <row r="50" spans="1:56" s="34" customFormat="1" x14ac:dyDescent="0.25">
      <c r="A50" s="87">
        <v>40658</v>
      </c>
      <c r="B50" s="42">
        <v>17</v>
      </c>
      <c r="C50" s="41" t="str">
        <f t="shared" si="34"/>
        <v>250.00, V58.66, V58.67</v>
      </c>
      <c r="D50" s="41">
        <f t="shared" si="35"/>
        <v>88222033</v>
      </c>
      <c r="E50" s="40" t="str">
        <f t="shared" si="36"/>
        <v>Pharmacy Retail</v>
      </c>
      <c r="F50" s="40" t="str">
        <f t="shared" si="37"/>
        <v>Pharmacy</v>
      </c>
      <c r="G50" s="40" t="str">
        <f t="shared" si="38"/>
        <v>Insulin glargine 100 unit/ml injectable solution (Rx - 10ml vial)  [20 units QD; expires 28 days after first use]</v>
      </c>
      <c r="H50" s="40" t="str">
        <f t="shared" si="39"/>
        <v/>
      </c>
      <c r="I50" s="160" t="str">
        <f t="shared" si="40"/>
        <v/>
      </c>
      <c r="J50" s="41">
        <f t="shared" si="41"/>
        <v>1</v>
      </c>
      <c r="K50" s="41" t="str">
        <f t="shared" si="42"/>
        <v/>
      </c>
      <c r="L50" s="41" t="str">
        <f t="shared" si="43"/>
        <v/>
      </c>
      <c r="M50" s="41" t="str">
        <f t="shared" si="44"/>
        <v/>
      </c>
      <c r="N50" s="41" t="str">
        <f t="shared" si="45"/>
        <v/>
      </c>
      <c r="O50" s="41" t="str">
        <f t="shared" si="46"/>
        <v/>
      </c>
      <c r="P50" s="188" t="str">
        <f t="shared" si="47"/>
        <v/>
      </c>
      <c r="Q50" s="221">
        <f t="shared" si="48"/>
        <v>119.2</v>
      </c>
      <c r="R50" s="253">
        <v>109.2</v>
      </c>
      <c r="S50" s="179">
        <f t="shared" si="16"/>
        <v>1478.1016777724999</v>
      </c>
      <c r="T50" s="259"/>
      <c r="U50" s="179">
        <f t="shared" si="17"/>
        <v>28</v>
      </c>
      <c r="V50" s="259"/>
      <c r="W50" s="179">
        <f t="shared" si="18"/>
        <v>0</v>
      </c>
      <c r="X50" s="259">
        <v>0</v>
      </c>
      <c r="Y50" s="179">
        <f t="shared" si="19"/>
        <v>763.82368022299988</v>
      </c>
      <c r="Z50" s="259">
        <v>10</v>
      </c>
      <c r="AA50" s="179">
        <f t="shared" si="20"/>
        <v>140</v>
      </c>
      <c r="AB50" s="259"/>
      <c r="AC50" s="179">
        <f t="shared" si="21"/>
        <v>0</v>
      </c>
      <c r="AD50" s="189">
        <f t="shared" si="15"/>
        <v>10</v>
      </c>
      <c r="AE50" s="179">
        <f t="shared" si="22"/>
        <v>903.823680223</v>
      </c>
      <c r="AF50" s="264"/>
      <c r="AG50" s="179">
        <f t="shared" si="23"/>
        <v>663.823680223</v>
      </c>
      <c r="AH50" s="268"/>
      <c r="AI50" s="179">
        <f t="shared" si="24"/>
        <v>0</v>
      </c>
      <c r="AJ50" s="268">
        <v>0</v>
      </c>
      <c r="AK50" s="179">
        <f t="shared" si="25"/>
        <v>100</v>
      </c>
      <c r="AL50" s="268"/>
      <c r="AM50" s="179">
        <f t="shared" si="26"/>
        <v>0</v>
      </c>
      <c r="AN50" s="268"/>
      <c r="AO50" s="179">
        <f t="shared" si="27"/>
        <v>0</v>
      </c>
      <c r="AP50" s="268"/>
      <c r="AQ50" s="179">
        <f t="shared" si="28"/>
        <v>0</v>
      </c>
      <c r="AR50" s="273"/>
      <c r="AS50" s="209">
        <f t="shared" si="29"/>
        <v>0</v>
      </c>
      <c r="AT50" s="273"/>
      <c r="AU50" s="226">
        <f t="shared" si="30"/>
        <v>0</v>
      </c>
      <c r="AV50" s="273"/>
      <c r="AW50" s="209">
        <f t="shared" si="31"/>
        <v>0</v>
      </c>
      <c r="AX50" s="273"/>
      <c r="AY50" s="209">
        <f t="shared" si="32"/>
        <v>0</v>
      </c>
      <c r="AZ50" s="273"/>
      <c r="BA50" s="179">
        <f t="shared" si="33"/>
        <v>0</v>
      </c>
      <c r="BB50"/>
      <c r="BC50"/>
      <c r="BD50"/>
    </row>
    <row r="51" spans="1:56" s="34" customFormat="1" x14ac:dyDescent="0.25">
      <c r="A51" s="87">
        <v>40666</v>
      </c>
      <c r="B51" s="42">
        <v>25</v>
      </c>
      <c r="C51" s="41" t="str">
        <f t="shared" si="34"/>
        <v>250.00, V58.66, V58.67</v>
      </c>
      <c r="D51" s="41" t="str">
        <f t="shared" si="35"/>
        <v>OTC</v>
      </c>
      <c r="E51" s="40" t="str">
        <f t="shared" si="36"/>
        <v>Pharmacy Retail</v>
      </c>
      <c r="F51" s="40" t="str">
        <f t="shared" si="37"/>
        <v>Medical equipment and supplies</v>
      </c>
      <c r="G51" s="40" t="str">
        <f t="shared" si="38"/>
        <v>Alcohol swabs (OTC - box of 100)  [usage = 3 wipes/day; 90 wipes/month]</v>
      </c>
      <c r="H51" s="40" t="str">
        <f t="shared" si="39"/>
        <v/>
      </c>
      <c r="I51" s="160">
        <f t="shared" si="40"/>
        <v>1</v>
      </c>
      <c r="J51" s="41" t="str">
        <f t="shared" si="41"/>
        <v/>
      </c>
      <c r="K51" s="41" t="str">
        <f t="shared" si="42"/>
        <v/>
      </c>
      <c r="L51" s="41" t="str">
        <f t="shared" si="43"/>
        <v/>
      </c>
      <c r="M51" s="41" t="str">
        <f t="shared" si="44"/>
        <v/>
      </c>
      <c r="N51" s="41" t="str">
        <f t="shared" si="45"/>
        <v/>
      </c>
      <c r="O51" s="41" t="str">
        <f t="shared" si="46"/>
        <v/>
      </c>
      <c r="P51" s="188" t="str">
        <f t="shared" si="47"/>
        <v/>
      </c>
      <c r="Q51" s="221">
        <f t="shared" si="48"/>
        <v>3</v>
      </c>
      <c r="R51" s="253"/>
      <c r="S51" s="179">
        <f t="shared" si="16"/>
        <v>1478.1016777724999</v>
      </c>
      <c r="T51" s="259">
        <v>3</v>
      </c>
      <c r="U51" s="179">
        <f t="shared" si="17"/>
        <v>31</v>
      </c>
      <c r="V51" s="259"/>
      <c r="W51" s="179">
        <f t="shared" si="18"/>
        <v>0</v>
      </c>
      <c r="X51" s="259"/>
      <c r="Y51" s="179">
        <f t="shared" si="19"/>
        <v>763.82368022299988</v>
      </c>
      <c r="Z51" s="259"/>
      <c r="AA51" s="179">
        <f t="shared" si="20"/>
        <v>140</v>
      </c>
      <c r="AB51" s="259"/>
      <c r="AC51" s="179">
        <f t="shared" si="21"/>
        <v>0</v>
      </c>
      <c r="AD51" s="189">
        <f t="shared" si="15"/>
        <v>0</v>
      </c>
      <c r="AE51" s="179">
        <f t="shared" si="22"/>
        <v>903.823680223</v>
      </c>
      <c r="AF51" s="264"/>
      <c r="AG51" s="179">
        <f t="shared" si="23"/>
        <v>663.823680223</v>
      </c>
      <c r="AH51" s="268"/>
      <c r="AI51" s="179">
        <f t="shared" si="24"/>
        <v>0</v>
      </c>
      <c r="AJ51" s="268"/>
      <c r="AK51" s="179">
        <f t="shared" si="25"/>
        <v>100</v>
      </c>
      <c r="AL51" s="268"/>
      <c r="AM51" s="179">
        <f t="shared" si="26"/>
        <v>0</v>
      </c>
      <c r="AN51" s="268"/>
      <c r="AO51" s="179">
        <f t="shared" si="27"/>
        <v>0</v>
      </c>
      <c r="AP51" s="268"/>
      <c r="AQ51" s="179">
        <f t="shared" si="28"/>
        <v>0</v>
      </c>
      <c r="AR51" s="273"/>
      <c r="AS51" s="209">
        <f t="shared" si="29"/>
        <v>0</v>
      </c>
      <c r="AT51" s="273"/>
      <c r="AU51" s="226">
        <f t="shared" si="30"/>
        <v>0</v>
      </c>
      <c r="AV51" s="273"/>
      <c r="AW51" s="209">
        <f t="shared" si="31"/>
        <v>0</v>
      </c>
      <c r="AX51" s="273"/>
      <c r="AY51" s="209">
        <f t="shared" si="32"/>
        <v>0</v>
      </c>
      <c r="AZ51" s="273"/>
      <c r="BA51" s="179">
        <f t="shared" si="33"/>
        <v>0</v>
      </c>
      <c r="BB51"/>
      <c r="BC51"/>
      <c r="BD51"/>
    </row>
    <row r="52" spans="1:56" s="34" customFormat="1" x14ac:dyDescent="0.25">
      <c r="A52" s="87">
        <v>40666</v>
      </c>
      <c r="B52" s="42">
        <v>14</v>
      </c>
      <c r="C52" s="41" t="str">
        <f t="shared" si="34"/>
        <v>250.00, V58.66, V58.67</v>
      </c>
      <c r="D52" s="41">
        <f t="shared" si="35"/>
        <v>8290328279</v>
      </c>
      <c r="E52" s="40" t="str">
        <f t="shared" si="36"/>
        <v>Pharmacy Retail</v>
      </c>
      <c r="F52" s="40" t="str">
        <f t="shared" si="37"/>
        <v>Medical equipment and supplies</v>
      </c>
      <c r="G52" s="40" t="str">
        <f t="shared" si="38"/>
        <v>BD Ultrafine Insulin Syringes / 30G/ 0.5cc  [usage = 30 syringes per month]</v>
      </c>
      <c r="H52" s="40" t="str">
        <f t="shared" si="39"/>
        <v/>
      </c>
      <c r="I52" s="160">
        <f t="shared" si="40"/>
        <v>1</v>
      </c>
      <c r="J52" s="41" t="str">
        <f t="shared" si="41"/>
        <v/>
      </c>
      <c r="K52" s="41" t="str">
        <f t="shared" si="42"/>
        <v/>
      </c>
      <c r="L52" s="41" t="str">
        <f t="shared" si="43"/>
        <v/>
      </c>
      <c r="M52" s="41" t="str">
        <f t="shared" si="44"/>
        <v/>
      </c>
      <c r="N52" s="41" t="str">
        <f t="shared" si="45"/>
        <v/>
      </c>
      <c r="O52" s="41" t="str">
        <f t="shared" si="46"/>
        <v/>
      </c>
      <c r="P52" s="188" t="str">
        <f t="shared" si="47"/>
        <v/>
      </c>
      <c r="Q52" s="221">
        <f t="shared" si="48"/>
        <v>8.4</v>
      </c>
      <c r="R52" s="253">
        <v>8.4</v>
      </c>
      <c r="S52" s="179">
        <f t="shared" si="16"/>
        <v>1486.5016777725</v>
      </c>
      <c r="T52" s="259"/>
      <c r="U52" s="179">
        <f t="shared" si="17"/>
        <v>31</v>
      </c>
      <c r="V52" s="259"/>
      <c r="W52" s="179">
        <f t="shared" si="18"/>
        <v>0</v>
      </c>
      <c r="X52" s="259"/>
      <c r="Y52" s="179">
        <f t="shared" si="19"/>
        <v>763.82368022299988</v>
      </c>
      <c r="Z52" s="259"/>
      <c r="AA52" s="179">
        <f t="shared" si="20"/>
        <v>140</v>
      </c>
      <c r="AB52" s="259"/>
      <c r="AC52" s="179">
        <f t="shared" si="21"/>
        <v>0</v>
      </c>
      <c r="AD52" s="189">
        <f t="shared" si="15"/>
        <v>0</v>
      </c>
      <c r="AE52" s="179">
        <f t="shared" si="22"/>
        <v>903.823680223</v>
      </c>
      <c r="AF52" s="264"/>
      <c r="AG52" s="179">
        <f t="shared" si="23"/>
        <v>663.823680223</v>
      </c>
      <c r="AH52" s="268"/>
      <c r="AI52" s="179">
        <f t="shared" si="24"/>
        <v>0</v>
      </c>
      <c r="AJ52" s="268"/>
      <c r="AK52" s="179">
        <f t="shared" si="25"/>
        <v>100</v>
      </c>
      <c r="AL52" s="268"/>
      <c r="AM52" s="179">
        <f t="shared" si="26"/>
        <v>0</v>
      </c>
      <c r="AN52" s="268"/>
      <c r="AO52" s="179">
        <f t="shared" si="27"/>
        <v>0</v>
      </c>
      <c r="AP52" s="268"/>
      <c r="AQ52" s="179">
        <f t="shared" si="28"/>
        <v>0</v>
      </c>
      <c r="AR52" s="273"/>
      <c r="AS52" s="209">
        <f t="shared" si="29"/>
        <v>0</v>
      </c>
      <c r="AT52" s="273"/>
      <c r="AU52" s="226">
        <f t="shared" si="30"/>
        <v>0</v>
      </c>
      <c r="AV52" s="273"/>
      <c r="AW52" s="209">
        <f t="shared" si="31"/>
        <v>0</v>
      </c>
      <c r="AX52" s="273"/>
      <c r="AY52" s="209">
        <f t="shared" si="32"/>
        <v>0</v>
      </c>
      <c r="AZ52" s="273"/>
      <c r="BA52" s="179">
        <f t="shared" si="33"/>
        <v>0</v>
      </c>
      <c r="BB52"/>
      <c r="BC52"/>
      <c r="BD52"/>
    </row>
    <row r="53" spans="1:56" s="34" customFormat="1" ht="15.6" customHeight="1" x14ac:dyDescent="0.25">
      <c r="A53" s="87">
        <v>40666</v>
      </c>
      <c r="B53" s="42">
        <v>18</v>
      </c>
      <c r="C53" s="41" t="str">
        <f t="shared" si="34"/>
        <v>250.00, V58.66, V58.67</v>
      </c>
      <c r="D53" s="41">
        <f t="shared" si="35"/>
        <v>93104801</v>
      </c>
      <c r="E53" s="40" t="str">
        <f t="shared" si="36"/>
        <v>Pharmacy Retail</v>
      </c>
      <c r="F53" s="40" t="str">
        <f t="shared" si="37"/>
        <v>Pharmacy</v>
      </c>
      <c r="G53" s="40" t="str">
        <f t="shared" si="38"/>
        <v>Metformin hydrochloride 500mg (Rx) [1 BID; #60 pills/month]</v>
      </c>
      <c r="H53" s="86" t="str">
        <f t="shared" si="39"/>
        <v/>
      </c>
      <c r="I53" s="160" t="str">
        <f t="shared" si="40"/>
        <v/>
      </c>
      <c r="J53" s="41">
        <f t="shared" si="41"/>
        <v>1</v>
      </c>
      <c r="K53" s="41" t="str">
        <f t="shared" si="42"/>
        <v/>
      </c>
      <c r="L53" s="41" t="str">
        <f t="shared" si="43"/>
        <v/>
      </c>
      <c r="M53" s="41" t="str">
        <f t="shared" si="44"/>
        <v/>
      </c>
      <c r="N53" s="41" t="str">
        <f t="shared" si="45"/>
        <v/>
      </c>
      <c r="O53" s="41" t="str">
        <f t="shared" si="46"/>
        <v/>
      </c>
      <c r="P53" s="188" t="str">
        <f t="shared" si="47"/>
        <v/>
      </c>
      <c r="Q53" s="221">
        <f t="shared" si="48"/>
        <v>34.369999999999997</v>
      </c>
      <c r="R53" s="253">
        <v>24.369999999999997</v>
      </c>
      <c r="S53" s="179">
        <f t="shared" si="16"/>
        <v>1510.8716777724999</v>
      </c>
      <c r="T53" s="259"/>
      <c r="U53" s="179">
        <f t="shared" si="17"/>
        <v>31</v>
      </c>
      <c r="V53" s="259"/>
      <c r="W53" s="179">
        <f t="shared" si="18"/>
        <v>0</v>
      </c>
      <c r="X53" s="259">
        <v>0</v>
      </c>
      <c r="Y53" s="179">
        <f t="shared" si="19"/>
        <v>763.82368022299988</v>
      </c>
      <c r="Z53" s="259">
        <v>10</v>
      </c>
      <c r="AA53" s="179">
        <f t="shared" si="20"/>
        <v>150</v>
      </c>
      <c r="AB53" s="259"/>
      <c r="AC53" s="179">
        <f t="shared" si="21"/>
        <v>0</v>
      </c>
      <c r="AD53" s="189">
        <f t="shared" si="15"/>
        <v>10</v>
      </c>
      <c r="AE53" s="179">
        <f t="shared" si="22"/>
        <v>913.823680223</v>
      </c>
      <c r="AF53" s="264"/>
      <c r="AG53" s="179">
        <f t="shared" si="23"/>
        <v>663.823680223</v>
      </c>
      <c r="AH53" s="268"/>
      <c r="AI53" s="179">
        <f t="shared" si="24"/>
        <v>0</v>
      </c>
      <c r="AJ53" s="268">
        <v>0</v>
      </c>
      <c r="AK53" s="179">
        <f t="shared" si="25"/>
        <v>100</v>
      </c>
      <c r="AL53" s="268"/>
      <c r="AM53" s="179">
        <f t="shared" si="26"/>
        <v>0</v>
      </c>
      <c r="AN53" s="268"/>
      <c r="AO53" s="179">
        <f t="shared" si="27"/>
        <v>0</v>
      </c>
      <c r="AP53" s="268"/>
      <c r="AQ53" s="179">
        <f t="shared" si="28"/>
        <v>0</v>
      </c>
      <c r="AR53" s="273"/>
      <c r="AS53" s="209">
        <f t="shared" si="29"/>
        <v>0</v>
      </c>
      <c r="AT53" s="273"/>
      <c r="AU53" s="226">
        <f t="shared" si="30"/>
        <v>0</v>
      </c>
      <c r="AV53" s="273"/>
      <c r="AW53" s="209">
        <f t="shared" si="31"/>
        <v>0</v>
      </c>
      <c r="AX53" s="273"/>
      <c r="AY53" s="209">
        <f t="shared" si="32"/>
        <v>0</v>
      </c>
      <c r="AZ53" s="273"/>
      <c r="BA53" s="179">
        <f t="shared" si="33"/>
        <v>0</v>
      </c>
      <c r="BB53"/>
      <c r="BC53"/>
      <c r="BD53"/>
    </row>
    <row r="54" spans="1:56" s="34" customFormat="1" x14ac:dyDescent="0.25">
      <c r="A54" s="87">
        <v>40666</v>
      </c>
      <c r="B54" s="42">
        <v>19</v>
      </c>
      <c r="C54" s="41" t="str">
        <f t="shared" si="34"/>
        <v>250.00, V58.66, V58.67</v>
      </c>
      <c r="D54" s="41">
        <f t="shared" si="35"/>
        <v>93743801</v>
      </c>
      <c r="E54" s="40" t="str">
        <f t="shared" si="36"/>
        <v>Pharmacy Retail</v>
      </c>
      <c r="F54" s="40" t="str">
        <f t="shared" si="37"/>
        <v>Pharmacy</v>
      </c>
      <c r="G54" s="40" t="str">
        <f t="shared" si="38"/>
        <v>Ramipril 10mg (Rx) [1 QD; #30 pills/month]</v>
      </c>
      <c r="H54" s="40" t="str">
        <f t="shared" si="39"/>
        <v/>
      </c>
      <c r="I54" s="160" t="str">
        <f t="shared" si="40"/>
        <v/>
      </c>
      <c r="J54" s="41">
        <f t="shared" si="41"/>
        <v>1</v>
      </c>
      <c r="K54" s="41" t="str">
        <f t="shared" si="42"/>
        <v/>
      </c>
      <c r="L54" s="41" t="str">
        <f t="shared" si="43"/>
        <v/>
      </c>
      <c r="M54" s="41" t="str">
        <f t="shared" si="44"/>
        <v/>
      </c>
      <c r="N54" s="41" t="str">
        <f t="shared" si="45"/>
        <v/>
      </c>
      <c r="O54" s="41" t="str">
        <f t="shared" si="46"/>
        <v/>
      </c>
      <c r="P54" s="188" t="str">
        <f t="shared" si="47"/>
        <v/>
      </c>
      <c r="Q54" s="221">
        <f t="shared" si="48"/>
        <v>53.81</v>
      </c>
      <c r="R54" s="253">
        <v>43.81</v>
      </c>
      <c r="S54" s="179">
        <f t="shared" si="16"/>
        <v>1554.6816777724998</v>
      </c>
      <c r="T54" s="259"/>
      <c r="U54" s="179">
        <f t="shared" si="17"/>
        <v>31</v>
      </c>
      <c r="V54" s="259"/>
      <c r="W54" s="179">
        <f t="shared" si="18"/>
        <v>0</v>
      </c>
      <c r="X54" s="259">
        <v>0</v>
      </c>
      <c r="Y54" s="179">
        <f t="shared" si="19"/>
        <v>763.82368022299988</v>
      </c>
      <c r="Z54" s="259">
        <v>10</v>
      </c>
      <c r="AA54" s="179">
        <f t="shared" si="20"/>
        <v>160</v>
      </c>
      <c r="AB54" s="259"/>
      <c r="AC54" s="179">
        <f t="shared" si="21"/>
        <v>0</v>
      </c>
      <c r="AD54" s="189">
        <f t="shared" si="15"/>
        <v>10</v>
      </c>
      <c r="AE54" s="179">
        <f t="shared" si="22"/>
        <v>923.823680223</v>
      </c>
      <c r="AF54" s="264"/>
      <c r="AG54" s="179">
        <f t="shared" si="23"/>
        <v>663.823680223</v>
      </c>
      <c r="AH54" s="268"/>
      <c r="AI54" s="179">
        <f t="shared" si="24"/>
        <v>0</v>
      </c>
      <c r="AJ54" s="268">
        <v>0</v>
      </c>
      <c r="AK54" s="179">
        <f t="shared" si="25"/>
        <v>100</v>
      </c>
      <c r="AL54" s="268"/>
      <c r="AM54" s="179">
        <f t="shared" si="26"/>
        <v>0</v>
      </c>
      <c r="AN54" s="268"/>
      <c r="AO54" s="179">
        <f t="shared" si="27"/>
        <v>0</v>
      </c>
      <c r="AP54" s="268"/>
      <c r="AQ54" s="179">
        <f t="shared" si="28"/>
        <v>0</v>
      </c>
      <c r="AR54" s="273"/>
      <c r="AS54" s="209">
        <f t="shared" si="29"/>
        <v>0</v>
      </c>
      <c r="AT54" s="273"/>
      <c r="AU54" s="226">
        <f t="shared" si="30"/>
        <v>0</v>
      </c>
      <c r="AV54" s="273"/>
      <c r="AW54" s="209">
        <f t="shared" si="31"/>
        <v>0</v>
      </c>
      <c r="AX54" s="273"/>
      <c r="AY54" s="209">
        <f t="shared" si="32"/>
        <v>0</v>
      </c>
      <c r="AZ54" s="273"/>
      <c r="BA54" s="179">
        <f t="shared" si="33"/>
        <v>0</v>
      </c>
      <c r="BB54"/>
      <c r="BC54"/>
      <c r="BD54"/>
    </row>
    <row r="55" spans="1:56" s="34" customFormat="1" x14ac:dyDescent="0.25">
      <c r="A55" s="87">
        <v>41052</v>
      </c>
      <c r="B55" s="42">
        <v>5</v>
      </c>
      <c r="C55" s="41" t="str">
        <f t="shared" si="34"/>
        <v>250.00, V58.66, V58.67</v>
      </c>
      <c r="D55" s="41">
        <f t="shared" si="35"/>
        <v>53885039310</v>
      </c>
      <c r="E55" s="40" t="str">
        <f t="shared" si="36"/>
        <v>Pharmacy Retail</v>
      </c>
      <c r="F55" s="40" t="str">
        <f t="shared" si="37"/>
        <v>Medical equipment and supplies</v>
      </c>
      <c r="G55" s="40" t="str">
        <f t="shared" si="38"/>
        <v>OneTouch Delica Lancets (100 per box)  [usage = 60 lancets per month]</v>
      </c>
      <c r="H55" s="40" t="str">
        <f t="shared" si="39"/>
        <v/>
      </c>
      <c r="I55" s="160">
        <f t="shared" si="40"/>
        <v>1</v>
      </c>
      <c r="J55" s="41" t="str">
        <f t="shared" si="41"/>
        <v/>
      </c>
      <c r="K55" s="41" t="str">
        <f t="shared" si="42"/>
        <v/>
      </c>
      <c r="L55" s="41" t="str">
        <f t="shared" si="43"/>
        <v/>
      </c>
      <c r="M55" s="41" t="str">
        <f t="shared" si="44"/>
        <v/>
      </c>
      <c r="N55" s="41" t="str">
        <f t="shared" si="45"/>
        <v/>
      </c>
      <c r="O55" s="41" t="str">
        <f t="shared" si="46"/>
        <v/>
      </c>
      <c r="P55" s="188" t="str">
        <f t="shared" si="47"/>
        <v/>
      </c>
      <c r="Q55" s="221">
        <f t="shared" si="48"/>
        <v>9</v>
      </c>
      <c r="R55" s="253">
        <v>9</v>
      </c>
      <c r="S55" s="179">
        <f t="shared" si="16"/>
        <v>1563.6816777724998</v>
      </c>
      <c r="T55" s="259"/>
      <c r="U55" s="179">
        <f t="shared" si="17"/>
        <v>31</v>
      </c>
      <c r="V55" s="259"/>
      <c r="W55" s="179">
        <f t="shared" si="18"/>
        <v>0</v>
      </c>
      <c r="X55" s="259"/>
      <c r="Y55" s="179">
        <f t="shared" si="19"/>
        <v>763.82368022299988</v>
      </c>
      <c r="Z55" s="259"/>
      <c r="AA55" s="179">
        <f t="shared" si="20"/>
        <v>160</v>
      </c>
      <c r="AB55" s="259"/>
      <c r="AC55" s="179">
        <f t="shared" si="21"/>
        <v>0</v>
      </c>
      <c r="AD55" s="189">
        <f t="shared" si="15"/>
        <v>0</v>
      </c>
      <c r="AE55" s="179">
        <f t="shared" si="22"/>
        <v>923.823680223</v>
      </c>
      <c r="AF55" s="264"/>
      <c r="AG55" s="179">
        <f t="shared" si="23"/>
        <v>663.823680223</v>
      </c>
      <c r="AH55" s="268"/>
      <c r="AI55" s="179">
        <f t="shared" si="24"/>
        <v>0</v>
      </c>
      <c r="AJ55" s="268"/>
      <c r="AK55" s="179">
        <f t="shared" si="25"/>
        <v>100</v>
      </c>
      <c r="AL55" s="268"/>
      <c r="AM55" s="179">
        <f t="shared" si="26"/>
        <v>0</v>
      </c>
      <c r="AN55" s="268"/>
      <c r="AO55" s="179">
        <f t="shared" si="27"/>
        <v>0</v>
      </c>
      <c r="AP55" s="268"/>
      <c r="AQ55" s="179">
        <f t="shared" si="28"/>
        <v>0</v>
      </c>
      <c r="AR55" s="273"/>
      <c r="AS55" s="209">
        <f t="shared" si="29"/>
        <v>0</v>
      </c>
      <c r="AT55" s="273"/>
      <c r="AU55" s="226">
        <f t="shared" si="30"/>
        <v>0</v>
      </c>
      <c r="AV55" s="273"/>
      <c r="AW55" s="209">
        <f t="shared" si="31"/>
        <v>0</v>
      </c>
      <c r="AX55" s="273"/>
      <c r="AY55" s="209">
        <f t="shared" si="32"/>
        <v>0</v>
      </c>
      <c r="AZ55" s="273"/>
      <c r="BA55" s="179">
        <f t="shared" si="33"/>
        <v>0</v>
      </c>
      <c r="BB55"/>
      <c r="BC55"/>
      <c r="BD55"/>
    </row>
    <row r="56" spans="1:56" s="34" customFormat="1" x14ac:dyDescent="0.25">
      <c r="A56" s="87">
        <v>40686</v>
      </c>
      <c r="B56" s="42">
        <v>17</v>
      </c>
      <c r="C56" s="41" t="str">
        <f t="shared" si="34"/>
        <v>250.00, V58.66, V58.67</v>
      </c>
      <c r="D56" s="41">
        <f t="shared" si="35"/>
        <v>88222033</v>
      </c>
      <c r="E56" s="40" t="str">
        <f t="shared" si="36"/>
        <v>Pharmacy Retail</v>
      </c>
      <c r="F56" s="40" t="str">
        <f t="shared" si="37"/>
        <v>Pharmacy</v>
      </c>
      <c r="G56" s="40" t="str">
        <f t="shared" si="38"/>
        <v>Insulin glargine 100 unit/ml injectable solution (Rx - 10ml vial)  [20 units QD; expires 28 days after first use]</v>
      </c>
      <c r="H56" s="40" t="str">
        <f t="shared" si="39"/>
        <v/>
      </c>
      <c r="I56" s="160" t="str">
        <f t="shared" si="40"/>
        <v/>
      </c>
      <c r="J56" s="41">
        <f t="shared" si="41"/>
        <v>1</v>
      </c>
      <c r="K56" s="41" t="str">
        <f t="shared" si="42"/>
        <v/>
      </c>
      <c r="L56" s="41" t="str">
        <f t="shared" si="43"/>
        <v/>
      </c>
      <c r="M56" s="41" t="str">
        <f t="shared" si="44"/>
        <v/>
      </c>
      <c r="N56" s="41" t="str">
        <f t="shared" si="45"/>
        <v/>
      </c>
      <c r="O56" s="41" t="str">
        <f t="shared" si="46"/>
        <v/>
      </c>
      <c r="P56" s="188" t="str">
        <f t="shared" si="47"/>
        <v/>
      </c>
      <c r="Q56" s="221">
        <f t="shared" si="48"/>
        <v>119.2</v>
      </c>
      <c r="R56" s="253">
        <v>109.2</v>
      </c>
      <c r="S56" s="179">
        <f t="shared" si="16"/>
        <v>1672.8816777724999</v>
      </c>
      <c r="T56" s="259"/>
      <c r="U56" s="179">
        <f t="shared" si="17"/>
        <v>31</v>
      </c>
      <c r="V56" s="259"/>
      <c r="W56" s="179">
        <f t="shared" si="18"/>
        <v>0</v>
      </c>
      <c r="X56" s="259">
        <v>0</v>
      </c>
      <c r="Y56" s="179">
        <f t="shared" si="19"/>
        <v>763.82368022299988</v>
      </c>
      <c r="Z56" s="259">
        <v>10</v>
      </c>
      <c r="AA56" s="179">
        <f t="shared" si="20"/>
        <v>170</v>
      </c>
      <c r="AB56" s="259"/>
      <c r="AC56" s="179">
        <f t="shared" si="21"/>
        <v>0</v>
      </c>
      <c r="AD56" s="189">
        <f t="shared" si="15"/>
        <v>10</v>
      </c>
      <c r="AE56" s="179">
        <f t="shared" si="22"/>
        <v>933.823680223</v>
      </c>
      <c r="AF56" s="264"/>
      <c r="AG56" s="179">
        <f t="shared" si="23"/>
        <v>663.823680223</v>
      </c>
      <c r="AH56" s="268"/>
      <c r="AI56" s="179">
        <f t="shared" si="24"/>
        <v>0</v>
      </c>
      <c r="AJ56" s="268">
        <v>0</v>
      </c>
      <c r="AK56" s="179">
        <f t="shared" si="25"/>
        <v>100</v>
      </c>
      <c r="AL56" s="268"/>
      <c r="AM56" s="179">
        <f t="shared" si="26"/>
        <v>0</v>
      </c>
      <c r="AN56" s="268"/>
      <c r="AO56" s="179">
        <f t="shared" si="27"/>
        <v>0</v>
      </c>
      <c r="AP56" s="268"/>
      <c r="AQ56" s="179">
        <f t="shared" si="28"/>
        <v>0</v>
      </c>
      <c r="AR56" s="273"/>
      <c r="AS56" s="209">
        <f t="shared" si="29"/>
        <v>0</v>
      </c>
      <c r="AT56" s="273"/>
      <c r="AU56" s="226">
        <f t="shared" si="30"/>
        <v>0</v>
      </c>
      <c r="AV56" s="273"/>
      <c r="AW56" s="209">
        <f t="shared" si="31"/>
        <v>0</v>
      </c>
      <c r="AX56" s="273"/>
      <c r="AY56" s="209">
        <f t="shared" si="32"/>
        <v>0</v>
      </c>
      <c r="AZ56" s="273"/>
      <c r="BA56" s="179">
        <f t="shared" si="33"/>
        <v>0</v>
      </c>
      <c r="BB56"/>
      <c r="BC56"/>
      <c r="BD56"/>
    </row>
    <row r="57" spans="1:56" s="34" customFormat="1" x14ac:dyDescent="0.25">
      <c r="A57" s="87">
        <v>40696</v>
      </c>
      <c r="B57" s="42">
        <v>25</v>
      </c>
      <c r="C57" s="41" t="str">
        <f t="shared" si="34"/>
        <v>250.00, V58.66, V58.67</v>
      </c>
      <c r="D57" s="41" t="str">
        <f t="shared" si="35"/>
        <v>OTC</v>
      </c>
      <c r="E57" s="40" t="str">
        <f t="shared" si="36"/>
        <v>Pharmacy Retail</v>
      </c>
      <c r="F57" s="40" t="str">
        <f t="shared" si="37"/>
        <v>Medical equipment and supplies</v>
      </c>
      <c r="G57" s="40" t="str">
        <f t="shared" si="38"/>
        <v>Alcohol swabs (OTC - box of 100)  [usage = 3 wipes/day; 90 wipes/month]</v>
      </c>
      <c r="H57" s="40" t="str">
        <f t="shared" si="39"/>
        <v/>
      </c>
      <c r="I57" s="160">
        <f t="shared" si="40"/>
        <v>1</v>
      </c>
      <c r="J57" s="41" t="str">
        <f t="shared" si="41"/>
        <v/>
      </c>
      <c r="K57" s="41" t="str">
        <f t="shared" si="42"/>
        <v/>
      </c>
      <c r="L57" s="41" t="str">
        <f t="shared" si="43"/>
        <v/>
      </c>
      <c r="M57" s="41" t="str">
        <f t="shared" si="44"/>
        <v/>
      </c>
      <c r="N57" s="41" t="str">
        <f t="shared" si="45"/>
        <v/>
      </c>
      <c r="O57" s="41" t="str">
        <f t="shared" si="46"/>
        <v/>
      </c>
      <c r="P57" s="188" t="str">
        <f t="shared" si="47"/>
        <v/>
      </c>
      <c r="Q57" s="221">
        <f t="shared" si="48"/>
        <v>3</v>
      </c>
      <c r="R57" s="253"/>
      <c r="S57" s="179">
        <f t="shared" si="16"/>
        <v>1672.8816777724999</v>
      </c>
      <c r="T57" s="259">
        <v>3</v>
      </c>
      <c r="U57" s="179">
        <f t="shared" si="17"/>
        <v>34</v>
      </c>
      <c r="V57" s="259"/>
      <c r="W57" s="179">
        <f t="shared" si="18"/>
        <v>0</v>
      </c>
      <c r="X57" s="259"/>
      <c r="Y57" s="179">
        <f t="shared" si="19"/>
        <v>763.82368022299988</v>
      </c>
      <c r="Z57" s="259"/>
      <c r="AA57" s="179">
        <f t="shared" si="20"/>
        <v>170</v>
      </c>
      <c r="AB57" s="259"/>
      <c r="AC57" s="179">
        <f t="shared" si="21"/>
        <v>0</v>
      </c>
      <c r="AD57" s="189">
        <f t="shared" si="15"/>
        <v>0</v>
      </c>
      <c r="AE57" s="179">
        <f t="shared" si="22"/>
        <v>933.823680223</v>
      </c>
      <c r="AF57" s="264"/>
      <c r="AG57" s="179">
        <f t="shared" si="23"/>
        <v>663.823680223</v>
      </c>
      <c r="AH57" s="268"/>
      <c r="AI57" s="179">
        <f t="shared" si="24"/>
        <v>0</v>
      </c>
      <c r="AJ57" s="268"/>
      <c r="AK57" s="179">
        <f t="shared" si="25"/>
        <v>100</v>
      </c>
      <c r="AL57" s="268"/>
      <c r="AM57" s="179">
        <f t="shared" si="26"/>
        <v>0</v>
      </c>
      <c r="AN57" s="268"/>
      <c r="AO57" s="179">
        <f t="shared" si="27"/>
        <v>0</v>
      </c>
      <c r="AP57" s="268"/>
      <c r="AQ57" s="179">
        <f t="shared" si="28"/>
        <v>0</v>
      </c>
      <c r="AR57" s="273"/>
      <c r="AS57" s="209">
        <f t="shared" si="29"/>
        <v>0</v>
      </c>
      <c r="AT57" s="273"/>
      <c r="AU57" s="226">
        <f t="shared" si="30"/>
        <v>0</v>
      </c>
      <c r="AV57" s="273"/>
      <c r="AW57" s="209">
        <f t="shared" si="31"/>
        <v>0</v>
      </c>
      <c r="AX57" s="273"/>
      <c r="AY57" s="209">
        <f t="shared" si="32"/>
        <v>0</v>
      </c>
      <c r="AZ57" s="273"/>
      <c r="BA57" s="179">
        <f t="shared" si="33"/>
        <v>0</v>
      </c>
      <c r="BB57"/>
      <c r="BC57"/>
      <c r="BD57"/>
    </row>
    <row r="58" spans="1:56" s="34" customFormat="1" x14ac:dyDescent="0.25">
      <c r="A58" s="87">
        <v>40696</v>
      </c>
      <c r="B58" s="42">
        <v>14</v>
      </c>
      <c r="C58" s="41" t="str">
        <f t="shared" si="34"/>
        <v>250.00, V58.66, V58.67</v>
      </c>
      <c r="D58" s="41">
        <f t="shared" si="35"/>
        <v>8290328279</v>
      </c>
      <c r="E58" s="40" t="str">
        <f t="shared" si="36"/>
        <v>Pharmacy Retail</v>
      </c>
      <c r="F58" s="40" t="str">
        <f t="shared" si="37"/>
        <v>Medical equipment and supplies</v>
      </c>
      <c r="G58" s="40" t="str">
        <f t="shared" si="38"/>
        <v>BD Ultrafine Insulin Syringes / 30G/ 0.5cc  [usage = 30 syringes per month]</v>
      </c>
      <c r="H58" s="40" t="str">
        <f t="shared" si="39"/>
        <v/>
      </c>
      <c r="I58" s="160">
        <f t="shared" si="40"/>
        <v>1</v>
      </c>
      <c r="J58" s="41" t="str">
        <f t="shared" si="41"/>
        <v/>
      </c>
      <c r="K58" s="41" t="str">
        <f t="shared" si="42"/>
        <v/>
      </c>
      <c r="L58" s="41" t="str">
        <f t="shared" si="43"/>
        <v/>
      </c>
      <c r="M58" s="41" t="str">
        <f t="shared" si="44"/>
        <v/>
      </c>
      <c r="N58" s="41" t="str">
        <f t="shared" si="45"/>
        <v/>
      </c>
      <c r="O58" s="41" t="str">
        <f t="shared" si="46"/>
        <v/>
      </c>
      <c r="P58" s="188" t="str">
        <f t="shared" si="47"/>
        <v/>
      </c>
      <c r="Q58" s="221">
        <f t="shared" si="48"/>
        <v>8.4</v>
      </c>
      <c r="R58" s="253">
        <v>8.4</v>
      </c>
      <c r="S58" s="179">
        <f t="shared" si="16"/>
        <v>1681.2816777725</v>
      </c>
      <c r="T58" s="259"/>
      <c r="U58" s="179">
        <f t="shared" si="17"/>
        <v>34</v>
      </c>
      <c r="V58" s="259"/>
      <c r="W58" s="179">
        <f t="shared" si="18"/>
        <v>0</v>
      </c>
      <c r="X58" s="259"/>
      <c r="Y58" s="179">
        <f t="shared" si="19"/>
        <v>763.82368022299988</v>
      </c>
      <c r="Z58" s="259"/>
      <c r="AA58" s="179">
        <f t="shared" si="20"/>
        <v>170</v>
      </c>
      <c r="AB58" s="259"/>
      <c r="AC58" s="179">
        <f t="shared" si="21"/>
        <v>0</v>
      </c>
      <c r="AD58" s="189">
        <f t="shared" si="15"/>
        <v>0</v>
      </c>
      <c r="AE58" s="179">
        <f t="shared" si="22"/>
        <v>933.823680223</v>
      </c>
      <c r="AF58" s="264"/>
      <c r="AG58" s="179">
        <f t="shared" si="23"/>
        <v>663.823680223</v>
      </c>
      <c r="AH58" s="268"/>
      <c r="AI58" s="179">
        <f t="shared" si="24"/>
        <v>0</v>
      </c>
      <c r="AJ58" s="268"/>
      <c r="AK58" s="179">
        <f t="shared" si="25"/>
        <v>100</v>
      </c>
      <c r="AL58" s="268"/>
      <c r="AM58" s="179">
        <f t="shared" si="26"/>
        <v>0</v>
      </c>
      <c r="AN58" s="268"/>
      <c r="AO58" s="179">
        <f t="shared" si="27"/>
        <v>0</v>
      </c>
      <c r="AP58" s="268"/>
      <c r="AQ58" s="179">
        <f t="shared" si="28"/>
        <v>0</v>
      </c>
      <c r="AR58" s="273"/>
      <c r="AS58" s="209">
        <f t="shared" si="29"/>
        <v>0</v>
      </c>
      <c r="AT58" s="273"/>
      <c r="AU58" s="226">
        <f t="shared" si="30"/>
        <v>0</v>
      </c>
      <c r="AV58" s="273"/>
      <c r="AW58" s="209">
        <f t="shared" si="31"/>
        <v>0</v>
      </c>
      <c r="AX58" s="273"/>
      <c r="AY58" s="209">
        <f t="shared" si="32"/>
        <v>0</v>
      </c>
      <c r="AZ58" s="273"/>
      <c r="BA58" s="179">
        <f t="shared" si="33"/>
        <v>0</v>
      </c>
      <c r="BB58"/>
      <c r="BC58"/>
      <c r="BD58"/>
    </row>
    <row r="59" spans="1:56" s="34" customFormat="1" x14ac:dyDescent="0.25">
      <c r="A59" s="87">
        <v>40696</v>
      </c>
      <c r="B59" s="42">
        <v>5</v>
      </c>
      <c r="C59" s="41" t="str">
        <f t="shared" si="34"/>
        <v>250.00, V58.66, V58.67</v>
      </c>
      <c r="D59" s="41">
        <f t="shared" si="35"/>
        <v>53885039310</v>
      </c>
      <c r="E59" s="40" t="str">
        <f t="shared" si="36"/>
        <v>Pharmacy Retail</v>
      </c>
      <c r="F59" s="40" t="str">
        <f t="shared" si="37"/>
        <v>Medical equipment and supplies</v>
      </c>
      <c r="G59" s="40" t="str">
        <f t="shared" si="38"/>
        <v>OneTouch Delica Lancets (100 per box)  [usage = 60 lancets per month]</v>
      </c>
      <c r="H59" s="40" t="str">
        <f t="shared" si="39"/>
        <v/>
      </c>
      <c r="I59" s="160">
        <f t="shared" si="40"/>
        <v>1</v>
      </c>
      <c r="J59" s="41" t="str">
        <f t="shared" si="41"/>
        <v/>
      </c>
      <c r="K59" s="41" t="str">
        <f t="shared" si="42"/>
        <v/>
      </c>
      <c r="L59" s="41" t="str">
        <f t="shared" si="43"/>
        <v/>
      </c>
      <c r="M59" s="41" t="str">
        <f t="shared" si="44"/>
        <v/>
      </c>
      <c r="N59" s="41" t="str">
        <f t="shared" si="45"/>
        <v/>
      </c>
      <c r="O59" s="41" t="str">
        <f t="shared" si="46"/>
        <v/>
      </c>
      <c r="P59" s="188" t="str">
        <f t="shared" si="47"/>
        <v/>
      </c>
      <c r="Q59" s="221">
        <f t="shared" si="48"/>
        <v>9</v>
      </c>
      <c r="R59" s="253">
        <v>9</v>
      </c>
      <c r="S59" s="179">
        <f t="shared" si="16"/>
        <v>1690.2816777725</v>
      </c>
      <c r="T59" s="259"/>
      <c r="U59" s="179">
        <f t="shared" si="17"/>
        <v>34</v>
      </c>
      <c r="V59" s="259"/>
      <c r="W59" s="179">
        <f t="shared" si="18"/>
        <v>0</v>
      </c>
      <c r="X59" s="259"/>
      <c r="Y59" s="179">
        <f t="shared" si="19"/>
        <v>763.82368022299988</v>
      </c>
      <c r="Z59" s="259"/>
      <c r="AA59" s="179">
        <f t="shared" si="20"/>
        <v>170</v>
      </c>
      <c r="AB59" s="259"/>
      <c r="AC59" s="179">
        <f t="shared" si="21"/>
        <v>0</v>
      </c>
      <c r="AD59" s="189">
        <f t="shared" si="15"/>
        <v>0</v>
      </c>
      <c r="AE59" s="179">
        <f t="shared" si="22"/>
        <v>933.823680223</v>
      </c>
      <c r="AF59" s="264"/>
      <c r="AG59" s="179">
        <f t="shared" si="23"/>
        <v>663.823680223</v>
      </c>
      <c r="AH59" s="268"/>
      <c r="AI59" s="179">
        <f t="shared" si="24"/>
        <v>0</v>
      </c>
      <c r="AJ59" s="268"/>
      <c r="AK59" s="179">
        <f t="shared" si="25"/>
        <v>100</v>
      </c>
      <c r="AL59" s="268"/>
      <c r="AM59" s="179">
        <f t="shared" si="26"/>
        <v>0</v>
      </c>
      <c r="AN59" s="268"/>
      <c r="AO59" s="179">
        <f t="shared" si="27"/>
        <v>0</v>
      </c>
      <c r="AP59" s="268"/>
      <c r="AQ59" s="179">
        <f t="shared" si="28"/>
        <v>0</v>
      </c>
      <c r="AR59" s="273"/>
      <c r="AS59" s="209">
        <f t="shared" si="29"/>
        <v>0</v>
      </c>
      <c r="AT59" s="273"/>
      <c r="AU59" s="226">
        <f t="shared" si="30"/>
        <v>0</v>
      </c>
      <c r="AV59" s="273"/>
      <c r="AW59" s="209">
        <f t="shared" si="31"/>
        <v>0</v>
      </c>
      <c r="AX59" s="273"/>
      <c r="AY59" s="209">
        <f t="shared" si="32"/>
        <v>0</v>
      </c>
      <c r="AZ59" s="273"/>
      <c r="BA59" s="179">
        <f t="shared" si="33"/>
        <v>0</v>
      </c>
      <c r="BB59"/>
      <c r="BC59"/>
      <c r="BD59"/>
    </row>
    <row r="60" spans="1:56" s="34" customFormat="1" x14ac:dyDescent="0.25">
      <c r="A60" s="87">
        <v>40696</v>
      </c>
      <c r="B60" s="42">
        <v>4</v>
      </c>
      <c r="C60" s="41" t="str">
        <f t="shared" si="34"/>
        <v>250.00, V58.66, V58.67</v>
      </c>
      <c r="D60" s="41">
        <f t="shared" si="35"/>
        <v>53885024510</v>
      </c>
      <c r="E60" s="40" t="str">
        <f t="shared" si="36"/>
        <v>Pharmacy Retail</v>
      </c>
      <c r="F60" s="40" t="str">
        <f t="shared" si="37"/>
        <v>Medical equipment and supplies</v>
      </c>
      <c r="G60" s="40" t="str">
        <f t="shared" si="38"/>
        <v xml:space="preserve">OneTouch Ultra Blue Test Strips (Rx - box of 100) [usage = 2 strips/day; 60 per month] </v>
      </c>
      <c r="H60" s="40" t="str">
        <f t="shared" si="39"/>
        <v/>
      </c>
      <c r="I60" s="160">
        <f t="shared" si="40"/>
        <v>1</v>
      </c>
      <c r="J60" s="41" t="str">
        <f t="shared" si="41"/>
        <v/>
      </c>
      <c r="K60" s="41" t="str">
        <f t="shared" si="42"/>
        <v/>
      </c>
      <c r="L60" s="41" t="str">
        <f t="shared" si="43"/>
        <v/>
      </c>
      <c r="M60" s="41" t="str">
        <f t="shared" si="44"/>
        <v/>
      </c>
      <c r="N60" s="41" t="str">
        <f t="shared" si="45"/>
        <v/>
      </c>
      <c r="O60" s="41" t="str">
        <f t="shared" si="46"/>
        <v/>
      </c>
      <c r="P60" s="188" t="str">
        <f t="shared" si="47"/>
        <v/>
      </c>
      <c r="Q60" s="221">
        <f t="shared" si="48"/>
        <v>123.6</v>
      </c>
      <c r="R60" s="253">
        <v>123.6</v>
      </c>
      <c r="S60" s="179">
        <f t="shared" si="16"/>
        <v>1813.8816777724999</v>
      </c>
      <c r="T60" s="259"/>
      <c r="U60" s="179">
        <f t="shared" si="17"/>
        <v>34</v>
      </c>
      <c r="V60" s="259"/>
      <c r="W60" s="179">
        <f t="shared" si="18"/>
        <v>0</v>
      </c>
      <c r="X60" s="259"/>
      <c r="Y60" s="179">
        <f t="shared" si="19"/>
        <v>763.82368022299988</v>
      </c>
      <c r="Z60" s="259"/>
      <c r="AA60" s="179">
        <f t="shared" si="20"/>
        <v>170</v>
      </c>
      <c r="AB60" s="259"/>
      <c r="AC60" s="179">
        <f t="shared" si="21"/>
        <v>0</v>
      </c>
      <c r="AD60" s="189">
        <f t="shared" si="15"/>
        <v>0</v>
      </c>
      <c r="AE60" s="179">
        <f t="shared" si="22"/>
        <v>933.823680223</v>
      </c>
      <c r="AF60" s="264"/>
      <c r="AG60" s="179">
        <f t="shared" si="23"/>
        <v>663.823680223</v>
      </c>
      <c r="AH60" s="268"/>
      <c r="AI60" s="179">
        <f t="shared" si="24"/>
        <v>0</v>
      </c>
      <c r="AJ60" s="268"/>
      <c r="AK60" s="179">
        <f t="shared" si="25"/>
        <v>100</v>
      </c>
      <c r="AL60" s="268"/>
      <c r="AM60" s="179">
        <f t="shared" si="26"/>
        <v>0</v>
      </c>
      <c r="AN60" s="268"/>
      <c r="AO60" s="179">
        <f t="shared" si="27"/>
        <v>0</v>
      </c>
      <c r="AP60" s="268"/>
      <c r="AQ60" s="179">
        <f t="shared" si="28"/>
        <v>0</v>
      </c>
      <c r="AR60" s="273"/>
      <c r="AS60" s="209">
        <f t="shared" si="29"/>
        <v>0</v>
      </c>
      <c r="AT60" s="273"/>
      <c r="AU60" s="226">
        <f t="shared" si="30"/>
        <v>0</v>
      </c>
      <c r="AV60" s="273"/>
      <c r="AW60" s="209">
        <f t="shared" si="31"/>
        <v>0</v>
      </c>
      <c r="AX60" s="273"/>
      <c r="AY60" s="209">
        <f t="shared" si="32"/>
        <v>0</v>
      </c>
      <c r="AZ60" s="273"/>
      <c r="BA60" s="179">
        <f t="shared" si="33"/>
        <v>0</v>
      </c>
      <c r="BB60"/>
      <c r="BC60"/>
      <c r="BD60"/>
    </row>
    <row r="61" spans="1:56" s="34" customFormat="1" x14ac:dyDescent="0.25">
      <c r="A61" s="87">
        <v>40696</v>
      </c>
      <c r="B61" s="42">
        <v>18</v>
      </c>
      <c r="C61" s="41" t="str">
        <f t="shared" si="34"/>
        <v>250.00, V58.66, V58.67</v>
      </c>
      <c r="D61" s="41">
        <f t="shared" si="35"/>
        <v>93104801</v>
      </c>
      <c r="E61" s="40" t="str">
        <f t="shared" si="36"/>
        <v>Pharmacy Retail</v>
      </c>
      <c r="F61" s="40" t="str">
        <f t="shared" si="37"/>
        <v>Pharmacy</v>
      </c>
      <c r="G61" s="40" t="str">
        <f t="shared" si="38"/>
        <v>Metformin hydrochloride 500mg (Rx) [1 BID; #60 pills/month]</v>
      </c>
      <c r="H61" s="40" t="str">
        <f t="shared" si="39"/>
        <v/>
      </c>
      <c r="I61" s="160" t="str">
        <f t="shared" si="40"/>
        <v/>
      </c>
      <c r="J61" s="41">
        <f t="shared" si="41"/>
        <v>1</v>
      </c>
      <c r="K61" s="41" t="str">
        <f t="shared" si="42"/>
        <v/>
      </c>
      <c r="L61" s="41" t="str">
        <f t="shared" si="43"/>
        <v/>
      </c>
      <c r="M61" s="41" t="str">
        <f t="shared" si="44"/>
        <v/>
      </c>
      <c r="N61" s="41" t="str">
        <f t="shared" si="45"/>
        <v/>
      </c>
      <c r="O61" s="41" t="str">
        <f t="shared" si="46"/>
        <v/>
      </c>
      <c r="P61" s="188" t="str">
        <f t="shared" si="47"/>
        <v/>
      </c>
      <c r="Q61" s="221">
        <f t="shared" si="48"/>
        <v>34.369999999999997</v>
      </c>
      <c r="R61" s="253">
        <v>24.369999999999997</v>
      </c>
      <c r="S61" s="179">
        <f t="shared" si="16"/>
        <v>1838.2516777724998</v>
      </c>
      <c r="T61" s="259"/>
      <c r="U61" s="179">
        <f t="shared" si="17"/>
        <v>34</v>
      </c>
      <c r="V61" s="259"/>
      <c r="W61" s="179">
        <f t="shared" si="18"/>
        <v>0</v>
      </c>
      <c r="X61" s="259">
        <v>0</v>
      </c>
      <c r="Y61" s="179">
        <f t="shared" si="19"/>
        <v>763.82368022299988</v>
      </c>
      <c r="Z61" s="259">
        <v>10</v>
      </c>
      <c r="AA61" s="179">
        <f t="shared" si="20"/>
        <v>180</v>
      </c>
      <c r="AB61" s="259"/>
      <c r="AC61" s="179">
        <f t="shared" si="21"/>
        <v>0</v>
      </c>
      <c r="AD61" s="189">
        <f t="shared" si="15"/>
        <v>10</v>
      </c>
      <c r="AE61" s="179">
        <f t="shared" si="22"/>
        <v>943.823680223</v>
      </c>
      <c r="AF61" s="264"/>
      <c r="AG61" s="179">
        <f t="shared" si="23"/>
        <v>663.823680223</v>
      </c>
      <c r="AH61" s="268"/>
      <c r="AI61" s="179">
        <f t="shared" si="24"/>
        <v>0</v>
      </c>
      <c r="AJ61" s="268">
        <v>0</v>
      </c>
      <c r="AK61" s="179">
        <f t="shared" si="25"/>
        <v>100</v>
      </c>
      <c r="AL61" s="268"/>
      <c r="AM61" s="179">
        <f t="shared" si="26"/>
        <v>0</v>
      </c>
      <c r="AN61" s="268"/>
      <c r="AO61" s="179">
        <f t="shared" si="27"/>
        <v>0</v>
      </c>
      <c r="AP61" s="268"/>
      <c r="AQ61" s="179">
        <f t="shared" si="28"/>
        <v>0</v>
      </c>
      <c r="AR61" s="273"/>
      <c r="AS61" s="209">
        <f t="shared" si="29"/>
        <v>0</v>
      </c>
      <c r="AT61" s="273"/>
      <c r="AU61" s="226">
        <f t="shared" si="30"/>
        <v>0</v>
      </c>
      <c r="AV61" s="273"/>
      <c r="AW61" s="209">
        <f t="shared" si="31"/>
        <v>0</v>
      </c>
      <c r="AX61" s="273"/>
      <c r="AY61" s="209">
        <f t="shared" si="32"/>
        <v>0</v>
      </c>
      <c r="AZ61" s="273"/>
      <c r="BA61" s="179">
        <f t="shared" si="33"/>
        <v>0</v>
      </c>
      <c r="BB61"/>
      <c r="BC61"/>
      <c r="BD61"/>
    </row>
    <row r="62" spans="1:56" s="34" customFormat="1" x14ac:dyDescent="0.25">
      <c r="A62" s="87">
        <v>40696</v>
      </c>
      <c r="B62" s="42">
        <v>19</v>
      </c>
      <c r="C62" s="41" t="str">
        <f t="shared" si="34"/>
        <v>250.00, V58.66, V58.67</v>
      </c>
      <c r="D62" s="41">
        <f t="shared" si="35"/>
        <v>93743801</v>
      </c>
      <c r="E62" s="40" t="str">
        <f t="shared" si="36"/>
        <v>Pharmacy Retail</v>
      </c>
      <c r="F62" s="40" t="str">
        <f t="shared" si="37"/>
        <v>Pharmacy</v>
      </c>
      <c r="G62" s="40" t="str">
        <f t="shared" si="38"/>
        <v>Ramipril 10mg (Rx) [1 QD; #30 pills/month]</v>
      </c>
      <c r="H62" s="40" t="str">
        <f t="shared" si="39"/>
        <v/>
      </c>
      <c r="I62" s="160" t="str">
        <f t="shared" si="40"/>
        <v/>
      </c>
      <c r="J62" s="41">
        <f t="shared" si="41"/>
        <v>1</v>
      </c>
      <c r="K62" s="41" t="str">
        <f t="shared" si="42"/>
        <v/>
      </c>
      <c r="L62" s="41" t="str">
        <f t="shared" si="43"/>
        <v/>
      </c>
      <c r="M62" s="41" t="str">
        <f t="shared" si="44"/>
        <v/>
      </c>
      <c r="N62" s="41" t="str">
        <f t="shared" si="45"/>
        <v/>
      </c>
      <c r="O62" s="41" t="str">
        <f t="shared" si="46"/>
        <v/>
      </c>
      <c r="P62" s="188" t="str">
        <f t="shared" si="47"/>
        <v/>
      </c>
      <c r="Q62" s="221">
        <f t="shared" si="48"/>
        <v>53.81</v>
      </c>
      <c r="R62" s="253">
        <v>43.81</v>
      </c>
      <c r="S62" s="179">
        <f t="shared" si="16"/>
        <v>1882.0616777724997</v>
      </c>
      <c r="T62" s="259"/>
      <c r="U62" s="179">
        <f t="shared" si="17"/>
        <v>34</v>
      </c>
      <c r="V62" s="259"/>
      <c r="W62" s="179">
        <f t="shared" si="18"/>
        <v>0</v>
      </c>
      <c r="X62" s="259">
        <v>0</v>
      </c>
      <c r="Y62" s="179">
        <f t="shared" si="19"/>
        <v>763.82368022299988</v>
      </c>
      <c r="Z62" s="259">
        <v>10</v>
      </c>
      <c r="AA62" s="179">
        <f t="shared" si="20"/>
        <v>190</v>
      </c>
      <c r="AB62" s="259"/>
      <c r="AC62" s="179">
        <f t="shared" si="21"/>
        <v>0</v>
      </c>
      <c r="AD62" s="189">
        <f t="shared" si="15"/>
        <v>10</v>
      </c>
      <c r="AE62" s="179">
        <f t="shared" si="22"/>
        <v>953.823680223</v>
      </c>
      <c r="AF62" s="264"/>
      <c r="AG62" s="179">
        <f t="shared" si="23"/>
        <v>663.823680223</v>
      </c>
      <c r="AH62" s="268"/>
      <c r="AI62" s="179">
        <f t="shared" si="24"/>
        <v>0</v>
      </c>
      <c r="AJ62" s="268">
        <v>0</v>
      </c>
      <c r="AK62" s="179">
        <f t="shared" si="25"/>
        <v>100</v>
      </c>
      <c r="AL62" s="268"/>
      <c r="AM62" s="179">
        <f t="shared" si="26"/>
        <v>0</v>
      </c>
      <c r="AN62" s="268"/>
      <c r="AO62" s="179">
        <f t="shared" si="27"/>
        <v>0</v>
      </c>
      <c r="AP62" s="268"/>
      <c r="AQ62" s="179">
        <f t="shared" si="28"/>
        <v>0</v>
      </c>
      <c r="AR62" s="273"/>
      <c r="AS62" s="209">
        <f t="shared" si="29"/>
        <v>0</v>
      </c>
      <c r="AT62" s="273"/>
      <c r="AU62" s="226">
        <f t="shared" si="30"/>
        <v>0</v>
      </c>
      <c r="AV62" s="273"/>
      <c r="AW62" s="209">
        <f t="shared" si="31"/>
        <v>0</v>
      </c>
      <c r="AX62" s="273"/>
      <c r="AY62" s="209">
        <f t="shared" si="32"/>
        <v>0</v>
      </c>
      <c r="AZ62" s="273"/>
      <c r="BA62" s="179">
        <f t="shared" si="33"/>
        <v>0</v>
      </c>
      <c r="BB62"/>
      <c r="BC62"/>
      <c r="BD62"/>
    </row>
    <row r="63" spans="1:56" s="34" customFormat="1" x14ac:dyDescent="0.25">
      <c r="A63" s="87">
        <v>40714</v>
      </c>
      <c r="B63" s="42">
        <v>26</v>
      </c>
      <c r="C63" s="41" t="str">
        <f t="shared" si="34"/>
        <v>250.00, V58.66, V58.67</v>
      </c>
      <c r="D63" s="41" t="str">
        <f t="shared" si="35"/>
        <v>OTC</v>
      </c>
      <c r="E63" s="40" t="str">
        <f t="shared" si="36"/>
        <v>Pharmacy Retail</v>
      </c>
      <c r="F63" s="40" t="str">
        <f t="shared" si="37"/>
        <v>Pharmacy</v>
      </c>
      <c r="G63" s="40" t="str">
        <f t="shared" si="38"/>
        <v>Aspirin 81mg (OTC - bottle 100) [usage = 1 QD; #30 pills per month]</v>
      </c>
      <c r="H63" s="40" t="str">
        <f t="shared" si="39"/>
        <v/>
      </c>
      <c r="I63" s="160" t="str">
        <f t="shared" si="40"/>
        <v/>
      </c>
      <c r="J63" s="41" t="str">
        <f t="shared" si="41"/>
        <v/>
      </c>
      <c r="K63" s="41" t="str">
        <f t="shared" si="42"/>
        <v/>
      </c>
      <c r="L63" s="41" t="str">
        <f t="shared" si="43"/>
        <v/>
      </c>
      <c r="M63" s="41" t="str">
        <f t="shared" si="44"/>
        <v/>
      </c>
      <c r="N63" s="41" t="str">
        <f t="shared" si="45"/>
        <v/>
      </c>
      <c r="O63" s="41" t="str">
        <f t="shared" si="46"/>
        <v/>
      </c>
      <c r="P63" s="188" t="str">
        <f t="shared" si="47"/>
        <v/>
      </c>
      <c r="Q63" s="221">
        <f t="shared" si="48"/>
        <v>8</v>
      </c>
      <c r="R63" s="253"/>
      <c r="S63" s="179">
        <f t="shared" si="16"/>
        <v>1882.0616777724997</v>
      </c>
      <c r="T63" s="259">
        <v>8</v>
      </c>
      <c r="U63" s="179">
        <f t="shared" si="17"/>
        <v>42</v>
      </c>
      <c r="V63" s="259"/>
      <c r="W63" s="179">
        <f t="shared" si="18"/>
        <v>0</v>
      </c>
      <c r="X63" s="259"/>
      <c r="Y63" s="179">
        <f t="shared" si="19"/>
        <v>763.82368022299988</v>
      </c>
      <c r="Z63" s="259"/>
      <c r="AA63" s="179">
        <f t="shared" si="20"/>
        <v>190</v>
      </c>
      <c r="AB63" s="259"/>
      <c r="AC63" s="179">
        <f t="shared" si="21"/>
        <v>0</v>
      </c>
      <c r="AD63" s="189">
        <f t="shared" si="15"/>
        <v>0</v>
      </c>
      <c r="AE63" s="179">
        <f t="shared" si="22"/>
        <v>953.823680223</v>
      </c>
      <c r="AF63" s="264"/>
      <c r="AG63" s="179">
        <f t="shared" si="23"/>
        <v>663.823680223</v>
      </c>
      <c r="AH63" s="268"/>
      <c r="AI63" s="179">
        <f t="shared" si="24"/>
        <v>0</v>
      </c>
      <c r="AJ63" s="268"/>
      <c r="AK63" s="179">
        <f t="shared" si="25"/>
        <v>100</v>
      </c>
      <c r="AL63" s="268"/>
      <c r="AM63" s="179">
        <f t="shared" si="26"/>
        <v>0</v>
      </c>
      <c r="AN63" s="268"/>
      <c r="AO63" s="179">
        <f t="shared" si="27"/>
        <v>0</v>
      </c>
      <c r="AP63" s="268"/>
      <c r="AQ63" s="179">
        <f t="shared" si="28"/>
        <v>0</v>
      </c>
      <c r="AR63" s="273"/>
      <c r="AS63" s="209">
        <f t="shared" si="29"/>
        <v>0</v>
      </c>
      <c r="AT63" s="273"/>
      <c r="AU63" s="226">
        <f t="shared" si="30"/>
        <v>0</v>
      </c>
      <c r="AV63" s="273"/>
      <c r="AW63" s="209">
        <f t="shared" si="31"/>
        <v>0</v>
      </c>
      <c r="AX63" s="273"/>
      <c r="AY63" s="209">
        <f t="shared" si="32"/>
        <v>0</v>
      </c>
      <c r="AZ63" s="273"/>
      <c r="BA63" s="179">
        <f t="shared" si="33"/>
        <v>0</v>
      </c>
      <c r="BB63"/>
      <c r="BC63"/>
      <c r="BD63"/>
    </row>
    <row r="64" spans="1:56" s="34" customFormat="1" x14ac:dyDescent="0.25">
      <c r="A64" s="87">
        <v>40714</v>
      </c>
      <c r="B64" s="42">
        <v>17</v>
      </c>
      <c r="C64" s="41" t="str">
        <f t="shared" si="34"/>
        <v>250.00, V58.66, V58.67</v>
      </c>
      <c r="D64" s="41">
        <f t="shared" si="35"/>
        <v>88222033</v>
      </c>
      <c r="E64" s="40" t="str">
        <f t="shared" si="36"/>
        <v>Pharmacy Retail</v>
      </c>
      <c r="F64" s="40" t="str">
        <f t="shared" si="37"/>
        <v>Pharmacy</v>
      </c>
      <c r="G64" s="40" t="str">
        <f t="shared" si="38"/>
        <v>Insulin glargine 100 unit/ml injectable solution (Rx - 10ml vial)  [20 units QD; expires 28 days after first use]</v>
      </c>
      <c r="H64" s="40" t="str">
        <f t="shared" si="39"/>
        <v/>
      </c>
      <c r="I64" s="160" t="str">
        <f t="shared" si="40"/>
        <v/>
      </c>
      <c r="J64" s="41">
        <f t="shared" si="41"/>
        <v>1</v>
      </c>
      <c r="K64" s="41" t="str">
        <f t="shared" si="42"/>
        <v/>
      </c>
      <c r="L64" s="41" t="str">
        <f t="shared" si="43"/>
        <v/>
      </c>
      <c r="M64" s="41" t="str">
        <f t="shared" si="44"/>
        <v/>
      </c>
      <c r="N64" s="41" t="str">
        <f t="shared" si="45"/>
        <v/>
      </c>
      <c r="O64" s="41" t="str">
        <f t="shared" si="46"/>
        <v/>
      </c>
      <c r="P64" s="188" t="str">
        <f t="shared" si="47"/>
        <v/>
      </c>
      <c r="Q64" s="221">
        <f t="shared" si="48"/>
        <v>119.2</v>
      </c>
      <c r="R64" s="253">
        <v>109.2</v>
      </c>
      <c r="S64" s="179">
        <f t="shared" si="16"/>
        <v>1991.2616777724998</v>
      </c>
      <c r="T64" s="259"/>
      <c r="U64" s="179">
        <f t="shared" si="17"/>
        <v>42</v>
      </c>
      <c r="V64" s="259"/>
      <c r="W64" s="179">
        <f t="shared" si="18"/>
        <v>0</v>
      </c>
      <c r="X64" s="259">
        <v>0</v>
      </c>
      <c r="Y64" s="179">
        <f t="shared" si="19"/>
        <v>763.82368022299988</v>
      </c>
      <c r="Z64" s="259">
        <v>10</v>
      </c>
      <c r="AA64" s="179">
        <f t="shared" si="20"/>
        <v>200</v>
      </c>
      <c r="AB64" s="259"/>
      <c r="AC64" s="179">
        <f t="shared" si="21"/>
        <v>0</v>
      </c>
      <c r="AD64" s="189">
        <f t="shared" si="15"/>
        <v>10</v>
      </c>
      <c r="AE64" s="179">
        <f t="shared" si="22"/>
        <v>963.823680223</v>
      </c>
      <c r="AF64" s="264"/>
      <c r="AG64" s="179">
        <f t="shared" si="23"/>
        <v>663.823680223</v>
      </c>
      <c r="AH64" s="268"/>
      <c r="AI64" s="179">
        <f t="shared" si="24"/>
        <v>0</v>
      </c>
      <c r="AJ64" s="268">
        <v>0</v>
      </c>
      <c r="AK64" s="179">
        <f t="shared" si="25"/>
        <v>100</v>
      </c>
      <c r="AL64" s="268"/>
      <c r="AM64" s="179">
        <f t="shared" si="26"/>
        <v>0</v>
      </c>
      <c r="AN64" s="268"/>
      <c r="AO64" s="179">
        <f t="shared" si="27"/>
        <v>0</v>
      </c>
      <c r="AP64" s="268"/>
      <c r="AQ64" s="179">
        <f t="shared" si="28"/>
        <v>0</v>
      </c>
      <c r="AR64" s="273"/>
      <c r="AS64" s="209">
        <f t="shared" si="29"/>
        <v>0</v>
      </c>
      <c r="AT64" s="273"/>
      <c r="AU64" s="226">
        <f t="shared" si="30"/>
        <v>0</v>
      </c>
      <c r="AV64" s="273"/>
      <c r="AW64" s="209">
        <f t="shared" si="31"/>
        <v>0</v>
      </c>
      <c r="AX64" s="273"/>
      <c r="AY64" s="209">
        <f t="shared" si="32"/>
        <v>0</v>
      </c>
      <c r="AZ64" s="273"/>
      <c r="BA64" s="179">
        <f t="shared" si="33"/>
        <v>0</v>
      </c>
      <c r="BB64"/>
      <c r="BC64"/>
      <c r="BD64"/>
    </row>
    <row r="65" spans="1:56" s="34" customFormat="1" x14ac:dyDescent="0.25">
      <c r="A65" s="87">
        <v>40721</v>
      </c>
      <c r="B65" s="42">
        <v>15</v>
      </c>
      <c r="C65" s="41" t="str">
        <f t="shared" si="34"/>
        <v>250.00, V58.66, V58.67</v>
      </c>
      <c r="D65" s="41">
        <f t="shared" si="35"/>
        <v>82947</v>
      </c>
      <c r="E65" s="40" t="str">
        <f t="shared" si="36"/>
        <v>Primary</v>
      </c>
      <c r="F65" s="40" t="str">
        <f t="shared" si="37"/>
        <v>Laboratory tests</v>
      </c>
      <c r="G65" s="40" t="str">
        <f t="shared" si="38"/>
        <v>Assay Glucose Blood Quant</v>
      </c>
      <c r="H65" s="40" t="str">
        <f t="shared" si="39"/>
        <v/>
      </c>
      <c r="I65" s="160" t="str">
        <f t="shared" si="40"/>
        <v/>
      </c>
      <c r="J65" s="41" t="str">
        <f t="shared" si="41"/>
        <v/>
      </c>
      <c r="K65" s="41" t="str">
        <f t="shared" si="42"/>
        <v/>
      </c>
      <c r="L65" s="41">
        <f t="shared" si="43"/>
        <v>1</v>
      </c>
      <c r="M65" s="41" t="str">
        <f t="shared" si="44"/>
        <v/>
      </c>
      <c r="N65" s="41" t="str">
        <f t="shared" si="45"/>
        <v/>
      </c>
      <c r="O65" s="41" t="str">
        <f t="shared" si="46"/>
        <v/>
      </c>
      <c r="P65" s="188" t="str">
        <f t="shared" si="47"/>
        <v/>
      </c>
      <c r="Q65" s="221">
        <f t="shared" si="48"/>
        <v>6.4317604084999997</v>
      </c>
      <c r="R65" s="253">
        <v>6.4317604084999997</v>
      </c>
      <c r="S65" s="179">
        <f t="shared" si="16"/>
        <v>1997.6934381809997</v>
      </c>
      <c r="T65" s="259"/>
      <c r="U65" s="179">
        <f t="shared" si="17"/>
        <v>42</v>
      </c>
      <c r="V65" s="259"/>
      <c r="W65" s="179">
        <f t="shared" si="18"/>
        <v>0</v>
      </c>
      <c r="X65" s="259"/>
      <c r="Y65" s="179">
        <f t="shared" si="19"/>
        <v>763.82368022299988</v>
      </c>
      <c r="Z65" s="259"/>
      <c r="AA65" s="179">
        <f t="shared" si="20"/>
        <v>200</v>
      </c>
      <c r="AB65" s="259"/>
      <c r="AC65" s="179">
        <f t="shared" si="21"/>
        <v>0</v>
      </c>
      <c r="AD65" s="189">
        <f t="shared" si="15"/>
        <v>0</v>
      </c>
      <c r="AE65" s="179">
        <f t="shared" si="22"/>
        <v>963.823680223</v>
      </c>
      <c r="AF65" s="264"/>
      <c r="AG65" s="179">
        <f t="shared" si="23"/>
        <v>663.823680223</v>
      </c>
      <c r="AH65" s="268"/>
      <c r="AI65" s="179">
        <f t="shared" si="24"/>
        <v>0</v>
      </c>
      <c r="AJ65" s="268"/>
      <c r="AK65" s="179">
        <f t="shared" si="25"/>
        <v>100</v>
      </c>
      <c r="AL65" s="268"/>
      <c r="AM65" s="179">
        <f t="shared" si="26"/>
        <v>0</v>
      </c>
      <c r="AN65" s="268"/>
      <c r="AO65" s="179">
        <f t="shared" si="27"/>
        <v>0</v>
      </c>
      <c r="AP65" s="268"/>
      <c r="AQ65" s="179">
        <f t="shared" si="28"/>
        <v>0</v>
      </c>
      <c r="AR65" s="273"/>
      <c r="AS65" s="209">
        <f t="shared" si="29"/>
        <v>0</v>
      </c>
      <c r="AT65" s="273"/>
      <c r="AU65" s="226">
        <f t="shared" si="30"/>
        <v>0</v>
      </c>
      <c r="AV65" s="273"/>
      <c r="AW65" s="209">
        <f t="shared" si="31"/>
        <v>0</v>
      </c>
      <c r="AX65" s="273"/>
      <c r="AY65" s="209">
        <f t="shared" si="32"/>
        <v>0</v>
      </c>
      <c r="AZ65" s="273"/>
      <c r="BA65" s="179">
        <f t="shared" si="33"/>
        <v>0</v>
      </c>
      <c r="BB65"/>
      <c r="BC65"/>
      <c r="BD65"/>
    </row>
    <row r="66" spans="1:56" s="34" customFormat="1" x14ac:dyDescent="0.25">
      <c r="A66" s="87">
        <v>40721</v>
      </c>
      <c r="B66" s="42">
        <v>16</v>
      </c>
      <c r="C66" s="41" t="str">
        <f t="shared" si="34"/>
        <v>250.00, V58.66, V58.67</v>
      </c>
      <c r="D66" s="41">
        <f t="shared" si="35"/>
        <v>83036</v>
      </c>
      <c r="E66" s="40" t="str">
        <f t="shared" si="36"/>
        <v>Primary</v>
      </c>
      <c r="F66" s="40" t="str">
        <f t="shared" si="37"/>
        <v>Laboratory tests</v>
      </c>
      <c r="G66" s="40" t="str">
        <f t="shared" si="38"/>
        <v>Glycosylated Hemoglobin Test</v>
      </c>
      <c r="H66" s="40" t="str">
        <f t="shared" si="39"/>
        <v/>
      </c>
      <c r="I66" s="160" t="str">
        <f t="shared" si="40"/>
        <v/>
      </c>
      <c r="J66" s="41" t="str">
        <f t="shared" si="41"/>
        <v/>
      </c>
      <c r="K66" s="41" t="str">
        <f t="shared" si="42"/>
        <v/>
      </c>
      <c r="L66" s="41">
        <f t="shared" si="43"/>
        <v>1</v>
      </c>
      <c r="M66" s="41" t="str">
        <f t="shared" si="44"/>
        <v/>
      </c>
      <c r="N66" s="41" t="str">
        <f t="shared" si="45"/>
        <v/>
      </c>
      <c r="O66" s="41" t="str">
        <f t="shared" si="46"/>
        <v/>
      </c>
      <c r="P66" s="188" t="str">
        <f t="shared" si="47"/>
        <v/>
      </c>
      <c r="Q66" s="221">
        <f t="shared" si="48"/>
        <v>14.074362869</v>
      </c>
      <c r="R66" s="253">
        <v>14.074362869</v>
      </c>
      <c r="S66" s="179">
        <f t="shared" si="16"/>
        <v>2011.7678010499997</v>
      </c>
      <c r="T66" s="259"/>
      <c r="U66" s="179">
        <f t="shared" si="17"/>
        <v>42</v>
      </c>
      <c r="V66" s="259"/>
      <c r="W66" s="179">
        <f t="shared" si="18"/>
        <v>0</v>
      </c>
      <c r="X66" s="259"/>
      <c r="Y66" s="179">
        <f t="shared" si="19"/>
        <v>763.82368022299988</v>
      </c>
      <c r="Z66" s="259"/>
      <c r="AA66" s="179">
        <f t="shared" si="20"/>
        <v>200</v>
      </c>
      <c r="AB66" s="259"/>
      <c r="AC66" s="179">
        <f t="shared" si="21"/>
        <v>0</v>
      </c>
      <c r="AD66" s="189">
        <f t="shared" si="15"/>
        <v>0</v>
      </c>
      <c r="AE66" s="179">
        <f t="shared" si="22"/>
        <v>963.823680223</v>
      </c>
      <c r="AF66" s="264"/>
      <c r="AG66" s="179">
        <f t="shared" si="23"/>
        <v>663.823680223</v>
      </c>
      <c r="AH66" s="268"/>
      <c r="AI66" s="179">
        <f t="shared" si="24"/>
        <v>0</v>
      </c>
      <c r="AJ66" s="268"/>
      <c r="AK66" s="179">
        <f t="shared" si="25"/>
        <v>100</v>
      </c>
      <c r="AL66" s="268"/>
      <c r="AM66" s="179">
        <f t="shared" si="26"/>
        <v>0</v>
      </c>
      <c r="AN66" s="268"/>
      <c r="AO66" s="179">
        <f t="shared" si="27"/>
        <v>0</v>
      </c>
      <c r="AP66" s="268"/>
      <c r="AQ66" s="179">
        <f t="shared" si="28"/>
        <v>0</v>
      </c>
      <c r="AR66" s="273"/>
      <c r="AS66" s="209">
        <f t="shared" si="29"/>
        <v>0</v>
      </c>
      <c r="AT66" s="273"/>
      <c r="AU66" s="226">
        <f t="shared" si="30"/>
        <v>0</v>
      </c>
      <c r="AV66" s="273"/>
      <c r="AW66" s="209">
        <f t="shared" si="31"/>
        <v>0</v>
      </c>
      <c r="AX66" s="273"/>
      <c r="AY66" s="209">
        <f t="shared" si="32"/>
        <v>0</v>
      </c>
      <c r="AZ66" s="273"/>
      <c r="BA66" s="179">
        <f t="shared" si="33"/>
        <v>0</v>
      </c>
      <c r="BB66"/>
      <c r="BC66"/>
      <c r="BD66"/>
    </row>
    <row r="67" spans="1:56" s="34" customFormat="1" x14ac:dyDescent="0.25">
      <c r="A67" s="87">
        <v>40721</v>
      </c>
      <c r="B67" s="42">
        <v>10</v>
      </c>
      <c r="C67" s="41" t="str">
        <f t="shared" ref="C67:C98" si="49">IF(ISBLANK(VLOOKUP(Dia_Claim,Dia_UniqueLine,2,FALSE)),"",VLOOKUP(Dia_Claim,Dia_UniqueLine,2,FALSE))</f>
        <v>250.00, V58.66, V58.67</v>
      </c>
      <c r="D67" s="41">
        <f t="shared" ref="D67:D98" si="50">IF(ISBLANK(VLOOKUP(Dia_Claim,Dia_UniqueLine,3,FALSE)),"",VLOOKUP(Dia_Claim,Dia_UniqueLine,3,FALSE))</f>
        <v>80069</v>
      </c>
      <c r="E67" s="40" t="str">
        <f t="shared" ref="E67:E98" si="51">IF(ISBLANK(VLOOKUP(Dia_Claim,Dia_UniqueLine,4,FALSE)),"",VLOOKUP(Dia_Claim,Dia_UniqueLine,4,FALSE))</f>
        <v>Primary</v>
      </c>
      <c r="F67" s="40" t="str">
        <f t="shared" ref="F67:F98" si="52">IF(ISBLANK(VLOOKUP(Dia_Claim,Dia_UniqueLine,5,FALSE)),"",VLOOKUP(Dia_Claim,Dia_UniqueLine,5,FALSE))</f>
        <v>Laboratory tests</v>
      </c>
      <c r="G67" s="40" t="str">
        <f t="shared" ref="G67:G98" si="53">IF(ISBLANK(VLOOKUP(Dia_Claim,Dia_UniqueLine,6,FALSE)),"",VLOOKUP(Dia_Claim,Dia_UniqueLine,6,FALSE))</f>
        <v>Renal Function Panel</v>
      </c>
      <c r="H67" s="40" t="str">
        <f t="shared" ref="H67:H98" si="54">IF(ISBLANK(VLOOKUP(Dia_Claim,Dia_UniqueLine,8,FALSE)),"",VLOOKUP(Dia_Claim,Dia_UniqueLine,8,FALSE))</f>
        <v/>
      </c>
      <c r="I67" s="160" t="str">
        <f t="shared" ref="I67:I98" si="55">IF(Dia_Col_Category="Medical equipment and supplies",1,"")</f>
        <v/>
      </c>
      <c r="J67" s="41" t="str">
        <f t="shared" ref="J67:J98" si="56">IF(AND(Dia_Col_Category="Pharmacy",Dia_Col_BillCode&lt;&gt;"OTC"),1,"")</f>
        <v/>
      </c>
      <c r="K67" s="41" t="str">
        <f t="shared" ref="K67:K98" si="57">IF(AND(Dia_Col_Category="Anesthesia",Dia_Col_Provider&lt;&gt;"Inpatient facility"),1,"")</f>
        <v/>
      </c>
      <c r="L67" s="41">
        <f t="shared" ref="L67:L98" si="58">IF(Dia_Col_Category="Laboratory tests",1,"")</f>
        <v>1</v>
      </c>
      <c r="M67" s="41" t="str">
        <f t="shared" ref="M67:M98" si="59">IF(Dia_Col_Category="Radiology",1,"")</f>
        <v/>
      </c>
      <c r="N67" s="41" t="str">
        <f t="shared" ref="N67:N98" si="60">IF(Dia_Col_BillCode="Bundled in global OB package - 59400",1,"")</f>
        <v/>
      </c>
      <c r="O67" s="41" t="str">
        <f t="shared" ref="O67:O98" si="61">IF(Dia_Col_Category="Vaccines, other preventive",1,"")</f>
        <v/>
      </c>
      <c r="P67" s="188" t="str">
        <f t="shared" ref="P67:P98" si="62">IF(Dia_Col_Category="Office visits &amp; procedures",1,"")</f>
        <v/>
      </c>
      <c r="Q67" s="221">
        <f t="shared" ref="Q67:Q98" si="63">IF(ISBLANK(VLOOKUP(Dia_Claim,Dia_UniqueLine,7,FALSE)),"",VLOOKUP(Dia_Claim,Dia_UniqueLine,7,FALSE))</f>
        <v>14.302656536000001</v>
      </c>
      <c r="R67" s="253">
        <v>14.302656536000001</v>
      </c>
      <c r="S67" s="179">
        <f t="shared" si="16"/>
        <v>2026.0704575859997</v>
      </c>
      <c r="T67" s="259"/>
      <c r="U67" s="179">
        <f t="shared" si="17"/>
        <v>42</v>
      </c>
      <c r="V67" s="259"/>
      <c r="W67" s="179">
        <f t="shared" si="18"/>
        <v>0</v>
      </c>
      <c r="X67" s="259"/>
      <c r="Y67" s="179">
        <f t="shared" si="19"/>
        <v>763.82368022299988</v>
      </c>
      <c r="Z67" s="259"/>
      <c r="AA67" s="179">
        <f t="shared" si="20"/>
        <v>200</v>
      </c>
      <c r="AB67" s="259"/>
      <c r="AC67" s="179">
        <f t="shared" si="21"/>
        <v>0</v>
      </c>
      <c r="AD67" s="189">
        <f t="shared" ref="AD67:AD130" si="64">Dia_Col_Deduct+Dia_Col_Copay+Dia_Col_Coinsur</f>
        <v>0</v>
      </c>
      <c r="AE67" s="179">
        <f t="shared" si="22"/>
        <v>963.823680223</v>
      </c>
      <c r="AF67" s="264"/>
      <c r="AG67" s="179">
        <f t="shared" si="23"/>
        <v>663.823680223</v>
      </c>
      <c r="AH67" s="268"/>
      <c r="AI67" s="179">
        <f t="shared" si="24"/>
        <v>0</v>
      </c>
      <c r="AJ67" s="268"/>
      <c r="AK67" s="179">
        <f t="shared" si="25"/>
        <v>100</v>
      </c>
      <c r="AL67" s="268"/>
      <c r="AM67" s="179">
        <f t="shared" si="26"/>
        <v>0</v>
      </c>
      <c r="AN67" s="268"/>
      <c r="AO67" s="179">
        <f t="shared" si="27"/>
        <v>0</v>
      </c>
      <c r="AP67" s="268"/>
      <c r="AQ67" s="179">
        <f t="shared" si="28"/>
        <v>0</v>
      </c>
      <c r="AR67" s="273"/>
      <c r="AS67" s="209">
        <f t="shared" si="29"/>
        <v>0</v>
      </c>
      <c r="AT67" s="273"/>
      <c r="AU67" s="226">
        <f t="shared" si="30"/>
        <v>0</v>
      </c>
      <c r="AV67" s="273"/>
      <c r="AW67" s="209">
        <f t="shared" si="31"/>
        <v>0</v>
      </c>
      <c r="AX67" s="273"/>
      <c r="AY67" s="209">
        <f t="shared" si="32"/>
        <v>0</v>
      </c>
      <c r="AZ67" s="273"/>
      <c r="BA67" s="179">
        <f t="shared" si="33"/>
        <v>0</v>
      </c>
      <c r="BB67"/>
      <c r="BC67"/>
      <c r="BD67"/>
    </row>
    <row r="68" spans="1:56" s="34" customFormat="1" x14ac:dyDescent="0.25">
      <c r="A68" s="87">
        <v>40721</v>
      </c>
      <c r="B68" s="42">
        <v>2</v>
      </c>
      <c r="C68" s="41" t="str">
        <f t="shared" si="49"/>
        <v>250.00, V58.66, V58.67</v>
      </c>
      <c r="D68" s="41">
        <f t="shared" si="50"/>
        <v>36415</v>
      </c>
      <c r="E68" s="40" t="str">
        <f t="shared" si="51"/>
        <v>Primary</v>
      </c>
      <c r="F68" s="40" t="str">
        <f t="shared" si="52"/>
        <v>Laboratory tests</v>
      </c>
      <c r="G68" s="40" t="str">
        <f t="shared" si="53"/>
        <v>Routine Venipuncture</v>
      </c>
      <c r="H68" s="40" t="str">
        <f t="shared" si="54"/>
        <v/>
      </c>
      <c r="I68" s="160" t="str">
        <f t="shared" si="55"/>
        <v/>
      </c>
      <c r="J68" s="41" t="str">
        <f t="shared" si="56"/>
        <v/>
      </c>
      <c r="K68" s="41" t="str">
        <f t="shared" si="57"/>
        <v/>
      </c>
      <c r="L68" s="41">
        <f t="shared" si="58"/>
        <v>1</v>
      </c>
      <c r="M68" s="41" t="str">
        <f t="shared" si="59"/>
        <v/>
      </c>
      <c r="N68" s="41" t="str">
        <f t="shared" si="60"/>
        <v/>
      </c>
      <c r="O68" s="41" t="str">
        <f t="shared" si="61"/>
        <v/>
      </c>
      <c r="P68" s="188" t="str">
        <f t="shared" si="62"/>
        <v/>
      </c>
      <c r="Q68" s="221">
        <f t="shared" si="63"/>
        <v>4.1312550556999996</v>
      </c>
      <c r="R68" s="253">
        <v>4.1312550556999996</v>
      </c>
      <c r="S68" s="179">
        <f t="shared" si="16"/>
        <v>2030.2017126416997</v>
      </c>
      <c r="T68" s="259"/>
      <c r="U68" s="179">
        <f t="shared" si="17"/>
        <v>42</v>
      </c>
      <c r="V68" s="259"/>
      <c r="W68" s="179">
        <f t="shared" si="18"/>
        <v>0</v>
      </c>
      <c r="X68" s="259"/>
      <c r="Y68" s="179">
        <f t="shared" si="19"/>
        <v>763.82368022299988</v>
      </c>
      <c r="Z68" s="259"/>
      <c r="AA68" s="179">
        <f t="shared" si="20"/>
        <v>200</v>
      </c>
      <c r="AB68" s="259"/>
      <c r="AC68" s="179">
        <f t="shared" si="21"/>
        <v>0</v>
      </c>
      <c r="AD68" s="189">
        <f t="shared" si="64"/>
        <v>0</v>
      </c>
      <c r="AE68" s="179">
        <f t="shared" si="22"/>
        <v>963.823680223</v>
      </c>
      <c r="AF68" s="264"/>
      <c r="AG68" s="179">
        <f t="shared" si="23"/>
        <v>663.823680223</v>
      </c>
      <c r="AH68" s="268"/>
      <c r="AI68" s="179">
        <f t="shared" si="24"/>
        <v>0</v>
      </c>
      <c r="AJ68" s="268"/>
      <c r="AK68" s="179">
        <f t="shared" si="25"/>
        <v>100</v>
      </c>
      <c r="AL68" s="268"/>
      <c r="AM68" s="179">
        <f t="shared" si="26"/>
        <v>0</v>
      </c>
      <c r="AN68" s="268"/>
      <c r="AO68" s="179">
        <f t="shared" si="27"/>
        <v>0</v>
      </c>
      <c r="AP68" s="268"/>
      <c r="AQ68" s="179">
        <f t="shared" si="28"/>
        <v>0</v>
      </c>
      <c r="AR68" s="273"/>
      <c r="AS68" s="209">
        <f t="shared" si="29"/>
        <v>0</v>
      </c>
      <c r="AT68" s="273"/>
      <c r="AU68" s="226">
        <f t="shared" si="30"/>
        <v>0</v>
      </c>
      <c r="AV68" s="273"/>
      <c r="AW68" s="209">
        <f t="shared" si="31"/>
        <v>0</v>
      </c>
      <c r="AX68" s="273"/>
      <c r="AY68" s="209">
        <f t="shared" si="32"/>
        <v>0</v>
      </c>
      <c r="AZ68" s="273"/>
      <c r="BA68" s="179">
        <f t="shared" si="33"/>
        <v>0</v>
      </c>
      <c r="BB68"/>
      <c r="BC68"/>
      <c r="BD68"/>
    </row>
    <row r="69" spans="1:56" s="34" customFormat="1" x14ac:dyDescent="0.25">
      <c r="A69" s="87">
        <v>40721</v>
      </c>
      <c r="B69" s="42">
        <v>11</v>
      </c>
      <c r="C69" s="41" t="str">
        <f t="shared" si="49"/>
        <v>250.00, V58.66, V58.67</v>
      </c>
      <c r="D69" s="41">
        <f t="shared" si="50"/>
        <v>81003</v>
      </c>
      <c r="E69" s="40" t="str">
        <f t="shared" si="51"/>
        <v>Primary</v>
      </c>
      <c r="F69" s="40" t="str">
        <f t="shared" si="52"/>
        <v>Laboratory tests</v>
      </c>
      <c r="G69" s="40" t="str">
        <f t="shared" si="53"/>
        <v>Urinalysis Auto W/O Scope</v>
      </c>
      <c r="H69" s="40" t="str">
        <f t="shared" si="54"/>
        <v/>
      </c>
      <c r="I69" s="160" t="str">
        <f t="shared" si="55"/>
        <v/>
      </c>
      <c r="J69" s="41" t="str">
        <f t="shared" si="56"/>
        <v/>
      </c>
      <c r="K69" s="41" t="str">
        <f t="shared" si="57"/>
        <v/>
      </c>
      <c r="L69" s="41">
        <f t="shared" si="58"/>
        <v>1</v>
      </c>
      <c r="M69" s="41" t="str">
        <f t="shared" si="59"/>
        <v/>
      </c>
      <c r="N69" s="41" t="str">
        <f t="shared" si="60"/>
        <v/>
      </c>
      <c r="O69" s="41" t="str">
        <f t="shared" si="61"/>
        <v/>
      </c>
      <c r="P69" s="188" t="str">
        <f t="shared" si="62"/>
        <v/>
      </c>
      <c r="Q69" s="221">
        <f t="shared" si="63"/>
        <v>3.1785047792999999</v>
      </c>
      <c r="R69" s="253">
        <v>3.1785047792999999</v>
      </c>
      <c r="S69" s="179">
        <f t="shared" ref="S69:S132" si="65">R69+S68</f>
        <v>2033.3802174209998</v>
      </c>
      <c r="T69" s="259"/>
      <c r="U69" s="179">
        <f t="shared" ref="U69:U132" si="66">T69+U68</f>
        <v>42</v>
      </c>
      <c r="V69" s="259"/>
      <c r="W69" s="179">
        <f t="shared" ref="W69:W132" si="67">V69+W68</f>
        <v>0</v>
      </c>
      <c r="X69" s="259"/>
      <c r="Y69" s="179">
        <f t="shared" ref="Y69:Y132" si="68">X69+Y68</f>
        <v>763.82368022299988</v>
      </c>
      <c r="Z69" s="259"/>
      <c r="AA69" s="179">
        <f t="shared" ref="AA69:AA132" si="69">Z69+AA68</f>
        <v>200</v>
      </c>
      <c r="AB69" s="259"/>
      <c r="AC69" s="179">
        <f t="shared" ref="AC69:AC132" si="70">AB69+AC68</f>
        <v>0</v>
      </c>
      <c r="AD69" s="189">
        <f t="shared" si="64"/>
        <v>0</v>
      </c>
      <c r="AE69" s="179">
        <f t="shared" ref="AE69:AE132" si="71">AD69+AE68</f>
        <v>963.823680223</v>
      </c>
      <c r="AF69" s="264"/>
      <c r="AG69" s="179">
        <f t="shared" ref="AG69:AG132" si="72">AF69+AG68</f>
        <v>663.823680223</v>
      </c>
      <c r="AH69" s="268"/>
      <c r="AI69" s="179">
        <f t="shared" ref="AI69:AI132" si="73">AH69+AI68</f>
        <v>0</v>
      </c>
      <c r="AJ69" s="268"/>
      <c r="AK69" s="179">
        <f t="shared" ref="AK69:AK132" si="74">AJ69+AK68</f>
        <v>100</v>
      </c>
      <c r="AL69" s="268"/>
      <c r="AM69" s="179">
        <f t="shared" ref="AM69:AM132" si="75">AL69+AM68</f>
        <v>0</v>
      </c>
      <c r="AN69" s="268"/>
      <c r="AO69" s="179">
        <f t="shared" ref="AO69:AO132" si="76">AN69+AO68</f>
        <v>0</v>
      </c>
      <c r="AP69" s="268"/>
      <c r="AQ69" s="179">
        <f t="shared" ref="AQ69:AQ132" si="77">AP69+AQ68</f>
        <v>0</v>
      </c>
      <c r="AR69" s="273"/>
      <c r="AS69" s="209">
        <f t="shared" ref="AS69:AS132" si="78">AR69+AS68</f>
        <v>0</v>
      </c>
      <c r="AT69" s="273"/>
      <c r="AU69" s="226">
        <f t="shared" ref="AU69:AU132" si="79">AT69+AU68</f>
        <v>0</v>
      </c>
      <c r="AV69" s="273"/>
      <c r="AW69" s="209">
        <f t="shared" ref="AW69:AW132" si="80">AV69+AW68</f>
        <v>0</v>
      </c>
      <c r="AX69" s="273"/>
      <c r="AY69" s="209">
        <f t="shared" ref="AY69:AY132" si="81">AX69+AY68</f>
        <v>0</v>
      </c>
      <c r="AZ69" s="273"/>
      <c r="BA69" s="179">
        <f t="shared" ref="BA69:BA132" si="82">AZ69+BA68</f>
        <v>0</v>
      </c>
      <c r="BB69"/>
      <c r="BC69"/>
      <c r="BD69"/>
    </row>
    <row r="70" spans="1:56" s="34" customFormat="1" x14ac:dyDescent="0.25">
      <c r="A70" s="87">
        <v>40721</v>
      </c>
      <c r="B70" s="42">
        <v>24</v>
      </c>
      <c r="C70" s="41" t="str">
        <f t="shared" si="49"/>
        <v>250.00, V58.66, V58.67</v>
      </c>
      <c r="D70" s="41">
        <f t="shared" si="50"/>
        <v>99214</v>
      </c>
      <c r="E70" s="40" t="str">
        <f t="shared" si="51"/>
        <v>Primary</v>
      </c>
      <c r="F70" s="40" t="str">
        <f t="shared" si="52"/>
        <v>Office visits &amp; procedures</v>
      </c>
      <c r="G70" s="40" t="str">
        <f t="shared" si="53"/>
        <v>Office/Outpatient Visit Est</v>
      </c>
      <c r="H70" s="40" t="str">
        <f t="shared" si="54"/>
        <v/>
      </c>
      <c r="I70" s="160" t="str">
        <f t="shared" si="55"/>
        <v/>
      </c>
      <c r="J70" s="41" t="str">
        <f t="shared" si="56"/>
        <v/>
      </c>
      <c r="K70" s="41" t="str">
        <f t="shared" si="57"/>
        <v/>
      </c>
      <c r="L70" s="41" t="str">
        <f t="shared" si="58"/>
        <v/>
      </c>
      <c r="M70" s="41" t="str">
        <f t="shared" si="59"/>
        <v/>
      </c>
      <c r="N70" s="41" t="str">
        <f t="shared" si="60"/>
        <v/>
      </c>
      <c r="O70" s="41" t="str">
        <f t="shared" si="61"/>
        <v/>
      </c>
      <c r="P70" s="188">
        <f t="shared" si="62"/>
        <v>1</v>
      </c>
      <c r="Q70" s="221">
        <f t="shared" si="63"/>
        <v>102.47359376999999</v>
      </c>
      <c r="R70" s="253">
        <v>0</v>
      </c>
      <c r="S70" s="179">
        <f t="shared" si="65"/>
        <v>2033.3802174209998</v>
      </c>
      <c r="T70" s="259"/>
      <c r="U70" s="179">
        <f t="shared" si="66"/>
        <v>42</v>
      </c>
      <c r="V70" s="259"/>
      <c r="W70" s="179">
        <f t="shared" si="67"/>
        <v>0</v>
      </c>
      <c r="X70" s="259">
        <v>102.47359376999999</v>
      </c>
      <c r="Y70" s="179">
        <f t="shared" si="68"/>
        <v>866.29727399299986</v>
      </c>
      <c r="Z70" s="259">
        <v>0</v>
      </c>
      <c r="AA70" s="179">
        <f t="shared" si="69"/>
        <v>200</v>
      </c>
      <c r="AB70" s="259"/>
      <c r="AC70" s="179">
        <f t="shared" si="70"/>
        <v>0</v>
      </c>
      <c r="AD70" s="189">
        <f t="shared" si="64"/>
        <v>102.47359376999999</v>
      </c>
      <c r="AE70" s="179">
        <f t="shared" si="71"/>
        <v>1066.2972739930001</v>
      </c>
      <c r="AF70" s="264">
        <v>102.47359376999999</v>
      </c>
      <c r="AG70" s="179">
        <f t="shared" si="72"/>
        <v>766.29727399299998</v>
      </c>
      <c r="AH70" s="268"/>
      <c r="AI70" s="179">
        <f t="shared" si="73"/>
        <v>0</v>
      </c>
      <c r="AJ70" s="268"/>
      <c r="AK70" s="179">
        <f t="shared" si="74"/>
        <v>100</v>
      </c>
      <c r="AL70" s="268"/>
      <c r="AM70" s="179">
        <f t="shared" si="75"/>
        <v>0</v>
      </c>
      <c r="AN70" s="268"/>
      <c r="AO70" s="179">
        <f t="shared" si="76"/>
        <v>0</v>
      </c>
      <c r="AP70" s="268"/>
      <c r="AQ70" s="179">
        <f t="shared" si="77"/>
        <v>0</v>
      </c>
      <c r="AR70" s="273"/>
      <c r="AS70" s="209">
        <f t="shared" si="78"/>
        <v>0</v>
      </c>
      <c r="AT70" s="273"/>
      <c r="AU70" s="226">
        <f t="shared" si="79"/>
        <v>0</v>
      </c>
      <c r="AV70" s="273"/>
      <c r="AW70" s="209">
        <f t="shared" si="80"/>
        <v>0</v>
      </c>
      <c r="AX70" s="273"/>
      <c r="AY70" s="209">
        <f t="shared" si="81"/>
        <v>0</v>
      </c>
      <c r="AZ70" s="273"/>
      <c r="BA70" s="179">
        <f t="shared" si="82"/>
        <v>0</v>
      </c>
      <c r="BB70"/>
      <c r="BC70"/>
      <c r="BD70"/>
    </row>
    <row r="71" spans="1:56" s="34" customFormat="1" x14ac:dyDescent="0.25">
      <c r="A71" s="87">
        <v>40722</v>
      </c>
      <c r="B71" s="42">
        <v>21</v>
      </c>
      <c r="C71" s="41" t="str">
        <f t="shared" si="49"/>
        <v>250.00, V58.66, V58.67</v>
      </c>
      <c r="D71" s="41">
        <f t="shared" si="50"/>
        <v>98960</v>
      </c>
      <c r="E71" s="40" t="str">
        <f t="shared" si="51"/>
        <v>Diabetes Educator</v>
      </c>
      <c r="F71" s="40" t="str">
        <f t="shared" si="52"/>
        <v>Office visits &amp; procedures</v>
      </c>
      <c r="G71" s="40" t="str">
        <f t="shared" si="53"/>
        <v>Self-mgmt educ &amp; train 1 pt</v>
      </c>
      <c r="H71" s="40" t="str">
        <f t="shared" si="54"/>
        <v/>
      </c>
      <c r="I71" s="160" t="str">
        <f t="shared" si="55"/>
        <v/>
      </c>
      <c r="J71" s="41" t="str">
        <f t="shared" si="56"/>
        <v/>
      </c>
      <c r="K71" s="41" t="str">
        <f t="shared" si="57"/>
        <v/>
      </c>
      <c r="L71" s="41" t="str">
        <f t="shared" si="58"/>
        <v/>
      </c>
      <c r="M71" s="41" t="str">
        <f t="shared" si="59"/>
        <v/>
      </c>
      <c r="N71" s="41" t="str">
        <f t="shared" si="60"/>
        <v/>
      </c>
      <c r="O71" s="41" t="str">
        <f t="shared" si="61"/>
        <v/>
      </c>
      <c r="P71" s="188">
        <f t="shared" si="62"/>
        <v>1</v>
      </c>
      <c r="Q71" s="221">
        <f t="shared" si="63"/>
        <v>80.526112889000004</v>
      </c>
      <c r="R71" s="253">
        <v>0</v>
      </c>
      <c r="S71" s="179">
        <f t="shared" si="65"/>
        <v>2033.3802174209998</v>
      </c>
      <c r="T71" s="259"/>
      <c r="U71" s="179">
        <f t="shared" si="66"/>
        <v>42</v>
      </c>
      <c r="V71" s="259"/>
      <c r="W71" s="179">
        <f t="shared" si="67"/>
        <v>0</v>
      </c>
      <c r="X71" s="259">
        <v>80.526112889000004</v>
      </c>
      <c r="Y71" s="179">
        <f t="shared" si="68"/>
        <v>946.82338688199991</v>
      </c>
      <c r="Z71" s="259">
        <v>0</v>
      </c>
      <c r="AA71" s="179">
        <f t="shared" si="69"/>
        <v>200</v>
      </c>
      <c r="AB71" s="259"/>
      <c r="AC71" s="179">
        <f t="shared" si="70"/>
        <v>0</v>
      </c>
      <c r="AD71" s="189">
        <f t="shared" si="64"/>
        <v>80.526112889000004</v>
      </c>
      <c r="AE71" s="179">
        <f t="shared" si="71"/>
        <v>1146.823386882</v>
      </c>
      <c r="AF71" s="264">
        <v>80.526112889000004</v>
      </c>
      <c r="AG71" s="179">
        <f t="shared" si="72"/>
        <v>846.82338688200002</v>
      </c>
      <c r="AH71" s="268"/>
      <c r="AI71" s="179">
        <f t="shared" si="73"/>
        <v>0</v>
      </c>
      <c r="AJ71" s="268"/>
      <c r="AK71" s="179">
        <f t="shared" si="74"/>
        <v>100</v>
      </c>
      <c r="AL71" s="268"/>
      <c r="AM71" s="179">
        <f t="shared" si="75"/>
        <v>0</v>
      </c>
      <c r="AN71" s="268"/>
      <c r="AO71" s="179">
        <f t="shared" si="76"/>
        <v>0</v>
      </c>
      <c r="AP71" s="268"/>
      <c r="AQ71" s="179">
        <f t="shared" si="77"/>
        <v>0</v>
      </c>
      <c r="AR71" s="273"/>
      <c r="AS71" s="209">
        <f t="shared" si="78"/>
        <v>0</v>
      </c>
      <c r="AT71" s="273"/>
      <c r="AU71" s="226">
        <f t="shared" si="79"/>
        <v>0</v>
      </c>
      <c r="AV71" s="273"/>
      <c r="AW71" s="209">
        <f t="shared" si="80"/>
        <v>0</v>
      </c>
      <c r="AX71" s="273"/>
      <c r="AY71" s="209">
        <f t="shared" si="81"/>
        <v>0</v>
      </c>
      <c r="AZ71" s="273"/>
      <c r="BA71" s="179">
        <f t="shared" si="82"/>
        <v>0</v>
      </c>
      <c r="BB71"/>
      <c r="BC71"/>
      <c r="BD71"/>
    </row>
    <row r="72" spans="1:56" s="34" customFormat="1" x14ac:dyDescent="0.25">
      <c r="A72" s="87">
        <v>40722</v>
      </c>
      <c r="B72" s="42">
        <v>20</v>
      </c>
      <c r="C72" s="41" t="str">
        <f t="shared" si="49"/>
        <v>250.00, V58.66, V58.67</v>
      </c>
      <c r="D72" s="41">
        <f t="shared" si="50"/>
        <v>97803</v>
      </c>
      <c r="E72" s="40" t="str">
        <f t="shared" si="51"/>
        <v>Dietician</v>
      </c>
      <c r="F72" s="40" t="str">
        <f t="shared" si="52"/>
        <v>Office visits &amp; procedures</v>
      </c>
      <c r="G72" s="40" t="str">
        <f t="shared" si="53"/>
        <v>Med Nutrition Indiv Subseq</v>
      </c>
      <c r="H72" s="40" t="str">
        <f t="shared" si="54"/>
        <v/>
      </c>
      <c r="I72" s="160" t="str">
        <f t="shared" si="55"/>
        <v/>
      </c>
      <c r="J72" s="41" t="str">
        <f t="shared" si="56"/>
        <v/>
      </c>
      <c r="K72" s="41" t="str">
        <f t="shared" si="57"/>
        <v/>
      </c>
      <c r="L72" s="41" t="str">
        <f t="shared" si="58"/>
        <v/>
      </c>
      <c r="M72" s="41" t="str">
        <f t="shared" si="59"/>
        <v/>
      </c>
      <c r="N72" s="41" t="str">
        <f t="shared" si="60"/>
        <v/>
      </c>
      <c r="O72" s="41" t="str">
        <f t="shared" si="61"/>
        <v/>
      </c>
      <c r="P72" s="188">
        <f t="shared" si="62"/>
        <v>1</v>
      </c>
      <c r="Q72" s="221">
        <f t="shared" si="63"/>
        <v>63.127764974000002</v>
      </c>
      <c r="R72" s="253">
        <v>0</v>
      </c>
      <c r="S72" s="179">
        <f t="shared" si="65"/>
        <v>2033.3802174209998</v>
      </c>
      <c r="T72" s="259"/>
      <c r="U72" s="179">
        <f t="shared" si="66"/>
        <v>42</v>
      </c>
      <c r="V72" s="259"/>
      <c r="W72" s="179">
        <f t="shared" si="67"/>
        <v>0</v>
      </c>
      <c r="X72" s="259">
        <v>63.127764974000002</v>
      </c>
      <c r="Y72" s="179">
        <f t="shared" si="68"/>
        <v>1009.9511518559999</v>
      </c>
      <c r="Z72" s="259">
        <v>0</v>
      </c>
      <c r="AA72" s="179">
        <f t="shared" si="69"/>
        <v>200</v>
      </c>
      <c r="AB72" s="259"/>
      <c r="AC72" s="179">
        <f t="shared" si="70"/>
        <v>0</v>
      </c>
      <c r="AD72" s="189">
        <f t="shared" si="64"/>
        <v>63.127764974000002</v>
      </c>
      <c r="AE72" s="179">
        <f t="shared" si="71"/>
        <v>1209.951151856</v>
      </c>
      <c r="AF72" s="264">
        <v>63.127764974000002</v>
      </c>
      <c r="AG72" s="179">
        <f t="shared" si="72"/>
        <v>909.95115185600002</v>
      </c>
      <c r="AH72" s="268"/>
      <c r="AI72" s="179">
        <f t="shared" si="73"/>
        <v>0</v>
      </c>
      <c r="AJ72" s="268"/>
      <c r="AK72" s="179">
        <f t="shared" si="74"/>
        <v>100</v>
      </c>
      <c r="AL72" s="268"/>
      <c r="AM72" s="179">
        <f t="shared" si="75"/>
        <v>0</v>
      </c>
      <c r="AN72" s="268"/>
      <c r="AO72" s="179">
        <f t="shared" si="76"/>
        <v>0</v>
      </c>
      <c r="AP72" s="268"/>
      <c r="AQ72" s="179">
        <f t="shared" si="77"/>
        <v>0</v>
      </c>
      <c r="AR72" s="273"/>
      <c r="AS72" s="209">
        <f t="shared" si="78"/>
        <v>0</v>
      </c>
      <c r="AT72" s="273"/>
      <c r="AU72" s="226">
        <f t="shared" si="79"/>
        <v>0</v>
      </c>
      <c r="AV72" s="273"/>
      <c r="AW72" s="209">
        <f t="shared" si="80"/>
        <v>0</v>
      </c>
      <c r="AX72" s="273"/>
      <c r="AY72" s="209">
        <f t="shared" si="81"/>
        <v>0</v>
      </c>
      <c r="AZ72" s="273"/>
      <c r="BA72" s="179">
        <f t="shared" si="82"/>
        <v>0</v>
      </c>
      <c r="BB72"/>
      <c r="BC72"/>
      <c r="BD72"/>
    </row>
    <row r="73" spans="1:56" s="34" customFormat="1" x14ac:dyDescent="0.25">
      <c r="A73" s="87">
        <v>40726</v>
      </c>
      <c r="B73" s="42">
        <v>25</v>
      </c>
      <c r="C73" s="41" t="str">
        <f t="shared" si="49"/>
        <v>250.00, V58.66, V58.67</v>
      </c>
      <c r="D73" s="41" t="str">
        <f t="shared" si="50"/>
        <v>OTC</v>
      </c>
      <c r="E73" s="40" t="str">
        <f t="shared" si="51"/>
        <v>Pharmacy Retail</v>
      </c>
      <c r="F73" s="40" t="str">
        <f t="shared" si="52"/>
        <v>Medical equipment and supplies</v>
      </c>
      <c r="G73" s="40" t="str">
        <f t="shared" si="53"/>
        <v>Alcohol swabs (OTC - box of 100)  [usage = 3 wipes/day; 90 wipes/month]</v>
      </c>
      <c r="H73" s="40" t="str">
        <f t="shared" si="54"/>
        <v/>
      </c>
      <c r="I73" s="160">
        <f t="shared" si="55"/>
        <v>1</v>
      </c>
      <c r="J73" s="41" t="str">
        <f t="shared" si="56"/>
        <v/>
      </c>
      <c r="K73" s="41" t="str">
        <f t="shared" si="57"/>
        <v/>
      </c>
      <c r="L73" s="41" t="str">
        <f t="shared" si="58"/>
        <v/>
      </c>
      <c r="M73" s="41" t="str">
        <f t="shared" si="59"/>
        <v/>
      </c>
      <c r="N73" s="41" t="str">
        <f t="shared" si="60"/>
        <v/>
      </c>
      <c r="O73" s="41" t="str">
        <f t="shared" si="61"/>
        <v/>
      </c>
      <c r="P73" s="188" t="str">
        <f t="shared" si="62"/>
        <v/>
      </c>
      <c r="Q73" s="221">
        <f t="shared" si="63"/>
        <v>3</v>
      </c>
      <c r="R73" s="253"/>
      <c r="S73" s="179">
        <f t="shared" si="65"/>
        <v>2033.3802174209998</v>
      </c>
      <c r="T73" s="259">
        <v>3</v>
      </c>
      <c r="U73" s="179">
        <f t="shared" si="66"/>
        <v>45</v>
      </c>
      <c r="V73" s="259"/>
      <c r="W73" s="179">
        <f t="shared" si="67"/>
        <v>0</v>
      </c>
      <c r="X73" s="259"/>
      <c r="Y73" s="179">
        <f t="shared" si="68"/>
        <v>1009.9511518559999</v>
      </c>
      <c r="Z73" s="259"/>
      <c r="AA73" s="179">
        <f t="shared" si="69"/>
        <v>200</v>
      </c>
      <c r="AB73" s="259"/>
      <c r="AC73" s="179">
        <f t="shared" si="70"/>
        <v>0</v>
      </c>
      <c r="AD73" s="189">
        <f t="shared" si="64"/>
        <v>0</v>
      </c>
      <c r="AE73" s="179">
        <f t="shared" si="71"/>
        <v>1209.951151856</v>
      </c>
      <c r="AF73" s="264"/>
      <c r="AG73" s="179">
        <f t="shared" si="72"/>
        <v>909.95115185600002</v>
      </c>
      <c r="AH73" s="268"/>
      <c r="AI73" s="179">
        <f t="shared" si="73"/>
        <v>0</v>
      </c>
      <c r="AJ73" s="268"/>
      <c r="AK73" s="179">
        <f t="shared" si="74"/>
        <v>100</v>
      </c>
      <c r="AL73" s="268"/>
      <c r="AM73" s="179">
        <f t="shared" si="75"/>
        <v>0</v>
      </c>
      <c r="AN73" s="268"/>
      <c r="AO73" s="179">
        <f t="shared" si="76"/>
        <v>0</v>
      </c>
      <c r="AP73" s="268"/>
      <c r="AQ73" s="179">
        <f t="shared" si="77"/>
        <v>0</v>
      </c>
      <c r="AR73" s="273"/>
      <c r="AS73" s="209">
        <f t="shared" si="78"/>
        <v>0</v>
      </c>
      <c r="AT73" s="273"/>
      <c r="AU73" s="226">
        <f t="shared" si="79"/>
        <v>0</v>
      </c>
      <c r="AV73" s="273"/>
      <c r="AW73" s="209">
        <f t="shared" si="80"/>
        <v>0</v>
      </c>
      <c r="AX73" s="273"/>
      <c r="AY73" s="209">
        <f t="shared" si="81"/>
        <v>0</v>
      </c>
      <c r="AZ73" s="273"/>
      <c r="BA73" s="179">
        <f t="shared" si="82"/>
        <v>0</v>
      </c>
      <c r="BB73"/>
      <c r="BC73"/>
      <c r="BD73"/>
    </row>
    <row r="74" spans="1:56" s="34" customFormat="1" x14ac:dyDescent="0.25">
      <c r="A74" s="87">
        <v>40726</v>
      </c>
      <c r="B74" s="42">
        <v>14</v>
      </c>
      <c r="C74" s="41" t="str">
        <f t="shared" si="49"/>
        <v>250.00, V58.66, V58.67</v>
      </c>
      <c r="D74" s="41">
        <f t="shared" si="50"/>
        <v>8290328279</v>
      </c>
      <c r="E74" s="40" t="str">
        <f t="shared" si="51"/>
        <v>Pharmacy Retail</v>
      </c>
      <c r="F74" s="40" t="str">
        <f t="shared" si="52"/>
        <v>Medical equipment and supplies</v>
      </c>
      <c r="G74" s="40" t="str">
        <f t="shared" si="53"/>
        <v>BD Ultrafine Insulin Syringes / 30G/ 0.5cc  [usage = 30 syringes per month]</v>
      </c>
      <c r="H74" s="40" t="str">
        <f t="shared" si="54"/>
        <v/>
      </c>
      <c r="I74" s="160">
        <f t="shared" si="55"/>
        <v>1</v>
      </c>
      <c r="J74" s="41" t="str">
        <f t="shared" si="56"/>
        <v/>
      </c>
      <c r="K74" s="41" t="str">
        <f t="shared" si="57"/>
        <v/>
      </c>
      <c r="L74" s="41" t="str">
        <f t="shared" si="58"/>
        <v/>
      </c>
      <c r="M74" s="41" t="str">
        <f t="shared" si="59"/>
        <v/>
      </c>
      <c r="N74" s="41" t="str">
        <f t="shared" si="60"/>
        <v/>
      </c>
      <c r="O74" s="41" t="str">
        <f t="shared" si="61"/>
        <v/>
      </c>
      <c r="P74" s="188" t="str">
        <f t="shared" si="62"/>
        <v/>
      </c>
      <c r="Q74" s="221">
        <f t="shared" si="63"/>
        <v>8.4</v>
      </c>
      <c r="R74" s="253">
        <v>8.4</v>
      </c>
      <c r="S74" s="179">
        <f t="shared" si="65"/>
        <v>2041.7802174209999</v>
      </c>
      <c r="T74" s="259"/>
      <c r="U74" s="179">
        <f t="shared" si="66"/>
        <v>45</v>
      </c>
      <c r="V74" s="259"/>
      <c r="W74" s="179">
        <f t="shared" si="67"/>
        <v>0</v>
      </c>
      <c r="X74" s="259"/>
      <c r="Y74" s="179">
        <f t="shared" si="68"/>
        <v>1009.9511518559999</v>
      </c>
      <c r="Z74" s="259"/>
      <c r="AA74" s="179">
        <f t="shared" si="69"/>
        <v>200</v>
      </c>
      <c r="AB74" s="259"/>
      <c r="AC74" s="179">
        <f t="shared" si="70"/>
        <v>0</v>
      </c>
      <c r="AD74" s="189">
        <f t="shared" si="64"/>
        <v>0</v>
      </c>
      <c r="AE74" s="179">
        <f t="shared" si="71"/>
        <v>1209.951151856</v>
      </c>
      <c r="AF74" s="264"/>
      <c r="AG74" s="179">
        <f t="shared" si="72"/>
        <v>909.95115185600002</v>
      </c>
      <c r="AH74" s="268"/>
      <c r="AI74" s="179">
        <f t="shared" si="73"/>
        <v>0</v>
      </c>
      <c r="AJ74" s="268"/>
      <c r="AK74" s="179">
        <f t="shared" si="74"/>
        <v>100</v>
      </c>
      <c r="AL74" s="268"/>
      <c r="AM74" s="179">
        <f t="shared" si="75"/>
        <v>0</v>
      </c>
      <c r="AN74" s="268"/>
      <c r="AO74" s="179">
        <f t="shared" si="76"/>
        <v>0</v>
      </c>
      <c r="AP74" s="268"/>
      <c r="AQ74" s="179">
        <f t="shared" si="77"/>
        <v>0</v>
      </c>
      <c r="AR74" s="273"/>
      <c r="AS74" s="209">
        <f t="shared" si="78"/>
        <v>0</v>
      </c>
      <c r="AT74" s="273"/>
      <c r="AU74" s="226">
        <f t="shared" si="79"/>
        <v>0</v>
      </c>
      <c r="AV74" s="273"/>
      <c r="AW74" s="209">
        <f t="shared" si="80"/>
        <v>0</v>
      </c>
      <c r="AX74" s="273"/>
      <c r="AY74" s="209">
        <f t="shared" si="81"/>
        <v>0</v>
      </c>
      <c r="AZ74" s="273"/>
      <c r="BA74" s="179">
        <f t="shared" si="82"/>
        <v>0</v>
      </c>
      <c r="BB74"/>
      <c r="BC74"/>
      <c r="BD74"/>
    </row>
    <row r="75" spans="1:56" s="34" customFormat="1" x14ac:dyDescent="0.25">
      <c r="A75" s="87">
        <v>40726</v>
      </c>
      <c r="B75" s="42">
        <v>6</v>
      </c>
      <c r="C75" s="41" t="str">
        <f t="shared" si="49"/>
        <v>250.00, V58.66, V58.67</v>
      </c>
      <c r="D75" s="41" t="str">
        <f t="shared" si="50"/>
        <v>53885041601</v>
      </c>
      <c r="E75" s="40" t="str">
        <f t="shared" si="51"/>
        <v>Pharmacy Retail</v>
      </c>
      <c r="F75" s="40" t="str">
        <f t="shared" si="52"/>
        <v>Medical equipment and supplies</v>
      </c>
      <c r="G75" s="40" t="str">
        <f t="shared" si="53"/>
        <v>OneTouch Ultra Control Solution (2 vials/box)</v>
      </c>
      <c r="H75" s="40" t="str">
        <f t="shared" si="54"/>
        <v/>
      </c>
      <c r="I75" s="160">
        <f t="shared" si="55"/>
        <v>1</v>
      </c>
      <c r="J75" s="41" t="str">
        <f t="shared" si="56"/>
        <v/>
      </c>
      <c r="K75" s="41" t="str">
        <f t="shared" si="57"/>
        <v/>
      </c>
      <c r="L75" s="41" t="str">
        <f t="shared" si="58"/>
        <v/>
      </c>
      <c r="M75" s="41" t="str">
        <f t="shared" si="59"/>
        <v/>
      </c>
      <c r="N75" s="41" t="str">
        <f t="shared" si="60"/>
        <v/>
      </c>
      <c r="O75" s="41" t="str">
        <f t="shared" si="61"/>
        <v/>
      </c>
      <c r="P75" s="188" t="str">
        <f t="shared" si="62"/>
        <v/>
      </c>
      <c r="Q75" s="221">
        <f t="shared" si="63"/>
        <v>6.02</v>
      </c>
      <c r="R75" s="253">
        <v>6.02</v>
      </c>
      <c r="S75" s="179">
        <f t="shared" si="65"/>
        <v>2047.8002174209998</v>
      </c>
      <c r="T75" s="259"/>
      <c r="U75" s="179">
        <f t="shared" si="66"/>
        <v>45</v>
      </c>
      <c r="V75" s="259"/>
      <c r="W75" s="179">
        <f t="shared" si="67"/>
        <v>0</v>
      </c>
      <c r="X75" s="259"/>
      <c r="Y75" s="179">
        <f t="shared" si="68"/>
        <v>1009.9511518559999</v>
      </c>
      <c r="Z75" s="259"/>
      <c r="AA75" s="179">
        <f t="shared" si="69"/>
        <v>200</v>
      </c>
      <c r="AB75" s="259"/>
      <c r="AC75" s="179">
        <f t="shared" si="70"/>
        <v>0</v>
      </c>
      <c r="AD75" s="189">
        <f t="shared" si="64"/>
        <v>0</v>
      </c>
      <c r="AE75" s="179">
        <f t="shared" si="71"/>
        <v>1209.951151856</v>
      </c>
      <c r="AF75" s="264"/>
      <c r="AG75" s="179">
        <f t="shared" si="72"/>
        <v>909.95115185600002</v>
      </c>
      <c r="AH75" s="268"/>
      <c r="AI75" s="179">
        <f t="shared" si="73"/>
        <v>0</v>
      </c>
      <c r="AJ75" s="268"/>
      <c r="AK75" s="179">
        <f t="shared" si="74"/>
        <v>100</v>
      </c>
      <c r="AL75" s="268"/>
      <c r="AM75" s="179">
        <f t="shared" si="75"/>
        <v>0</v>
      </c>
      <c r="AN75" s="268"/>
      <c r="AO75" s="179">
        <f t="shared" si="76"/>
        <v>0</v>
      </c>
      <c r="AP75" s="268"/>
      <c r="AQ75" s="179">
        <f t="shared" si="77"/>
        <v>0</v>
      </c>
      <c r="AR75" s="273"/>
      <c r="AS75" s="209">
        <f t="shared" si="78"/>
        <v>0</v>
      </c>
      <c r="AT75" s="273"/>
      <c r="AU75" s="226">
        <f t="shared" si="79"/>
        <v>0</v>
      </c>
      <c r="AV75" s="273"/>
      <c r="AW75" s="209">
        <f t="shared" si="80"/>
        <v>0</v>
      </c>
      <c r="AX75" s="273"/>
      <c r="AY75" s="209">
        <f t="shared" si="81"/>
        <v>0</v>
      </c>
      <c r="AZ75" s="273"/>
      <c r="BA75" s="179">
        <f t="shared" si="82"/>
        <v>0</v>
      </c>
      <c r="BB75"/>
      <c r="BC75"/>
      <c r="BD75"/>
    </row>
    <row r="76" spans="1:56" s="34" customFormat="1" x14ac:dyDescent="0.25">
      <c r="A76" s="87">
        <v>40726</v>
      </c>
      <c r="B76" s="42">
        <v>18</v>
      </c>
      <c r="C76" s="41" t="str">
        <f t="shared" si="49"/>
        <v>250.00, V58.66, V58.67</v>
      </c>
      <c r="D76" s="41">
        <f t="shared" si="50"/>
        <v>93104801</v>
      </c>
      <c r="E76" s="40" t="str">
        <f t="shared" si="51"/>
        <v>Pharmacy Retail</v>
      </c>
      <c r="F76" s="40" t="str">
        <f t="shared" si="52"/>
        <v>Pharmacy</v>
      </c>
      <c r="G76" s="40" t="str">
        <f t="shared" si="53"/>
        <v>Metformin hydrochloride 500mg (Rx) [1 BID; #60 pills/month]</v>
      </c>
      <c r="H76" s="40" t="str">
        <f t="shared" si="54"/>
        <v/>
      </c>
      <c r="I76" s="160" t="str">
        <f t="shared" si="55"/>
        <v/>
      </c>
      <c r="J76" s="41">
        <f t="shared" si="56"/>
        <v>1</v>
      </c>
      <c r="K76" s="41" t="str">
        <f t="shared" si="57"/>
        <v/>
      </c>
      <c r="L76" s="41" t="str">
        <f t="shared" si="58"/>
        <v/>
      </c>
      <c r="M76" s="41" t="str">
        <f t="shared" si="59"/>
        <v/>
      </c>
      <c r="N76" s="41" t="str">
        <f t="shared" si="60"/>
        <v/>
      </c>
      <c r="O76" s="41" t="str">
        <f t="shared" si="61"/>
        <v/>
      </c>
      <c r="P76" s="188" t="str">
        <f t="shared" si="62"/>
        <v/>
      </c>
      <c r="Q76" s="221">
        <f t="shared" si="63"/>
        <v>34.369999999999997</v>
      </c>
      <c r="R76" s="253">
        <v>24.369999999999997</v>
      </c>
      <c r="S76" s="179">
        <f t="shared" si="65"/>
        <v>2072.170217421</v>
      </c>
      <c r="T76" s="259"/>
      <c r="U76" s="179">
        <f t="shared" si="66"/>
        <v>45</v>
      </c>
      <c r="V76" s="259"/>
      <c r="W76" s="179">
        <f t="shared" si="67"/>
        <v>0</v>
      </c>
      <c r="X76" s="259">
        <v>0</v>
      </c>
      <c r="Y76" s="179">
        <f t="shared" si="68"/>
        <v>1009.9511518559999</v>
      </c>
      <c r="Z76" s="259">
        <v>10</v>
      </c>
      <c r="AA76" s="179">
        <f t="shared" si="69"/>
        <v>210</v>
      </c>
      <c r="AB76" s="259"/>
      <c r="AC76" s="179">
        <f t="shared" si="70"/>
        <v>0</v>
      </c>
      <c r="AD76" s="189">
        <f t="shared" si="64"/>
        <v>10</v>
      </c>
      <c r="AE76" s="179">
        <f t="shared" si="71"/>
        <v>1219.951151856</v>
      </c>
      <c r="AF76" s="264"/>
      <c r="AG76" s="179">
        <f t="shared" si="72"/>
        <v>909.95115185600002</v>
      </c>
      <c r="AH76" s="268"/>
      <c r="AI76" s="179">
        <f t="shared" si="73"/>
        <v>0</v>
      </c>
      <c r="AJ76" s="268">
        <v>0</v>
      </c>
      <c r="AK76" s="179">
        <f t="shared" si="74"/>
        <v>100</v>
      </c>
      <c r="AL76" s="268"/>
      <c r="AM76" s="179">
        <f t="shared" si="75"/>
        <v>0</v>
      </c>
      <c r="AN76" s="268"/>
      <c r="AO76" s="179">
        <f t="shared" si="76"/>
        <v>0</v>
      </c>
      <c r="AP76" s="268"/>
      <c r="AQ76" s="179">
        <f t="shared" si="77"/>
        <v>0</v>
      </c>
      <c r="AR76" s="273"/>
      <c r="AS76" s="209">
        <f t="shared" si="78"/>
        <v>0</v>
      </c>
      <c r="AT76" s="273"/>
      <c r="AU76" s="226">
        <f t="shared" si="79"/>
        <v>0</v>
      </c>
      <c r="AV76" s="273"/>
      <c r="AW76" s="209">
        <f t="shared" si="80"/>
        <v>0</v>
      </c>
      <c r="AX76" s="273"/>
      <c r="AY76" s="209">
        <f t="shared" si="81"/>
        <v>0</v>
      </c>
      <c r="AZ76" s="273"/>
      <c r="BA76" s="179">
        <f t="shared" si="82"/>
        <v>0</v>
      </c>
      <c r="BB76"/>
      <c r="BC76"/>
      <c r="BD76"/>
    </row>
    <row r="77" spans="1:56" s="34" customFormat="1" x14ac:dyDescent="0.25">
      <c r="A77" s="87">
        <v>40726</v>
      </c>
      <c r="B77" s="42">
        <v>19</v>
      </c>
      <c r="C77" s="41" t="str">
        <f t="shared" si="49"/>
        <v>250.00, V58.66, V58.67</v>
      </c>
      <c r="D77" s="41">
        <f t="shared" si="50"/>
        <v>93743801</v>
      </c>
      <c r="E77" s="40" t="str">
        <f t="shared" si="51"/>
        <v>Pharmacy Retail</v>
      </c>
      <c r="F77" s="40" t="str">
        <f t="shared" si="52"/>
        <v>Pharmacy</v>
      </c>
      <c r="G77" s="40" t="str">
        <f t="shared" si="53"/>
        <v>Ramipril 10mg (Rx) [1 QD; #30 pills/month]</v>
      </c>
      <c r="H77" s="40" t="str">
        <f t="shared" si="54"/>
        <v/>
      </c>
      <c r="I77" s="160" t="str">
        <f t="shared" si="55"/>
        <v/>
      </c>
      <c r="J77" s="41">
        <f t="shared" si="56"/>
        <v>1</v>
      </c>
      <c r="K77" s="41" t="str">
        <f t="shared" si="57"/>
        <v/>
      </c>
      <c r="L77" s="41" t="str">
        <f t="shared" si="58"/>
        <v/>
      </c>
      <c r="M77" s="41" t="str">
        <f t="shared" si="59"/>
        <v/>
      </c>
      <c r="N77" s="41" t="str">
        <f t="shared" si="60"/>
        <v/>
      </c>
      <c r="O77" s="41" t="str">
        <f t="shared" si="61"/>
        <v/>
      </c>
      <c r="P77" s="188" t="str">
        <f t="shared" si="62"/>
        <v/>
      </c>
      <c r="Q77" s="221">
        <f t="shared" si="63"/>
        <v>53.81</v>
      </c>
      <c r="R77" s="253">
        <v>43.81</v>
      </c>
      <c r="S77" s="179">
        <f t="shared" si="65"/>
        <v>2115.9802174209999</v>
      </c>
      <c r="T77" s="259"/>
      <c r="U77" s="179">
        <f t="shared" si="66"/>
        <v>45</v>
      </c>
      <c r="V77" s="259"/>
      <c r="W77" s="179">
        <f t="shared" si="67"/>
        <v>0</v>
      </c>
      <c r="X77" s="259">
        <v>0</v>
      </c>
      <c r="Y77" s="179">
        <f t="shared" si="68"/>
        <v>1009.9511518559999</v>
      </c>
      <c r="Z77" s="259">
        <v>10</v>
      </c>
      <c r="AA77" s="179">
        <f t="shared" si="69"/>
        <v>220</v>
      </c>
      <c r="AB77" s="259"/>
      <c r="AC77" s="179">
        <f t="shared" si="70"/>
        <v>0</v>
      </c>
      <c r="AD77" s="189">
        <f t="shared" si="64"/>
        <v>10</v>
      </c>
      <c r="AE77" s="179">
        <f t="shared" si="71"/>
        <v>1229.951151856</v>
      </c>
      <c r="AF77" s="264"/>
      <c r="AG77" s="179">
        <f t="shared" si="72"/>
        <v>909.95115185600002</v>
      </c>
      <c r="AH77" s="268"/>
      <c r="AI77" s="179">
        <f t="shared" si="73"/>
        <v>0</v>
      </c>
      <c r="AJ77" s="268">
        <v>0</v>
      </c>
      <c r="AK77" s="179">
        <f t="shared" si="74"/>
        <v>100</v>
      </c>
      <c r="AL77" s="268"/>
      <c r="AM77" s="179">
        <f t="shared" si="75"/>
        <v>0</v>
      </c>
      <c r="AN77" s="268"/>
      <c r="AO77" s="179">
        <f t="shared" si="76"/>
        <v>0</v>
      </c>
      <c r="AP77" s="268"/>
      <c r="AQ77" s="179">
        <f t="shared" si="77"/>
        <v>0</v>
      </c>
      <c r="AR77" s="273"/>
      <c r="AS77" s="209">
        <f t="shared" si="78"/>
        <v>0</v>
      </c>
      <c r="AT77" s="273"/>
      <c r="AU77" s="226">
        <f t="shared" si="79"/>
        <v>0</v>
      </c>
      <c r="AV77" s="273"/>
      <c r="AW77" s="209">
        <f t="shared" si="80"/>
        <v>0</v>
      </c>
      <c r="AX77" s="273"/>
      <c r="AY77" s="209">
        <f t="shared" si="81"/>
        <v>0</v>
      </c>
      <c r="AZ77" s="273"/>
      <c r="BA77" s="179">
        <f t="shared" si="82"/>
        <v>0</v>
      </c>
      <c r="BB77"/>
      <c r="BC77"/>
      <c r="BD77"/>
    </row>
    <row r="78" spans="1:56" s="34" customFormat="1" x14ac:dyDescent="0.25">
      <c r="A78" s="87">
        <v>40742</v>
      </c>
      <c r="B78" s="42">
        <v>17</v>
      </c>
      <c r="C78" s="41" t="str">
        <f t="shared" si="49"/>
        <v>250.00, V58.66, V58.67</v>
      </c>
      <c r="D78" s="41">
        <f t="shared" si="50"/>
        <v>88222033</v>
      </c>
      <c r="E78" s="40" t="str">
        <f t="shared" si="51"/>
        <v>Pharmacy Retail</v>
      </c>
      <c r="F78" s="40" t="str">
        <f t="shared" si="52"/>
        <v>Pharmacy</v>
      </c>
      <c r="G78" s="40" t="str">
        <f t="shared" si="53"/>
        <v>Insulin glargine 100 unit/ml injectable solution (Rx - 10ml vial)  [20 units QD; expires 28 days after first use]</v>
      </c>
      <c r="H78" s="40" t="str">
        <f t="shared" si="54"/>
        <v/>
      </c>
      <c r="I78" s="160" t="str">
        <f t="shared" si="55"/>
        <v/>
      </c>
      <c r="J78" s="41">
        <f t="shared" si="56"/>
        <v>1</v>
      </c>
      <c r="K78" s="41" t="str">
        <f t="shared" si="57"/>
        <v/>
      </c>
      <c r="L78" s="41" t="str">
        <f t="shared" si="58"/>
        <v/>
      </c>
      <c r="M78" s="41" t="str">
        <f t="shared" si="59"/>
        <v/>
      </c>
      <c r="N78" s="41" t="str">
        <f t="shared" si="60"/>
        <v/>
      </c>
      <c r="O78" s="41" t="str">
        <f t="shared" si="61"/>
        <v/>
      </c>
      <c r="P78" s="188" t="str">
        <f t="shared" si="62"/>
        <v/>
      </c>
      <c r="Q78" s="221">
        <f t="shared" si="63"/>
        <v>119.2</v>
      </c>
      <c r="R78" s="253">
        <v>109.2</v>
      </c>
      <c r="S78" s="179">
        <f t="shared" si="65"/>
        <v>2225.1802174209997</v>
      </c>
      <c r="T78" s="259"/>
      <c r="U78" s="179">
        <f t="shared" si="66"/>
        <v>45</v>
      </c>
      <c r="V78" s="259"/>
      <c r="W78" s="179">
        <f t="shared" si="67"/>
        <v>0</v>
      </c>
      <c r="X78" s="259">
        <v>0</v>
      </c>
      <c r="Y78" s="179">
        <f t="shared" si="68"/>
        <v>1009.9511518559999</v>
      </c>
      <c r="Z78" s="259">
        <v>10</v>
      </c>
      <c r="AA78" s="179">
        <f t="shared" si="69"/>
        <v>230</v>
      </c>
      <c r="AB78" s="259"/>
      <c r="AC78" s="179">
        <f t="shared" si="70"/>
        <v>0</v>
      </c>
      <c r="AD78" s="189">
        <f t="shared" si="64"/>
        <v>10</v>
      </c>
      <c r="AE78" s="179">
        <f t="shared" si="71"/>
        <v>1239.951151856</v>
      </c>
      <c r="AF78" s="264"/>
      <c r="AG78" s="179">
        <f t="shared" si="72"/>
        <v>909.95115185600002</v>
      </c>
      <c r="AH78" s="268"/>
      <c r="AI78" s="179">
        <f t="shared" si="73"/>
        <v>0</v>
      </c>
      <c r="AJ78" s="268">
        <v>0</v>
      </c>
      <c r="AK78" s="179">
        <f t="shared" si="74"/>
        <v>100</v>
      </c>
      <c r="AL78" s="268"/>
      <c r="AM78" s="179">
        <f t="shared" si="75"/>
        <v>0</v>
      </c>
      <c r="AN78" s="268"/>
      <c r="AO78" s="179">
        <f t="shared" si="76"/>
        <v>0</v>
      </c>
      <c r="AP78" s="268"/>
      <c r="AQ78" s="179">
        <f t="shared" si="77"/>
        <v>0</v>
      </c>
      <c r="AR78" s="273"/>
      <c r="AS78" s="209">
        <f t="shared" si="78"/>
        <v>0</v>
      </c>
      <c r="AT78" s="273"/>
      <c r="AU78" s="226">
        <f t="shared" si="79"/>
        <v>0</v>
      </c>
      <c r="AV78" s="273"/>
      <c r="AW78" s="209">
        <f t="shared" si="80"/>
        <v>0</v>
      </c>
      <c r="AX78" s="273"/>
      <c r="AY78" s="209">
        <f t="shared" si="81"/>
        <v>0</v>
      </c>
      <c r="AZ78" s="273"/>
      <c r="BA78" s="179">
        <f t="shared" si="82"/>
        <v>0</v>
      </c>
      <c r="BB78"/>
      <c r="BC78"/>
      <c r="BD78"/>
    </row>
    <row r="79" spans="1:56" s="34" customFormat="1" x14ac:dyDescent="0.25">
      <c r="A79" s="87">
        <v>40746</v>
      </c>
      <c r="B79" s="42">
        <v>4</v>
      </c>
      <c r="C79" s="41" t="str">
        <f t="shared" si="49"/>
        <v>250.00, V58.66, V58.67</v>
      </c>
      <c r="D79" s="41">
        <f t="shared" si="50"/>
        <v>53885024510</v>
      </c>
      <c r="E79" s="40" t="str">
        <f t="shared" si="51"/>
        <v>Pharmacy Retail</v>
      </c>
      <c r="F79" s="40" t="str">
        <f t="shared" si="52"/>
        <v>Medical equipment and supplies</v>
      </c>
      <c r="G79" s="40" t="str">
        <f t="shared" si="53"/>
        <v xml:space="preserve">OneTouch Ultra Blue Test Strips (Rx - box of 100) [usage = 2 strips/day; 60 per month] </v>
      </c>
      <c r="H79" s="40" t="str">
        <f t="shared" si="54"/>
        <v/>
      </c>
      <c r="I79" s="160">
        <f t="shared" si="55"/>
        <v>1</v>
      </c>
      <c r="J79" s="41" t="str">
        <f t="shared" si="56"/>
        <v/>
      </c>
      <c r="K79" s="41" t="str">
        <f t="shared" si="57"/>
        <v/>
      </c>
      <c r="L79" s="41" t="str">
        <f t="shared" si="58"/>
        <v/>
      </c>
      <c r="M79" s="41" t="str">
        <f t="shared" si="59"/>
        <v/>
      </c>
      <c r="N79" s="41" t="str">
        <f t="shared" si="60"/>
        <v/>
      </c>
      <c r="O79" s="41" t="str">
        <f t="shared" si="61"/>
        <v/>
      </c>
      <c r="P79" s="188" t="str">
        <f t="shared" si="62"/>
        <v/>
      </c>
      <c r="Q79" s="221">
        <f t="shared" si="63"/>
        <v>123.6</v>
      </c>
      <c r="R79" s="253">
        <v>123.6</v>
      </c>
      <c r="S79" s="179">
        <f t="shared" si="65"/>
        <v>2348.7802174209996</v>
      </c>
      <c r="T79" s="259"/>
      <c r="U79" s="179">
        <f t="shared" si="66"/>
        <v>45</v>
      </c>
      <c r="V79" s="259"/>
      <c r="W79" s="179">
        <f t="shared" si="67"/>
        <v>0</v>
      </c>
      <c r="X79" s="259"/>
      <c r="Y79" s="179">
        <f t="shared" si="68"/>
        <v>1009.9511518559999</v>
      </c>
      <c r="Z79" s="259"/>
      <c r="AA79" s="179">
        <f t="shared" si="69"/>
        <v>230</v>
      </c>
      <c r="AB79" s="259"/>
      <c r="AC79" s="179">
        <f t="shared" si="70"/>
        <v>0</v>
      </c>
      <c r="AD79" s="189">
        <f t="shared" si="64"/>
        <v>0</v>
      </c>
      <c r="AE79" s="179">
        <f t="shared" si="71"/>
        <v>1239.951151856</v>
      </c>
      <c r="AF79" s="264"/>
      <c r="AG79" s="179">
        <f t="shared" si="72"/>
        <v>909.95115185600002</v>
      </c>
      <c r="AH79" s="268"/>
      <c r="AI79" s="179">
        <f t="shared" si="73"/>
        <v>0</v>
      </c>
      <c r="AJ79" s="268"/>
      <c r="AK79" s="179">
        <f t="shared" si="74"/>
        <v>100</v>
      </c>
      <c r="AL79" s="268"/>
      <c r="AM79" s="179">
        <f t="shared" si="75"/>
        <v>0</v>
      </c>
      <c r="AN79" s="268"/>
      <c r="AO79" s="179">
        <f t="shared" si="76"/>
        <v>0</v>
      </c>
      <c r="AP79" s="268"/>
      <c r="AQ79" s="179">
        <f t="shared" si="77"/>
        <v>0</v>
      </c>
      <c r="AR79" s="273"/>
      <c r="AS79" s="209">
        <f t="shared" si="78"/>
        <v>0</v>
      </c>
      <c r="AT79" s="273"/>
      <c r="AU79" s="226">
        <f t="shared" si="79"/>
        <v>0</v>
      </c>
      <c r="AV79" s="273"/>
      <c r="AW79" s="209">
        <f t="shared" si="80"/>
        <v>0</v>
      </c>
      <c r="AX79" s="273"/>
      <c r="AY79" s="209">
        <f t="shared" si="81"/>
        <v>0</v>
      </c>
      <c r="AZ79" s="273"/>
      <c r="BA79" s="179">
        <f t="shared" si="82"/>
        <v>0</v>
      </c>
      <c r="BB79"/>
      <c r="BC79"/>
      <c r="BD79"/>
    </row>
    <row r="80" spans="1:56" s="34" customFormat="1" x14ac:dyDescent="0.25">
      <c r="A80" s="87">
        <v>40756</v>
      </c>
      <c r="B80" s="42">
        <v>25</v>
      </c>
      <c r="C80" s="41" t="str">
        <f t="shared" si="49"/>
        <v>250.00, V58.66, V58.67</v>
      </c>
      <c r="D80" s="41" t="str">
        <f t="shared" si="50"/>
        <v>OTC</v>
      </c>
      <c r="E80" s="40" t="str">
        <f t="shared" si="51"/>
        <v>Pharmacy Retail</v>
      </c>
      <c r="F80" s="40" t="str">
        <f t="shared" si="52"/>
        <v>Medical equipment and supplies</v>
      </c>
      <c r="G80" s="40" t="str">
        <f t="shared" si="53"/>
        <v>Alcohol swabs (OTC - box of 100)  [usage = 3 wipes/day; 90 wipes/month]</v>
      </c>
      <c r="H80" s="40" t="str">
        <f t="shared" si="54"/>
        <v/>
      </c>
      <c r="I80" s="160">
        <f t="shared" si="55"/>
        <v>1</v>
      </c>
      <c r="J80" s="41" t="str">
        <f t="shared" si="56"/>
        <v/>
      </c>
      <c r="K80" s="41" t="str">
        <f t="shared" si="57"/>
        <v/>
      </c>
      <c r="L80" s="41" t="str">
        <f t="shared" si="58"/>
        <v/>
      </c>
      <c r="M80" s="41" t="str">
        <f t="shared" si="59"/>
        <v/>
      </c>
      <c r="N80" s="41" t="str">
        <f t="shared" si="60"/>
        <v/>
      </c>
      <c r="O80" s="41" t="str">
        <f t="shared" si="61"/>
        <v/>
      </c>
      <c r="P80" s="188" t="str">
        <f t="shared" si="62"/>
        <v/>
      </c>
      <c r="Q80" s="221">
        <f t="shared" si="63"/>
        <v>3</v>
      </c>
      <c r="R80" s="253"/>
      <c r="S80" s="179">
        <f t="shared" si="65"/>
        <v>2348.7802174209996</v>
      </c>
      <c r="T80" s="259">
        <v>3</v>
      </c>
      <c r="U80" s="179">
        <f t="shared" si="66"/>
        <v>48</v>
      </c>
      <c r="V80" s="259"/>
      <c r="W80" s="179">
        <f t="shared" si="67"/>
        <v>0</v>
      </c>
      <c r="X80" s="259"/>
      <c r="Y80" s="179">
        <f t="shared" si="68"/>
        <v>1009.9511518559999</v>
      </c>
      <c r="Z80" s="259"/>
      <c r="AA80" s="179">
        <f t="shared" si="69"/>
        <v>230</v>
      </c>
      <c r="AB80" s="259"/>
      <c r="AC80" s="179">
        <f t="shared" si="70"/>
        <v>0</v>
      </c>
      <c r="AD80" s="189">
        <f t="shared" si="64"/>
        <v>0</v>
      </c>
      <c r="AE80" s="179">
        <f t="shared" si="71"/>
        <v>1239.951151856</v>
      </c>
      <c r="AF80" s="264"/>
      <c r="AG80" s="179">
        <f t="shared" si="72"/>
        <v>909.95115185600002</v>
      </c>
      <c r="AH80" s="268"/>
      <c r="AI80" s="179">
        <f t="shared" si="73"/>
        <v>0</v>
      </c>
      <c r="AJ80" s="268"/>
      <c r="AK80" s="179">
        <f t="shared" si="74"/>
        <v>100</v>
      </c>
      <c r="AL80" s="268"/>
      <c r="AM80" s="179">
        <f t="shared" si="75"/>
        <v>0</v>
      </c>
      <c r="AN80" s="268"/>
      <c r="AO80" s="179">
        <f t="shared" si="76"/>
        <v>0</v>
      </c>
      <c r="AP80" s="268"/>
      <c r="AQ80" s="179">
        <f t="shared" si="77"/>
        <v>0</v>
      </c>
      <c r="AR80" s="273"/>
      <c r="AS80" s="209">
        <f t="shared" si="78"/>
        <v>0</v>
      </c>
      <c r="AT80" s="273"/>
      <c r="AU80" s="226">
        <f t="shared" si="79"/>
        <v>0</v>
      </c>
      <c r="AV80" s="273"/>
      <c r="AW80" s="209">
        <f t="shared" si="80"/>
        <v>0</v>
      </c>
      <c r="AX80" s="273"/>
      <c r="AY80" s="209">
        <f t="shared" si="81"/>
        <v>0</v>
      </c>
      <c r="AZ80" s="273"/>
      <c r="BA80" s="179">
        <f t="shared" si="82"/>
        <v>0</v>
      </c>
      <c r="BB80"/>
      <c r="BC80"/>
      <c r="BD80"/>
    </row>
    <row r="81" spans="1:56" s="34" customFormat="1" x14ac:dyDescent="0.25">
      <c r="A81" s="87">
        <v>40756</v>
      </c>
      <c r="B81" s="42">
        <v>14</v>
      </c>
      <c r="C81" s="41" t="str">
        <f t="shared" si="49"/>
        <v>250.00, V58.66, V58.67</v>
      </c>
      <c r="D81" s="41">
        <f t="shared" si="50"/>
        <v>8290328279</v>
      </c>
      <c r="E81" s="40" t="str">
        <f t="shared" si="51"/>
        <v>Pharmacy Retail</v>
      </c>
      <c r="F81" s="40" t="str">
        <f t="shared" si="52"/>
        <v>Medical equipment and supplies</v>
      </c>
      <c r="G81" s="40" t="str">
        <f t="shared" si="53"/>
        <v>BD Ultrafine Insulin Syringes / 30G/ 0.5cc  [usage = 30 syringes per month]</v>
      </c>
      <c r="H81" s="40" t="str">
        <f t="shared" si="54"/>
        <v/>
      </c>
      <c r="I81" s="160">
        <f t="shared" si="55"/>
        <v>1</v>
      </c>
      <c r="J81" s="41" t="str">
        <f t="shared" si="56"/>
        <v/>
      </c>
      <c r="K81" s="41" t="str">
        <f t="shared" si="57"/>
        <v/>
      </c>
      <c r="L81" s="41" t="str">
        <f t="shared" si="58"/>
        <v/>
      </c>
      <c r="M81" s="41" t="str">
        <f t="shared" si="59"/>
        <v/>
      </c>
      <c r="N81" s="41" t="str">
        <f t="shared" si="60"/>
        <v/>
      </c>
      <c r="O81" s="41" t="str">
        <f t="shared" si="61"/>
        <v/>
      </c>
      <c r="P81" s="188" t="str">
        <f t="shared" si="62"/>
        <v/>
      </c>
      <c r="Q81" s="221">
        <f t="shared" si="63"/>
        <v>8.4</v>
      </c>
      <c r="R81" s="253">
        <v>8.4</v>
      </c>
      <c r="S81" s="179">
        <f t="shared" si="65"/>
        <v>2357.1802174209997</v>
      </c>
      <c r="T81" s="259"/>
      <c r="U81" s="179">
        <f t="shared" si="66"/>
        <v>48</v>
      </c>
      <c r="V81" s="259"/>
      <c r="W81" s="179">
        <f t="shared" si="67"/>
        <v>0</v>
      </c>
      <c r="X81" s="259"/>
      <c r="Y81" s="179">
        <f t="shared" si="68"/>
        <v>1009.9511518559999</v>
      </c>
      <c r="Z81" s="259"/>
      <c r="AA81" s="179">
        <f t="shared" si="69"/>
        <v>230</v>
      </c>
      <c r="AB81" s="259"/>
      <c r="AC81" s="179">
        <f t="shared" si="70"/>
        <v>0</v>
      </c>
      <c r="AD81" s="189">
        <f t="shared" si="64"/>
        <v>0</v>
      </c>
      <c r="AE81" s="179">
        <f t="shared" si="71"/>
        <v>1239.951151856</v>
      </c>
      <c r="AF81" s="264"/>
      <c r="AG81" s="179">
        <f t="shared" si="72"/>
        <v>909.95115185600002</v>
      </c>
      <c r="AH81" s="268"/>
      <c r="AI81" s="179">
        <f t="shared" si="73"/>
        <v>0</v>
      </c>
      <c r="AJ81" s="268"/>
      <c r="AK81" s="179">
        <f t="shared" si="74"/>
        <v>100</v>
      </c>
      <c r="AL81" s="268"/>
      <c r="AM81" s="179">
        <f t="shared" si="75"/>
        <v>0</v>
      </c>
      <c r="AN81" s="268"/>
      <c r="AO81" s="179">
        <f t="shared" si="76"/>
        <v>0</v>
      </c>
      <c r="AP81" s="268"/>
      <c r="AQ81" s="179">
        <f t="shared" si="77"/>
        <v>0</v>
      </c>
      <c r="AR81" s="273"/>
      <c r="AS81" s="209">
        <f t="shared" si="78"/>
        <v>0</v>
      </c>
      <c r="AT81" s="273"/>
      <c r="AU81" s="226">
        <f t="shared" si="79"/>
        <v>0</v>
      </c>
      <c r="AV81" s="273"/>
      <c r="AW81" s="209">
        <f t="shared" si="80"/>
        <v>0</v>
      </c>
      <c r="AX81" s="273"/>
      <c r="AY81" s="209">
        <f t="shared" si="81"/>
        <v>0</v>
      </c>
      <c r="AZ81" s="273"/>
      <c r="BA81" s="179">
        <f t="shared" si="82"/>
        <v>0</v>
      </c>
      <c r="BB81"/>
      <c r="BC81"/>
      <c r="BD81"/>
    </row>
    <row r="82" spans="1:56" s="34" customFormat="1" x14ac:dyDescent="0.25">
      <c r="A82" s="87">
        <v>40756</v>
      </c>
      <c r="B82" s="42">
        <v>18</v>
      </c>
      <c r="C82" s="41" t="str">
        <f t="shared" si="49"/>
        <v>250.00, V58.66, V58.67</v>
      </c>
      <c r="D82" s="41">
        <f t="shared" si="50"/>
        <v>93104801</v>
      </c>
      <c r="E82" s="40" t="str">
        <f t="shared" si="51"/>
        <v>Pharmacy Retail</v>
      </c>
      <c r="F82" s="40" t="str">
        <f t="shared" si="52"/>
        <v>Pharmacy</v>
      </c>
      <c r="G82" s="40" t="str">
        <f t="shared" si="53"/>
        <v>Metformin hydrochloride 500mg (Rx) [1 BID; #60 pills/month]</v>
      </c>
      <c r="H82" s="40" t="str">
        <f t="shared" si="54"/>
        <v/>
      </c>
      <c r="I82" s="160" t="str">
        <f t="shared" si="55"/>
        <v/>
      </c>
      <c r="J82" s="41">
        <f t="shared" si="56"/>
        <v>1</v>
      </c>
      <c r="K82" s="41" t="str">
        <f t="shared" si="57"/>
        <v/>
      </c>
      <c r="L82" s="41" t="str">
        <f t="shared" si="58"/>
        <v/>
      </c>
      <c r="M82" s="41" t="str">
        <f t="shared" si="59"/>
        <v/>
      </c>
      <c r="N82" s="41" t="str">
        <f t="shared" si="60"/>
        <v/>
      </c>
      <c r="O82" s="41" t="str">
        <f t="shared" si="61"/>
        <v/>
      </c>
      <c r="P82" s="188" t="str">
        <f t="shared" si="62"/>
        <v/>
      </c>
      <c r="Q82" s="221">
        <f t="shared" si="63"/>
        <v>34.369999999999997</v>
      </c>
      <c r="R82" s="253">
        <v>24.369999999999997</v>
      </c>
      <c r="S82" s="179">
        <f t="shared" si="65"/>
        <v>2381.5502174209996</v>
      </c>
      <c r="T82" s="259"/>
      <c r="U82" s="179">
        <f t="shared" si="66"/>
        <v>48</v>
      </c>
      <c r="V82" s="259"/>
      <c r="W82" s="179">
        <f t="shared" si="67"/>
        <v>0</v>
      </c>
      <c r="X82" s="259">
        <v>0</v>
      </c>
      <c r="Y82" s="179">
        <f t="shared" si="68"/>
        <v>1009.9511518559999</v>
      </c>
      <c r="Z82" s="259">
        <v>10</v>
      </c>
      <c r="AA82" s="179">
        <f t="shared" si="69"/>
        <v>240</v>
      </c>
      <c r="AB82" s="259"/>
      <c r="AC82" s="179">
        <f t="shared" si="70"/>
        <v>0</v>
      </c>
      <c r="AD82" s="189">
        <f t="shared" si="64"/>
        <v>10</v>
      </c>
      <c r="AE82" s="179">
        <f t="shared" si="71"/>
        <v>1249.951151856</v>
      </c>
      <c r="AF82" s="264"/>
      <c r="AG82" s="179">
        <f t="shared" si="72"/>
        <v>909.95115185600002</v>
      </c>
      <c r="AH82" s="268"/>
      <c r="AI82" s="179">
        <f t="shared" si="73"/>
        <v>0</v>
      </c>
      <c r="AJ82" s="268">
        <v>0</v>
      </c>
      <c r="AK82" s="179">
        <f t="shared" si="74"/>
        <v>100</v>
      </c>
      <c r="AL82" s="268"/>
      <c r="AM82" s="179">
        <f t="shared" si="75"/>
        <v>0</v>
      </c>
      <c r="AN82" s="268"/>
      <c r="AO82" s="179">
        <f t="shared" si="76"/>
        <v>0</v>
      </c>
      <c r="AP82" s="268"/>
      <c r="AQ82" s="179">
        <f t="shared" si="77"/>
        <v>0</v>
      </c>
      <c r="AR82" s="273"/>
      <c r="AS82" s="209">
        <f t="shared" si="78"/>
        <v>0</v>
      </c>
      <c r="AT82" s="273"/>
      <c r="AU82" s="226">
        <f t="shared" si="79"/>
        <v>0</v>
      </c>
      <c r="AV82" s="273"/>
      <c r="AW82" s="209">
        <f t="shared" si="80"/>
        <v>0</v>
      </c>
      <c r="AX82" s="273"/>
      <c r="AY82" s="209">
        <f t="shared" si="81"/>
        <v>0</v>
      </c>
      <c r="AZ82" s="273"/>
      <c r="BA82" s="179">
        <f t="shared" si="82"/>
        <v>0</v>
      </c>
      <c r="BB82"/>
      <c r="BC82"/>
      <c r="BD82"/>
    </row>
    <row r="83" spans="1:56" s="34" customFormat="1" x14ac:dyDescent="0.25">
      <c r="A83" s="87">
        <v>40756</v>
      </c>
      <c r="B83" s="42">
        <v>19</v>
      </c>
      <c r="C83" s="41" t="str">
        <f t="shared" si="49"/>
        <v>250.00, V58.66, V58.67</v>
      </c>
      <c r="D83" s="41">
        <f t="shared" si="50"/>
        <v>93743801</v>
      </c>
      <c r="E83" s="40" t="str">
        <f t="shared" si="51"/>
        <v>Pharmacy Retail</v>
      </c>
      <c r="F83" s="40" t="str">
        <f t="shared" si="52"/>
        <v>Pharmacy</v>
      </c>
      <c r="G83" s="40" t="str">
        <f t="shared" si="53"/>
        <v>Ramipril 10mg (Rx) [1 QD; #30 pills/month]</v>
      </c>
      <c r="H83" s="40" t="str">
        <f t="shared" si="54"/>
        <v/>
      </c>
      <c r="I83" s="160" t="str">
        <f t="shared" si="55"/>
        <v/>
      </c>
      <c r="J83" s="41">
        <f t="shared" si="56"/>
        <v>1</v>
      </c>
      <c r="K83" s="41" t="str">
        <f t="shared" si="57"/>
        <v/>
      </c>
      <c r="L83" s="41" t="str">
        <f t="shared" si="58"/>
        <v/>
      </c>
      <c r="M83" s="41" t="str">
        <f t="shared" si="59"/>
        <v/>
      </c>
      <c r="N83" s="41" t="str">
        <f t="shared" si="60"/>
        <v/>
      </c>
      <c r="O83" s="41" t="str">
        <f t="shared" si="61"/>
        <v/>
      </c>
      <c r="P83" s="188" t="str">
        <f t="shared" si="62"/>
        <v/>
      </c>
      <c r="Q83" s="221">
        <f t="shared" si="63"/>
        <v>53.81</v>
      </c>
      <c r="R83" s="253">
        <v>43.81</v>
      </c>
      <c r="S83" s="179">
        <f t="shared" si="65"/>
        <v>2425.3602174209996</v>
      </c>
      <c r="T83" s="259"/>
      <c r="U83" s="179">
        <f t="shared" si="66"/>
        <v>48</v>
      </c>
      <c r="V83" s="259"/>
      <c r="W83" s="179">
        <f t="shared" si="67"/>
        <v>0</v>
      </c>
      <c r="X83" s="259">
        <v>0</v>
      </c>
      <c r="Y83" s="179">
        <f t="shared" si="68"/>
        <v>1009.9511518559999</v>
      </c>
      <c r="Z83" s="259">
        <v>10</v>
      </c>
      <c r="AA83" s="179">
        <f t="shared" si="69"/>
        <v>250</v>
      </c>
      <c r="AB83" s="259"/>
      <c r="AC83" s="179">
        <f t="shared" si="70"/>
        <v>0</v>
      </c>
      <c r="AD83" s="189">
        <f t="shared" si="64"/>
        <v>10</v>
      </c>
      <c r="AE83" s="179">
        <f t="shared" si="71"/>
        <v>1259.951151856</v>
      </c>
      <c r="AF83" s="264"/>
      <c r="AG83" s="179">
        <f t="shared" si="72"/>
        <v>909.95115185600002</v>
      </c>
      <c r="AH83" s="268"/>
      <c r="AI83" s="179">
        <f t="shared" si="73"/>
        <v>0</v>
      </c>
      <c r="AJ83" s="268">
        <v>0</v>
      </c>
      <c r="AK83" s="179">
        <f t="shared" si="74"/>
        <v>100</v>
      </c>
      <c r="AL83" s="268"/>
      <c r="AM83" s="179">
        <f t="shared" si="75"/>
        <v>0</v>
      </c>
      <c r="AN83" s="268"/>
      <c r="AO83" s="179">
        <f t="shared" si="76"/>
        <v>0</v>
      </c>
      <c r="AP83" s="268"/>
      <c r="AQ83" s="179">
        <f t="shared" si="77"/>
        <v>0</v>
      </c>
      <c r="AR83" s="273"/>
      <c r="AS83" s="209">
        <f t="shared" si="78"/>
        <v>0</v>
      </c>
      <c r="AT83" s="273"/>
      <c r="AU83" s="226">
        <f t="shared" si="79"/>
        <v>0</v>
      </c>
      <c r="AV83" s="273"/>
      <c r="AW83" s="209">
        <f t="shared" si="80"/>
        <v>0</v>
      </c>
      <c r="AX83" s="273"/>
      <c r="AY83" s="209">
        <f t="shared" si="81"/>
        <v>0</v>
      </c>
      <c r="AZ83" s="273"/>
      <c r="BA83" s="179">
        <f t="shared" si="82"/>
        <v>0</v>
      </c>
      <c r="BB83"/>
      <c r="BC83"/>
      <c r="BD83"/>
    </row>
    <row r="84" spans="1:56" s="34" customFormat="1" x14ac:dyDescent="0.25">
      <c r="A84" s="87">
        <v>40770</v>
      </c>
      <c r="B84" s="42">
        <v>17</v>
      </c>
      <c r="C84" s="41" t="str">
        <f t="shared" si="49"/>
        <v>250.00, V58.66, V58.67</v>
      </c>
      <c r="D84" s="41">
        <f t="shared" si="50"/>
        <v>88222033</v>
      </c>
      <c r="E84" s="40" t="str">
        <f t="shared" si="51"/>
        <v>Pharmacy Retail</v>
      </c>
      <c r="F84" s="40" t="str">
        <f t="shared" si="52"/>
        <v>Pharmacy</v>
      </c>
      <c r="G84" s="40" t="str">
        <f t="shared" si="53"/>
        <v>Insulin glargine 100 unit/ml injectable solution (Rx - 10ml vial)  [20 units QD; expires 28 days after first use]</v>
      </c>
      <c r="H84" s="40" t="str">
        <f t="shared" si="54"/>
        <v/>
      </c>
      <c r="I84" s="160" t="str">
        <f t="shared" si="55"/>
        <v/>
      </c>
      <c r="J84" s="41">
        <f t="shared" si="56"/>
        <v>1</v>
      </c>
      <c r="K84" s="41" t="str">
        <f t="shared" si="57"/>
        <v/>
      </c>
      <c r="L84" s="41" t="str">
        <f t="shared" si="58"/>
        <v/>
      </c>
      <c r="M84" s="41" t="str">
        <f t="shared" si="59"/>
        <v/>
      </c>
      <c r="N84" s="41" t="str">
        <f t="shared" si="60"/>
        <v/>
      </c>
      <c r="O84" s="41" t="str">
        <f t="shared" si="61"/>
        <v/>
      </c>
      <c r="P84" s="188" t="str">
        <f t="shared" si="62"/>
        <v/>
      </c>
      <c r="Q84" s="221">
        <f t="shared" si="63"/>
        <v>119.2</v>
      </c>
      <c r="R84" s="253">
        <v>109.2</v>
      </c>
      <c r="S84" s="179">
        <f t="shared" si="65"/>
        <v>2534.5602174209994</v>
      </c>
      <c r="T84" s="259"/>
      <c r="U84" s="179">
        <f t="shared" si="66"/>
        <v>48</v>
      </c>
      <c r="V84" s="259"/>
      <c r="W84" s="179">
        <f t="shared" si="67"/>
        <v>0</v>
      </c>
      <c r="X84" s="259">
        <v>0</v>
      </c>
      <c r="Y84" s="179">
        <f t="shared" si="68"/>
        <v>1009.9511518559999</v>
      </c>
      <c r="Z84" s="259">
        <v>10</v>
      </c>
      <c r="AA84" s="179">
        <f t="shared" si="69"/>
        <v>260</v>
      </c>
      <c r="AB84" s="259"/>
      <c r="AC84" s="179">
        <f t="shared" si="70"/>
        <v>0</v>
      </c>
      <c r="AD84" s="189">
        <f t="shared" si="64"/>
        <v>10</v>
      </c>
      <c r="AE84" s="179">
        <f t="shared" si="71"/>
        <v>1269.951151856</v>
      </c>
      <c r="AF84" s="264"/>
      <c r="AG84" s="179">
        <f t="shared" si="72"/>
        <v>909.95115185600002</v>
      </c>
      <c r="AH84" s="268"/>
      <c r="AI84" s="179">
        <f t="shared" si="73"/>
        <v>0</v>
      </c>
      <c r="AJ84" s="268">
        <v>0</v>
      </c>
      <c r="AK84" s="179">
        <f t="shared" si="74"/>
        <v>100</v>
      </c>
      <c r="AL84" s="268"/>
      <c r="AM84" s="179">
        <f t="shared" si="75"/>
        <v>0</v>
      </c>
      <c r="AN84" s="268"/>
      <c r="AO84" s="179">
        <f t="shared" si="76"/>
        <v>0</v>
      </c>
      <c r="AP84" s="268"/>
      <c r="AQ84" s="179">
        <f t="shared" si="77"/>
        <v>0</v>
      </c>
      <c r="AR84" s="273"/>
      <c r="AS84" s="209">
        <f t="shared" si="78"/>
        <v>0</v>
      </c>
      <c r="AT84" s="273"/>
      <c r="AU84" s="226">
        <f t="shared" si="79"/>
        <v>0</v>
      </c>
      <c r="AV84" s="273"/>
      <c r="AW84" s="209">
        <f t="shared" si="80"/>
        <v>0</v>
      </c>
      <c r="AX84" s="273"/>
      <c r="AY84" s="209">
        <f t="shared" si="81"/>
        <v>0</v>
      </c>
      <c r="AZ84" s="273"/>
      <c r="BA84" s="179">
        <f t="shared" si="82"/>
        <v>0</v>
      </c>
      <c r="BB84"/>
      <c r="BC84"/>
      <c r="BD84"/>
    </row>
    <row r="85" spans="1:56" s="34" customFormat="1" x14ac:dyDescent="0.25">
      <c r="A85" s="87">
        <f>A66+50</f>
        <v>40771</v>
      </c>
      <c r="B85" s="42">
        <v>4</v>
      </c>
      <c r="C85" s="41" t="str">
        <f t="shared" si="49"/>
        <v>250.00, V58.66, V58.67</v>
      </c>
      <c r="D85" s="41">
        <f t="shared" si="50"/>
        <v>53885024510</v>
      </c>
      <c r="E85" s="40" t="str">
        <f t="shared" si="51"/>
        <v>Pharmacy Retail</v>
      </c>
      <c r="F85" s="40" t="str">
        <f t="shared" si="52"/>
        <v>Medical equipment and supplies</v>
      </c>
      <c r="G85" s="40" t="str">
        <f t="shared" si="53"/>
        <v xml:space="preserve">OneTouch Ultra Blue Test Strips (Rx - box of 100) [usage = 2 strips/day; 60 per month] </v>
      </c>
      <c r="H85" s="40" t="str">
        <f t="shared" si="54"/>
        <v/>
      </c>
      <c r="I85" s="160">
        <f t="shared" si="55"/>
        <v>1</v>
      </c>
      <c r="J85" s="41" t="str">
        <f t="shared" si="56"/>
        <v/>
      </c>
      <c r="K85" s="41" t="str">
        <f t="shared" si="57"/>
        <v/>
      </c>
      <c r="L85" s="41" t="str">
        <f t="shared" si="58"/>
        <v/>
      </c>
      <c r="M85" s="41" t="str">
        <f t="shared" si="59"/>
        <v/>
      </c>
      <c r="N85" s="41" t="str">
        <f t="shared" si="60"/>
        <v/>
      </c>
      <c r="O85" s="41" t="str">
        <f t="shared" si="61"/>
        <v/>
      </c>
      <c r="P85" s="188" t="str">
        <f t="shared" si="62"/>
        <v/>
      </c>
      <c r="Q85" s="221">
        <f t="shared" si="63"/>
        <v>123.6</v>
      </c>
      <c r="R85" s="253">
        <v>123.6</v>
      </c>
      <c r="S85" s="179">
        <f t="shared" si="65"/>
        <v>2658.1602174209993</v>
      </c>
      <c r="T85" s="259"/>
      <c r="U85" s="179">
        <f t="shared" si="66"/>
        <v>48</v>
      </c>
      <c r="V85" s="259"/>
      <c r="W85" s="179">
        <f t="shared" si="67"/>
        <v>0</v>
      </c>
      <c r="X85" s="259"/>
      <c r="Y85" s="179">
        <f t="shared" si="68"/>
        <v>1009.9511518559999</v>
      </c>
      <c r="Z85" s="259"/>
      <c r="AA85" s="179">
        <f t="shared" si="69"/>
        <v>260</v>
      </c>
      <c r="AB85" s="259"/>
      <c r="AC85" s="179">
        <f t="shared" si="70"/>
        <v>0</v>
      </c>
      <c r="AD85" s="189">
        <f t="shared" si="64"/>
        <v>0</v>
      </c>
      <c r="AE85" s="179">
        <f t="shared" si="71"/>
        <v>1269.951151856</v>
      </c>
      <c r="AF85" s="264"/>
      <c r="AG85" s="179">
        <f t="shared" si="72"/>
        <v>909.95115185600002</v>
      </c>
      <c r="AH85" s="268"/>
      <c r="AI85" s="179">
        <f t="shared" si="73"/>
        <v>0</v>
      </c>
      <c r="AJ85" s="268"/>
      <c r="AK85" s="179">
        <f t="shared" si="74"/>
        <v>100</v>
      </c>
      <c r="AL85" s="268"/>
      <c r="AM85" s="179">
        <f t="shared" si="75"/>
        <v>0</v>
      </c>
      <c r="AN85" s="268"/>
      <c r="AO85" s="179">
        <f t="shared" si="76"/>
        <v>0</v>
      </c>
      <c r="AP85" s="268"/>
      <c r="AQ85" s="179">
        <f t="shared" si="77"/>
        <v>0</v>
      </c>
      <c r="AR85" s="273"/>
      <c r="AS85" s="209">
        <f t="shared" si="78"/>
        <v>0</v>
      </c>
      <c r="AT85" s="273"/>
      <c r="AU85" s="226">
        <f t="shared" si="79"/>
        <v>0</v>
      </c>
      <c r="AV85" s="273"/>
      <c r="AW85" s="209">
        <f t="shared" si="80"/>
        <v>0</v>
      </c>
      <c r="AX85" s="273"/>
      <c r="AY85" s="209">
        <f t="shared" si="81"/>
        <v>0</v>
      </c>
      <c r="AZ85" s="273"/>
      <c r="BA85" s="179">
        <f t="shared" si="82"/>
        <v>0</v>
      </c>
      <c r="BB85"/>
      <c r="BC85"/>
      <c r="BD85"/>
    </row>
    <row r="86" spans="1:56" s="34" customFormat="1" x14ac:dyDescent="0.25">
      <c r="A86" s="87">
        <v>40786</v>
      </c>
      <c r="B86" s="42">
        <v>25</v>
      </c>
      <c r="C86" s="41" t="str">
        <f t="shared" si="49"/>
        <v>250.00, V58.66, V58.67</v>
      </c>
      <c r="D86" s="41" t="str">
        <f t="shared" si="50"/>
        <v>OTC</v>
      </c>
      <c r="E86" s="40" t="str">
        <f t="shared" si="51"/>
        <v>Pharmacy Retail</v>
      </c>
      <c r="F86" s="40" t="str">
        <f t="shared" si="52"/>
        <v>Medical equipment and supplies</v>
      </c>
      <c r="G86" s="40" t="str">
        <f t="shared" si="53"/>
        <v>Alcohol swabs (OTC - box of 100)  [usage = 3 wipes/day; 90 wipes/month]</v>
      </c>
      <c r="H86" s="40" t="str">
        <f t="shared" si="54"/>
        <v/>
      </c>
      <c r="I86" s="160">
        <f t="shared" si="55"/>
        <v>1</v>
      </c>
      <c r="J86" s="41" t="str">
        <f t="shared" si="56"/>
        <v/>
      </c>
      <c r="K86" s="41" t="str">
        <f t="shared" si="57"/>
        <v/>
      </c>
      <c r="L86" s="41" t="str">
        <f t="shared" si="58"/>
        <v/>
      </c>
      <c r="M86" s="41" t="str">
        <f t="shared" si="59"/>
        <v/>
      </c>
      <c r="N86" s="41" t="str">
        <f t="shared" si="60"/>
        <v/>
      </c>
      <c r="O86" s="41" t="str">
        <f t="shared" si="61"/>
        <v/>
      </c>
      <c r="P86" s="188" t="str">
        <f t="shared" si="62"/>
        <v/>
      </c>
      <c r="Q86" s="221">
        <f t="shared" si="63"/>
        <v>3</v>
      </c>
      <c r="R86" s="253"/>
      <c r="S86" s="179">
        <f t="shared" si="65"/>
        <v>2658.1602174209993</v>
      </c>
      <c r="T86" s="259">
        <v>3</v>
      </c>
      <c r="U86" s="179">
        <f t="shared" si="66"/>
        <v>51</v>
      </c>
      <c r="V86" s="259"/>
      <c r="W86" s="179">
        <f t="shared" si="67"/>
        <v>0</v>
      </c>
      <c r="X86" s="259"/>
      <c r="Y86" s="179">
        <f t="shared" si="68"/>
        <v>1009.9511518559999</v>
      </c>
      <c r="Z86" s="259"/>
      <c r="AA86" s="179">
        <f t="shared" si="69"/>
        <v>260</v>
      </c>
      <c r="AB86" s="259"/>
      <c r="AC86" s="179">
        <f t="shared" si="70"/>
        <v>0</v>
      </c>
      <c r="AD86" s="189">
        <f t="shared" si="64"/>
        <v>0</v>
      </c>
      <c r="AE86" s="179">
        <f t="shared" si="71"/>
        <v>1269.951151856</v>
      </c>
      <c r="AF86" s="264"/>
      <c r="AG86" s="179">
        <f t="shared" si="72"/>
        <v>909.95115185600002</v>
      </c>
      <c r="AH86" s="268"/>
      <c r="AI86" s="179">
        <f t="shared" si="73"/>
        <v>0</v>
      </c>
      <c r="AJ86" s="268"/>
      <c r="AK86" s="179">
        <f t="shared" si="74"/>
        <v>100</v>
      </c>
      <c r="AL86" s="268"/>
      <c r="AM86" s="179">
        <f t="shared" si="75"/>
        <v>0</v>
      </c>
      <c r="AN86" s="268"/>
      <c r="AO86" s="179">
        <f t="shared" si="76"/>
        <v>0</v>
      </c>
      <c r="AP86" s="268"/>
      <c r="AQ86" s="179">
        <f t="shared" si="77"/>
        <v>0</v>
      </c>
      <c r="AR86" s="273"/>
      <c r="AS86" s="209">
        <f t="shared" si="78"/>
        <v>0</v>
      </c>
      <c r="AT86" s="273"/>
      <c r="AU86" s="226">
        <f t="shared" si="79"/>
        <v>0</v>
      </c>
      <c r="AV86" s="273"/>
      <c r="AW86" s="209">
        <f t="shared" si="80"/>
        <v>0</v>
      </c>
      <c r="AX86" s="273"/>
      <c r="AY86" s="209">
        <f t="shared" si="81"/>
        <v>0</v>
      </c>
      <c r="AZ86" s="273"/>
      <c r="BA86" s="179">
        <f t="shared" si="82"/>
        <v>0</v>
      </c>
      <c r="BB86"/>
      <c r="BC86"/>
      <c r="BD86"/>
    </row>
    <row r="87" spans="1:56" s="34" customFormat="1" x14ac:dyDescent="0.25">
      <c r="A87" s="87">
        <v>40786</v>
      </c>
      <c r="B87" s="42">
        <v>14</v>
      </c>
      <c r="C87" s="41" t="str">
        <f t="shared" si="49"/>
        <v>250.00, V58.66, V58.67</v>
      </c>
      <c r="D87" s="41">
        <f t="shared" si="50"/>
        <v>8290328279</v>
      </c>
      <c r="E87" s="40" t="str">
        <f t="shared" si="51"/>
        <v>Pharmacy Retail</v>
      </c>
      <c r="F87" s="40" t="str">
        <f t="shared" si="52"/>
        <v>Medical equipment and supplies</v>
      </c>
      <c r="G87" s="40" t="str">
        <f t="shared" si="53"/>
        <v>BD Ultrafine Insulin Syringes / 30G/ 0.5cc  [usage = 30 syringes per month]</v>
      </c>
      <c r="H87" s="40" t="str">
        <f t="shared" si="54"/>
        <v/>
      </c>
      <c r="I87" s="160">
        <f t="shared" si="55"/>
        <v>1</v>
      </c>
      <c r="J87" s="41" t="str">
        <f t="shared" si="56"/>
        <v/>
      </c>
      <c r="K87" s="41" t="str">
        <f t="shared" si="57"/>
        <v/>
      </c>
      <c r="L87" s="41" t="str">
        <f t="shared" si="58"/>
        <v/>
      </c>
      <c r="M87" s="41" t="str">
        <f t="shared" si="59"/>
        <v/>
      </c>
      <c r="N87" s="41" t="str">
        <f t="shared" si="60"/>
        <v/>
      </c>
      <c r="O87" s="41" t="str">
        <f t="shared" si="61"/>
        <v/>
      </c>
      <c r="P87" s="188" t="str">
        <f t="shared" si="62"/>
        <v/>
      </c>
      <c r="Q87" s="221">
        <f t="shared" si="63"/>
        <v>8.4</v>
      </c>
      <c r="R87" s="253">
        <v>8.4</v>
      </c>
      <c r="S87" s="179">
        <f t="shared" si="65"/>
        <v>2666.5602174209994</v>
      </c>
      <c r="T87" s="259"/>
      <c r="U87" s="179">
        <f t="shared" si="66"/>
        <v>51</v>
      </c>
      <c r="V87" s="259"/>
      <c r="W87" s="179">
        <f t="shared" si="67"/>
        <v>0</v>
      </c>
      <c r="X87" s="259"/>
      <c r="Y87" s="179">
        <f t="shared" si="68"/>
        <v>1009.9511518559999</v>
      </c>
      <c r="Z87" s="259"/>
      <c r="AA87" s="179">
        <f t="shared" si="69"/>
        <v>260</v>
      </c>
      <c r="AB87" s="259"/>
      <c r="AC87" s="179">
        <f t="shared" si="70"/>
        <v>0</v>
      </c>
      <c r="AD87" s="189">
        <f t="shared" si="64"/>
        <v>0</v>
      </c>
      <c r="AE87" s="179">
        <f t="shared" si="71"/>
        <v>1269.951151856</v>
      </c>
      <c r="AF87" s="264"/>
      <c r="AG87" s="179">
        <f t="shared" si="72"/>
        <v>909.95115185600002</v>
      </c>
      <c r="AH87" s="268"/>
      <c r="AI87" s="179">
        <f t="shared" si="73"/>
        <v>0</v>
      </c>
      <c r="AJ87" s="268"/>
      <c r="AK87" s="179">
        <f t="shared" si="74"/>
        <v>100</v>
      </c>
      <c r="AL87" s="268"/>
      <c r="AM87" s="179">
        <f t="shared" si="75"/>
        <v>0</v>
      </c>
      <c r="AN87" s="268"/>
      <c r="AO87" s="179">
        <f t="shared" si="76"/>
        <v>0</v>
      </c>
      <c r="AP87" s="268"/>
      <c r="AQ87" s="179">
        <f t="shared" si="77"/>
        <v>0</v>
      </c>
      <c r="AR87" s="273"/>
      <c r="AS87" s="209">
        <f t="shared" si="78"/>
        <v>0</v>
      </c>
      <c r="AT87" s="273"/>
      <c r="AU87" s="226">
        <f t="shared" si="79"/>
        <v>0</v>
      </c>
      <c r="AV87" s="273"/>
      <c r="AW87" s="209">
        <f t="shared" si="80"/>
        <v>0</v>
      </c>
      <c r="AX87" s="273"/>
      <c r="AY87" s="209">
        <f t="shared" si="81"/>
        <v>0</v>
      </c>
      <c r="AZ87" s="273"/>
      <c r="BA87" s="179">
        <f t="shared" si="82"/>
        <v>0</v>
      </c>
      <c r="BB87"/>
      <c r="BC87"/>
      <c r="BD87"/>
    </row>
    <row r="88" spans="1:56" s="34" customFormat="1" x14ac:dyDescent="0.25">
      <c r="A88" s="87">
        <v>40786</v>
      </c>
      <c r="B88" s="42">
        <v>18</v>
      </c>
      <c r="C88" s="41" t="str">
        <f t="shared" si="49"/>
        <v>250.00, V58.66, V58.67</v>
      </c>
      <c r="D88" s="41">
        <f t="shared" si="50"/>
        <v>93104801</v>
      </c>
      <c r="E88" s="40" t="str">
        <f t="shared" si="51"/>
        <v>Pharmacy Retail</v>
      </c>
      <c r="F88" s="40" t="str">
        <f t="shared" si="52"/>
        <v>Pharmacy</v>
      </c>
      <c r="G88" s="40" t="str">
        <f t="shared" si="53"/>
        <v>Metformin hydrochloride 500mg (Rx) [1 BID; #60 pills/month]</v>
      </c>
      <c r="H88" s="40" t="str">
        <f t="shared" si="54"/>
        <v/>
      </c>
      <c r="I88" s="160" t="str">
        <f t="shared" si="55"/>
        <v/>
      </c>
      <c r="J88" s="41">
        <f t="shared" si="56"/>
        <v>1</v>
      </c>
      <c r="K88" s="41" t="str">
        <f t="shared" si="57"/>
        <v/>
      </c>
      <c r="L88" s="41" t="str">
        <f t="shared" si="58"/>
        <v/>
      </c>
      <c r="M88" s="41" t="str">
        <f t="shared" si="59"/>
        <v/>
      </c>
      <c r="N88" s="41" t="str">
        <f t="shared" si="60"/>
        <v/>
      </c>
      <c r="O88" s="41" t="str">
        <f t="shared" si="61"/>
        <v/>
      </c>
      <c r="P88" s="188" t="str">
        <f t="shared" si="62"/>
        <v/>
      </c>
      <c r="Q88" s="221">
        <f t="shared" si="63"/>
        <v>34.369999999999997</v>
      </c>
      <c r="R88" s="253">
        <v>24.369999999999997</v>
      </c>
      <c r="S88" s="179">
        <f t="shared" si="65"/>
        <v>2690.9302174209993</v>
      </c>
      <c r="T88" s="259"/>
      <c r="U88" s="179">
        <f t="shared" si="66"/>
        <v>51</v>
      </c>
      <c r="V88" s="259"/>
      <c r="W88" s="179">
        <f t="shared" si="67"/>
        <v>0</v>
      </c>
      <c r="X88" s="259">
        <v>0</v>
      </c>
      <c r="Y88" s="179">
        <f t="shared" si="68"/>
        <v>1009.9511518559999</v>
      </c>
      <c r="Z88" s="259">
        <v>10</v>
      </c>
      <c r="AA88" s="179">
        <f t="shared" si="69"/>
        <v>270</v>
      </c>
      <c r="AB88" s="259"/>
      <c r="AC88" s="179">
        <f t="shared" si="70"/>
        <v>0</v>
      </c>
      <c r="AD88" s="189">
        <f t="shared" si="64"/>
        <v>10</v>
      </c>
      <c r="AE88" s="179">
        <f t="shared" si="71"/>
        <v>1279.951151856</v>
      </c>
      <c r="AF88" s="264"/>
      <c r="AG88" s="179">
        <f t="shared" si="72"/>
        <v>909.95115185600002</v>
      </c>
      <c r="AH88" s="268"/>
      <c r="AI88" s="179">
        <f t="shared" si="73"/>
        <v>0</v>
      </c>
      <c r="AJ88" s="268">
        <v>0</v>
      </c>
      <c r="AK88" s="179">
        <f t="shared" si="74"/>
        <v>100</v>
      </c>
      <c r="AL88" s="268"/>
      <c r="AM88" s="179">
        <f t="shared" si="75"/>
        <v>0</v>
      </c>
      <c r="AN88" s="268"/>
      <c r="AO88" s="179">
        <f t="shared" si="76"/>
        <v>0</v>
      </c>
      <c r="AP88" s="268"/>
      <c r="AQ88" s="179">
        <f t="shared" si="77"/>
        <v>0</v>
      </c>
      <c r="AR88" s="273"/>
      <c r="AS88" s="209">
        <f t="shared" si="78"/>
        <v>0</v>
      </c>
      <c r="AT88" s="273"/>
      <c r="AU88" s="226">
        <f t="shared" si="79"/>
        <v>0</v>
      </c>
      <c r="AV88" s="273"/>
      <c r="AW88" s="209">
        <f t="shared" si="80"/>
        <v>0</v>
      </c>
      <c r="AX88" s="273"/>
      <c r="AY88" s="209">
        <f t="shared" si="81"/>
        <v>0</v>
      </c>
      <c r="AZ88" s="273"/>
      <c r="BA88" s="179">
        <f t="shared" si="82"/>
        <v>0</v>
      </c>
      <c r="BB88"/>
      <c r="BC88"/>
      <c r="BD88"/>
    </row>
    <row r="89" spans="1:56" s="34" customFormat="1" x14ac:dyDescent="0.25">
      <c r="A89" s="87">
        <v>40786</v>
      </c>
      <c r="B89" s="42">
        <v>19</v>
      </c>
      <c r="C89" s="41" t="str">
        <f t="shared" si="49"/>
        <v>250.00, V58.66, V58.67</v>
      </c>
      <c r="D89" s="41">
        <f t="shared" si="50"/>
        <v>93743801</v>
      </c>
      <c r="E89" s="40" t="str">
        <f t="shared" si="51"/>
        <v>Pharmacy Retail</v>
      </c>
      <c r="F89" s="40" t="str">
        <f t="shared" si="52"/>
        <v>Pharmacy</v>
      </c>
      <c r="G89" s="40" t="str">
        <f t="shared" si="53"/>
        <v>Ramipril 10mg (Rx) [1 QD; #30 pills/month]</v>
      </c>
      <c r="H89" s="40" t="str">
        <f t="shared" si="54"/>
        <v/>
      </c>
      <c r="I89" s="160" t="str">
        <f t="shared" si="55"/>
        <v/>
      </c>
      <c r="J89" s="41">
        <f t="shared" si="56"/>
        <v>1</v>
      </c>
      <c r="K89" s="41" t="str">
        <f t="shared" si="57"/>
        <v/>
      </c>
      <c r="L89" s="41" t="str">
        <f t="shared" si="58"/>
        <v/>
      </c>
      <c r="M89" s="41" t="str">
        <f t="shared" si="59"/>
        <v/>
      </c>
      <c r="N89" s="41" t="str">
        <f t="shared" si="60"/>
        <v/>
      </c>
      <c r="O89" s="41" t="str">
        <f t="shared" si="61"/>
        <v/>
      </c>
      <c r="P89" s="188" t="str">
        <f t="shared" si="62"/>
        <v/>
      </c>
      <c r="Q89" s="221">
        <f t="shared" si="63"/>
        <v>53.81</v>
      </c>
      <c r="R89" s="253">
        <v>43.81</v>
      </c>
      <c r="S89" s="179">
        <f t="shared" si="65"/>
        <v>2734.7402174209992</v>
      </c>
      <c r="T89" s="259"/>
      <c r="U89" s="179">
        <f t="shared" si="66"/>
        <v>51</v>
      </c>
      <c r="V89" s="259"/>
      <c r="W89" s="179">
        <f t="shared" si="67"/>
        <v>0</v>
      </c>
      <c r="X89" s="259">
        <v>0</v>
      </c>
      <c r="Y89" s="179">
        <f t="shared" si="68"/>
        <v>1009.9511518559999</v>
      </c>
      <c r="Z89" s="259">
        <v>10</v>
      </c>
      <c r="AA89" s="179">
        <f t="shared" si="69"/>
        <v>280</v>
      </c>
      <c r="AB89" s="259"/>
      <c r="AC89" s="179">
        <f t="shared" si="70"/>
        <v>0</v>
      </c>
      <c r="AD89" s="189">
        <f t="shared" si="64"/>
        <v>10</v>
      </c>
      <c r="AE89" s="179">
        <f t="shared" si="71"/>
        <v>1289.951151856</v>
      </c>
      <c r="AF89" s="264"/>
      <c r="AG89" s="179">
        <f t="shared" si="72"/>
        <v>909.95115185600002</v>
      </c>
      <c r="AH89" s="268"/>
      <c r="AI89" s="179">
        <f t="shared" si="73"/>
        <v>0</v>
      </c>
      <c r="AJ89" s="268">
        <v>0</v>
      </c>
      <c r="AK89" s="179">
        <f t="shared" si="74"/>
        <v>100</v>
      </c>
      <c r="AL89" s="268"/>
      <c r="AM89" s="179">
        <f t="shared" si="75"/>
        <v>0</v>
      </c>
      <c r="AN89" s="268"/>
      <c r="AO89" s="179">
        <f t="shared" si="76"/>
        <v>0</v>
      </c>
      <c r="AP89" s="268"/>
      <c r="AQ89" s="179">
        <f t="shared" si="77"/>
        <v>0</v>
      </c>
      <c r="AR89" s="273"/>
      <c r="AS89" s="209">
        <f t="shared" si="78"/>
        <v>0</v>
      </c>
      <c r="AT89" s="273"/>
      <c r="AU89" s="226">
        <f t="shared" si="79"/>
        <v>0</v>
      </c>
      <c r="AV89" s="273"/>
      <c r="AW89" s="209">
        <f t="shared" si="80"/>
        <v>0</v>
      </c>
      <c r="AX89" s="273"/>
      <c r="AY89" s="209">
        <f t="shared" si="81"/>
        <v>0</v>
      </c>
      <c r="AZ89" s="273"/>
      <c r="BA89" s="179">
        <f t="shared" si="82"/>
        <v>0</v>
      </c>
      <c r="BB89"/>
      <c r="BC89"/>
      <c r="BD89"/>
    </row>
    <row r="90" spans="1:56" s="34" customFormat="1" x14ac:dyDescent="0.25">
      <c r="A90" s="87">
        <v>40796</v>
      </c>
      <c r="B90" s="42">
        <v>5</v>
      </c>
      <c r="C90" s="41" t="str">
        <f t="shared" si="49"/>
        <v>250.00, V58.66, V58.67</v>
      </c>
      <c r="D90" s="41">
        <f t="shared" si="50"/>
        <v>53885039310</v>
      </c>
      <c r="E90" s="40" t="str">
        <f t="shared" si="51"/>
        <v>Pharmacy Retail</v>
      </c>
      <c r="F90" s="40" t="str">
        <f t="shared" si="52"/>
        <v>Medical equipment and supplies</v>
      </c>
      <c r="G90" s="40" t="str">
        <f t="shared" si="53"/>
        <v>OneTouch Delica Lancets (100 per box)  [usage = 60 lancets per month]</v>
      </c>
      <c r="H90" s="40" t="str">
        <f t="shared" si="54"/>
        <v/>
      </c>
      <c r="I90" s="160">
        <f t="shared" si="55"/>
        <v>1</v>
      </c>
      <c r="J90" s="41" t="str">
        <f t="shared" si="56"/>
        <v/>
      </c>
      <c r="K90" s="41" t="str">
        <f t="shared" si="57"/>
        <v/>
      </c>
      <c r="L90" s="41" t="str">
        <f t="shared" si="58"/>
        <v/>
      </c>
      <c r="M90" s="41" t="str">
        <f t="shared" si="59"/>
        <v/>
      </c>
      <c r="N90" s="41" t="str">
        <f t="shared" si="60"/>
        <v/>
      </c>
      <c r="O90" s="41" t="str">
        <f t="shared" si="61"/>
        <v/>
      </c>
      <c r="P90" s="188" t="str">
        <f t="shared" si="62"/>
        <v/>
      </c>
      <c r="Q90" s="221">
        <f t="shared" si="63"/>
        <v>9</v>
      </c>
      <c r="R90" s="253">
        <v>9</v>
      </c>
      <c r="S90" s="179">
        <f t="shared" si="65"/>
        <v>2743.7402174209992</v>
      </c>
      <c r="T90" s="259"/>
      <c r="U90" s="179">
        <f t="shared" si="66"/>
        <v>51</v>
      </c>
      <c r="V90" s="259"/>
      <c r="W90" s="179">
        <f t="shared" si="67"/>
        <v>0</v>
      </c>
      <c r="X90" s="259"/>
      <c r="Y90" s="179">
        <f t="shared" si="68"/>
        <v>1009.9511518559999</v>
      </c>
      <c r="Z90" s="259"/>
      <c r="AA90" s="179">
        <f t="shared" si="69"/>
        <v>280</v>
      </c>
      <c r="AB90" s="259"/>
      <c r="AC90" s="179">
        <f t="shared" si="70"/>
        <v>0</v>
      </c>
      <c r="AD90" s="189">
        <f t="shared" si="64"/>
        <v>0</v>
      </c>
      <c r="AE90" s="179">
        <f t="shared" si="71"/>
        <v>1289.951151856</v>
      </c>
      <c r="AF90" s="264"/>
      <c r="AG90" s="179">
        <f t="shared" si="72"/>
        <v>909.95115185600002</v>
      </c>
      <c r="AH90" s="268"/>
      <c r="AI90" s="179">
        <f t="shared" si="73"/>
        <v>0</v>
      </c>
      <c r="AJ90" s="268"/>
      <c r="AK90" s="179">
        <f t="shared" si="74"/>
        <v>100</v>
      </c>
      <c r="AL90" s="268"/>
      <c r="AM90" s="179">
        <f t="shared" si="75"/>
        <v>0</v>
      </c>
      <c r="AN90" s="268"/>
      <c r="AO90" s="179">
        <f t="shared" si="76"/>
        <v>0</v>
      </c>
      <c r="AP90" s="268"/>
      <c r="AQ90" s="179">
        <f t="shared" si="77"/>
        <v>0</v>
      </c>
      <c r="AR90" s="273"/>
      <c r="AS90" s="209">
        <f t="shared" si="78"/>
        <v>0</v>
      </c>
      <c r="AT90" s="273"/>
      <c r="AU90" s="226">
        <f t="shared" si="79"/>
        <v>0</v>
      </c>
      <c r="AV90" s="273"/>
      <c r="AW90" s="209">
        <f t="shared" si="80"/>
        <v>0</v>
      </c>
      <c r="AX90" s="273"/>
      <c r="AY90" s="209">
        <f t="shared" si="81"/>
        <v>0</v>
      </c>
      <c r="AZ90" s="273"/>
      <c r="BA90" s="179">
        <f t="shared" si="82"/>
        <v>0</v>
      </c>
      <c r="BB90"/>
      <c r="BC90"/>
      <c r="BD90"/>
    </row>
    <row r="91" spans="1:56" s="34" customFormat="1" x14ac:dyDescent="0.25">
      <c r="A91" s="87">
        <v>40796</v>
      </c>
      <c r="B91" s="42">
        <v>4</v>
      </c>
      <c r="C91" s="41" t="str">
        <f t="shared" si="49"/>
        <v>250.00, V58.66, V58.67</v>
      </c>
      <c r="D91" s="41">
        <f t="shared" si="50"/>
        <v>53885024510</v>
      </c>
      <c r="E91" s="40" t="str">
        <f t="shared" si="51"/>
        <v>Pharmacy Retail</v>
      </c>
      <c r="F91" s="40" t="str">
        <f t="shared" si="52"/>
        <v>Medical equipment and supplies</v>
      </c>
      <c r="G91" s="40" t="str">
        <f t="shared" si="53"/>
        <v xml:space="preserve">OneTouch Ultra Blue Test Strips (Rx - box of 100) [usage = 2 strips/day; 60 per month] </v>
      </c>
      <c r="H91" s="40" t="str">
        <f t="shared" si="54"/>
        <v/>
      </c>
      <c r="I91" s="160">
        <f t="shared" si="55"/>
        <v>1</v>
      </c>
      <c r="J91" s="41" t="str">
        <f t="shared" si="56"/>
        <v/>
      </c>
      <c r="K91" s="41" t="str">
        <f t="shared" si="57"/>
        <v/>
      </c>
      <c r="L91" s="41" t="str">
        <f t="shared" si="58"/>
        <v/>
      </c>
      <c r="M91" s="41" t="str">
        <f t="shared" si="59"/>
        <v/>
      </c>
      <c r="N91" s="41" t="str">
        <f t="shared" si="60"/>
        <v/>
      </c>
      <c r="O91" s="41" t="str">
        <f t="shared" si="61"/>
        <v/>
      </c>
      <c r="P91" s="188" t="str">
        <f t="shared" si="62"/>
        <v/>
      </c>
      <c r="Q91" s="221">
        <f t="shared" si="63"/>
        <v>123.6</v>
      </c>
      <c r="R91" s="253">
        <v>123.6</v>
      </c>
      <c r="S91" s="179">
        <f t="shared" si="65"/>
        <v>2867.3402174209991</v>
      </c>
      <c r="T91" s="259"/>
      <c r="U91" s="179">
        <f t="shared" si="66"/>
        <v>51</v>
      </c>
      <c r="V91" s="259"/>
      <c r="W91" s="179">
        <f t="shared" si="67"/>
        <v>0</v>
      </c>
      <c r="X91" s="259"/>
      <c r="Y91" s="179">
        <f t="shared" si="68"/>
        <v>1009.9511518559999</v>
      </c>
      <c r="Z91" s="259"/>
      <c r="AA91" s="179">
        <f t="shared" si="69"/>
        <v>280</v>
      </c>
      <c r="AB91" s="259"/>
      <c r="AC91" s="179">
        <f t="shared" si="70"/>
        <v>0</v>
      </c>
      <c r="AD91" s="189">
        <f t="shared" si="64"/>
        <v>0</v>
      </c>
      <c r="AE91" s="179">
        <f t="shared" si="71"/>
        <v>1289.951151856</v>
      </c>
      <c r="AF91" s="264"/>
      <c r="AG91" s="179">
        <f t="shared" si="72"/>
        <v>909.95115185600002</v>
      </c>
      <c r="AH91" s="268"/>
      <c r="AI91" s="179">
        <f t="shared" si="73"/>
        <v>0</v>
      </c>
      <c r="AJ91" s="268"/>
      <c r="AK91" s="179">
        <f t="shared" si="74"/>
        <v>100</v>
      </c>
      <c r="AL91" s="268"/>
      <c r="AM91" s="179">
        <f t="shared" si="75"/>
        <v>0</v>
      </c>
      <c r="AN91" s="268"/>
      <c r="AO91" s="179">
        <f t="shared" si="76"/>
        <v>0</v>
      </c>
      <c r="AP91" s="268"/>
      <c r="AQ91" s="179">
        <f t="shared" si="77"/>
        <v>0</v>
      </c>
      <c r="AR91" s="273"/>
      <c r="AS91" s="209">
        <f t="shared" si="78"/>
        <v>0</v>
      </c>
      <c r="AT91" s="273"/>
      <c r="AU91" s="226">
        <f t="shared" si="79"/>
        <v>0</v>
      </c>
      <c r="AV91" s="273"/>
      <c r="AW91" s="209">
        <f t="shared" si="80"/>
        <v>0</v>
      </c>
      <c r="AX91" s="273"/>
      <c r="AY91" s="209">
        <f t="shared" si="81"/>
        <v>0</v>
      </c>
      <c r="AZ91" s="273"/>
      <c r="BA91" s="179">
        <f t="shared" si="82"/>
        <v>0</v>
      </c>
      <c r="BB91"/>
      <c r="BC91"/>
      <c r="BD91"/>
    </row>
    <row r="92" spans="1:56" s="34" customFormat="1" x14ac:dyDescent="0.25">
      <c r="A92" s="87">
        <v>40798</v>
      </c>
      <c r="B92" s="42">
        <v>26</v>
      </c>
      <c r="C92" s="41" t="str">
        <f t="shared" si="49"/>
        <v>250.00, V58.66, V58.67</v>
      </c>
      <c r="D92" s="41" t="str">
        <f t="shared" si="50"/>
        <v>OTC</v>
      </c>
      <c r="E92" s="40" t="str">
        <f t="shared" si="51"/>
        <v>Pharmacy Retail</v>
      </c>
      <c r="F92" s="40" t="str">
        <f t="shared" si="52"/>
        <v>Pharmacy</v>
      </c>
      <c r="G92" s="40" t="str">
        <f t="shared" si="53"/>
        <v>Aspirin 81mg (OTC - bottle 100) [usage = 1 QD; #30 pills per month]</v>
      </c>
      <c r="H92" s="40" t="str">
        <f t="shared" si="54"/>
        <v/>
      </c>
      <c r="I92" s="160" t="str">
        <f t="shared" si="55"/>
        <v/>
      </c>
      <c r="J92" s="41" t="str">
        <f t="shared" si="56"/>
        <v/>
      </c>
      <c r="K92" s="41" t="str">
        <f t="shared" si="57"/>
        <v/>
      </c>
      <c r="L92" s="41" t="str">
        <f t="shared" si="58"/>
        <v/>
      </c>
      <c r="M92" s="41" t="str">
        <f t="shared" si="59"/>
        <v/>
      </c>
      <c r="N92" s="41" t="str">
        <f t="shared" si="60"/>
        <v/>
      </c>
      <c r="O92" s="41" t="str">
        <f t="shared" si="61"/>
        <v/>
      </c>
      <c r="P92" s="188" t="str">
        <f t="shared" si="62"/>
        <v/>
      </c>
      <c r="Q92" s="221">
        <f t="shared" si="63"/>
        <v>8</v>
      </c>
      <c r="R92" s="253"/>
      <c r="S92" s="179">
        <f t="shared" si="65"/>
        <v>2867.3402174209991</v>
      </c>
      <c r="T92" s="259">
        <v>8</v>
      </c>
      <c r="U92" s="179">
        <f t="shared" si="66"/>
        <v>59</v>
      </c>
      <c r="V92" s="259"/>
      <c r="W92" s="179">
        <f t="shared" si="67"/>
        <v>0</v>
      </c>
      <c r="X92" s="259"/>
      <c r="Y92" s="179">
        <f t="shared" si="68"/>
        <v>1009.9511518559999</v>
      </c>
      <c r="Z92" s="259"/>
      <c r="AA92" s="179">
        <f t="shared" si="69"/>
        <v>280</v>
      </c>
      <c r="AB92" s="259"/>
      <c r="AC92" s="179">
        <f t="shared" si="70"/>
        <v>0</v>
      </c>
      <c r="AD92" s="189">
        <f t="shared" si="64"/>
        <v>0</v>
      </c>
      <c r="AE92" s="179">
        <f t="shared" si="71"/>
        <v>1289.951151856</v>
      </c>
      <c r="AF92" s="264"/>
      <c r="AG92" s="179">
        <f t="shared" si="72"/>
        <v>909.95115185600002</v>
      </c>
      <c r="AH92" s="268"/>
      <c r="AI92" s="179">
        <f t="shared" si="73"/>
        <v>0</v>
      </c>
      <c r="AJ92" s="268"/>
      <c r="AK92" s="179">
        <f t="shared" si="74"/>
        <v>100</v>
      </c>
      <c r="AL92" s="268"/>
      <c r="AM92" s="179">
        <f t="shared" si="75"/>
        <v>0</v>
      </c>
      <c r="AN92" s="268"/>
      <c r="AO92" s="179">
        <f t="shared" si="76"/>
        <v>0</v>
      </c>
      <c r="AP92" s="268"/>
      <c r="AQ92" s="179">
        <f t="shared" si="77"/>
        <v>0</v>
      </c>
      <c r="AR92" s="273"/>
      <c r="AS92" s="209">
        <f t="shared" si="78"/>
        <v>0</v>
      </c>
      <c r="AT92" s="273"/>
      <c r="AU92" s="226">
        <f t="shared" si="79"/>
        <v>0</v>
      </c>
      <c r="AV92" s="273"/>
      <c r="AW92" s="209">
        <f t="shared" si="80"/>
        <v>0</v>
      </c>
      <c r="AX92" s="273"/>
      <c r="AY92" s="209">
        <f t="shared" si="81"/>
        <v>0</v>
      </c>
      <c r="AZ92" s="273"/>
      <c r="BA92" s="179">
        <f t="shared" si="82"/>
        <v>0</v>
      </c>
      <c r="BB92"/>
      <c r="BC92"/>
      <c r="BD92"/>
    </row>
    <row r="93" spans="1:56" s="34" customFormat="1" x14ac:dyDescent="0.25">
      <c r="A93" s="87">
        <v>40798</v>
      </c>
      <c r="B93" s="42">
        <v>17</v>
      </c>
      <c r="C93" s="41" t="str">
        <f t="shared" si="49"/>
        <v>250.00, V58.66, V58.67</v>
      </c>
      <c r="D93" s="41">
        <f t="shared" si="50"/>
        <v>88222033</v>
      </c>
      <c r="E93" s="40" t="str">
        <f t="shared" si="51"/>
        <v>Pharmacy Retail</v>
      </c>
      <c r="F93" s="40" t="str">
        <f t="shared" si="52"/>
        <v>Pharmacy</v>
      </c>
      <c r="G93" s="40" t="str">
        <f t="shared" si="53"/>
        <v>Insulin glargine 100 unit/ml injectable solution (Rx - 10ml vial)  [20 units QD; expires 28 days after first use]</v>
      </c>
      <c r="H93" s="40" t="str">
        <f t="shared" si="54"/>
        <v/>
      </c>
      <c r="I93" s="160" t="str">
        <f t="shared" si="55"/>
        <v/>
      </c>
      <c r="J93" s="41">
        <f t="shared" si="56"/>
        <v>1</v>
      </c>
      <c r="K93" s="41" t="str">
        <f t="shared" si="57"/>
        <v/>
      </c>
      <c r="L93" s="41" t="str">
        <f t="shared" si="58"/>
        <v/>
      </c>
      <c r="M93" s="41" t="str">
        <f t="shared" si="59"/>
        <v/>
      </c>
      <c r="N93" s="41" t="str">
        <f t="shared" si="60"/>
        <v/>
      </c>
      <c r="O93" s="41" t="str">
        <f t="shared" si="61"/>
        <v/>
      </c>
      <c r="P93" s="188" t="str">
        <f t="shared" si="62"/>
        <v/>
      </c>
      <c r="Q93" s="221">
        <f t="shared" si="63"/>
        <v>119.2</v>
      </c>
      <c r="R93" s="253">
        <v>109.2</v>
      </c>
      <c r="S93" s="179">
        <f t="shared" si="65"/>
        <v>2976.5402174209989</v>
      </c>
      <c r="T93" s="259"/>
      <c r="U93" s="179">
        <f t="shared" si="66"/>
        <v>59</v>
      </c>
      <c r="V93" s="259"/>
      <c r="W93" s="179">
        <f t="shared" si="67"/>
        <v>0</v>
      </c>
      <c r="X93" s="259">
        <v>0</v>
      </c>
      <c r="Y93" s="179">
        <f t="shared" si="68"/>
        <v>1009.9511518559999</v>
      </c>
      <c r="Z93" s="259">
        <v>10</v>
      </c>
      <c r="AA93" s="179">
        <f t="shared" si="69"/>
        <v>290</v>
      </c>
      <c r="AB93" s="259"/>
      <c r="AC93" s="179">
        <f t="shared" si="70"/>
        <v>0</v>
      </c>
      <c r="AD93" s="189">
        <f t="shared" si="64"/>
        <v>10</v>
      </c>
      <c r="AE93" s="179">
        <f t="shared" si="71"/>
        <v>1299.951151856</v>
      </c>
      <c r="AF93" s="264"/>
      <c r="AG93" s="179">
        <f t="shared" si="72"/>
        <v>909.95115185600002</v>
      </c>
      <c r="AH93" s="268"/>
      <c r="AI93" s="179">
        <f t="shared" si="73"/>
        <v>0</v>
      </c>
      <c r="AJ93" s="268">
        <v>0</v>
      </c>
      <c r="AK93" s="179">
        <f t="shared" si="74"/>
        <v>100</v>
      </c>
      <c r="AL93" s="268"/>
      <c r="AM93" s="179">
        <f t="shared" si="75"/>
        <v>0</v>
      </c>
      <c r="AN93" s="268"/>
      <c r="AO93" s="179">
        <f t="shared" si="76"/>
        <v>0</v>
      </c>
      <c r="AP93" s="268"/>
      <c r="AQ93" s="179">
        <f t="shared" si="77"/>
        <v>0</v>
      </c>
      <c r="AR93" s="273"/>
      <c r="AS93" s="209">
        <f t="shared" si="78"/>
        <v>0</v>
      </c>
      <c r="AT93" s="273"/>
      <c r="AU93" s="226">
        <f t="shared" si="79"/>
        <v>0</v>
      </c>
      <c r="AV93" s="273"/>
      <c r="AW93" s="209">
        <f t="shared" si="80"/>
        <v>0</v>
      </c>
      <c r="AX93" s="273"/>
      <c r="AY93" s="209">
        <f t="shared" si="81"/>
        <v>0</v>
      </c>
      <c r="AZ93" s="273"/>
      <c r="BA93" s="179">
        <f t="shared" si="82"/>
        <v>0</v>
      </c>
      <c r="BB93"/>
      <c r="BC93"/>
      <c r="BD93"/>
    </row>
    <row r="94" spans="1:56" s="34" customFormat="1" x14ac:dyDescent="0.25">
      <c r="A94" s="87">
        <v>40812</v>
      </c>
      <c r="B94" s="42">
        <v>24</v>
      </c>
      <c r="C94" s="41" t="str">
        <f t="shared" si="49"/>
        <v>250.00, V58.66, V58.67</v>
      </c>
      <c r="D94" s="41">
        <f t="shared" si="50"/>
        <v>99214</v>
      </c>
      <c r="E94" s="40" t="str">
        <f t="shared" si="51"/>
        <v>Primary</v>
      </c>
      <c r="F94" s="40" t="str">
        <f t="shared" si="52"/>
        <v>Office visits &amp; procedures</v>
      </c>
      <c r="G94" s="40" t="str">
        <f t="shared" si="53"/>
        <v>Office/Outpatient Visit Est</v>
      </c>
      <c r="H94" s="40" t="str">
        <f t="shared" si="54"/>
        <v/>
      </c>
      <c r="I94" s="160" t="str">
        <f t="shared" si="55"/>
        <v/>
      </c>
      <c r="J94" s="41" t="str">
        <f t="shared" si="56"/>
        <v/>
      </c>
      <c r="K94" s="41" t="str">
        <f t="shared" si="57"/>
        <v/>
      </c>
      <c r="L94" s="41" t="str">
        <f t="shared" si="58"/>
        <v/>
      </c>
      <c r="M94" s="41" t="str">
        <f t="shared" si="59"/>
        <v/>
      </c>
      <c r="N94" s="41" t="str">
        <f t="shared" si="60"/>
        <v/>
      </c>
      <c r="O94" s="41" t="str">
        <f t="shared" si="61"/>
        <v/>
      </c>
      <c r="P94" s="188">
        <f t="shared" si="62"/>
        <v>1</v>
      </c>
      <c r="Q94" s="221">
        <f t="shared" si="63"/>
        <v>102.47359376999999</v>
      </c>
      <c r="R94" s="253">
        <v>0</v>
      </c>
      <c r="S94" s="179">
        <f t="shared" si="65"/>
        <v>2976.5402174209989</v>
      </c>
      <c r="T94" s="259"/>
      <c r="U94" s="179">
        <f t="shared" si="66"/>
        <v>59</v>
      </c>
      <c r="V94" s="259"/>
      <c r="W94" s="179">
        <f t="shared" si="67"/>
        <v>0</v>
      </c>
      <c r="X94" s="259">
        <v>90.0488</v>
      </c>
      <c r="Y94" s="179">
        <f t="shared" si="68"/>
        <v>1099.9999518559998</v>
      </c>
      <c r="Z94" s="259">
        <v>12.424793769999994</v>
      </c>
      <c r="AA94" s="179">
        <f t="shared" si="69"/>
        <v>302.42479377000001</v>
      </c>
      <c r="AB94" s="259"/>
      <c r="AC94" s="179">
        <f t="shared" si="70"/>
        <v>0</v>
      </c>
      <c r="AD94" s="189">
        <f t="shared" si="64"/>
        <v>102.47359376999999</v>
      </c>
      <c r="AE94" s="179">
        <f t="shared" si="71"/>
        <v>1402.424745626</v>
      </c>
      <c r="AF94" s="264">
        <v>90.0488</v>
      </c>
      <c r="AG94" s="179">
        <f t="shared" si="72"/>
        <v>999.99995185600005</v>
      </c>
      <c r="AH94" s="268"/>
      <c r="AI94" s="179">
        <f t="shared" si="73"/>
        <v>0</v>
      </c>
      <c r="AJ94" s="268"/>
      <c r="AK94" s="179">
        <f t="shared" si="74"/>
        <v>100</v>
      </c>
      <c r="AL94" s="268"/>
      <c r="AM94" s="179">
        <f t="shared" si="75"/>
        <v>0</v>
      </c>
      <c r="AN94" s="268"/>
      <c r="AO94" s="179">
        <f t="shared" si="76"/>
        <v>0</v>
      </c>
      <c r="AP94" s="268"/>
      <c r="AQ94" s="179">
        <f t="shared" si="77"/>
        <v>0</v>
      </c>
      <c r="AR94" s="273"/>
      <c r="AS94" s="209">
        <f t="shared" si="78"/>
        <v>0</v>
      </c>
      <c r="AT94" s="273"/>
      <c r="AU94" s="226">
        <f t="shared" si="79"/>
        <v>0</v>
      </c>
      <c r="AV94" s="273"/>
      <c r="AW94" s="209">
        <f t="shared" si="80"/>
        <v>0</v>
      </c>
      <c r="AX94" s="273"/>
      <c r="AY94" s="209">
        <f t="shared" si="81"/>
        <v>0</v>
      </c>
      <c r="AZ94" s="273"/>
      <c r="BA94" s="179">
        <f t="shared" si="82"/>
        <v>0</v>
      </c>
      <c r="BB94"/>
      <c r="BC94"/>
      <c r="BD94"/>
    </row>
    <row r="95" spans="1:56" s="34" customFormat="1" x14ac:dyDescent="0.25">
      <c r="A95" s="87">
        <v>40816</v>
      </c>
      <c r="B95" s="42">
        <v>25</v>
      </c>
      <c r="C95" s="41" t="str">
        <f t="shared" si="49"/>
        <v>250.00, V58.66, V58.67</v>
      </c>
      <c r="D95" s="41" t="str">
        <f t="shared" si="50"/>
        <v>OTC</v>
      </c>
      <c r="E95" s="40" t="str">
        <f t="shared" si="51"/>
        <v>Pharmacy Retail</v>
      </c>
      <c r="F95" s="40" t="str">
        <f t="shared" si="52"/>
        <v>Medical equipment and supplies</v>
      </c>
      <c r="G95" s="40" t="str">
        <f t="shared" si="53"/>
        <v>Alcohol swabs (OTC - box of 100)  [usage = 3 wipes/day; 90 wipes/month]</v>
      </c>
      <c r="H95" s="40" t="str">
        <f t="shared" si="54"/>
        <v/>
      </c>
      <c r="I95" s="160">
        <f t="shared" si="55"/>
        <v>1</v>
      </c>
      <c r="J95" s="41" t="str">
        <f t="shared" si="56"/>
        <v/>
      </c>
      <c r="K95" s="41" t="str">
        <f t="shared" si="57"/>
        <v/>
      </c>
      <c r="L95" s="41" t="str">
        <f t="shared" si="58"/>
        <v/>
      </c>
      <c r="M95" s="41" t="str">
        <f t="shared" si="59"/>
        <v/>
      </c>
      <c r="N95" s="41" t="str">
        <f t="shared" si="60"/>
        <v/>
      </c>
      <c r="O95" s="41" t="str">
        <f t="shared" si="61"/>
        <v/>
      </c>
      <c r="P95" s="188" t="str">
        <f t="shared" si="62"/>
        <v/>
      </c>
      <c r="Q95" s="221">
        <f t="shared" si="63"/>
        <v>3</v>
      </c>
      <c r="R95" s="253"/>
      <c r="S95" s="179">
        <f t="shared" si="65"/>
        <v>2976.5402174209989</v>
      </c>
      <c r="T95" s="259">
        <v>3</v>
      </c>
      <c r="U95" s="179">
        <f t="shared" si="66"/>
        <v>62</v>
      </c>
      <c r="V95" s="259"/>
      <c r="W95" s="179">
        <f t="shared" si="67"/>
        <v>0</v>
      </c>
      <c r="X95" s="259"/>
      <c r="Y95" s="179">
        <f t="shared" si="68"/>
        <v>1099.9999518559998</v>
      </c>
      <c r="Z95" s="259"/>
      <c r="AA95" s="179">
        <f t="shared" si="69"/>
        <v>302.42479377000001</v>
      </c>
      <c r="AB95" s="259"/>
      <c r="AC95" s="179">
        <f t="shared" si="70"/>
        <v>0</v>
      </c>
      <c r="AD95" s="189">
        <f t="shared" si="64"/>
        <v>0</v>
      </c>
      <c r="AE95" s="179">
        <f t="shared" si="71"/>
        <v>1402.424745626</v>
      </c>
      <c r="AF95" s="264"/>
      <c r="AG95" s="179">
        <f t="shared" si="72"/>
        <v>999.99995185600005</v>
      </c>
      <c r="AH95" s="268"/>
      <c r="AI95" s="179">
        <f t="shared" si="73"/>
        <v>0</v>
      </c>
      <c r="AJ95" s="268"/>
      <c r="AK95" s="179">
        <f t="shared" si="74"/>
        <v>100</v>
      </c>
      <c r="AL95" s="268"/>
      <c r="AM95" s="179">
        <f t="shared" si="75"/>
        <v>0</v>
      </c>
      <c r="AN95" s="268"/>
      <c r="AO95" s="179">
        <f t="shared" si="76"/>
        <v>0</v>
      </c>
      <c r="AP95" s="268"/>
      <c r="AQ95" s="179">
        <f t="shared" si="77"/>
        <v>0</v>
      </c>
      <c r="AR95" s="273"/>
      <c r="AS95" s="209">
        <f t="shared" si="78"/>
        <v>0</v>
      </c>
      <c r="AT95" s="273"/>
      <c r="AU95" s="226">
        <f t="shared" si="79"/>
        <v>0</v>
      </c>
      <c r="AV95" s="273"/>
      <c r="AW95" s="209">
        <f t="shared" si="80"/>
        <v>0</v>
      </c>
      <c r="AX95" s="273"/>
      <c r="AY95" s="209">
        <f t="shared" si="81"/>
        <v>0</v>
      </c>
      <c r="AZ95" s="273"/>
      <c r="BA95" s="179">
        <f t="shared" si="82"/>
        <v>0</v>
      </c>
      <c r="BB95"/>
      <c r="BC95"/>
      <c r="BD95"/>
    </row>
    <row r="96" spans="1:56" s="34" customFormat="1" x14ac:dyDescent="0.25">
      <c r="A96" s="87">
        <v>40816</v>
      </c>
      <c r="B96" s="42">
        <v>14</v>
      </c>
      <c r="C96" s="41" t="str">
        <f t="shared" si="49"/>
        <v>250.00, V58.66, V58.67</v>
      </c>
      <c r="D96" s="41">
        <f t="shared" si="50"/>
        <v>8290328279</v>
      </c>
      <c r="E96" s="40" t="str">
        <f t="shared" si="51"/>
        <v>Pharmacy Retail</v>
      </c>
      <c r="F96" s="40" t="str">
        <f t="shared" si="52"/>
        <v>Medical equipment and supplies</v>
      </c>
      <c r="G96" s="40" t="str">
        <f t="shared" si="53"/>
        <v>BD Ultrafine Insulin Syringes / 30G/ 0.5cc  [usage = 30 syringes per month]</v>
      </c>
      <c r="H96" s="40" t="str">
        <f t="shared" si="54"/>
        <v/>
      </c>
      <c r="I96" s="160">
        <f t="shared" si="55"/>
        <v>1</v>
      </c>
      <c r="J96" s="41" t="str">
        <f t="shared" si="56"/>
        <v/>
      </c>
      <c r="K96" s="41" t="str">
        <f t="shared" si="57"/>
        <v/>
      </c>
      <c r="L96" s="41" t="str">
        <f t="shared" si="58"/>
        <v/>
      </c>
      <c r="M96" s="41" t="str">
        <f t="shared" si="59"/>
        <v/>
      </c>
      <c r="N96" s="41" t="str">
        <f t="shared" si="60"/>
        <v/>
      </c>
      <c r="O96" s="41" t="str">
        <f t="shared" si="61"/>
        <v/>
      </c>
      <c r="P96" s="188" t="str">
        <f t="shared" si="62"/>
        <v/>
      </c>
      <c r="Q96" s="221">
        <f t="shared" si="63"/>
        <v>8.4</v>
      </c>
      <c r="R96" s="253">
        <v>8.4</v>
      </c>
      <c r="S96" s="179">
        <f t="shared" si="65"/>
        <v>2984.940217420999</v>
      </c>
      <c r="T96" s="259"/>
      <c r="U96" s="179">
        <f t="shared" si="66"/>
        <v>62</v>
      </c>
      <c r="V96" s="259"/>
      <c r="W96" s="179">
        <f t="shared" si="67"/>
        <v>0</v>
      </c>
      <c r="X96" s="259"/>
      <c r="Y96" s="179">
        <f t="shared" si="68"/>
        <v>1099.9999518559998</v>
      </c>
      <c r="Z96" s="259"/>
      <c r="AA96" s="179">
        <f t="shared" si="69"/>
        <v>302.42479377000001</v>
      </c>
      <c r="AB96" s="259"/>
      <c r="AC96" s="179">
        <f t="shared" si="70"/>
        <v>0</v>
      </c>
      <c r="AD96" s="189">
        <f t="shared" si="64"/>
        <v>0</v>
      </c>
      <c r="AE96" s="179">
        <f t="shared" si="71"/>
        <v>1402.424745626</v>
      </c>
      <c r="AF96" s="264"/>
      <c r="AG96" s="179">
        <f t="shared" si="72"/>
        <v>999.99995185600005</v>
      </c>
      <c r="AH96" s="268"/>
      <c r="AI96" s="179">
        <f t="shared" si="73"/>
        <v>0</v>
      </c>
      <c r="AJ96" s="268"/>
      <c r="AK96" s="179">
        <f t="shared" si="74"/>
        <v>100</v>
      </c>
      <c r="AL96" s="268"/>
      <c r="AM96" s="179">
        <f t="shared" si="75"/>
        <v>0</v>
      </c>
      <c r="AN96" s="268"/>
      <c r="AO96" s="179">
        <f t="shared" si="76"/>
        <v>0</v>
      </c>
      <c r="AP96" s="268"/>
      <c r="AQ96" s="179">
        <f t="shared" si="77"/>
        <v>0</v>
      </c>
      <c r="AR96" s="273"/>
      <c r="AS96" s="209">
        <f t="shared" si="78"/>
        <v>0</v>
      </c>
      <c r="AT96" s="273"/>
      <c r="AU96" s="226">
        <f t="shared" si="79"/>
        <v>0</v>
      </c>
      <c r="AV96" s="273"/>
      <c r="AW96" s="209">
        <f t="shared" si="80"/>
        <v>0</v>
      </c>
      <c r="AX96" s="273"/>
      <c r="AY96" s="209">
        <f t="shared" si="81"/>
        <v>0</v>
      </c>
      <c r="AZ96" s="273"/>
      <c r="BA96" s="179">
        <f t="shared" si="82"/>
        <v>0</v>
      </c>
      <c r="BB96"/>
      <c r="BC96"/>
      <c r="BD96"/>
    </row>
    <row r="97" spans="1:56" s="34" customFormat="1" x14ac:dyDescent="0.25">
      <c r="A97" s="87">
        <v>40816</v>
      </c>
      <c r="B97" s="42">
        <v>18</v>
      </c>
      <c r="C97" s="41" t="str">
        <f t="shared" si="49"/>
        <v>250.00, V58.66, V58.67</v>
      </c>
      <c r="D97" s="41">
        <f t="shared" si="50"/>
        <v>93104801</v>
      </c>
      <c r="E97" s="40" t="str">
        <f t="shared" si="51"/>
        <v>Pharmacy Retail</v>
      </c>
      <c r="F97" s="40" t="str">
        <f t="shared" si="52"/>
        <v>Pharmacy</v>
      </c>
      <c r="G97" s="40" t="str">
        <f t="shared" si="53"/>
        <v>Metformin hydrochloride 500mg (Rx) [1 BID; #60 pills/month]</v>
      </c>
      <c r="H97" s="40" t="str">
        <f t="shared" si="54"/>
        <v/>
      </c>
      <c r="I97" s="160" t="str">
        <f t="shared" si="55"/>
        <v/>
      </c>
      <c r="J97" s="41">
        <f t="shared" si="56"/>
        <v>1</v>
      </c>
      <c r="K97" s="41" t="str">
        <f t="shared" si="57"/>
        <v/>
      </c>
      <c r="L97" s="41" t="str">
        <f t="shared" si="58"/>
        <v/>
      </c>
      <c r="M97" s="41" t="str">
        <f t="shared" si="59"/>
        <v/>
      </c>
      <c r="N97" s="41" t="str">
        <f t="shared" si="60"/>
        <v/>
      </c>
      <c r="O97" s="41" t="str">
        <f t="shared" si="61"/>
        <v/>
      </c>
      <c r="P97" s="188" t="str">
        <f t="shared" si="62"/>
        <v/>
      </c>
      <c r="Q97" s="221">
        <f t="shared" si="63"/>
        <v>34.369999999999997</v>
      </c>
      <c r="R97" s="253">
        <v>24.369999999999997</v>
      </c>
      <c r="S97" s="179">
        <f t="shared" si="65"/>
        <v>3009.3102174209989</v>
      </c>
      <c r="T97" s="259"/>
      <c r="U97" s="179">
        <f t="shared" si="66"/>
        <v>62</v>
      </c>
      <c r="V97" s="259"/>
      <c r="W97" s="179">
        <f t="shared" si="67"/>
        <v>0</v>
      </c>
      <c r="X97" s="259">
        <v>0</v>
      </c>
      <c r="Y97" s="179">
        <f t="shared" si="68"/>
        <v>1099.9999518559998</v>
      </c>
      <c r="Z97" s="259">
        <v>10</v>
      </c>
      <c r="AA97" s="179">
        <f t="shared" si="69"/>
        <v>312.42479377000001</v>
      </c>
      <c r="AB97" s="259"/>
      <c r="AC97" s="179">
        <f t="shared" si="70"/>
        <v>0</v>
      </c>
      <c r="AD97" s="189">
        <f t="shared" si="64"/>
        <v>10</v>
      </c>
      <c r="AE97" s="179">
        <f t="shared" si="71"/>
        <v>1412.424745626</v>
      </c>
      <c r="AF97" s="264"/>
      <c r="AG97" s="179">
        <f t="shared" si="72"/>
        <v>999.99995185600005</v>
      </c>
      <c r="AH97" s="268"/>
      <c r="AI97" s="179">
        <f t="shared" si="73"/>
        <v>0</v>
      </c>
      <c r="AJ97" s="268">
        <v>0</v>
      </c>
      <c r="AK97" s="179">
        <f t="shared" si="74"/>
        <v>100</v>
      </c>
      <c r="AL97" s="268"/>
      <c r="AM97" s="179">
        <f t="shared" si="75"/>
        <v>0</v>
      </c>
      <c r="AN97" s="268"/>
      <c r="AO97" s="179">
        <f t="shared" si="76"/>
        <v>0</v>
      </c>
      <c r="AP97" s="268"/>
      <c r="AQ97" s="179">
        <f t="shared" si="77"/>
        <v>0</v>
      </c>
      <c r="AR97" s="273"/>
      <c r="AS97" s="209">
        <f t="shared" si="78"/>
        <v>0</v>
      </c>
      <c r="AT97" s="273"/>
      <c r="AU97" s="226">
        <f t="shared" si="79"/>
        <v>0</v>
      </c>
      <c r="AV97" s="273"/>
      <c r="AW97" s="209">
        <f t="shared" si="80"/>
        <v>0</v>
      </c>
      <c r="AX97" s="273"/>
      <c r="AY97" s="209">
        <f t="shared" si="81"/>
        <v>0</v>
      </c>
      <c r="AZ97" s="273"/>
      <c r="BA97" s="179">
        <f t="shared" si="82"/>
        <v>0</v>
      </c>
      <c r="BB97"/>
      <c r="BC97"/>
      <c r="BD97"/>
    </row>
    <row r="98" spans="1:56" s="34" customFormat="1" x14ac:dyDescent="0.25">
      <c r="A98" s="87">
        <v>40816</v>
      </c>
      <c r="B98" s="42">
        <v>19</v>
      </c>
      <c r="C98" s="41" t="str">
        <f t="shared" si="49"/>
        <v>250.00, V58.66, V58.67</v>
      </c>
      <c r="D98" s="41">
        <f t="shared" si="50"/>
        <v>93743801</v>
      </c>
      <c r="E98" s="40" t="str">
        <f t="shared" si="51"/>
        <v>Pharmacy Retail</v>
      </c>
      <c r="F98" s="40" t="str">
        <f t="shared" si="52"/>
        <v>Pharmacy</v>
      </c>
      <c r="G98" s="40" t="str">
        <f t="shared" si="53"/>
        <v>Ramipril 10mg (Rx) [1 QD; #30 pills/month]</v>
      </c>
      <c r="H98" s="40" t="str">
        <f t="shared" si="54"/>
        <v/>
      </c>
      <c r="I98" s="160" t="str">
        <f t="shared" si="55"/>
        <v/>
      </c>
      <c r="J98" s="41">
        <f t="shared" si="56"/>
        <v>1</v>
      </c>
      <c r="K98" s="41" t="str">
        <f t="shared" si="57"/>
        <v/>
      </c>
      <c r="L98" s="41" t="str">
        <f t="shared" si="58"/>
        <v/>
      </c>
      <c r="M98" s="41" t="str">
        <f t="shared" si="59"/>
        <v/>
      </c>
      <c r="N98" s="41" t="str">
        <f t="shared" si="60"/>
        <v/>
      </c>
      <c r="O98" s="41" t="str">
        <f t="shared" si="61"/>
        <v/>
      </c>
      <c r="P98" s="188" t="str">
        <f t="shared" si="62"/>
        <v/>
      </c>
      <c r="Q98" s="221">
        <f t="shared" si="63"/>
        <v>53.81</v>
      </c>
      <c r="R98" s="253">
        <v>43.81</v>
      </c>
      <c r="S98" s="179">
        <f t="shared" si="65"/>
        <v>3053.1202174209989</v>
      </c>
      <c r="T98" s="259"/>
      <c r="U98" s="179">
        <f t="shared" si="66"/>
        <v>62</v>
      </c>
      <c r="V98" s="259"/>
      <c r="W98" s="179">
        <f t="shared" si="67"/>
        <v>0</v>
      </c>
      <c r="X98" s="259">
        <v>0</v>
      </c>
      <c r="Y98" s="179">
        <f t="shared" si="68"/>
        <v>1099.9999518559998</v>
      </c>
      <c r="Z98" s="259">
        <v>10</v>
      </c>
      <c r="AA98" s="179">
        <f t="shared" si="69"/>
        <v>322.42479377000001</v>
      </c>
      <c r="AB98" s="259"/>
      <c r="AC98" s="179">
        <f t="shared" si="70"/>
        <v>0</v>
      </c>
      <c r="AD98" s="189">
        <f t="shared" si="64"/>
        <v>10</v>
      </c>
      <c r="AE98" s="179">
        <f t="shared" si="71"/>
        <v>1422.424745626</v>
      </c>
      <c r="AF98" s="264"/>
      <c r="AG98" s="179">
        <f t="shared" si="72"/>
        <v>999.99995185600005</v>
      </c>
      <c r="AH98" s="268"/>
      <c r="AI98" s="179">
        <f t="shared" si="73"/>
        <v>0</v>
      </c>
      <c r="AJ98" s="268">
        <v>0</v>
      </c>
      <c r="AK98" s="179">
        <f t="shared" si="74"/>
        <v>100</v>
      </c>
      <c r="AL98" s="268"/>
      <c r="AM98" s="179">
        <f t="shared" si="75"/>
        <v>0</v>
      </c>
      <c r="AN98" s="268"/>
      <c r="AO98" s="179">
        <f t="shared" si="76"/>
        <v>0</v>
      </c>
      <c r="AP98" s="268"/>
      <c r="AQ98" s="179">
        <f t="shared" si="77"/>
        <v>0</v>
      </c>
      <c r="AR98" s="273"/>
      <c r="AS98" s="209">
        <f t="shared" si="78"/>
        <v>0</v>
      </c>
      <c r="AT98" s="273"/>
      <c r="AU98" s="226">
        <f t="shared" si="79"/>
        <v>0</v>
      </c>
      <c r="AV98" s="273"/>
      <c r="AW98" s="209">
        <f t="shared" si="80"/>
        <v>0</v>
      </c>
      <c r="AX98" s="273"/>
      <c r="AY98" s="209">
        <f t="shared" si="81"/>
        <v>0</v>
      </c>
      <c r="AZ98" s="273"/>
      <c r="BA98" s="179">
        <f t="shared" si="82"/>
        <v>0</v>
      </c>
      <c r="BB98"/>
      <c r="BC98"/>
      <c r="BD98"/>
    </row>
    <row r="99" spans="1:56" s="34" customFormat="1" x14ac:dyDescent="0.25">
      <c r="A99" s="87">
        <v>40819</v>
      </c>
      <c r="B99" s="42">
        <v>28</v>
      </c>
      <c r="C99" s="41" t="str">
        <f t="shared" ref="C99:C122" si="83">IF(ISBLANK(VLOOKUP(Dia_Claim,Dia_UniqueLine,2,FALSE)),"",VLOOKUP(Dia_Claim,Dia_UniqueLine,2,FALSE))</f>
        <v>V03.82</v>
      </c>
      <c r="D99" s="41">
        <f t="shared" ref="D99:D122" si="84">IF(ISBLANK(VLOOKUP(Dia_Claim,Dia_UniqueLine,3,FALSE)),"",VLOOKUP(Dia_Claim,Dia_UniqueLine,3,FALSE))</f>
        <v>90472</v>
      </c>
      <c r="E99" s="40" t="str">
        <f t="shared" ref="E99:E122" si="85">IF(ISBLANK(VLOOKUP(Dia_Claim,Dia_UniqueLine,4,FALSE)),"",VLOOKUP(Dia_Claim,Dia_UniqueLine,4,FALSE))</f>
        <v>Primary</v>
      </c>
      <c r="F99" s="40" t="str">
        <f t="shared" ref="F99:F122" si="86">IF(ISBLANK(VLOOKUP(Dia_Claim,Dia_UniqueLine,5,FALSE)),"",VLOOKUP(Dia_Claim,Dia_UniqueLine,5,FALSE))</f>
        <v>Vaccines, other preventive</v>
      </c>
      <c r="G99" s="40" t="str">
        <f t="shared" ref="G99:G122" si="87">IF(ISBLANK(VLOOKUP(Dia_Claim,Dia_UniqueLine,6,FALSE)),"",VLOOKUP(Dia_Claim,Dia_UniqueLine,6,FALSE))</f>
        <v xml:space="preserve">Immunization admin each add </v>
      </c>
      <c r="H99" s="40" t="str">
        <f t="shared" ref="H99:H122" si="88">IF(ISBLANK(VLOOKUP(Dia_Claim,Dia_UniqueLine,8,FALSE)),"",VLOOKUP(Dia_Claim,Dia_UniqueLine,8,FALSE))</f>
        <v/>
      </c>
      <c r="I99" s="160" t="str">
        <f t="shared" ref="I99:I122" si="89">IF(Dia_Col_Category="Medical equipment and supplies",1,"")</f>
        <v/>
      </c>
      <c r="J99" s="41" t="str">
        <f t="shared" ref="J99:J122" si="90">IF(AND(Dia_Col_Category="Pharmacy",Dia_Col_BillCode&lt;&gt;"OTC"),1,"")</f>
        <v/>
      </c>
      <c r="K99" s="41" t="str">
        <f t="shared" ref="K99:K122" si="91">IF(AND(Dia_Col_Category="Anesthesia",Dia_Col_Provider&lt;&gt;"Inpatient facility"),1,"")</f>
        <v/>
      </c>
      <c r="L99" s="41" t="str">
        <f t="shared" ref="L99:L122" si="92">IF(Dia_Col_Category="Laboratory tests",1,"")</f>
        <v/>
      </c>
      <c r="M99" s="41" t="str">
        <f t="shared" ref="M99:M122" si="93">IF(Dia_Col_Category="Radiology",1,"")</f>
        <v/>
      </c>
      <c r="N99" s="41" t="str">
        <f t="shared" ref="N99:N122" si="94">IF(Dia_Col_BillCode="Bundled in global OB package - 59400",1,"")</f>
        <v/>
      </c>
      <c r="O99" s="41">
        <f t="shared" ref="O99:O122" si="95">IF(Dia_Col_Category="Vaccines, other preventive",1,"")</f>
        <v>1</v>
      </c>
      <c r="P99" s="188" t="str">
        <f t="shared" ref="P99:P122" si="96">IF(Dia_Col_Category="Office visits &amp; procedures",1,"")</f>
        <v/>
      </c>
      <c r="Q99" s="221">
        <f t="shared" ref="Q99:Q122" si="97">IF(ISBLANK(VLOOKUP(Dia_Claim,Dia_UniqueLine,7,FALSE)),"",VLOOKUP(Dia_Claim,Dia_UniqueLine,7,FALSE))</f>
        <v>13.436576236000001</v>
      </c>
      <c r="R99" s="253">
        <v>13.436576236000001</v>
      </c>
      <c r="S99" s="179">
        <f t="shared" si="65"/>
        <v>3066.5567936569987</v>
      </c>
      <c r="T99" s="259"/>
      <c r="U99" s="179">
        <f t="shared" si="66"/>
        <v>62</v>
      </c>
      <c r="V99" s="259"/>
      <c r="W99" s="179">
        <f t="shared" si="67"/>
        <v>0</v>
      </c>
      <c r="X99" s="259"/>
      <c r="Y99" s="179">
        <f t="shared" si="68"/>
        <v>1099.9999518559998</v>
      </c>
      <c r="Z99" s="259"/>
      <c r="AA99" s="179">
        <f t="shared" si="69"/>
        <v>322.42479377000001</v>
      </c>
      <c r="AB99" s="259"/>
      <c r="AC99" s="179">
        <f t="shared" si="70"/>
        <v>0</v>
      </c>
      <c r="AD99" s="189">
        <f t="shared" si="64"/>
        <v>0</v>
      </c>
      <c r="AE99" s="179">
        <f t="shared" si="71"/>
        <v>1422.424745626</v>
      </c>
      <c r="AF99" s="264"/>
      <c r="AG99" s="179">
        <f t="shared" si="72"/>
        <v>999.99995185600005</v>
      </c>
      <c r="AH99" s="268"/>
      <c r="AI99" s="179">
        <f t="shared" si="73"/>
        <v>0</v>
      </c>
      <c r="AJ99" s="268"/>
      <c r="AK99" s="179">
        <f t="shared" si="74"/>
        <v>100</v>
      </c>
      <c r="AL99" s="268"/>
      <c r="AM99" s="179">
        <f t="shared" si="75"/>
        <v>0</v>
      </c>
      <c r="AN99" s="268"/>
      <c r="AO99" s="179">
        <f t="shared" si="76"/>
        <v>0</v>
      </c>
      <c r="AP99" s="268"/>
      <c r="AQ99" s="179">
        <f t="shared" si="77"/>
        <v>0</v>
      </c>
      <c r="AR99" s="273"/>
      <c r="AS99" s="209">
        <f t="shared" si="78"/>
        <v>0</v>
      </c>
      <c r="AT99" s="273"/>
      <c r="AU99" s="226">
        <f t="shared" si="79"/>
        <v>0</v>
      </c>
      <c r="AV99" s="273"/>
      <c r="AW99" s="209">
        <f t="shared" si="80"/>
        <v>0</v>
      </c>
      <c r="AX99" s="273"/>
      <c r="AY99" s="209">
        <f t="shared" si="81"/>
        <v>0</v>
      </c>
      <c r="AZ99" s="273"/>
      <c r="BA99" s="179">
        <f t="shared" si="82"/>
        <v>0</v>
      </c>
      <c r="BB99"/>
      <c r="BC99"/>
      <c r="BD99"/>
    </row>
    <row r="100" spans="1:56" s="34" customFormat="1" x14ac:dyDescent="0.25">
      <c r="A100" s="87">
        <v>40819</v>
      </c>
      <c r="B100" s="42">
        <v>27</v>
      </c>
      <c r="C100" s="41" t="str">
        <f t="shared" si="83"/>
        <v>V03.82</v>
      </c>
      <c r="D100" s="41">
        <f t="shared" si="84"/>
        <v>90471</v>
      </c>
      <c r="E100" s="40" t="str">
        <f t="shared" si="85"/>
        <v>Primary</v>
      </c>
      <c r="F100" s="40" t="str">
        <f t="shared" si="86"/>
        <v>Vaccines, other preventive</v>
      </c>
      <c r="G100" s="40" t="str">
        <f t="shared" si="87"/>
        <v>Immunization Admin ADMIN</v>
      </c>
      <c r="H100" s="40" t="str">
        <f t="shared" si="88"/>
        <v/>
      </c>
      <c r="I100" s="160" t="str">
        <f t="shared" si="89"/>
        <v/>
      </c>
      <c r="J100" s="41" t="str">
        <f t="shared" si="90"/>
        <v/>
      </c>
      <c r="K100" s="41" t="str">
        <f t="shared" si="91"/>
        <v/>
      </c>
      <c r="L100" s="41" t="str">
        <f t="shared" si="92"/>
        <v/>
      </c>
      <c r="M100" s="41" t="str">
        <f t="shared" si="93"/>
        <v/>
      </c>
      <c r="N100" s="41" t="str">
        <f t="shared" si="94"/>
        <v/>
      </c>
      <c r="O100" s="41">
        <f t="shared" si="95"/>
        <v>1</v>
      </c>
      <c r="P100" s="188" t="str">
        <f t="shared" si="96"/>
        <v/>
      </c>
      <c r="Q100" s="221">
        <f t="shared" si="97"/>
        <v>13.436576236000001</v>
      </c>
      <c r="R100" s="253">
        <v>13.436576236000001</v>
      </c>
      <c r="S100" s="179">
        <f t="shared" si="65"/>
        <v>3079.9933698929985</v>
      </c>
      <c r="T100" s="259"/>
      <c r="U100" s="179">
        <f t="shared" si="66"/>
        <v>62</v>
      </c>
      <c r="V100" s="259"/>
      <c r="W100" s="179">
        <f t="shared" si="67"/>
        <v>0</v>
      </c>
      <c r="X100" s="259"/>
      <c r="Y100" s="179">
        <f t="shared" si="68"/>
        <v>1099.9999518559998</v>
      </c>
      <c r="Z100" s="259"/>
      <c r="AA100" s="179">
        <f t="shared" si="69"/>
        <v>322.42479377000001</v>
      </c>
      <c r="AB100" s="259"/>
      <c r="AC100" s="179">
        <f t="shared" si="70"/>
        <v>0</v>
      </c>
      <c r="AD100" s="189">
        <f t="shared" si="64"/>
        <v>0</v>
      </c>
      <c r="AE100" s="179">
        <f t="shared" si="71"/>
        <v>1422.424745626</v>
      </c>
      <c r="AF100" s="264"/>
      <c r="AG100" s="179">
        <f t="shared" si="72"/>
        <v>999.99995185600005</v>
      </c>
      <c r="AH100" s="268"/>
      <c r="AI100" s="179">
        <f t="shared" si="73"/>
        <v>0</v>
      </c>
      <c r="AJ100" s="268"/>
      <c r="AK100" s="179">
        <f t="shared" si="74"/>
        <v>100</v>
      </c>
      <c r="AL100" s="268"/>
      <c r="AM100" s="179">
        <f t="shared" si="75"/>
        <v>0</v>
      </c>
      <c r="AN100" s="268"/>
      <c r="AO100" s="179">
        <f t="shared" si="76"/>
        <v>0</v>
      </c>
      <c r="AP100" s="268"/>
      <c r="AQ100" s="179">
        <f t="shared" si="77"/>
        <v>0</v>
      </c>
      <c r="AR100" s="273"/>
      <c r="AS100" s="209">
        <f t="shared" si="78"/>
        <v>0</v>
      </c>
      <c r="AT100" s="273"/>
      <c r="AU100" s="226">
        <f t="shared" si="79"/>
        <v>0</v>
      </c>
      <c r="AV100" s="273"/>
      <c r="AW100" s="209">
        <f t="shared" si="80"/>
        <v>0</v>
      </c>
      <c r="AX100" s="273"/>
      <c r="AY100" s="209">
        <f t="shared" si="81"/>
        <v>0</v>
      </c>
      <c r="AZ100" s="273"/>
      <c r="BA100" s="179">
        <f t="shared" si="82"/>
        <v>0</v>
      </c>
      <c r="BB100"/>
      <c r="BC100"/>
      <c r="BD100"/>
    </row>
    <row r="101" spans="1:56" s="34" customFormat="1" x14ac:dyDescent="0.25">
      <c r="A101" s="87">
        <v>40819</v>
      </c>
      <c r="B101" s="42">
        <v>29</v>
      </c>
      <c r="C101" s="41" t="str">
        <f t="shared" si="83"/>
        <v>V03.82</v>
      </c>
      <c r="D101" s="41">
        <f t="shared" si="84"/>
        <v>90669</v>
      </c>
      <c r="E101" s="40" t="str">
        <f t="shared" si="85"/>
        <v>Primary</v>
      </c>
      <c r="F101" s="40" t="str">
        <f t="shared" si="86"/>
        <v>Vaccines, other preventive</v>
      </c>
      <c r="G101" s="40" t="str">
        <f t="shared" si="87"/>
        <v>Pneumococcal vacc 7 val im</v>
      </c>
      <c r="H101" s="40" t="str">
        <f t="shared" si="88"/>
        <v/>
      </c>
      <c r="I101" s="160" t="str">
        <f t="shared" si="89"/>
        <v/>
      </c>
      <c r="J101" s="41" t="str">
        <f t="shared" si="90"/>
        <v/>
      </c>
      <c r="K101" s="41" t="str">
        <f t="shared" si="91"/>
        <v/>
      </c>
      <c r="L101" s="41" t="str">
        <f t="shared" si="92"/>
        <v/>
      </c>
      <c r="M101" s="41" t="str">
        <f t="shared" si="93"/>
        <v/>
      </c>
      <c r="N101" s="41" t="str">
        <f t="shared" si="94"/>
        <v/>
      </c>
      <c r="O101" s="41">
        <f t="shared" si="95"/>
        <v>1</v>
      </c>
      <c r="P101" s="188" t="str">
        <f t="shared" si="96"/>
        <v/>
      </c>
      <c r="Q101" s="221">
        <f t="shared" si="97"/>
        <v>98.218151268</v>
      </c>
      <c r="R101" s="253">
        <v>98.218151268</v>
      </c>
      <c r="S101" s="179">
        <f t="shared" si="65"/>
        <v>3178.2115211609985</v>
      </c>
      <c r="T101" s="259"/>
      <c r="U101" s="179">
        <f t="shared" si="66"/>
        <v>62</v>
      </c>
      <c r="V101" s="259"/>
      <c r="W101" s="179">
        <f t="shared" si="67"/>
        <v>0</v>
      </c>
      <c r="X101" s="259"/>
      <c r="Y101" s="179">
        <f t="shared" si="68"/>
        <v>1099.9999518559998</v>
      </c>
      <c r="Z101" s="259"/>
      <c r="AA101" s="179">
        <f t="shared" si="69"/>
        <v>322.42479377000001</v>
      </c>
      <c r="AB101" s="259"/>
      <c r="AC101" s="179">
        <f t="shared" si="70"/>
        <v>0</v>
      </c>
      <c r="AD101" s="189">
        <f t="shared" si="64"/>
        <v>0</v>
      </c>
      <c r="AE101" s="179">
        <f t="shared" si="71"/>
        <v>1422.424745626</v>
      </c>
      <c r="AF101" s="264"/>
      <c r="AG101" s="179">
        <f t="shared" si="72"/>
        <v>999.99995185600005</v>
      </c>
      <c r="AH101" s="268"/>
      <c r="AI101" s="179">
        <f t="shared" si="73"/>
        <v>0</v>
      </c>
      <c r="AJ101" s="268"/>
      <c r="AK101" s="179">
        <f t="shared" si="74"/>
        <v>100</v>
      </c>
      <c r="AL101" s="268"/>
      <c r="AM101" s="179">
        <f t="shared" si="75"/>
        <v>0</v>
      </c>
      <c r="AN101" s="268"/>
      <c r="AO101" s="179">
        <f t="shared" si="76"/>
        <v>0</v>
      </c>
      <c r="AP101" s="268"/>
      <c r="AQ101" s="179">
        <f t="shared" si="77"/>
        <v>0</v>
      </c>
      <c r="AR101" s="273"/>
      <c r="AS101" s="209">
        <f t="shared" si="78"/>
        <v>0</v>
      </c>
      <c r="AT101" s="273"/>
      <c r="AU101" s="226">
        <f t="shared" si="79"/>
        <v>0</v>
      </c>
      <c r="AV101" s="273"/>
      <c r="AW101" s="209">
        <f t="shared" si="80"/>
        <v>0</v>
      </c>
      <c r="AX101" s="273"/>
      <c r="AY101" s="209">
        <f t="shared" si="81"/>
        <v>0</v>
      </c>
      <c r="AZ101" s="273"/>
      <c r="BA101" s="179">
        <f t="shared" si="82"/>
        <v>0</v>
      </c>
      <c r="BB101"/>
      <c r="BC101"/>
      <c r="BD101"/>
    </row>
    <row r="102" spans="1:56" s="34" customFormat="1" x14ac:dyDescent="0.25">
      <c r="A102" s="87">
        <v>40819</v>
      </c>
      <c r="B102" s="42">
        <v>30</v>
      </c>
      <c r="C102" s="41" t="str">
        <f t="shared" si="83"/>
        <v>V04.81</v>
      </c>
      <c r="D102" s="41">
        <f t="shared" si="84"/>
        <v>90656</v>
      </c>
      <c r="E102" s="40" t="str">
        <f t="shared" si="85"/>
        <v>Primary</v>
      </c>
      <c r="F102" s="40" t="str">
        <f t="shared" si="86"/>
        <v>Vaccines, other preventive</v>
      </c>
      <c r="G102" s="40" t="str">
        <f t="shared" si="87"/>
        <v>Flu Vaccine No Preserv 3 &amp; &gt;</v>
      </c>
      <c r="H102" s="40" t="str">
        <f t="shared" si="88"/>
        <v/>
      </c>
      <c r="I102" s="160" t="str">
        <f t="shared" si="89"/>
        <v/>
      </c>
      <c r="J102" s="41" t="str">
        <f t="shared" si="90"/>
        <v/>
      </c>
      <c r="K102" s="41" t="str">
        <f t="shared" si="91"/>
        <v/>
      </c>
      <c r="L102" s="41" t="str">
        <f t="shared" si="92"/>
        <v/>
      </c>
      <c r="M102" s="41" t="str">
        <f t="shared" si="93"/>
        <v/>
      </c>
      <c r="N102" s="41" t="str">
        <f t="shared" si="94"/>
        <v/>
      </c>
      <c r="O102" s="41">
        <f t="shared" si="95"/>
        <v>1</v>
      </c>
      <c r="P102" s="188" t="str">
        <f t="shared" si="96"/>
        <v/>
      </c>
      <c r="Q102" s="221">
        <f t="shared" si="97"/>
        <v>15.03511905</v>
      </c>
      <c r="R102" s="253">
        <v>15.03511905</v>
      </c>
      <c r="S102" s="179">
        <f t="shared" si="65"/>
        <v>3193.2466402109985</v>
      </c>
      <c r="T102" s="259"/>
      <c r="U102" s="179">
        <f t="shared" si="66"/>
        <v>62</v>
      </c>
      <c r="V102" s="259"/>
      <c r="W102" s="179">
        <f t="shared" si="67"/>
        <v>0</v>
      </c>
      <c r="X102" s="259"/>
      <c r="Y102" s="179">
        <f t="shared" si="68"/>
        <v>1099.9999518559998</v>
      </c>
      <c r="Z102" s="259"/>
      <c r="AA102" s="179">
        <f t="shared" si="69"/>
        <v>322.42479377000001</v>
      </c>
      <c r="AB102" s="259"/>
      <c r="AC102" s="179">
        <f t="shared" si="70"/>
        <v>0</v>
      </c>
      <c r="AD102" s="189">
        <f t="shared" si="64"/>
        <v>0</v>
      </c>
      <c r="AE102" s="179">
        <f t="shared" si="71"/>
        <v>1422.424745626</v>
      </c>
      <c r="AF102" s="264"/>
      <c r="AG102" s="179">
        <f t="shared" si="72"/>
        <v>999.99995185600005</v>
      </c>
      <c r="AH102" s="268"/>
      <c r="AI102" s="179">
        <f t="shared" si="73"/>
        <v>0</v>
      </c>
      <c r="AJ102" s="268"/>
      <c r="AK102" s="179">
        <f t="shared" si="74"/>
        <v>100</v>
      </c>
      <c r="AL102" s="268"/>
      <c r="AM102" s="179">
        <f t="shared" si="75"/>
        <v>0</v>
      </c>
      <c r="AN102" s="268"/>
      <c r="AO102" s="179">
        <f t="shared" si="76"/>
        <v>0</v>
      </c>
      <c r="AP102" s="268"/>
      <c r="AQ102" s="179">
        <f t="shared" si="77"/>
        <v>0</v>
      </c>
      <c r="AR102" s="273"/>
      <c r="AS102" s="209">
        <f t="shared" si="78"/>
        <v>0</v>
      </c>
      <c r="AT102" s="273"/>
      <c r="AU102" s="226">
        <f t="shared" si="79"/>
        <v>0</v>
      </c>
      <c r="AV102" s="273"/>
      <c r="AW102" s="209">
        <f t="shared" si="80"/>
        <v>0</v>
      </c>
      <c r="AX102" s="273"/>
      <c r="AY102" s="209">
        <f t="shared" si="81"/>
        <v>0</v>
      </c>
      <c r="AZ102" s="273"/>
      <c r="BA102" s="179">
        <f t="shared" si="82"/>
        <v>0</v>
      </c>
      <c r="BB102"/>
      <c r="BC102"/>
      <c r="BD102"/>
    </row>
    <row r="103" spans="1:56" s="34" customFormat="1" x14ac:dyDescent="0.25">
      <c r="A103" s="87">
        <v>40826</v>
      </c>
      <c r="B103" s="42">
        <v>17</v>
      </c>
      <c r="C103" s="41" t="str">
        <f t="shared" si="83"/>
        <v>250.00, V58.66, V58.67</v>
      </c>
      <c r="D103" s="41">
        <f t="shared" si="84"/>
        <v>88222033</v>
      </c>
      <c r="E103" s="40" t="str">
        <f t="shared" si="85"/>
        <v>Pharmacy Retail</v>
      </c>
      <c r="F103" s="40" t="str">
        <f t="shared" si="86"/>
        <v>Pharmacy</v>
      </c>
      <c r="G103" s="40" t="str">
        <f t="shared" si="87"/>
        <v>Insulin glargine 100 unit/ml injectable solution (Rx - 10ml vial)  [20 units QD; expires 28 days after first use]</v>
      </c>
      <c r="H103" s="40" t="str">
        <f t="shared" si="88"/>
        <v/>
      </c>
      <c r="I103" s="160" t="str">
        <f t="shared" si="89"/>
        <v/>
      </c>
      <c r="J103" s="41">
        <f t="shared" si="90"/>
        <v>1</v>
      </c>
      <c r="K103" s="41" t="str">
        <f t="shared" si="91"/>
        <v/>
      </c>
      <c r="L103" s="41" t="str">
        <f t="shared" si="92"/>
        <v/>
      </c>
      <c r="M103" s="41" t="str">
        <f t="shared" si="93"/>
        <v/>
      </c>
      <c r="N103" s="41" t="str">
        <f t="shared" si="94"/>
        <v/>
      </c>
      <c r="O103" s="41" t="str">
        <f t="shared" si="95"/>
        <v/>
      </c>
      <c r="P103" s="188" t="str">
        <f t="shared" si="96"/>
        <v/>
      </c>
      <c r="Q103" s="221">
        <f t="shared" si="97"/>
        <v>119.2</v>
      </c>
      <c r="R103" s="253">
        <v>109.2</v>
      </c>
      <c r="S103" s="179">
        <f t="shared" si="65"/>
        <v>3302.4466402109983</v>
      </c>
      <c r="T103" s="259"/>
      <c r="U103" s="179">
        <f t="shared" si="66"/>
        <v>62</v>
      </c>
      <c r="V103" s="259"/>
      <c r="W103" s="179">
        <f t="shared" si="67"/>
        <v>0</v>
      </c>
      <c r="X103" s="259">
        <v>0</v>
      </c>
      <c r="Y103" s="179">
        <f t="shared" si="68"/>
        <v>1099.9999518559998</v>
      </c>
      <c r="Z103" s="259">
        <v>10</v>
      </c>
      <c r="AA103" s="179">
        <f t="shared" si="69"/>
        <v>332.42479377000001</v>
      </c>
      <c r="AB103" s="259"/>
      <c r="AC103" s="179">
        <f t="shared" si="70"/>
        <v>0</v>
      </c>
      <c r="AD103" s="189">
        <f t="shared" si="64"/>
        <v>10</v>
      </c>
      <c r="AE103" s="179">
        <f t="shared" si="71"/>
        <v>1432.424745626</v>
      </c>
      <c r="AF103" s="264"/>
      <c r="AG103" s="179">
        <f t="shared" si="72"/>
        <v>999.99995185600005</v>
      </c>
      <c r="AH103" s="268"/>
      <c r="AI103" s="179">
        <f t="shared" si="73"/>
        <v>0</v>
      </c>
      <c r="AJ103" s="268">
        <v>0</v>
      </c>
      <c r="AK103" s="179">
        <f t="shared" si="74"/>
        <v>100</v>
      </c>
      <c r="AL103" s="268"/>
      <c r="AM103" s="179">
        <f t="shared" si="75"/>
        <v>0</v>
      </c>
      <c r="AN103" s="268"/>
      <c r="AO103" s="179">
        <f t="shared" si="76"/>
        <v>0</v>
      </c>
      <c r="AP103" s="268"/>
      <c r="AQ103" s="179">
        <f t="shared" si="77"/>
        <v>0</v>
      </c>
      <c r="AR103" s="273"/>
      <c r="AS103" s="209">
        <f t="shared" si="78"/>
        <v>0</v>
      </c>
      <c r="AT103" s="273"/>
      <c r="AU103" s="226">
        <f t="shared" si="79"/>
        <v>0</v>
      </c>
      <c r="AV103" s="273"/>
      <c r="AW103" s="209">
        <f t="shared" si="80"/>
        <v>0</v>
      </c>
      <c r="AX103" s="273"/>
      <c r="AY103" s="209">
        <f t="shared" si="81"/>
        <v>0</v>
      </c>
      <c r="AZ103" s="273"/>
      <c r="BA103" s="179">
        <f t="shared" si="82"/>
        <v>0</v>
      </c>
      <c r="BB103"/>
      <c r="BC103"/>
      <c r="BD103"/>
    </row>
    <row r="104" spans="1:56" s="34" customFormat="1" x14ac:dyDescent="0.25">
      <c r="A104" s="87">
        <v>40846</v>
      </c>
      <c r="B104" s="42">
        <v>25</v>
      </c>
      <c r="C104" s="41" t="str">
        <f t="shared" si="83"/>
        <v>250.00, V58.66, V58.67</v>
      </c>
      <c r="D104" s="41" t="str">
        <f t="shared" si="84"/>
        <v>OTC</v>
      </c>
      <c r="E104" s="40" t="str">
        <f t="shared" si="85"/>
        <v>Pharmacy Retail</v>
      </c>
      <c r="F104" s="40" t="str">
        <f t="shared" si="86"/>
        <v>Medical equipment and supplies</v>
      </c>
      <c r="G104" s="40" t="str">
        <f t="shared" si="87"/>
        <v>Alcohol swabs (OTC - box of 100)  [usage = 3 wipes/day; 90 wipes/month]</v>
      </c>
      <c r="H104" s="40" t="str">
        <f t="shared" si="88"/>
        <v/>
      </c>
      <c r="I104" s="160">
        <f t="shared" si="89"/>
        <v>1</v>
      </c>
      <c r="J104" s="41" t="str">
        <f t="shared" si="90"/>
        <v/>
      </c>
      <c r="K104" s="41" t="str">
        <f t="shared" si="91"/>
        <v/>
      </c>
      <c r="L104" s="41" t="str">
        <f t="shared" si="92"/>
        <v/>
      </c>
      <c r="M104" s="41" t="str">
        <f t="shared" si="93"/>
        <v/>
      </c>
      <c r="N104" s="41" t="str">
        <f t="shared" si="94"/>
        <v/>
      </c>
      <c r="O104" s="41" t="str">
        <f t="shared" si="95"/>
        <v/>
      </c>
      <c r="P104" s="188" t="str">
        <f t="shared" si="96"/>
        <v/>
      </c>
      <c r="Q104" s="221">
        <f t="shared" si="97"/>
        <v>3</v>
      </c>
      <c r="R104" s="253"/>
      <c r="S104" s="179">
        <f t="shared" si="65"/>
        <v>3302.4466402109983</v>
      </c>
      <c r="T104" s="259">
        <v>3</v>
      </c>
      <c r="U104" s="179">
        <f t="shared" si="66"/>
        <v>65</v>
      </c>
      <c r="V104" s="259"/>
      <c r="W104" s="179">
        <f t="shared" si="67"/>
        <v>0</v>
      </c>
      <c r="X104" s="259"/>
      <c r="Y104" s="179">
        <f t="shared" si="68"/>
        <v>1099.9999518559998</v>
      </c>
      <c r="Z104" s="259"/>
      <c r="AA104" s="179">
        <f t="shared" si="69"/>
        <v>332.42479377000001</v>
      </c>
      <c r="AB104" s="259"/>
      <c r="AC104" s="179">
        <f t="shared" si="70"/>
        <v>0</v>
      </c>
      <c r="AD104" s="189">
        <f t="shared" si="64"/>
        <v>0</v>
      </c>
      <c r="AE104" s="179">
        <f t="shared" si="71"/>
        <v>1432.424745626</v>
      </c>
      <c r="AF104" s="264"/>
      <c r="AG104" s="179">
        <f t="shared" si="72"/>
        <v>999.99995185600005</v>
      </c>
      <c r="AH104" s="268"/>
      <c r="AI104" s="179">
        <f t="shared" si="73"/>
        <v>0</v>
      </c>
      <c r="AJ104" s="268"/>
      <c r="AK104" s="179">
        <f t="shared" si="74"/>
        <v>100</v>
      </c>
      <c r="AL104" s="268"/>
      <c r="AM104" s="179">
        <f t="shared" si="75"/>
        <v>0</v>
      </c>
      <c r="AN104" s="268"/>
      <c r="AO104" s="179">
        <f t="shared" si="76"/>
        <v>0</v>
      </c>
      <c r="AP104" s="268"/>
      <c r="AQ104" s="179">
        <f t="shared" si="77"/>
        <v>0</v>
      </c>
      <c r="AR104" s="273"/>
      <c r="AS104" s="209">
        <f t="shared" si="78"/>
        <v>0</v>
      </c>
      <c r="AT104" s="273"/>
      <c r="AU104" s="226">
        <f t="shared" si="79"/>
        <v>0</v>
      </c>
      <c r="AV104" s="273"/>
      <c r="AW104" s="209">
        <f t="shared" si="80"/>
        <v>0</v>
      </c>
      <c r="AX104" s="273"/>
      <c r="AY104" s="209">
        <f t="shared" si="81"/>
        <v>0</v>
      </c>
      <c r="AZ104" s="273"/>
      <c r="BA104" s="179">
        <f t="shared" si="82"/>
        <v>0</v>
      </c>
      <c r="BB104"/>
      <c r="BC104"/>
      <c r="BD104"/>
    </row>
    <row r="105" spans="1:56" s="34" customFormat="1" x14ac:dyDescent="0.25">
      <c r="A105" s="87">
        <v>40846</v>
      </c>
      <c r="B105" s="42">
        <v>14</v>
      </c>
      <c r="C105" s="41" t="str">
        <f t="shared" si="83"/>
        <v>250.00, V58.66, V58.67</v>
      </c>
      <c r="D105" s="41">
        <f t="shared" si="84"/>
        <v>8290328279</v>
      </c>
      <c r="E105" s="40" t="str">
        <f t="shared" si="85"/>
        <v>Pharmacy Retail</v>
      </c>
      <c r="F105" s="40" t="str">
        <f t="shared" si="86"/>
        <v>Medical equipment and supplies</v>
      </c>
      <c r="G105" s="40" t="str">
        <f t="shared" si="87"/>
        <v>BD Ultrafine Insulin Syringes / 30G/ 0.5cc  [usage = 30 syringes per month]</v>
      </c>
      <c r="H105" s="40" t="str">
        <f t="shared" si="88"/>
        <v/>
      </c>
      <c r="I105" s="160">
        <f t="shared" si="89"/>
        <v>1</v>
      </c>
      <c r="J105" s="41" t="str">
        <f t="shared" si="90"/>
        <v/>
      </c>
      <c r="K105" s="41" t="str">
        <f t="shared" si="91"/>
        <v/>
      </c>
      <c r="L105" s="41" t="str">
        <f t="shared" si="92"/>
        <v/>
      </c>
      <c r="M105" s="41" t="str">
        <f t="shared" si="93"/>
        <v/>
      </c>
      <c r="N105" s="41" t="str">
        <f t="shared" si="94"/>
        <v/>
      </c>
      <c r="O105" s="41" t="str">
        <f t="shared" si="95"/>
        <v/>
      </c>
      <c r="P105" s="188" t="str">
        <f t="shared" si="96"/>
        <v/>
      </c>
      <c r="Q105" s="221">
        <f t="shared" si="97"/>
        <v>8.4</v>
      </c>
      <c r="R105" s="253">
        <v>8.4</v>
      </c>
      <c r="S105" s="179">
        <f t="shared" si="65"/>
        <v>3310.8466402109984</v>
      </c>
      <c r="T105" s="259"/>
      <c r="U105" s="179">
        <f t="shared" si="66"/>
        <v>65</v>
      </c>
      <c r="V105" s="259"/>
      <c r="W105" s="179">
        <f t="shared" si="67"/>
        <v>0</v>
      </c>
      <c r="X105" s="259"/>
      <c r="Y105" s="179">
        <f t="shared" si="68"/>
        <v>1099.9999518559998</v>
      </c>
      <c r="Z105" s="259"/>
      <c r="AA105" s="179">
        <f t="shared" si="69"/>
        <v>332.42479377000001</v>
      </c>
      <c r="AB105" s="259"/>
      <c r="AC105" s="179">
        <f t="shared" si="70"/>
        <v>0</v>
      </c>
      <c r="AD105" s="189">
        <f t="shared" si="64"/>
        <v>0</v>
      </c>
      <c r="AE105" s="179">
        <f t="shared" si="71"/>
        <v>1432.424745626</v>
      </c>
      <c r="AF105" s="264"/>
      <c r="AG105" s="179">
        <f t="shared" si="72"/>
        <v>999.99995185600005</v>
      </c>
      <c r="AH105" s="268"/>
      <c r="AI105" s="179">
        <f t="shared" si="73"/>
        <v>0</v>
      </c>
      <c r="AJ105" s="268"/>
      <c r="AK105" s="179">
        <f t="shared" si="74"/>
        <v>100</v>
      </c>
      <c r="AL105" s="268"/>
      <c r="AM105" s="179">
        <f t="shared" si="75"/>
        <v>0</v>
      </c>
      <c r="AN105" s="268"/>
      <c r="AO105" s="179">
        <f t="shared" si="76"/>
        <v>0</v>
      </c>
      <c r="AP105" s="268"/>
      <c r="AQ105" s="179">
        <f t="shared" si="77"/>
        <v>0</v>
      </c>
      <c r="AR105" s="273"/>
      <c r="AS105" s="209">
        <f t="shared" si="78"/>
        <v>0</v>
      </c>
      <c r="AT105" s="273"/>
      <c r="AU105" s="226">
        <f t="shared" si="79"/>
        <v>0</v>
      </c>
      <c r="AV105" s="273"/>
      <c r="AW105" s="209">
        <f t="shared" si="80"/>
        <v>0</v>
      </c>
      <c r="AX105" s="273"/>
      <c r="AY105" s="209">
        <f t="shared" si="81"/>
        <v>0</v>
      </c>
      <c r="AZ105" s="273"/>
      <c r="BA105" s="179">
        <f t="shared" si="82"/>
        <v>0</v>
      </c>
      <c r="BB105"/>
      <c r="BC105"/>
      <c r="BD105"/>
    </row>
    <row r="106" spans="1:56" s="34" customFormat="1" x14ac:dyDescent="0.25">
      <c r="A106" s="87">
        <v>40846</v>
      </c>
      <c r="B106" s="42">
        <v>5</v>
      </c>
      <c r="C106" s="41" t="str">
        <f t="shared" si="83"/>
        <v>250.00, V58.66, V58.67</v>
      </c>
      <c r="D106" s="41">
        <f t="shared" si="84"/>
        <v>53885039310</v>
      </c>
      <c r="E106" s="40" t="str">
        <f t="shared" si="85"/>
        <v>Pharmacy Retail</v>
      </c>
      <c r="F106" s="40" t="str">
        <f t="shared" si="86"/>
        <v>Medical equipment and supplies</v>
      </c>
      <c r="G106" s="40" t="str">
        <f t="shared" si="87"/>
        <v>OneTouch Delica Lancets (100 per box)  [usage = 60 lancets per month]</v>
      </c>
      <c r="H106" s="40" t="str">
        <f t="shared" si="88"/>
        <v/>
      </c>
      <c r="I106" s="160">
        <f t="shared" si="89"/>
        <v>1</v>
      </c>
      <c r="J106" s="41" t="str">
        <f t="shared" si="90"/>
        <v/>
      </c>
      <c r="K106" s="41" t="str">
        <f t="shared" si="91"/>
        <v/>
      </c>
      <c r="L106" s="41" t="str">
        <f t="shared" si="92"/>
        <v/>
      </c>
      <c r="M106" s="41" t="str">
        <f t="shared" si="93"/>
        <v/>
      </c>
      <c r="N106" s="41" t="str">
        <f t="shared" si="94"/>
        <v/>
      </c>
      <c r="O106" s="41" t="str">
        <f t="shared" si="95"/>
        <v/>
      </c>
      <c r="P106" s="188" t="str">
        <f t="shared" si="96"/>
        <v/>
      </c>
      <c r="Q106" s="221">
        <f t="shared" si="97"/>
        <v>9</v>
      </c>
      <c r="R106" s="253">
        <v>9</v>
      </c>
      <c r="S106" s="179">
        <f t="shared" si="65"/>
        <v>3319.8466402109984</v>
      </c>
      <c r="T106" s="259"/>
      <c r="U106" s="179">
        <f t="shared" si="66"/>
        <v>65</v>
      </c>
      <c r="V106" s="259"/>
      <c r="W106" s="179">
        <f t="shared" si="67"/>
        <v>0</v>
      </c>
      <c r="X106" s="259"/>
      <c r="Y106" s="179">
        <f t="shared" si="68"/>
        <v>1099.9999518559998</v>
      </c>
      <c r="Z106" s="259"/>
      <c r="AA106" s="179">
        <f t="shared" si="69"/>
        <v>332.42479377000001</v>
      </c>
      <c r="AB106" s="259"/>
      <c r="AC106" s="179">
        <f t="shared" si="70"/>
        <v>0</v>
      </c>
      <c r="AD106" s="189">
        <f t="shared" si="64"/>
        <v>0</v>
      </c>
      <c r="AE106" s="179">
        <f t="shared" si="71"/>
        <v>1432.424745626</v>
      </c>
      <c r="AF106" s="264"/>
      <c r="AG106" s="179">
        <f t="shared" si="72"/>
        <v>999.99995185600005</v>
      </c>
      <c r="AH106" s="268"/>
      <c r="AI106" s="179">
        <f t="shared" si="73"/>
        <v>0</v>
      </c>
      <c r="AJ106" s="268"/>
      <c r="AK106" s="179">
        <f t="shared" si="74"/>
        <v>100</v>
      </c>
      <c r="AL106" s="268"/>
      <c r="AM106" s="179">
        <f t="shared" si="75"/>
        <v>0</v>
      </c>
      <c r="AN106" s="268"/>
      <c r="AO106" s="179">
        <f t="shared" si="76"/>
        <v>0</v>
      </c>
      <c r="AP106" s="268"/>
      <c r="AQ106" s="179">
        <f t="shared" si="77"/>
        <v>0</v>
      </c>
      <c r="AR106" s="273"/>
      <c r="AS106" s="209">
        <f t="shared" si="78"/>
        <v>0</v>
      </c>
      <c r="AT106" s="273"/>
      <c r="AU106" s="226">
        <f t="shared" si="79"/>
        <v>0</v>
      </c>
      <c r="AV106" s="273"/>
      <c r="AW106" s="209">
        <f t="shared" si="80"/>
        <v>0</v>
      </c>
      <c r="AX106" s="273"/>
      <c r="AY106" s="209">
        <f t="shared" si="81"/>
        <v>0</v>
      </c>
      <c r="AZ106" s="273"/>
      <c r="BA106" s="179">
        <f t="shared" si="82"/>
        <v>0</v>
      </c>
      <c r="BB106"/>
      <c r="BC106"/>
      <c r="BD106"/>
    </row>
    <row r="107" spans="1:56" s="34" customFormat="1" x14ac:dyDescent="0.25">
      <c r="A107" s="87">
        <v>40846</v>
      </c>
      <c r="B107" s="42">
        <v>18</v>
      </c>
      <c r="C107" s="41" t="str">
        <f t="shared" si="83"/>
        <v>250.00, V58.66, V58.67</v>
      </c>
      <c r="D107" s="41">
        <f t="shared" si="84"/>
        <v>93104801</v>
      </c>
      <c r="E107" s="40" t="str">
        <f t="shared" si="85"/>
        <v>Pharmacy Retail</v>
      </c>
      <c r="F107" s="40" t="str">
        <f t="shared" si="86"/>
        <v>Pharmacy</v>
      </c>
      <c r="G107" s="40" t="str">
        <f t="shared" si="87"/>
        <v>Metformin hydrochloride 500mg (Rx) [1 BID; #60 pills/month]</v>
      </c>
      <c r="H107" s="40" t="str">
        <f t="shared" si="88"/>
        <v/>
      </c>
      <c r="I107" s="160" t="str">
        <f t="shared" si="89"/>
        <v/>
      </c>
      <c r="J107" s="41">
        <f t="shared" si="90"/>
        <v>1</v>
      </c>
      <c r="K107" s="41" t="str">
        <f t="shared" si="91"/>
        <v/>
      </c>
      <c r="L107" s="41" t="str">
        <f t="shared" si="92"/>
        <v/>
      </c>
      <c r="M107" s="41" t="str">
        <f t="shared" si="93"/>
        <v/>
      </c>
      <c r="N107" s="41" t="str">
        <f t="shared" si="94"/>
        <v/>
      </c>
      <c r="O107" s="41" t="str">
        <f t="shared" si="95"/>
        <v/>
      </c>
      <c r="P107" s="188" t="str">
        <f t="shared" si="96"/>
        <v/>
      </c>
      <c r="Q107" s="221">
        <f t="shared" si="97"/>
        <v>34.369999999999997</v>
      </c>
      <c r="R107" s="253">
        <v>24.369999999999997</v>
      </c>
      <c r="S107" s="179">
        <f t="shared" si="65"/>
        <v>3344.2166402109983</v>
      </c>
      <c r="T107" s="259"/>
      <c r="U107" s="179">
        <f t="shared" si="66"/>
        <v>65</v>
      </c>
      <c r="V107" s="259"/>
      <c r="W107" s="179">
        <f t="shared" si="67"/>
        <v>0</v>
      </c>
      <c r="X107" s="259">
        <v>0</v>
      </c>
      <c r="Y107" s="179">
        <f t="shared" si="68"/>
        <v>1099.9999518559998</v>
      </c>
      <c r="Z107" s="259">
        <v>10</v>
      </c>
      <c r="AA107" s="179">
        <f t="shared" si="69"/>
        <v>342.42479377000001</v>
      </c>
      <c r="AB107" s="259"/>
      <c r="AC107" s="179">
        <f t="shared" si="70"/>
        <v>0</v>
      </c>
      <c r="AD107" s="189">
        <f t="shared" si="64"/>
        <v>10</v>
      </c>
      <c r="AE107" s="179">
        <f t="shared" si="71"/>
        <v>1442.424745626</v>
      </c>
      <c r="AF107" s="264"/>
      <c r="AG107" s="179">
        <f t="shared" si="72"/>
        <v>999.99995185600005</v>
      </c>
      <c r="AH107" s="268"/>
      <c r="AI107" s="179">
        <f t="shared" si="73"/>
        <v>0</v>
      </c>
      <c r="AJ107" s="268">
        <v>0</v>
      </c>
      <c r="AK107" s="179">
        <f t="shared" si="74"/>
        <v>100</v>
      </c>
      <c r="AL107" s="268"/>
      <c r="AM107" s="179">
        <f t="shared" si="75"/>
        <v>0</v>
      </c>
      <c r="AN107" s="268"/>
      <c r="AO107" s="179">
        <f t="shared" si="76"/>
        <v>0</v>
      </c>
      <c r="AP107" s="268"/>
      <c r="AQ107" s="179">
        <f t="shared" si="77"/>
        <v>0</v>
      </c>
      <c r="AR107" s="273"/>
      <c r="AS107" s="209">
        <f t="shared" si="78"/>
        <v>0</v>
      </c>
      <c r="AT107" s="273"/>
      <c r="AU107" s="226">
        <f t="shared" si="79"/>
        <v>0</v>
      </c>
      <c r="AV107" s="273"/>
      <c r="AW107" s="209">
        <f t="shared" si="80"/>
        <v>0</v>
      </c>
      <c r="AX107" s="273"/>
      <c r="AY107" s="209">
        <f t="shared" si="81"/>
        <v>0</v>
      </c>
      <c r="AZ107" s="273"/>
      <c r="BA107" s="179">
        <f t="shared" si="82"/>
        <v>0</v>
      </c>
      <c r="BB107"/>
      <c r="BC107"/>
      <c r="BD107"/>
    </row>
    <row r="108" spans="1:56" s="34" customFormat="1" x14ac:dyDescent="0.25">
      <c r="A108" s="87">
        <v>40846</v>
      </c>
      <c r="B108" s="42">
        <v>19</v>
      </c>
      <c r="C108" s="41" t="str">
        <f t="shared" si="83"/>
        <v>250.00, V58.66, V58.67</v>
      </c>
      <c r="D108" s="41">
        <f t="shared" si="84"/>
        <v>93743801</v>
      </c>
      <c r="E108" s="40" t="str">
        <f t="shared" si="85"/>
        <v>Pharmacy Retail</v>
      </c>
      <c r="F108" s="40" t="str">
        <f t="shared" si="86"/>
        <v>Pharmacy</v>
      </c>
      <c r="G108" s="40" t="str">
        <f t="shared" si="87"/>
        <v>Ramipril 10mg (Rx) [1 QD; #30 pills/month]</v>
      </c>
      <c r="H108" s="40" t="str">
        <f t="shared" si="88"/>
        <v/>
      </c>
      <c r="I108" s="160" t="str">
        <f t="shared" si="89"/>
        <v/>
      </c>
      <c r="J108" s="41">
        <f t="shared" si="90"/>
        <v>1</v>
      </c>
      <c r="K108" s="41" t="str">
        <f t="shared" si="91"/>
        <v/>
      </c>
      <c r="L108" s="41" t="str">
        <f t="shared" si="92"/>
        <v/>
      </c>
      <c r="M108" s="41" t="str">
        <f t="shared" si="93"/>
        <v/>
      </c>
      <c r="N108" s="41" t="str">
        <f t="shared" si="94"/>
        <v/>
      </c>
      <c r="O108" s="41" t="str">
        <f t="shared" si="95"/>
        <v/>
      </c>
      <c r="P108" s="188" t="str">
        <f t="shared" si="96"/>
        <v/>
      </c>
      <c r="Q108" s="221">
        <f t="shared" si="97"/>
        <v>53.81</v>
      </c>
      <c r="R108" s="253">
        <v>43.81</v>
      </c>
      <c r="S108" s="179">
        <f t="shared" si="65"/>
        <v>3388.0266402109983</v>
      </c>
      <c r="T108" s="259"/>
      <c r="U108" s="179">
        <f t="shared" si="66"/>
        <v>65</v>
      </c>
      <c r="V108" s="259"/>
      <c r="W108" s="179">
        <f t="shared" si="67"/>
        <v>0</v>
      </c>
      <c r="X108" s="259">
        <v>0</v>
      </c>
      <c r="Y108" s="179">
        <f t="shared" si="68"/>
        <v>1099.9999518559998</v>
      </c>
      <c r="Z108" s="259">
        <v>10</v>
      </c>
      <c r="AA108" s="179">
        <f t="shared" si="69"/>
        <v>352.42479377000001</v>
      </c>
      <c r="AB108" s="259"/>
      <c r="AC108" s="179">
        <f t="shared" si="70"/>
        <v>0</v>
      </c>
      <c r="AD108" s="189">
        <f t="shared" si="64"/>
        <v>10</v>
      </c>
      <c r="AE108" s="179">
        <f t="shared" si="71"/>
        <v>1452.424745626</v>
      </c>
      <c r="AF108" s="264"/>
      <c r="AG108" s="179">
        <f t="shared" si="72"/>
        <v>999.99995185600005</v>
      </c>
      <c r="AH108" s="268"/>
      <c r="AI108" s="179">
        <f t="shared" si="73"/>
        <v>0</v>
      </c>
      <c r="AJ108" s="268">
        <v>0</v>
      </c>
      <c r="AK108" s="179">
        <f t="shared" si="74"/>
        <v>100</v>
      </c>
      <c r="AL108" s="268"/>
      <c r="AM108" s="179">
        <f t="shared" si="75"/>
        <v>0</v>
      </c>
      <c r="AN108" s="268"/>
      <c r="AO108" s="179">
        <f t="shared" si="76"/>
        <v>0</v>
      </c>
      <c r="AP108" s="268"/>
      <c r="AQ108" s="179">
        <f t="shared" si="77"/>
        <v>0</v>
      </c>
      <c r="AR108" s="273"/>
      <c r="AS108" s="209">
        <f t="shared" si="78"/>
        <v>0</v>
      </c>
      <c r="AT108" s="273"/>
      <c r="AU108" s="226">
        <f t="shared" si="79"/>
        <v>0</v>
      </c>
      <c r="AV108" s="273"/>
      <c r="AW108" s="209">
        <f t="shared" si="80"/>
        <v>0</v>
      </c>
      <c r="AX108" s="273"/>
      <c r="AY108" s="209">
        <f t="shared" si="81"/>
        <v>0</v>
      </c>
      <c r="AZ108" s="273"/>
      <c r="BA108" s="179">
        <f t="shared" si="82"/>
        <v>0</v>
      </c>
      <c r="BB108"/>
      <c r="BC108"/>
      <c r="BD108"/>
    </row>
    <row r="109" spans="1:56" s="34" customFormat="1" x14ac:dyDescent="0.25">
      <c r="A109" s="87">
        <v>40854</v>
      </c>
      <c r="B109" s="42">
        <v>17</v>
      </c>
      <c r="C109" s="41" t="str">
        <f t="shared" si="83"/>
        <v>250.00, V58.66, V58.67</v>
      </c>
      <c r="D109" s="41">
        <f t="shared" si="84"/>
        <v>88222033</v>
      </c>
      <c r="E109" s="40" t="str">
        <f t="shared" si="85"/>
        <v>Pharmacy Retail</v>
      </c>
      <c r="F109" s="40" t="str">
        <f t="shared" si="86"/>
        <v>Pharmacy</v>
      </c>
      <c r="G109" s="40" t="str">
        <f t="shared" si="87"/>
        <v>Insulin glargine 100 unit/ml injectable solution (Rx - 10ml vial)  [20 units QD; expires 28 days after first use]</v>
      </c>
      <c r="H109" s="40" t="str">
        <f t="shared" si="88"/>
        <v/>
      </c>
      <c r="I109" s="160" t="str">
        <f t="shared" si="89"/>
        <v/>
      </c>
      <c r="J109" s="41">
        <f t="shared" si="90"/>
        <v>1</v>
      </c>
      <c r="K109" s="41" t="str">
        <f t="shared" si="91"/>
        <v/>
      </c>
      <c r="L109" s="41" t="str">
        <f t="shared" si="92"/>
        <v/>
      </c>
      <c r="M109" s="41" t="str">
        <f t="shared" si="93"/>
        <v/>
      </c>
      <c r="N109" s="41" t="str">
        <f t="shared" si="94"/>
        <v/>
      </c>
      <c r="O109" s="41" t="str">
        <f t="shared" si="95"/>
        <v/>
      </c>
      <c r="P109" s="188" t="str">
        <f t="shared" si="96"/>
        <v/>
      </c>
      <c r="Q109" s="221">
        <f t="shared" si="97"/>
        <v>119.2</v>
      </c>
      <c r="R109" s="253">
        <v>109.2</v>
      </c>
      <c r="S109" s="179">
        <f t="shared" si="65"/>
        <v>3497.2266402109981</v>
      </c>
      <c r="T109" s="259"/>
      <c r="U109" s="179">
        <f t="shared" si="66"/>
        <v>65</v>
      </c>
      <c r="V109" s="259"/>
      <c r="W109" s="179">
        <f t="shared" si="67"/>
        <v>0</v>
      </c>
      <c r="X109" s="259">
        <v>0</v>
      </c>
      <c r="Y109" s="179">
        <f t="shared" si="68"/>
        <v>1099.9999518559998</v>
      </c>
      <c r="Z109" s="259">
        <v>10</v>
      </c>
      <c r="AA109" s="179">
        <f t="shared" si="69"/>
        <v>362.42479377000001</v>
      </c>
      <c r="AB109" s="259"/>
      <c r="AC109" s="179">
        <f t="shared" si="70"/>
        <v>0</v>
      </c>
      <c r="AD109" s="189">
        <f t="shared" si="64"/>
        <v>10</v>
      </c>
      <c r="AE109" s="179">
        <f t="shared" si="71"/>
        <v>1462.424745626</v>
      </c>
      <c r="AF109" s="264"/>
      <c r="AG109" s="179">
        <f t="shared" si="72"/>
        <v>999.99995185600005</v>
      </c>
      <c r="AH109" s="268"/>
      <c r="AI109" s="179">
        <f t="shared" si="73"/>
        <v>0</v>
      </c>
      <c r="AJ109" s="268">
        <v>0</v>
      </c>
      <c r="AK109" s="179">
        <f t="shared" si="74"/>
        <v>100</v>
      </c>
      <c r="AL109" s="268"/>
      <c r="AM109" s="179">
        <f t="shared" si="75"/>
        <v>0</v>
      </c>
      <c r="AN109" s="268"/>
      <c r="AO109" s="179">
        <f t="shared" si="76"/>
        <v>0</v>
      </c>
      <c r="AP109" s="268"/>
      <c r="AQ109" s="179">
        <f t="shared" si="77"/>
        <v>0</v>
      </c>
      <c r="AR109" s="273"/>
      <c r="AS109" s="209">
        <f t="shared" si="78"/>
        <v>0</v>
      </c>
      <c r="AT109" s="273"/>
      <c r="AU109" s="226">
        <f t="shared" si="79"/>
        <v>0</v>
      </c>
      <c r="AV109" s="273"/>
      <c r="AW109" s="209">
        <f t="shared" si="80"/>
        <v>0</v>
      </c>
      <c r="AX109" s="273"/>
      <c r="AY109" s="209">
        <f t="shared" si="81"/>
        <v>0</v>
      </c>
      <c r="AZ109" s="273"/>
      <c r="BA109" s="179">
        <f t="shared" si="82"/>
        <v>0</v>
      </c>
      <c r="BB109"/>
      <c r="BC109"/>
      <c r="BD109"/>
    </row>
    <row r="110" spans="1:56" s="34" customFormat="1" x14ac:dyDescent="0.25">
      <c r="A110" s="87">
        <v>40876</v>
      </c>
      <c r="B110" s="42">
        <v>25</v>
      </c>
      <c r="C110" s="41" t="str">
        <f t="shared" si="83"/>
        <v>250.00, V58.66, V58.67</v>
      </c>
      <c r="D110" s="41" t="str">
        <f t="shared" si="84"/>
        <v>OTC</v>
      </c>
      <c r="E110" s="40" t="str">
        <f t="shared" si="85"/>
        <v>Pharmacy Retail</v>
      </c>
      <c r="F110" s="40" t="str">
        <f t="shared" si="86"/>
        <v>Medical equipment and supplies</v>
      </c>
      <c r="G110" s="40" t="str">
        <f t="shared" si="87"/>
        <v>Alcohol swabs (OTC - box of 100)  [usage = 3 wipes/day; 90 wipes/month]</v>
      </c>
      <c r="H110" s="40" t="str">
        <f t="shared" si="88"/>
        <v/>
      </c>
      <c r="I110" s="160">
        <f t="shared" si="89"/>
        <v>1</v>
      </c>
      <c r="J110" s="41" t="str">
        <f t="shared" si="90"/>
        <v/>
      </c>
      <c r="K110" s="41" t="str">
        <f t="shared" si="91"/>
        <v/>
      </c>
      <c r="L110" s="41" t="str">
        <f t="shared" si="92"/>
        <v/>
      </c>
      <c r="M110" s="41" t="str">
        <f t="shared" si="93"/>
        <v/>
      </c>
      <c r="N110" s="41" t="str">
        <f t="shared" si="94"/>
        <v/>
      </c>
      <c r="O110" s="41" t="str">
        <f t="shared" si="95"/>
        <v/>
      </c>
      <c r="P110" s="188" t="str">
        <f t="shared" si="96"/>
        <v/>
      </c>
      <c r="Q110" s="221">
        <f t="shared" si="97"/>
        <v>3</v>
      </c>
      <c r="R110" s="253"/>
      <c r="S110" s="179">
        <f t="shared" si="65"/>
        <v>3497.2266402109981</v>
      </c>
      <c r="T110" s="259">
        <v>3</v>
      </c>
      <c r="U110" s="179">
        <f t="shared" si="66"/>
        <v>68</v>
      </c>
      <c r="V110" s="259"/>
      <c r="W110" s="179">
        <f t="shared" si="67"/>
        <v>0</v>
      </c>
      <c r="X110" s="259"/>
      <c r="Y110" s="179">
        <f t="shared" si="68"/>
        <v>1099.9999518559998</v>
      </c>
      <c r="Z110" s="259"/>
      <c r="AA110" s="179">
        <f t="shared" si="69"/>
        <v>362.42479377000001</v>
      </c>
      <c r="AB110" s="259"/>
      <c r="AC110" s="179">
        <f t="shared" si="70"/>
        <v>0</v>
      </c>
      <c r="AD110" s="189">
        <f t="shared" si="64"/>
        <v>0</v>
      </c>
      <c r="AE110" s="179">
        <f t="shared" si="71"/>
        <v>1462.424745626</v>
      </c>
      <c r="AF110" s="264"/>
      <c r="AG110" s="179">
        <f t="shared" si="72"/>
        <v>999.99995185600005</v>
      </c>
      <c r="AH110" s="268"/>
      <c r="AI110" s="179">
        <f t="shared" si="73"/>
        <v>0</v>
      </c>
      <c r="AJ110" s="268"/>
      <c r="AK110" s="179">
        <f t="shared" si="74"/>
        <v>100</v>
      </c>
      <c r="AL110" s="268"/>
      <c r="AM110" s="179">
        <f t="shared" si="75"/>
        <v>0</v>
      </c>
      <c r="AN110" s="268"/>
      <c r="AO110" s="179">
        <f t="shared" si="76"/>
        <v>0</v>
      </c>
      <c r="AP110" s="268"/>
      <c r="AQ110" s="179">
        <f t="shared" si="77"/>
        <v>0</v>
      </c>
      <c r="AR110" s="273"/>
      <c r="AS110" s="209">
        <f t="shared" si="78"/>
        <v>0</v>
      </c>
      <c r="AT110" s="273"/>
      <c r="AU110" s="226">
        <f t="shared" si="79"/>
        <v>0</v>
      </c>
      <c r="AV110" s="273"/>
      <c r="AW110" s="209">
        <f t="shared" si="80"/>
        <v>0</v>
      </c>
      <c r="AX110" s="273"/>
      <c r="AY110" s="209">
        <f t="shared" si="81"/>
        <v>0</v>
      </c>
      <c r="AZ110" s="273"/>
      <c r="BA110" s="179">
        <f t="shared" si="82"/>
        <v>0</v>
      </c>
      <c r="BB110"/>
      <c r="BC110"/>
      <c r="BD110"/>
    </row>
    <row r="111" spans="1:56" s="34" customFormat="1" x14ac:dyDescent="0.25">
      <c r="A111" s="87">
        <v>40876</v>
      </c>
      <c r="B111" s="42">
        <v>14</v>
      </c>
      <c r="C111" s="41" t="str">
        <f t="shared" si="83"/>
        <v>250.00, V58.66, V58.67</v>
      </c>
      <c r="D111" s="41">
        <f t="shared" si="84"/>
        <v>8290328279</v>
      </c>
      <c r="E111" s="40" t="str">
        <f t="shared" si="85"/>
        <v>Pharmacy Retail</v>
      </c>
      <c r="F111" s="40" t="str">
        <f t="shared" si="86"/>
        <v>Medical equipment and supplies</v>
      </c>
      <c r="G111" s="40" t="str">
        <f t="shared" si="87"/>
        <v>BD Ultrafine Insulin Syringes / 30G/ 0.5cc  [usage = 30 syringes per month]</v>
      </c>
      <c r="H111" s="40" t="str">
        <f t="shared" si="88"/>
        <v/>
      </c>
      <c r="I111" s="160">
        <f t="shared" si="89"/>
        <v>1</v>
      </c>
      <c r="J111" s="41" t="str">
        <f t="shared" si="90"/>
        <v/>
      </c>
      <c r="K111" s="41" t="str">
        <f t="shared" si="91"/>
        <v/>
      </c>
      <c r="L111" s="41" t="str">
        <f t="shared" si="92"/>
        <v/>
      </c>
      <c r="M111" s="41" t="str">
        <f t="shared" si="93"/>
        <v/>
      </c>
      <c r="N111" s="41" t="str">
        <f t="shared" si="94"/>
        <v/>
      </c>
      <c r="O111" s="41" t="str">
        <f t="shared" si="95"/>
        <v/>
      </c>
      <c r="P111" s="188" t="str">
        <f t="shared" si="96"/>
        <v/>
      </c>
      <c r="Q111" s="221">
        <f t="shared" si="97"/>
        <v>8.4</v>
      </c>
      <c r="R111" s="253">
        <v>8.4</v>
      </c>
      <c r="S111" s="179">
        <f t="shared" si="65"/>
        <v>3505.6266402109982</v>
      </c>
      <c r="T111" s="259"/>
      <c r="U111" s="179">
        <f t="shared" si="66"/>
        <v>68</v>
      </c>
      <c r="V111" s="259"/>
      <c r="W111" s="179">
        <f t="shared" si="67"/>
        <v>0</v>
      </c>
      <c r="X111" s="259"/>
      <c r="Y111" s="179">
        <f t="shared" si="68"/>
        <v>1099.9999518559998</v>
      </c>
      <c r="Z111" s="259"/>
      <c r="AA111" s="179">
        <f t="shared" si="69"/>
        <v>362.42479377000001</v>
      </c>
      <c r="AB111" s="259"/>
      <c r="AC111" s="179">
        <f t="shared" si="70"/>
        <v>0</v>
      </c>
      <c r="AD111" s="189">
        <f t="shared" si="64"/>
        <v>0</v>
      </c>
      <c r="AE111" s="179">
        <f t="shared" si="71"/>
        <v>1462.424745626</v>
      </c>
      <c r="AF111" s="264"/>
      <c r="AG111" s="179">
        <f t="shared" si="72"/>
        <v>999.99995185600005</v>
      </c>
      <c r="AH111" s="268"/>
      <c r="AI111" s="179">
        <f t="shared" si="73"/>
        <v>0</v>
      </c>
      <c r="AJ111" s="268"/>
      <c r="AK111" s="179">
        <f t="shared" si="74"/>
        <v>100</v>
      </c>
      <c r="AL111" s="268"/>
      <c r="AM111" s="179">
        <f t="shared" si="75"/>
        <v>0</v>
      </c>
      <c r="AN111" s="268"/>
      <c r="AO111" s="179">
        <f t="shared" si="76"/>
        <v>0</v>
      </c>
      <c r="AP111" s="268"/>
      <c r="AQ111" s="179">
        <f t="shared" si="77"/>
        <v>0</v>
      </c>
      <c r="AR111" s="273"/>
      <c r="AS111" s="209">
        <f t="shared" si="78"/>
        <v>0</v>
      </c>
      <c r="AT111" s="273"/>
      <c r="AU111" s="226">
        <f t="shared" si="79"/>
        <v>0</v>
      </c>
      <c r="AV111" s="273"/>
      <c r="AW111" s="209">
        <f t="shared" si="80"/>
        <v>0</v>
      </c>
      <c r="AX111" s="273"/>
      <c r="AY111" s="209">
        <f t="shared" si="81"/>
        <v>0</v>
      </c>
      <c r="AZ111" s="273"/>
      <c r="BA111" s="179">
        <f t="shared" si="82"/>
        <v>0</v>
      </c>
      <c r="BB111"/>
      <c r="BC111"/>
      <c r="BD111"/>
    </row>
    <row r="112" spans="1:56" s="34" customFormat="1" x14ac:dyDescent="0.25">
      <c r="A112" s="87">
        <v>40876</v>
      </c>
      <c r="B112" s="42">
        <v>18</v>
      </c>
      <c r="C112" s="41" t="str">
        <f t="shared" si="83"/>
        <v>250.00, V58.66, V58.67</v>
      </c>
      <c r="D112" s="41">
        <f t="shared" si="84"/>
        <v>93104801</v>
      </c>
      <c r="E112" s="40" t="str">
        <f t="shared" si="85"/>
        <v>Pharmacy Retail</v>
      </c>
      <c r="F112" s="40" t="str">
        <f t="shared" si="86"/>
        <v>Pharmacy</v>
      </c>
      <c r="G112" s="40" t="str">
        <f t="shared" si="87"/>
        <v>Metformin hydrochloride 500mg (Rx) [1 BID; #60 pills/month]</v>
      </c>
      <c r="H112" s="40" t="str">
        <f t="shared" si="88"/>
        <v/>
      </c>
      <c r="I112" s="160" t="str">
        <f t="shared" si="89"/>
        <v/>
      </c>
      <c r="J112" s="41">
        <f t="shared" si="90"/>
        <v>1</v>
      </c>
      <c r="K112" s="41" t="str">
        <f t="shared" si="91"/>
        <v/>
      </c>
      <c r="L112" s="41" t="str">
        <f t="shared" si="92"/>
        <v/>
      </c>
      <c r="M112" s="41" t="str">
        <f t="shared" si="93"/>
        <v/>
      </c>
      <c r="N112" s="41" t="str">
        <f t="shared" si="94"/>
        <v/>
      </c>
      <c r="O112" s="41" t="str">
        <f t="shared" si="95"/>
        <v/>
      </c>
      <c r="P112" s="188" t="str">
        <f t="shared" si="96"/>
        <v/>
      </c>
      <c r="Q112" s="221">
        <f t="shared" si="97"/>
        <v>34.369999999999997</v>
      </c>
      <c r="R112" s="253">
        <v>24.369999999999997</v>
      </c>
      <c r="S112" s="179">
        <f t="shared" si="65"/>
        <v>3529.9966402109981</v>
      </c>
      <c r="T112" s="259"/>
      <c r="U112" s="179">
        <f t="shared" si="66"/>
        <v>68</v>
      </c>
      <c r="V112" s="259"/>
      <c r="W112" s="179">
        <f t="shared" si="67"/>
        <v>0</v>
      </c>
      <c r="X112" s="259">
        <v>0</v>
      </c>
      <c r="Y112" s="179">
        <f t="shared" si="68"/>
        <v>1099.9999518559998</v>
      </c>
      <c r="Z112" s="259">
        <v>10</v>
      </c>
      <c r="AA112" s="179">
        <f t="shared" si="69"/>
        <v>372.42479377000001</v>
      </c>
      <c r="AB112" s="259"/>
      <c r="AC112" s="179">
        <f t="shared" si="70"/>
        <v>0</v>
      </c>
      <c r="AD112" s="189">
        <f t="shared" si="64"/>
        <v>10</v>
      </c>
      <c r="AE112" s="179">
        <f t="shared" si="71"/>
        <v>1472.424745626</v>
      </c>
      <c r="AF112" s="264"/>
      <c r="AG112" s="179">
        <f t="shared" si="72"/>
        <v>999.99995185600005</v>
      </c>
      <c r="AH112" s="268"/>
      <c r="AI112" s="179">
        <f t="shared" si="73"/>
        <v>0</v>
      </c>
      <c r="AJ112" s="268">
        <v>0</v>
      </c>
      <c r="AK112" s="179">
        <f t="shared" si="74"/>
        <v>100</v>
      </c>
      <c r="AL112" s="268"/>
      <c r="AM112" s="179">
        <f t="shared" si="75"/>
        <v>0</v>
      </c>
      <c r="AN112" s="268"/>
      <c r="AO112" s="179">
        <f t="shared" si="76"/>
        <v>0</v>
      </c>
      <c r="AP112" s="268"/>
      <c r="AQ112" s="179">
        <f t="shared" si="77"/>
        <v>0</v>
      </c>
      <c r="AR112" s="273"/>
      <c r="AS112" s="209">
        <f t="shared" si="78"/>
        <v>0</v>
      </c>
      <c r="AT112" s="273"/>
      <c r="AU112" s="226">
        <f t="shared" si="79"/>
        <v>0</v>
      </c>
      <c r="AV112" s="273"/>
      <c r="AW112" s="209">
        <f t="shared" si="80"/>
        <v>0</v>
      </c>
      <c r="AX112" s="273"/>
      <c r="AY112" s="209">
        <f t="shared" si="81"/>
        <v>0</v>
      </c>
      <c r="AZ112" s="273"/>
      <c r="BA112" s="179">
        <f t="shared" si="82"/>
        <v>0</v>
      </c>
      <c r="BB112"/>
      <c r="BC112"/>
      <c r="BD112"/>
    </row>
    <row r="113" spans="1:56" s="34" customFormat="1" x14ac:dyDescent="0.25">
      <c r="A113" s="87">
        <v>40876</v>
      </c>
      <c r="B113" s="42">
        <v>19</v>
      </c>
      <c r="C113" s="41" t="str">
        <f t="shared" si="83"/>
        <v>250.00, V58.66, V58.67</v>
      </c>
      <c r="D113" s="41">
        <f t="shared" si="84"/>
        <v>93743801</v>
      </c>
      <c r="E113" s="40" t="str">
        <f t="shared" si="85"/>
        <v>Pharmacy Retail</v>
      </c>
      <c r="F113" s="40" t="str">
        <f t="shared" si="86"/>
        <v>Pharmacy</v>
      </c>
      <c r="G113" s="40" t="str">
        <f t="shared" si="87"/>
        <v>Ramipril 10mg (Rx) [1 QD; #30 pills/month]</v>
      </c>
      <c r="H113" s="40" t="str">
        <f t="shared" si="88"/>
        <v/>
      </c>
      <c r="I113" s="160" t="str">
        <f t="shared" si="89"/>
        <v/>
      </c>
      <c r="J113" s="41">
        <f t="shared" si="90"/>
        <v>1</v>
      </c>
      <c r="K113" s="41" t="str">
        <f t="shared" si="91"/>
        <v/>
      </c>
      <c r="L113" s="41" t="str">
        <f t="shared" si="92"/>
        <v/>
      </c>
      <c r="M113" s="41" t="str">
        <f t="shared" si="93"/>
        <v/>
      </c>
      <c r="N113" s="41" t="str">
        <f t="shared" si="94"/>
        <v/>
      </c>
      <c r="O113" s="41" t="str">
        <f t="shared" si="95"/>
        <v/>
      </c>
      <c r="P113" s="188" t="str">
        <f t="shared" si="96"/>
        <v/>
      </c>
      <c r="Q113" s="221">
        <f t="shared" si="97"/>
        <v>53.81</v>
      </c>
      <c r="R113" s="253">
        <v>43.81</v>
      </c>
      <c r="S113" s="179">
        <f t="shared" si="65"/>
        <v>3573.806640210998</v>
      </c>
      <c r="T113" s="259"/>
      <c r="U113" s="179">
        <f t="shared" si="66"/>
        <v>68</v>
      </c>
      <c r="V113" s="259"/>
      <c r="W113" s="179">
        <f t="shared" si="67"/>
        <v>0</v>
      </c>
      <c r="X113" s="259">
        <v>0</v>
      </c>
      <c r="Y113" s="179">
        <f t="shared" si="68"/>
        <v>1099.9999518559998</v>
      </c>
      <c r="Z113" s="259">
        <v>10</v>
      </c>
      <c r="AA113" s="179">
        <f t="shared" si="69"/>
        <v>382.42479377000001</v>
      </c>
      <c r="AB113" s="259"/>
      <c r="AC113" s="179">
        <f t="shared" si="70"/>
        <v>0</v>
      </c>
      <c r="AD113" s="189">
        <f t="shared" si="64"/>
        <v>10</v>
      </c>
      <c r="AE113" s="179">
        <f t="shared" si="71"/>
        <v>1482.424745626</v>
      </c>
      <c r="AF113" s="264"/>
      <c r="AG113" s="179">
        <f t="shared" si="72"/>
        <v>999.99995185600005</v>
      </c>
      <c r="AH113" s="268"/>
      <c r="AI113" s="179">
        <f t="shared" si="73"/>
        <v>0</v>
      </c>
      <c r="AJ113" s="268">
        <v>0</v>
      </c>
      <c r="AK113" s="179">
        <f t="shared" si="74"/>
        <v>100</v>
      </c>
      <c r="AL113" s="268"/>
      <c r="AM113" s="179">
        <f t="shared" si="75"/>
        <v>0</v>
      </c>
      <c r="AN113" s="268"/>
      <c r="AO113" s="179">
        <f t="shared" si="76"/>
        <v>0</v>
      </c>
      <c r="AP113" s="268"/>
      <c r="AQ113" s="179">
        <f t="shared" si="77"/>
        <v>0</v>
      </c>
      <c r="AR113" s="273"/>
      <c r="AS113" s="209">
        <f t="shared" si="78"/>
        <v>0</v>
      </c>
      <c r="AT113" s="273"/>
      <c r="AU113" s="226">
        <f t="shared" si="79"/>
        <v>0</v>
      </c>
      <c r="AV113" s="273"/>
      <c r="AW113" s="209">
        <f t="shared" si="80"/>
        <v>0</v>
      </c>
      <c r="AX113" s="273"/>
      <c r="AY113" s="209">
        <f t="shared" si="81"/>
        <v>0</v>
      </c>
      <c r="AZ113" s="273"/>
      <c r="BA113" s="179">
        <f t="shared" si="82"/>
        <v>0</v>
      </c>
      <c r="BB113"/>
      <c r="BC113"/>
      <c r="BD113"/>
    </row>
    <row r="114" spans="1:56" s="34" customFormat="1" x14ac:dyDescent="0.25">
      <c r="A114" s="87">
        <v>40882</v>
      </c>
      <c r="B114" s="42">
        <v>26</v>
      </c>
      <c r="C114" s="41" t="str">
        <f t="shared" si="83"/>
        <v>250.00, V58.66, V58.67</v>
      </c>
      <c r="D114" s="41" t="str">
        <f t="shared" si="84"/>
        <v>OTC</v>
      </c>
      <c r="E114" s="40" t="str">
        <f t="shared" si="85"/>
        <v>Pharmacy Retail</v>
      </c>
      <c r="F114" s="40" t="str">
        <f t="shared" si="86"/>
        <v>Pharmacy</v>
      </c>
      <c r="G114" s="40" t="str">
        <f t="shared" si="87"/>
        <v>Aspirin 81mg (OTC - bottle 100) [usage = 1 QD; #30 pills per month]</v>
      </c>
      <c r="H114" s="40" t="str">
        <f t="shared" si="88"/>
        <v/>
      </c>
      <c r="I114" s="160" t="str">
        <f t="shared" si="89"/>
        <v/>
      </c>
      <c r="J114" s="41" t="str">
        <f t="shared" si="90"/>
        <v/>
      </c>
      <c r="K114" s="41" t="str">
        <f t="shared" si="91"/>
        <v/>
      </c>
      <c r="L114" s="41" t="str">
        <f t="shared" si="92"/>
        <v/>
      </c>
      <c r="M114" s="41" t="str">
        <f t="shared" si="93"/>
        <v/>
      </c>
      <c r="N114" s="41" t="str">
        <f t="shared" si="94"/>
        <v/>
      </c>
      <c r="O114" s="41" t="str">
        <f t="shared" si="95"/>
        <v/>
      </c>
      <c r="P114" s="188" t="str">
        <f t="shared" si="96"/>
        <v/>
      </c>
      <c r="Q114" s="221">
        <f t="shared" si="97"/>
        <v>8</v>
      </c>
      <c r="R114" s="253"/>
      <c r="S114" s="179">
        <f t="shared" si="65"/>
        <v>3573.806640210998</v>
      </c>
      <c r="T114" s="259">
        <v>8</v>
      </c>
      <c r="U114" s="179">
        <f t="shared" si="66"/>
        <v>76</v>
      </c>
      <c r="V114" s="259"/>
      <c r="W114" s="179">
        <f t="shared" si="67"/>
        <v>0</v>
      </c>
      <c r="X114" s="259"/>
      <c r="Y114" s="179">
        <f t="shared" si="68"/>
        <v>1099.9999518559998</v>
      </c>
      <c r="Z114" s="259"/>
      <c r="AA114" s="179">
        <f t="shared" si="69"/>
        <v>382.42479377000001</v>
      </c>
      <c r="AB114" s="259"/>
      <c r="AC114" s="179">
        <f t="shared" si="70"/>
        <v>0</v>
      </c>
      <c r="AD114" s="189">
        <f t="shared" si="64"/>
        <v>0</v>
      </c>
      <c r="AE114" s="179">
        <f t="shared" si="71"/>
        <v>1482.424745626</v>
      </c>
      <c r="AF114" s="264"/>
      <c r="AG114" s="179">
        <f t="shared" si="72"/>
        <v>999.99995185600005</v>
      </c>
      <c r="AH114" s="268"/>
      <c r="AI114" s="179">
        <f t="shared" si="73"/>
        <v>0</v>
      </c>
      <c r="AJ114" s="268"/>
      <c r="AK114" s="179">
        <f t="shared" si="74"/>
        <v>100</v>
      </c>
      <c r="AL114" s="268"/>
      <c r="AM114" s="179">
        <f t="shared" si="75"/>
        <v>0</v>
      </c>
      <c r="AN114" s="268"/>
      <c r="AO114" s="179">
        <f t="shared" si="76"/>
        <v>0</v>
      </c>
      <c r="AP114" s="268"/>
      <c r="AQ114" s="179">
        <f t="shared" si="77"/>
        <v>0</v>
      </c>
      <c r="AR114" s="273"/>
      <c r="AS114" s="209">
        <f t="shared" si="78"/>
        <v>0</v>
      </c>
      <c r="AT114" s="273"/>
      <c r="AU114" s="226">
        <f t="shared" si="79"/>
        <v>0</v>
      </c>
      <c r="AV114" s="273"/>
      <c r="AW114" s="209">
        <f t="shared" si="80"/>
        <v>0</v>
      </c>
      <c r="AX114" s="273"/>
      <c r="AY114" s="209">
        <f t="shared" si="81"/>
        <v>0</v>
      </c>
      <c r="AZ114" s="273"/>
      <c r="BA114" s="179">
        <f t="shared" si="82"/>
        <v>0</v>
      </c>
      <c r="BB114"/>
      <c r="BC114"/>
      <c r="BD114"/>
    </row>
    <row r="115" spans="1:56" s="34" customFormat="1" x14ac:dyDescent="0.25">
      <c r="A115" s="87">
        <v>40882</v>
      </c>
      <c r="B115" s="42">
        <v>17</v>
      </c>
      <c r="C115" s="41" t="str">
        <f t="shared" si="83"/>
        <v>250.00, V58.66, V58.67</v>
      </c>
      <c r="D115" s="41">
        <f t="shared" si="84"/>
        <v>88222033</v>
      </c>
      <c r="E115" s="40" t="str">
        <f t="shared" si="85"/>
        <v>Pharmacy Retail</v>
      </c>
      <c r="F115" s="40" t="str">
        <f t="shared" si="86"/>
        <v>Pharmacy</v>
      </c>
      <c r="G115" s="40" t="str">
        <f t="shared" si="87"/>
        <v>Insulin glargine 100 unit/ml injectable solution (Rx - 10ml vial)  [20 units QD; expires 28 days after first use]</v>
      </c>
      <c r="H115" s="40" t="str">
        <f t="shared" si="88"/>
        <v/>
      </c>
      <c r="I115" s="160" t="str">
        <f t="shared" si="89"/>
        <v/>
      </c>
      <c r="J115" s="41">
        <f t="shared" si="90"/>
        <v>1</v>
      </c>
      <c r="K115" s="41" t="str">
        <f t="shared" si="91"/>
        <v/>
      </c>
      <c r="L115" s="41" t="str">
        <f t="shared" si="92"/>
        <v/>
      </c>
      <c r="M115" s="41" t="str">
        <f t="shared" si="93"/>
        <v/>
      </c>
      <c r="N115" s="41" t="str">
        <f t="shared" si="94"/>
        <v/>
      </c>
      <c r="O115" s="41" t="str">
        <f t="shared" si="95"/>
        <v/>
      </c>
      <c r="P115" s="188" t="str">
        <f t="shared" si="96"/>
        <v/>
      </c>
      <c r="Q115" s="221">
        <f t="shared" si="97"/>
        <v>119.2</v>
      </c>
      <c r="R115" s="253">
        <v>109.2</v>
      </c>
      <c r="S115" s="179">
        <f t="shared" si="65"/>
        <v>3683.0066402109978</v>
      </c>
      <c r="T115" s="259"/>
      <c r="U115" s="179">
        <f t="shared" si="66"/>
        <v>76</v>
      </c>
      <c r="V115" s="259"/>
      <c r="W115" s="179">
        <f t="shared" si="67"/>
        <v>0</v>
      </c>
      <c r="X115" s="259">
        <v>0</v>
      </c>
      <c r="Y115" s="179">
        <f t="shared" si="68"/>
        <v>1099.9999518559998</v>
      </c>
      <c r="Z115" s="259">
        <v>10</v>
      </c>
      <c r="AA115" s="179">
        <f t="shared" si="69"/>
        <v>392.42479377000001</v>
      </c>
      <c r="AB115" s="259"/>
      <c r="AC115" s="179">
        <f t="shared" si="70"/>
        <v>0</v>
      </c>
      <c r="AD115" s="189">
        <f t="shared" si="64"/>
        <v>10</v>
      </c>
      <c r="AE115" s="179">
        <f t="shared" si="71"/>
        <v>1492.424745626</v>
      </c>
      <c r="AF115" s="264"/>
      <c r="AG115" s="179">
        <f t="shared" si="72"/>
        <v>999.99995185600005</v>
      </c>
      <c r="AH115" s="268"/>
      <c r="AI115" s="179">
        <f t="shared" si="73"/>
        <v>0</v>
      </c>
      <c r="AJ115" s="268">
        <v>0</v>
      </c>
      <c r="AK115" s="179">
        <f t="shared" si="74"/>
        <v>100</v>
      </c>
      <c r="AL115" s="268"/>
      <c r="AM115" s="179">
        <f t="shared" si="75"/>
        <v>0</v>
      </c>
      <c r="AN115" s="268"/>
      <c r="AO115" s="179">
        <f t="shared" si="76"/>
        <v>0</v>
      </c>
      <c r="AP115" s="268"/>
      <c r="AQ115" s="179">
        <f t="shared" si="77"/>
        <v>0</v>
      </c>
      <c r="AR115" s="273"/>
      <c r="AS115" s="209">
        <f t="shared" si="78"/>
        <v>0</v>
      </c>
      <c r="AT115" s="273"/>
      <c r="AU115" s="226">
        <f t="shared" si="79"/>
        <v>0</v>
      </c>
      <c r="AV115" s="273"/>
      <c r="AW115" s="209">
        <f t="shared" si="80"/>
        <v>0</v>
      </c>
      <c r="AX115" s="273"/>
      <c r="AY115" s="209">
        <f t="shared" si="81"/>
        <v>0</v>
      </c>
      <c r="AZ115" s="273"/>
      <c r="BA115" s="179">
        <f t="shared" si="82"/>
        <v>0</v>
      </c>
      <c r="BB115"/>
      <c r="BC115"/>
      <c r="BD115"/>
    </row>
    <row r="116" spans="1:56" s="34" customFormat="1" x14ac:dyDescent="0.25">
      <c r="A116" s="87">
        <v>40896</v>
      </c>
      <c r="B116" s="42">
        <v>5</v>
      </c>
      <c r="C116" s="41" t="str">
        <f t="shared" si="83"/>
        <v>250.00, V58.66, V58.67</v>
      </c>
      <c r="D116" s="41">
        <f t="shared" si="84"/>
        <v>53885039310</v>
      </c>
      <c r="E116" s="40" t="str">
        <f t="shared" si="85"/>
        <v>Pharmacy Retail</v>
      </c>
      <c r="F116" s="40" t="str">
        <f t="shared" si="86"/>
        <v>Medical equipment and supplies</v>
      </c>
      <c r="G116" s="40" t="str">
        <f t="shared" si="87"/>
        <v>OneTouch Delica Lancets (100 per box)  [usage = 60 lancets per month]</v>
      </c>
      <c r="H116" s="40" t="str">
        <f t="shared" si="88"/>
        <v/>
      </c>
      <c r="I116" s="160">
        <f t="shared" si="89"/>
        <v>1</v>
      </c>
      <c r="J116" s="41" t="str">
        <f t="shared" si="90"/>
        <v/>
      </c>
      <c r="K116" s="41" t="str">
        <f t="shared" si="91"/>
        <v/>
      </c>
      <c r="L116" s="41" t="str">
        <f t="shared" si="92"/>
        <v/>
      </c>
      <c r="M116" s="41" t="str">
        <f t="shared" si="93"/>
        <v/>
      </c>
      <c r="N116" s="41" t="str">
        <f t="shared" si="94"/>
        <v/>
      </c>
      <c r="O116" s="41" t="str">
        <f t="shared" si="95"/>
        <v/>
      </c>
      <c r="P116" s="188" t="str">
        <f t="shared" si="96"/>
        <v/>
      </c>
      <c r="Q116" s="221">
        <f t="shared" si="97"/>
        <v>9</v>
      </c>
      <c r="R116" s="253">
        <v>9</v>
      </c>
      <c r="S116" s="179">
        <f t="shared" si="65"/>
        <v>3692.0066402109978</v>
      </c>
      <c r="T116" s="259"/>
      <c r="U116" s="179">
        <f t="shared" si="66"/>
        <v>76</v>
      </c>
      <c r="V116" s="259"/>
      <c r="W116" s="179">
        <f t="shared" si="67"/>
        <v>0</v>
      </c>
      <c r="X116" s="259"/>
      <c r="Y116" s="179">
        <f t="shared" si="68"/>
        <v>1099.9999518559998</v>
      </c>
      <c r="Z116" s="259"/>
      <c r="AA116" s="179">
        <f t="shared" si="69"/>
        <v>392.42479377000001</v>
      </c>
      <c r="AB116" s="259"/>
      <c r="AC116" s="179">
        <f t="shared" si="70"/>
        <v>0</v>
      </c>
      <c r="AD116" s="189">
        <f t="shared" si="64"/>
        <v>0</v>
      </c>
      <c r="AE116" s="179">
        <f t="shared" si="71"/>
        <v>1492.424745626</v>
      </c>
      <c r="AF116" s="264"/>
      <c r="AG116" s="179">
        <f t="shared" si="72"/>
        <v>999.99995185600005</v>
      </c>
      <c r="AH116" s="268"/>
      <c r="AI116" s="179">
        <f t="shared" si="73"/>
        <v>0</v>
      </c>
      <c r="AJ116" s="268"/>
      <c r="AK116" s="179">
        <f t="shared" si="74"/>
        <v>100</v>
      </c>
      <c r="AL116" s="268"/>
      <c r="AM116" s="179">
        <f t="shared" si="75"/>
        <v>0</v>
      </c>
      <c r="AN116" s="268"/>
      <c r="AO116" s="179">
        <f t="shared" si="76"/>
        <v>0</v>
      </c>
      <c r="AP116" s="268"/>
      <c r="AQ116" s="179">
        <f t="shared" si="77"/>
        <v>0</v>
      </c>
      <c r="AR116" s="273"/>
      <c r="AS116" s="209">
        <f t="shared" si="78"/>
        <v>0</v>
      </c>
      <c r="AT116" s="273"/>
      <c r="AU116" s="226">
        <f t="shared" si="79"/>
        <v>0</v>
      </c>
      <c r="AV116" s="273"/>
      <c r="AW116" s="209">
        <f t="shared" si="80"/>
        <v>0</v>
      </c>
      <c r="AX116" s="273"/>
      <c r="AY116" s="209">
        <f t="shared" si="81"/>
        <v>0</v>
      </c>
      <c r="AZ116" s="273"/>
      <c r="BA116" s="179">
        <f t="shared" si="82"/>
        <v>0</v>
      </c>
      <c r="BB116"/>
      <c r="BC116"/>
      <c r="BD116"/>
    </row>
    <row r="117" spans="1:56" s="34" customFormat="1" x14ac:dyDescent="0.25">
      <c r="A117" s="87">
        <v>40896</v>
      </c>
      <c r="B117" s="42">
        <v>4</v>
      </c>
      <c r="C117" s="41" t="str">
        <f t="shared" si="83"/>
        <v>250.00, V58.66, V58.67</v>
      </c>
      <c r="D117" s="41">
        <f t="shared" si="84"/>
        <v>53885024510</v>
      </c>
      <c r="E117" s="40" t="str">
        <f t="shared" si="85"/>
        <v>Pharmacy Retail</v>
      </c>
      <c r="F117" s="40" t="str">
        <f t="shared" si="86"/>
        <v>Medical equipment and supplies</v>
      </c>
      <c r="G117" s="40" t="str">
        <f t="shared" si="87"/>
        <v xml:space="preserve">OneTouch Ultra Blue Test Strips (Rx - box of 100) [usage = 2 strips/day; 60 per month] </v>
      </c>
      <c r="H117" s="40" t="str">
        <f t="shared" si="88"/>
        <v/>
      </c>
      <c r="I117" s="160">
        <f t="shared" si="89"/>
        <v>1</v>
      </c>
      <c r="J117" s="41" t="str">
        <f t="shared" si="90"/>
        <v/>
      </c>
      <c r="K117" s="41" t="str">
        <f t="shared" si="91"/>
        <v/>
      </c>
      <c r="L117" s="41" t="str">
        <f t="shared" si="92"/>
        <v/>
      </c>
      <c r="M117" s="41" t="str">
        <f t="shared" si="93"/>
        <v/>
      </c>
      <c r="N117" s="41" t="str">
        <f t="shared" si="94"/>
        <v/>
      </c>
      <c r="O117" s="41" t="str">
        <f t="shared" si="95"/>
        <v/>
      </c>
      <c r="P117" s="188" t="str">
        <f t="shared" si="96"/>
        <v/>
      </c>
      <c r="Q117" s="221">
        <f t="shared" si="97"/>
        <v>123.6</v>
      </c>
      <c r="R117" s="253">
        <v>123.6</v>
      </c>
      <c r="S117" s="179">
        <f t="shared" si="65"/>
        <v>3815.6066402109977</v>
      </c>
      <c r="T117" s="259"/>
      <c r="U117" s="179">
        <f t="shared" si="66"/>
        <v>76</v>
      </c>
      <c r="V117" s="259"/>
      <c r="W117" s="179">
        <f t="shared" si="67"/>
        <v>0</v>
      </c>
      <c r="X117" s="259"/>
      <c r="Y117" s="179">
        <f t="shared" si="68"/>
        <v>1099.9999518559998</v>
      </c>
      <c r="Z117" s="259"/>
      <c r="AA117" s="179">
        <f t="shared" si="69"/>
        <v>392.42479377000001</v>
      </c>
      <c r="AB117" s="259"/>
      <c r="AC117" s="179">
        <f t="shared" si="70"/>
        <v>0</v>
      </c>
      <c r="AD117" s="189">
        <f t="shared" si="64"/>
        <v>0</v>
      </c>
      <c r="AE117" s="179">
        <f t="shared" si="71"/>
        <v>1492.424745626</v>
      </c>
      <c r="AF117" s="264"/>
      <c r="AG117" s="179">
        <f t="shared" si="72"/>
        <v>999.99995185600005</v>
      </c>
      <c r="AH117" s="268"/>
      <c r="AI117" s="179">
        <f t="shared" si="73"/>
        <v>0</v>
      </c>
      <c r="AJ117" s="268"/>
      <c r="AK117" s="179">
        <f t="shared" si="74"/>
        <v>100</v>
      </c>
      <c r="AL117" s="268"/>
      <c r="AM117" s="179">
        <f t="shared" si="75"/>
        <v>0</v>
      </c>
      <c r="AN117" s="268"/>
      <c r="AO117" s="179">
        <f t="shared" si="76"/>
        <v>0</v>
      </c>
      <c r="AP117" s="268"/>
      <c r="AQ117" s="179">
        <f t="shared" si="77"/>
        <v>0</v>
      </c>
      <c r="AR117" s="273"/>
      <c r="AS117" s="209">
        <f t="shared" si="78"/>
        <v>0</v>
      </c>
      <c r="AT117" s="273"/>
      <c r="AU117" s="226">
        <f t="shared" si="79"/>
        <v>0</v>
      </c>
      <c r="AV117" s="273"/>
      <c r="AW117" s="209">
        <f t="shared" si="80"/>
        <v>0</v>
      </c>
      <c r="AX117" s="273"/>
      <c r="AY117" s="209">
        <f t="shared" si="81"/>
        <v>0</v>
      </c>
      <c r="AZ117" s="273"/>
      <c r="BA117" s="179">
        <f t="shared" si="82"/>
        <v>0</v>
      </c>
      <c r="BB117"/>
      <c r="BC117"/>
      <c r="BD117"/>
    </row>
    <row r="118" spans="1:56" s="34" customFormat="1" x14ac:dyDescent="0.25">
      <c r="A118" s="87">
        <v>40906</v>
      </c>
      <c r="B118" s="42">
        <v>25</v>
      </c>
      <c r="C118" s="41" t="str">
        <f t="shared" si="83"/>
        <v>250.00, V58.66, V58.67</v>
      </c>
      <c r="D118" s="41" t="str">
        <f t="shared" si="84"/>
        <v>OTC</v>
      </c>
      <c r="E118" s="40" t="str">
        <f t="shared" si="85"/>
        <v>Pharmacy Retail</v>
      </c>
      <c r="F118" s="40" t="str">
        <f t="shared" si="86"/>
        <v>Medical equipment and supplies</v>
      </c>
      <c r="G118" s="40" t="str">
        <f t="shared" si="87"/>
        <v>Alcohol swabs (OTC - box of 100)  [usage = 3 wipes/day; 90 wipes/month]</v>
      </c>
      <c r="H118" s="40" t="str">
        <f t="shared" si="88"/>
        <v/>
      </c>
      <c r="I118" s="160">
        <f t="shared" si="89"/>
        <v>1</v>
      </c>
      <c r="J118" s="41" t="str">
        <f t="shared" si="90"/>
        <v/>
      </c>
      <c r="K118" s="41" t="str">
        <f t="shared" si="91"/>
        <v/>
      </c>
      <c r="L118" s="41" t="str">
        <f t="shared" si="92"/>
        <v/>
      </c>
      <c r="M118" s="41" t="str">
        <f t="shared" si="93"/>
        <v/>
      </c>
      <c r="N118" s="41" t="str">
        <f t="shared" si="94"/>
        <v/>
      </c>
      <c r="O118" s="41" t="str">
        <f t="shared" si="95"/>
        <v/>
      </c>
      <c r="P118" s="188" t="str">
        <f t="shared" si="96"/>
        <v/>
      </c>
      <c r="Q118" s="221">
        <f t="shared" si="97"/>
        <v>3</v>
      </c>
      <c r="R118" s="253"/>
      <c r="S118" s="179">
        <f t="shared" si="65"/>
        <v>3815.6066402109977</v>
      </c>
      <c r="T118" s="259">
        <v>3</v>
      </c>
      <c r="U118" s="179">
        <f t="shared" si="66"/>
        <v>79</v>
      </c>
      <c r="V118" s="259"/>
      <c r="W118" s="179">
        <f t="shared" si="67"/>
        <v>0</v>
      </c>
      <c r="X118" s="259"/>
      <c r="Y118" s="179">
        <f t="shared" si="68"/>
        <v>1099.9999518559998</v>
      </c>
      <c r="Z118" s="259"/>
      <c r="AA118" s="179">
        <f t="shared" si="69"/>
        <v>392.42479377000001</v>
      </c>
      <c r="AB118" s="259"/>
      <c r="AC118" s="179">
        <f t="shared" si="70"/>
        <v>0</v>
      </c>
      <c r="AD118" s="189">
        <f t="shared" si="64"/>
        <v>0</v>
      </c>
      <c r="AE118" s="179">
        <f t="shared" si="71"/>
        <v>1492.424745626</v>
      </c>
      <c r="AF118" s="264"/>
      <c r="AG118" s="179">
        <f t="shared" si="72"/>
        <v>999.99995185600005</v>
      </c>
      <c r="AH118" s="268"/>
      <c r="AI118" s="179">
        <f t="shared" si="73"/>
        <v>0</v>
      </c>
      <c r="AJ118" s="268"/>
      <c r="AK118" s="179">
        <f t="shared" si="74"/>
        <v>100</v>
      </c>
      <c r="AL118" s="268"/>
      <c r="AM118" s="179">
        <f t="shared" si="75"/>
        <v>0</v>
      </c>
      <c r="AN118" s="268"/>
      <c r="AO118" s="179">
        <f t="shared" si="76"/>
        <v>0</v>
      </c>
      <c r="AP118" s="268"/>
      <c r="AQ118" s="179">
        <f t="shared" si="77"/>
        <v>0</v>
      </c>
      <c r="AR118" s="273"/>
      <c r="AS118" s="209">
        <f t="shared" si="78"/>
        <v>0</v>
      </c>
      <c r="AT118" s="273"/>
      <c r="AU118" s="226">
        <f t="shared" si="79"/>
        <v>0</v>
      </c>
      <c r="AV118" s="273"/>
      <c r="AW118" s="209">
        <f t="shared" si="80"/>
        <v>0</v>
      </c>
      <c r="AX118" s="273"/>
      <c r="AY118" s="209">
        <f t="shared" si="81"/>
        <v>0</v>
      </c>
      <c r="AZ118" s="273"/>
      <c r="BA118" s="179">
        <f t="shared" si="82"/>
        <v>0</v>
      </c>
      <c r="BB118"/>
      <c r="BC118"/>
      <c r="BD118"/>
    </row>
    <row r="119" spans="1:56" s="34" customFormat="1" x14ac:dyDescent="0.25">
      <c r="A119" s="87">
        <v>40906</v>
      </c>
      <c r="B119" s="42">
        <v>14</v>
      </c>
      <c r="C119" s="41" t="str">
        <f t="shared" si="83"/>
        <v>250.00, V58.66, V58.67</v>
      </c>
      <c r="D119" s="41">
        <f t="shared" si="84"/>
        <v>8290328279</v>
      </c>
      <c r="E119" s="40" t="str">
        <f t="shared" si="85"/>
        <v>Pharmacy Retail</v>
      </c>
      <c r="F119" s="40" t="str">
        <f t="shared" si="86"/>
        <v>Medical equipment and supplies</v>
      </c>
      <c r="G119" s="40" t="str">
        <f t="shared" si="87"/>
        <v>BD Ultrafine Insulin Syringes / 30G/ 0.5cc  [usage = 30 syringes per month]</v>
      </c>
      <c r="H119" s="40" t="str">
        <f t="shared" si="88"/>
        <v/>
      </c>
      <c r="I119" s="160">
        <f t="shared" si="89"/>
        <v>1</v>
      </c>
      <c r="J119" s="41" t="str">
        <f t="shared" si="90"/>
        <v/>
      </c>
      <c r="K119" s="41" t="str">
        <f t="shared" si="91"/>
        <v/>
      </c>
      <c r="L119" s="41" t="str">
        <f t="shared" si="92"/>
        <v/>
      </c>
      <c r="M119" s="41" t="str">
        <f t="shared" si="93"/>
        <v/>
      </c>
      <c r="N119" s="41" t="str">
        <f t="shared" si="94"/>
        <v/>
      </c>
      <c r="O119" s="41" t="str">
        <f t="shared" si="95"/>
        <v/>
      </c>
      <c r="P119" s="188" t="str">
        <f t="shared" si="96"/>
        <v/>
      </c>
      <c r="Q119" s="221">
        <f t="shared" si="97"/>
        <v>8.4</v>
      </c>
      <c r="R119" s="253">
        <v>8.4</v>
      </c>
      <c r="S119" s="179">
        <f t="shared" si="65"/>
        <v>3824.0066402109978</v>
      </c>
      <c r="T119" s="259"/>
      <c r="U119" s="179">
        <f t="shared" si="66"/>
        <v>79</v>
      </c>
      <c r="V119" s="259"/>
      <c r="W119" s="179">
        <f t="shared" si="67"/>
        <v>0</v>
      </c>
      <c r="X119" s="259"/>
      <c r="Y119" s="179">
        <f t="shared" si="68"/>
        <v>1099.9999518559998</v>
      </c>
      <c r="Z119" s="259"/>
      <c r="AA119" s="179">
        <f t="shared" si="69"/>
        <v>392.42479377000001</v>
      </c>
      <c r="AB119" s="259"/>
      <c r="AC119" s="179">
        <f t="shared" si="70"/>
        <v>0</v>
      </c>
      <c r="AD119" s="189">
        <f t="shared" si="64"/>
        <v>0</v>
      </c>
      <c r="AE119" s="179">
        <f t="shared" si="71"/>
        <v>1492.424745626</v>
      </c>
      <c r="AF119" s="264"/>
      <c r="AG119" s="179">
        <f t="shared" si="72"/>
        <v>999.99995185600005</v>
      </c>
      <c r="AH119" s="268"/>
      <c r="AI119" s="179">
        <f t="shared" si="73"/>
        <v>0</v>
      </c>
      <c r="AJ119" s="268"/>
      <c r="AK119" s="179">
        <f t="shared" si="74"/>
        <v>100</v>
      </c>
      <c r="AL119" s="268"/>
      <c r="AM119" s="179">
        <f t="shared" si="75"/>
        <v>0</v>
      </c>
      <c r="AN119" s="268"/>
      <c r="AO119" s="179">
        <f t="shared" si="76"/>
        <v>0</v>
      </c>
      <c r="AP119" s="268"/>
      <c r="AQ119" s="179">
        <f t="shared" si="77"/>
        <v>0</v>
      </c>
      <c r="AR119" s="273"/>
      <c r="AS119" s="209">
        <f t="shared" si="78"/>
        <v>0</v>
      </c>
      <c r="AT119" s="273"/>
      <c r="AU119" s="226">
        <f t="shared" si="79"/>
        <v>0</v>
      </c>
      <c r="AV119" s="273"/>
      <c r="AW119" s="209">
        <f t="shared" si="80"/>
        <v>0</v>
      </c>
      <c r="AX119" s="273"/>
      <c r="AY119" s="209">
        <f t="shared" si="81"/>
        <v>0</v>
      </c>
      <c r="AZ119" s="273"/>
      <c r="BA119" s="179">
        <f t="shared" si="82"/>
        <v>0</v>
      </c>
      <c r="BB119"/>
      <c r="BC119"/>
      <c r="BD119"/>
    </row>
    <row r="120" spans="1:56" s="34" customFormat="1" x14ac:dyDescent="0.25">
      <c r="A120" s="87">
        <v>40906</v>
      </c>
      <c r="B120" s="42">
        <v>6</v>
      </c>
      <c r="C120" s="41" t="str">
        <f t="shared" si="83"/>
        <v>250.00, V58.66, V58.67</v>
      </c>
      <c r="D120" s="41" t="str">
        <f t="shared" si="84"/>
        <v>53885041601</v>
      </c>
      <c r="E120" s="40" t="str">
        <f t="shared" si="85"/>
        <v>Pharmacy Retail</v>
      </c>
      <c r="F120" s="40" t="str">
        <f t="shared" si="86"/>
        <v>Medical equipment and supplies</v>
      </c>
      <c r="G120" s="40" t="str">
        <f t="shared" si="87"/>
        <v>OneTouch Ultra Control Solution (2 vials/box)</v>
      </c>
      <c r="H120" s="40" t="str">
        <f t="shared" si="88"/>
        <v/>
      </c>
      <c r="I120" s="160">
        <f t="shared" si="89"/>
        <v>1</v>
      </c>
      <c r="J120" s="41" t="str">
        <f t="shared" si="90"/>
        <v/>
      </c>
      <c r="K120" s="41" t="str">
        <f t="shared" si="91"/>
        <v/>
      </c>
      <c r="L120" s="41" t="str">
        <f t="shared" si="92"/>
        <v/>
      </c>
      <c r="M120" s="41" t="str">
        <f t="shared" si="93"/>
        <v/>
      </c>
      <c r="N120" s="41" t="str">
        <f t="shared" si="94"/>
        <v/>
      </c>
      <c r="O120" s="41" t="str">
        <f t="shared" si="95"/>
        <v/>
      </c>
      <c r="P120" s="188" t="str">
        <f t="shared" si="96"/>
        <v/>
      </c>
      <c r="Q120" s="221">
        <f t="shared" si="97"/>
        <v>6.02</v>
      </c>
      <c r="R120" s="253">
        <v>6.02</v>
      </c>
      <c r="S120" s="179">
        <f t="shared" si="65"/>
        <v>3830.0266402109978</v>
      </c>
      <c r="T120" s="259"/>
      <c r="U120" s="179">
        <f t="shared" si="66"/>
        <v>79</v>
      </c>
      <c r="V120" s="259"/>
      <c r="W120" s="179">
        <f t="shared" si="67"/>
        <v>0</v>
      </c>
      <c r="X120" s="259"/>
      <c r="Y120" s="179">
        <f t="shared" si="68"/>
        <v>1099.9999518559998</v>
      </c>
      <c r="Z120" s="259"/>
      <c r="AA120" s="179">
        <f t="shared" si="69"/>
        <v>392.42479377000001</v>
      </c>
      <c r="AB120" s="259"/>
      <c r="AC120" s="179">
        <f t="shared" si="70"/>
        <v>0</v>
      </c>
      <c r="AD120" s="189">
        <f t="shared" si="64"/>
        <v>0</v>
      </c>
      <c r="AE120" s="179">
        <f t="shared" si="71"/>
        <v>1492.424745626</v>
      </c>
      <c r="AF120" s="264"/>
      <c r="AG120" s="179">
        <f t="shared" si="72"/>
        <v>999.99995185600005</v>
      </c>
      <c r="AH120" s="268"/>
      <c r="AI120" s="179">
        <f t="shared" si="73"/>
        <v>0</v>
      </c>
      <c r="AJ120" s="268"/>
      <c r="AK120" s="179">
        <f t="shared" si="74"/>
        <v>100</v>
      </c>
      <c r="AL120" s="268"/>
      <c r="AM120" s="179">
        <f t="shared" si="75"/>
        <v>0</v>
      </c>
      <c r="AN120" s="268"/>
      <c r="AO120" s="179">
        <f t="shared" si="76"/>
        <v>0</v>
      </c>
      <c r="AP120" s="268"/>
      <c r="AQ120" s="179">
        <f t="shared" si="77"/>
        <v>0</v>
      </c>
      <c r="AR120" s="273"/>
      <c r="AS120" s="209">
        <f t="shared" si="78"/>
        <v>0</v>
      </c>
      <c r="AT120" s="273"/>
      <c r="AU120" s="226">
        <f t="shared" si="79"/>
        <v>0</v>
      </c>
      <c r="AV120" s="273"/>
      <c r="AW120" s="209">
        <f t="shared" si="80"/>
        <v>0</v>
      </c>
      <c r="AX120" s="273"/>
      <c r="AY120" s="209">
        <f t="shared" si="81"/>
        <v>0</v>
      </c>
      <c r="AZ120" s="273"/>
      <c r="BA120" s="179">
        <f t="shared" si="82"/>
        <v>0</v>
      </c>
      <c r="BB120"/>
      <c r="BC120"/>
      <c r="BD120"/>
    </row>
    <row r="121" spans="1:56" s="34" customFormat="1" x14ac:dyDescent="0.25">
      <c r="A121" s="87">
        <v>40906</v>
      </c>
      <c r="B121" s="42">
        <v>18</v>
      </c>
      <c r="C121" s="41" t="str">
        <f t="shared" si="83"/>
        <v>250.00, V58.66, V58.67</v>
      </c>
      <c r="D121" s="41">
        <f t="shared" si="84"/>
        <v>93104801</v>
      </c>
      <c r="E121" s="40" t="str">
        <f t="shared" si="85"/>
        <v>Pharmacy Retail</v>
      </c>
      <c r="F121" s="40" t="str">
        <f t="shared" si="86"/>
        <v>Pharmacy</v>
      </c>
      <c r="G121" s="40" t="str">
        <f t="shared" si="87"/>
        <v>Metformin hydrochloride 500mg (Rx) [1 BID; #60 pills/month]</v>
      </c>
      <c r="H121" s="40" t="str">
        <f t="shared" si="88"/>
        <v/>
      </c>
      <c r="I121" s="160" t="str">
        <f t="shared" si="89"/>
        <v/>
      </c>
      <c r="J121" s="41">
        <f t="shared" si="90"/>
        <v>1</v>
      </c>
      <c r="K121" s="41" t="str">
        <f t="shared" si="91"/>
        <v/>
      </c>
      <c r="L121" s="41" t="str">
        <f t="shared" si="92"/>
        <v/>
      </c>
      <c r="M121" s="41" t="str">
        <f t="shared" si="93"/>
        <v/>
      </c>
      <c r="N121" s="41" t="str">
        <f t="shared" si="94"/>
        <v/>
      </c>
      <c r="O121" s="41" t="str">
        <f t="shared" si="95"/>
        <v/>
      </c>
      <c r="P121" s="188" t="str">
        <f t="shared" si="96"/>
        <v/>
      </c>
      <c r="Q121" s="221">
        <f t="shared" si="97"/>
        <v>34.369999999999997</v>
      </c>
      <c r="R121" s="253">
        <v>24.369999999999997</v>
      </c>
      <c r="S121" s="179">
        <f t="shared" si="65"/>
        <v>3854.3966402109977</v>
      </c>
      <c r="T121" s="259"/>
      <c r="U121" s="179">
        <f t="shared" si="66"/>
        <v>79</v>
      </c>
      <c r="V121" s="259"/>
      <c r="W121" s="179">
        <f t="shared" si="67"/>
        <v>0</v>
      </c>
      <c r="X121" s="259">
        <v>0</v>
      </c>
      <c r="Y121" s="179">
        <f t="shared" si="68"/>
        <v>1099.9999518559998</v>
      </c>
      <c r="Z121" s="259">
        <v>10</v>
      </c>
      <c r="AA121" s="179">
        <f t="shared" si="69"/>
        <v>402.42479377000001</v>
      </c>
      <c r="AB121" s="259"/>
      <c r="AC121" s="179">
        <f t="shared" si="70"/>
        <v>0</v>
      </c>
      <c r="AD121" s="189">
        <f t="shared" si="64"/>
        <v>10</v>
      </c>
      <c r="AE121" s="179">
        <f t="shared" si="71"/>
        <v>1502.424745626</v>
      </c>
      <c r="AF121" s="264"/>
      <c r="AG121" s="179">
        <f t="shared" si="72"/>
        <v>999.99995185600005</v>
      </c>
      <c r="AH121" s="268"/>
      <c r="AI121" s="179">
        <f t="shared" si="73"/>
        <v>0</v>
      </c>
      <c r="AJ121" s="268">
        <v>0</v>
      </c>
      <c r="AK121" s="179">
        <f t="shared" si="74"/>
        <v>100</v>
      </c>
      <c r="AL121" s="268"/>
      <c r="AM121" s="179">
        <f t="shared" si="75"/>
        <v>0</v>
      </c>
      <c r="AN121" s="268"/>
      <c r="AO121" s="179">
        <f t="shared" si="76"/>
        <v>0</v>
      </c>
      <c r="AP121" s="268"/>
      <c r="AQ121" s="179">
        <f t="shared" si="77"/>
        <v>0</v>
      </c>
      <c r="AR121" s="273"/>
      <c r="AS121" s="209">
        <f t="shared" si="78"/>
        <v>0</v>
      </c>
      <c r="AT121" s="273"/>
      <c r="AU121" s="226">
        <f t="shared" si="79"/>
        <v>0</v>
      </c>
      <c r="AV121" s="273"/>
      <c r="AW121" s="209">
        <f t="shared" si="80"/>
        <v>0</v>
      </c>
      <c r="AX121" s="273"/>
      <c r="AY121" s="209">
        <f t="shared" si="81"/>
        <v>0</v>
      </c>
      <c r="AZ121" s="273"/>
      <c r="BA121" s="179">
        <f t="shared" si="82"/>
        <v>0</v>
      </c>
      <c r="BB121"/>
      <c r="BC121"/>
      <c r="BD121"/>
    </row>
    <row r="122" spans="1:56" s="34" customFormat="1" ht="15.75" thickBot="1" x14ac:dyDescent="0.3">
      <c r="A122" s="87">
        <v>40906</v>
      </c>
      <c r="B122" s="42">
        <v>19</v>
      </c>
      <c r="C122" s="41" t="str">
        <f t="shared" si="83"/>
        <v>250.00, V58.66, V58.67</v>
      </c>
      <c r="D122" s="41">
        <f t="shared" si="84"/>
        <v>93743801</v>
      </c>
      <c r="E122" s="40" t="str">
        <f t="shared" si="85"/>
        <v>Pharmacy Retail</v>
      </c>
      <c r="F122" s="40" t="str">
        <f t="shared" si="86"/>
        <v>Pharmacy</v>
      </c>
      <c r="G122" s="40" t="str">
        <f t="shared" si="87"/>
        <v>Ramipril 10mg (Rx) [1 QD; #30 pills/month]</v>
      </c>
      <c r="H122" s="40" t="str">
        <f t="shared" si="88"/>
        <v/>
      </c>
      <c r="I122" s="160" t="str">
        <f t="shared" si="89"/>
        <v/>
      </c>
      <c r="J122" s="41">
        <f t="shared" si="90"/>
        <v>1</v>
      </c>
      <c r="K122" s="41" t="str">
        <f t="shared" si="91"/>
        <v/>
      </c>
      <c r="L122" s="41" t="str">
        <f t="shared" si="92"/>
        <v/>
      </c>
      <c r="M122" s="41" t="str">
        <f t="shared" si="93"/>
        <v/>
      </c>
      <c r="N122" s="41" t="str">
        <f t="shared" si="94"/>
        <v/>
      </c>
      <c r="O122" s="41" t="str">
        <f t="shared" si="95"/>
        <v/>
      </c>
      <c r="P122" s="188" t="str">
        <f t="shared" si="96"/>
        <v/>
      </c>
      <c r="Q122" s="221">
        <f t="shared" si="97"/>
        <v>53.81</v>
      </c>
      <c r="R122" s="253">
        <v>43.81</v>
      </c>
      <c r="S122" s="179">
        <f t="shared" si="65"/>
        <v>3898.2066402109976</v>
      </c>
      <c r="T122" s="259"/>
      <c r="U122" s="179">
        <f t="shared" si="66"/>
        <v>79</v>
      </c>
      <c r="V122" s="259"/>
      <c r="W122" s="179">
        <f t="shared" si="67"/>
        <v>0</v>
      </c>
      <c r="X122" s="259">
        <v>0</v>
      </c>
      <c r="Y122" s="179">
        <f t="shared" si="68"/>
        <v>1099.9999518559998</v>
      </c>
      <c r="Z122" s="259">
        <v>10</v>
      </c>
      <c r="AA122" s="179">
        <f t="shared" si="69"/>
        <v>412.42479377000001</v>
      </c>
      <c r="AB122" s="259"/>
      <c r="AC122" s="179">
        <f t="shared" si="70"/>
        <v>0</v>
      </c>
      <c r="AD122" s="189">
        <f t="shared" si="64"/>
        <v>10</v>
      </c>
      <c r="AE122" s="179">
        <f t="shared" si="71"/>
        <v>1512.424745626</v>
      </c>
      <c r="AF122" s="264"/>
      <c r="AG122" s="179">
        <f t="shared" si="72"/>
        <v>999.99995185600005</v>
      </c>
      <c r="AH122" s="268"/>
      <c r="AI122" s="179">
        <f t="shared" si="73"/>
        <v>0</v>
      </c>
      <c r="AJ122" s="268">
        <v>0</v>
      </c>
      <c r="AK122" s="179">
        <f t="shared" si="74"/>
        <v>100</v>
      </c>
      <c r="AL122" s="268"/>
      <c r="AM122" s="179">
        <f t="shared" si="75"/>
        <v>0</v>
      </c>
      <c r="AN122" s="268"/>
      <c r="AO122" s="179">
        <f t="shared" si="76"/>
        <v>0</v>
      </c>
      <c r="AP122" s="268"/>
      <c r="AQ122" s="179">
        <f t="shared" si="77"/>
        <v>0</v>
      </c>
      <c r="AR122" s="273"/>
      <c r="AS122" s="209">
        <f t="shared" si="78"/>
        <v>0</v>
      </c>
      <c r="AT122" s="273"/>
      <c r="AU122" s="226">
        <f t="shared" si="79"/>
        <v>0</v>
      </c>
      <c r="AV122" s="273"/>
      <c r="AW122" s="209">
        <f t="shared" si="80"/>
        <v>0</v>
      </c>
      <c r="AX122" s="273"/>
      <c r="AY122" s="209">
        <f t="shared" si="81"/>
        <v>0</v>
      </c>
      <c r="AZ122" s="273"/>
      <c r="BA122" s="179">
        <f t="shared" si="82"/>
        <v>0</v>
      </c>
      <c r="BB122"/>
      <c r="BC122"/>
      <c r="BD122"/>
    </row>
    <row r="123" spans="1:56" s="34" customFormat="1" hidden="1" x14ac:dyDescent="0.25">
      <c r="A123" s="87"/>
      <c r="B123" s="42"/>
      <c r="C123" s="41"/>
      <c r="D123" s="41"/>
      <c r="E123" s="40"/>
      <c r="F123" s="40"/>
      <c r="G123" s="40"/>
      <c r="H123" s="40"/>
      <c r="I123" s="160"/>
      <c r="J123" s="41"/>
      <c r="K123" s="41"/>
      <c r="L123" s="41"/>
      <c r="M123" s="41"/>
      <c r="N123" s="41"/>
      <c r="O123" s="41"/>
      <c r="P123" s="188"/>
      <c r="Q123" s="221"/>
      <c r="R123" s="253"/>
      <c r="S123" s="179">
        <f t="shared" si="65"/>
        <v>3898.2066402109976</v>
      </c>
      <c r="T123" s="259"/>
      <c r="U123" s="179">
        <f t="shared" si="66"/>
        <v>79</v>
      </c>
      <c r="V123" s="259"/>
      <c r="W123" s="179">
        <f t="shared" si="67"/>
        <v>0</v>
      </c>
      <c r="X123" s="259"/>
      <c r="Y123" s="179">
        <f t="shared" si="68"/>
        <v>1099.9999518559998</v>
      </c>
      <c r="Z123" s="259"/>
      <c r="AA123" s="179">
        <f t="shared" si="69"/>
        <v>412.42479377000001</v>
      </c>
      <c r="AB123" s="259"/>
      <c r="AC123" s="179">
        <f t="shared" si="70"/>
        <v>0</v>
      </c>
      <c r="AD123" s="189">
        <f t="shared" si="64"/>
        <v>0</v>
      </c>
      <c r="AE123" s="179">
        <f t="shared" si="71"/>
        <v>1512.424745626</v>
      </c>
      <c r="AF123" s="264"/>
      <c r="AG123" s="179">
        <f t="shared" si="72"/>
        <v>999.99995185600005</v>
      </c>
      <c r="AH123" s="268"/>
      <c r="AI123" s="179">
        <f t="shared" si="73"/>
        <v>0</v>
      </c>
      <c r="AJ123" s="268"/>
      <c r="AK123" s="179">
        <f t="shared" si="74"/>
        <v>100</v>
      </c>
      <c r="AL123" s="268"/>
      <c r="AM123" s="179">
        <f t="shared" si="75"/>
        <v>0</v>
      </c>
      <c r="AN123" s="268"/>
      <c r="AO123" s="179">
        <f t="shared" si="76"/>
        <v>0</v>
      </c>
      <c r="AP123" s="268"/>
      <c r="AQ123" s="179">
        <f t="shared" si="77"/>
        <v>0</v>
      </c>
      <c r="AR123" s="273"/>
      <c r="AS123" s="209">
        <f t="shared" si="78"/>
        <v>0</v>
      </c>
      <c r="AT123" s="273"/>
      <c r="AU123" s="226">
        <f t="shared" si="79"/>
        <v>0</v>
      </c>
      <c r="AV123" s="273"/>
      <c r="AW123" s="209">
        <f t="shared" si="80"/>
        <v>0</v>
      </c>
      <c r="AX123" s="273"/>
      <c r="AY123" s="209">
        <f t="shared" si="81"/>
        <v>0</v>
      </c>
      <c r="AZ123" s="273"/>
      <c r="BA123" s="179">
        <f t="shared" si="82"/>
        <v>0</v>
      </c>
      <c r="BB123"/>
      <c r="BC123"/>
      <c r="BD123"/>
    </row>
    <row r="124" spans="1:56" s="34" customFormat="1" hidden="1" x14ac:dyDescent="0.25">
      <c r="A124" s="87"/>
      <c r="B124" s="42"/>
      <c r="C124" s="41"/>
      <c r="D124" s="41"/>
      <c r="E124" s="40"/>
      <c r="F124" s="40"/>
      <c r="G124" s="40"/>
      <c r="H124" s="40"/>
      <c r="I124" s="160"/>
      <c r="J124" s="41"/>
      <c r="K124" s="41"/>
      <c r="L124" s="41"/>
      <c r="M124" s="41"/>
      <c r="N124" s="41"/>
      <c r="O124" s="41"/>
      <c r="P124" s="188"/>
      <c r="Q124" s="221"/>
      <c r="R124" s="253"/>
      <c r="S124" s="179">
        <f t="shared" si="65"/>
        <v>3898.2066402109976</v>
      </c>
      <c r="T124" s="259"/>
      <c r="U124" s="179">
        <f t="shared" si="66"/>
        <v>79</v>
      </c>
      <c r="V124" s="259"/>
      <c r="W124" s="179">
        <f t="shared" si="67"/>
        <v>0</v>
      </c>
      <c r="X124" s="259"/>
      <c r="Y124" s="179">
        <f t="shared" si="68"/>
        <v>1099.9999518559998</v>
      </c>
      <c r="Z124" s="259"/>
      <c r="AA124" s="179">
        <f t="shared" si="69"/>
        <v>412.42479377000001</v>
      </c>
      <c r="AB124" s="259"/>
      <c r="AC124" s="179">
        <f t="shared" si="70"/>
        <v>0</v>
      </c>
      <c r="AD124" s="189">
        <f t="shared" si="64"/>
        <v>0</v>
      </c>
      <c r="AE124" s="179">
        <f t="shared" si="71"/>
        <v>1512.424745626</v>
      </c>
      <c r="AF124" s="264"/>
      <c r="AG124" s="179">
        <f t="shared" si="72"/>
        <v>999.99995185600005</v>
      </c>
      <c r="AH124" s="268"/>
      <c r="AI124" s="179">
        <f t="shared" si="73"/>
        <v>0</v>
      </c>
      <c r="AJ124" s="268"/>
      <c r="AK124" s="179">
        <f t="shared" si="74"/>
        <v>100</v>
      </c>
      <c r="AL124" s="268"/>
      <c r="AM124" s="179">
        <f t="shared" si="75"/>
        <v>0</v>
      </c>
      <c r="AN124" s="268"/>
      <c r="AO124" s="179">
        <f t="shared" si="76"/>
        <v>0</v>
      </c>
      <c r="AP124" s="268"/>
      <c r="AQ124" s="179">
        <f t="shared" si="77"/>
        <v>0</v>
      </c>
      <c r="AR124" s="273"/>
      <c r="AS124" s="209">
        <f t="shared" si="78"/>
        <v>0</v>
      </c>
      <c r="AT124" s="273"/>
      <c r="AU124" s="226">
        <f t="shared" si="79"/>
        <v>0</v>
      </c>
      <c r="AV124" s="273"/>
      <c r="AW124" s="209">
        <f t="shared" si="80"/>
        <v>0</v>
      </c>
      <c r="AX124" s="273"/>
      <c r="AY124" s="209">
        <f t="shared" si="81"/>
        <v>0</v>
      </c>
      <c r="AZ124" s="273"/>
      <c r="BA124" s="179">
        <f t="shared" si="82"/>
        <v>0</v>
      </c>
      <c r="BB124"/>
      <c r="BC124"/>
      <c r="BD124"/>
    </row>
    <row r="125" spans="1:56" s="34" customFormat="1" hidden="1" x14ac:dyDescent="0.25">
      <c r="A125" s="87"/>
      <c r="B125" s="42"/>
      <c r="C125" s="41"/>
      <c r="D125" s="41"/>
      <c r="E125" s="40"/>
      <c r="F125" s="40"/>
      <c r="G125" s="40"/>
      <c r="H125" s="40"/>
      <c r="I125" s="160"/>
      <c r="J125" s="41"/>
      <c r="K125" s="41"/>
      <c r="L125" s="41"/>
      <c r="M125" s="41"/>
      <c r="N125" s="41"/>
      <c r="O125" s="41"/>
      <c r="P125" s="188"/>
      <c r="Q125" s="221"/>
      <c r="R125" s="253"/>
      <c r="S125" s="179">
        <f t="shared" si="65"/>
        <v>3898.2066402109976</v>
      </c>
      <c r="T125" s="259"/>
      <c r="U125" s="179">
        <f t="shared" si="66"/>
        <v>79</v>
      </c>
      <c r="V125" s="259"/>
      <c r="W125" s="179">
        <f t="shared" si="67"/>
        <v>0</v>
      </c>
      <c r="X125" s="259"/>
      <c r="Y125" s="179">
        <f t="shared" si="68"/>
        <v>1099.9999518559998</v>
      </c>
      <c r="Z125" s="259"/>
      <c r="AA125" s="179">
        <f t="shared" si="69"/>
        <v>412.42479377000001</v>
      </c>
      <c r="AB125" s="259"/>
      <c r="AC125" s="179">
        <f t="shared" si="70"/>
        <v>0</v>
      </c>
      <c r="AD125" s="189">
        <f t="shared" si="64"/>
        <v>0</v>
      </c>
      <c r="AE125" s="179">
        <f t="shared" si="71"/>
        <v>1512.424745626</v>
      </c>
      <c r="AF125" s="264"/>
      <c r="AG125" s="179">
        <f t="shared" si="72"/>
        <v>999.99995185600005</v>
      </c>
      <c r="AH125" s="268"/>
      <c r="AI125" s="179">
        <f t="shared" si="73"/>
        <v>0</v>
      </c>
      <c r="AJ125" s="268"/>
      <c r="AK125" s="179">
        <f t="shared" si="74"/>
        <v>100</v>
      </c>
      <c r="AL125" s="268"/>
      <c r="AM125" s="179">
        <f t="shared" si="75"/>
        <v>0</v>
      </c>
      <c r="AN125" s="268"/>
      <c r="AO125" s="179">
        <f t="shared" si="76"/>
        <v>0</v>
      </c>
      <c r="AP125" s="268"/>
      <c r="AQ125" s="179">
        <f t="shared" si="77"/>
        <v>0</v>
      </c>
      <c r="AR125" s="273"/>
      <c r="AS125" s="209">
        <f t="shared" si="78"/>
        <v>0</v>
      </c>
      <c r="AT125" s="273"/>
      <c r="AU125" s="226">
        <f t="shared" si="79"/>
        <v>0</v>
      </c>
      <c r="AV125" s="273"/>
      <c r="AW125" s="209">
        <f t="shared" si="80"/>
        <v>0</v>
      </c>
      <c r="AX125" s="273"/>
      <c r="AY125" s="209">
        <f t="shared" si="81"/>
        <v>0</v>
      </c>
      <c r="AZ125" s="273"/>
      <c r="BA125" s="179">
        <f t="shared" si="82"/>
        <v>0</v>
      </c>
      <c r="BB125"/>
      <c r="BC125"/>
      <c r="BD125"/>
    </row>
    <row r="126" spans="1:56" s="34" customFormat="1" hidden="1" x14ac:dyDescent="0.25">
      <c r="A126" s="87"/>
      <c r="B126" s="42"/>
      <c r="C126" s="41"/>
      <c r="D126" s="41"/>
      <c r="E126" s="40"/>
      <c r="F126" s="40"/>
      <c r="G126" s="40"/>
      <c r="H126" s="40"/>
      <c r="I126" s="160"/>
      <c r="J126" s="41"/>
      <c r="K126" s="41"/>
      <c r="L126" s="41"/>
      <c r="M126" s="41"/>
      <c r="N126" s="41"/>
      <c r="O126" s="41"/>
      <c r="P126" s="188"/>
      <c r="Q126" s="221"/>
      <c r="R126" s="253"/>
      <c r="S126" s="179">
        <f t="shared" si="65"/>
        <v>3898.2066402109976</v>
      </c>
      <c r="T126" s="259"/>
      <c r="U126" s="179">
        <f t="shared" si="66"/>
        <v>79</v>
      </c>
      <c r="V126" s="259"/>
      <c r="W126" s="179">
        <f t="shared" si="67"/>
        <v>0</v>
      </c>
      <c r="X126" s="259"/>
      <c r="Y126" s="179">
        <f t="shared" si="68"/>
        <v>1099.9999518559998</v>
      </c>
      <c r="Z126" s="259"/>
      <c r="AA126" s="179">
        <f t="shared" si="69"/>
        <v>412.42479377000001</v>
      </c>
      <c r="AB126" s="259"/>
      <c r="AC126" s="179">
        <f t="shared" si="70"/>
        <v>0</v>
      </c>
      <c r="AD126" s="189">
        <f t="shared" si="64"/>
        <v>0</v>
      </c>
      <c r="AE126" s="179">
        <f t="shared" si="71"/>
        <v>1512.424745626</v>
      </c>
      <c r="AF126" s="264"/>
      <c r="AG126" s="179">
        <f t="shared" si="72"/>
        <v>999.99995185600005</v>
      </c>
      <c r="AH126" s="268"/>
      <c r="AI126" s="179">
        <f t="shared" si="73"/>
        <v>0</v>
      </c>
      <c r="AJ126" s="268"/>
      <c r="AK126" s="179">
        <f t="shared" si="74"/>
        <v>100</v>
      </c>
      <c r="AL126" s="268"/>
      <c r="AM126" s="179">
        <f t="shared" si="75"/>
        <v>0</v>
      </c>
      <c r="AN126" s="268"/>
      <c r="AO126" s="179">
        <f t="shared" si="76"/>
        <v>0</v>
      </c>
      <c r="AP126" s="268"/>
      <c r="AQ126" s="179">
        <f t="shared" si="77"/>
        <v>0</v>
      </c>
      <c r="AR126" s="273"/>
      <c r="AS126" s="209">
        <f t="shared" si="78"/>
        <v>0</v>
      </c>
      <c r="AT126" s="273"/>
      <c r="AU126" s="226">
        <f t="shared" si="79"/>
        <v>0</v>
      </c>
      <c r="AV126" s="273"/>
      <c r="AW126" s="209">
        <f t="shared" si="80"/>
        <v>0</v>
      </c>
      <c r="AX126" s="273"/>
      <c r="AY126" s="209">
        <f t="shared" si="81"/>
        <v>0</v>
      </c>
      <c r="AZ126" s="273"/>
      <c r="BA126" s="179">
        <f t="shared" si="82"/>
        <v>0</v>
      </c>
      <c r="BB126"/>
      <c r="BC126"/>
      <c r="BD126"/>
    </row>
    <row r="127" spans="1:56" s="34" customFormat="1" hidden="1" x14ac:dyDescent="0.25">
      <c r="A127" s="87"/>
      <c r="B127" s="42"/>
      <c r="C127" s="41"/>
      <c r="D127" s="41"/>
      <c r="E127" s="40"/>
      <c r="F127" s="40"/>
      <c r="G127" s="40"/>
      <c r="H127" s="40"/>
      <c r="I127" s="160"/>
      <c r="J127" s="41"/>
      <c r="K127" s="41"/>
      <c r="L127" s="41"/>
      <c r="M127" s="41"/>
      <c r="N127" s="41"/>
      <c r="O127" s="41"/>
      <c r="P127" s="188"/>
      <c r="Q127" s="221"/>
      <c r="R127" s="253"/>
      <c r="S127" s="179">
        <f t="shared" si="65"/>
        <v>3898.2066402109976</v>
      </c>
      <c r="T127" s="259"/>
      <c r="U127" s="179">
        <f t="shared" si="66"/>
        <v>79</v>
      </c>
      <c r="V127" s="259"/>
      <c r="W127" s="179">
        <f t="shared" si="67"/>
        <v>0</v>
      </c>
      <c r="X127" s="259"/>
      <c r="Y127" s="179">
        <f t="shared" si="68"/>
        <v>1099.9999518559998</v>
      </c>
      <c r="Z127" s="259"/>
      <c r="AA127" s="179">
        <f t="shared" si="69"/>
        <v>412.42479377000001</v>
      </c>
      <c r="AB127" s="259"/>
      <c r="AC127" s="179">
        <f t="shared" si="70"/>
        <v>0</v>
      </c>
      <c r="AD127" s="189">
        <f t="shared" si="64"/>
        <v>0</v>
      </c>
      <c r="AE127" s="179">
        <f t="shared" si="71"/>
        <v>1512.424745626</v>
      </c>
      <c r="AF127" s="264"/>
      <c r="AG127" s="179">
        <f t="shared" si="72"/>
        <v>999.99995185600005</v>
      </c>
      <c r="AH127" s="268"/>
      <c r="AI127" s="179">
        <f t="shared" si="73"/>
        <v>0</v>
      </c>
      <c r="AJ127" s="268"/>
      <c r="AK127" s="179">
        <f t="shared" si="74"/>
        <v>100</v>
      </c>
      <c r="AL127" s="268"/>
      <c r="AM127" s="179">
        <f t="shared" si="75"/>
        <v>0</v>
      </c>
      <c r="AN127" s="268"/>
      <c r="AO127" s="179">
        <f t="shared" si="76"/>
        <v>0</v>
      </c>
      <c r="AP127" s="268"/>
      <c r="AQ127" s="179">
        <f t="shared" si="77"/>
        <v>0</v>
      </c>
      <c r="AR127" s="273"/>
      <c r="AS127" s="209">
        <f t="shared" si="78"/>
        <v>0</v>
      </c>
      <c r="AT127" s="273"/>
      <c r="AU127" s="226">
        <f t="shared" si="79"/>
        <v>0</v>
      </c>
      <c r="AV127" s="273"/>
      <c r="AW127" s="209">
        <f t="shared" si="80"/>
        <v>0</v>
      </c>
      <c r="AX127" s="273"/>
      <c r="AY127" s="209">
        <f t="shared" si="81"/>
        <v>0</v>
      </c>
      <c r="AZ127" s="273"/>
      <c r="BA127" s="179">
        <f t="shared" si="82"/>
        <v>0</v>
      </c>
      <c r="BB127"/>
      <c r="BC127"/>
      <c r="BD127"/>
    </row>
    <row r="128" spans="1:56" s="34" customFormat="1" hidden="1" x14ac:dyDescent="0.25">
      <c r="A128" s="87"/>
      <c r="B128" s="42"/>
      <c r="C128" s="41"/>
      <c r="D128" s="41"/>
      <c r="E128" s="40"/>
      <c r="F128" s="40"/>
      <c r="G128" s="40"/>
      <c r="H128" s="40"/>
      <c r="I128" s="160"/>
      <c r="J128" s="41"/>
      <c r="K128" s="41"/>
      <c r="L128" s="41"/>
      <c r="M128" s="41"/>
      <c r="N128" s="41"/>
      <c r="O128" s="41"/>
      <c r="P128" s="188"/>
      <c r="Q128" s="221"/>
      <c r="R128" s="253"/>
      <c r="S128" s="179">
        <f t="shared" si="65"/>
        <v>3898.2066402109976</v>
      </c>
      <c r="T128" s="259"/>
      <c r="U128" s="179">
        <f t="shared" si="66"/>
        <v>79</v>
      </c>
      <c r="V128" s="259"/>
      <c r="W128" s="179">
        <f t="shared" si="67"/>
        <v>0</v>
      </c>
      <c r="X128" s="259"/>
      <c r="Y128" s="179">
        <f t="shared" si="68"/>
        <v>1099.9999518559998</v>
      </c>
      <c r="Z128" s="259"/>
      <c r="AA128" s="179">
        <f t="shared" si="69"/>
        <v>412.42479377000001</v>
      </c>
      <c r="AB128" s="259"/>
      <c r="AC128" s="179">
        <f t="shared" si="70"/>
        <v>0</v>
      </c>
      <c r="AD128" s="189">
        <f t="shared" si="64"/>
        <v>0</v>
      </c>
      <c r="AE128" s="179">
        <f t="shared" si="71"/>
        <v>1512.424745626</v>
      </c>
      <c r="AF128" s="264"/>
      <c r="AG128" s="179">
        <f t="shared" si="72"/>
        <v>999.99995185600005</v>
      </c>
      <c r="AH128" s="268"/>
      <c r="AI128" s="179">
        <f t="shared" si="73"/>
        <v>0</v>
      </c>
      <c r="AJ128" s="268"/>
      <c r="AK128" s="179">
        <f t="shared" si="74"/>
        <v>100</v>
      </c>
      <c r="AL128" s="268"/>
      <c r="AM128" s="179">
        <f t="shared" si="75"/>
        <v>0</v>
      </c>
      <c r="AN128" s="268"/>
      <c r="AO128" s="179">
        <f t="shared" si="76"/>
        <v>0</v>
      </c>
      <c r="AP128" s="268"/>
      <c r="AQ128" s="179">
        <f t="shared" si="77"/>
        <v>0</v>
      </c>
      <c r="AR128" s="273"/>
      <c r="AS128" s="209">
        <f t="shared" si="78"/>
        <v>0</v>
      </c>
      <c r="AT128" s="273"/>
      <c r="AU128" s="226">
        <f t="shared" si="79"/>
        <v>0</v>
      </c>
      <c r="AV128" s="273"/>
      <c r="AW128" s="209">
        <f t="shared" si="80"/>
        <v>0</v>
      </c>
      <c r="AX128" s="273"/>
      <c r="AY128" s="209">
        <f t="shared" si="81"/>
        <v>0</v>
      </c>
      <c r="AZ128" s="273"/>
      <c r="BA128" s="179">
        <f t="shared" si="82"/>
        <v>0</v>
      </c>
      <c r="BB128"/>
      <c r="BC128"/>
      <c r="BD128"/>
    </row>
    <row r="129" spans="1:56" s="34" customFormat="1" hidden="1" x14ac:dyDescent="0.25">
      <c r="A129" s="87"/>
      <c r="B129" s="42"/>
      <c r="C129" s="41"/>
      <c r="D129" s="41"/>
      <c r="E129" s="40"/>
      <c r="F129" s="40"/>
      <c r="G129" s="40"/>
      <c r="H129" s="40"/>
      <c r="I129" s="160"/>
      <c r="J129" s="41"/>
      <c r="K129" s="41"/>
      <c r="L129" s="41"/>
      <c r="M129" s="41"/>
      <c r="N129" s="41"/>
      <c r="O129" s="41"/>
      <c r="P129" s="188"/>
      <c r="Q129" s="221"/>
      <c r="R129" s="253"/>
      <c r="S129" s="179">
        <f t="shared" si="65"/>
        <v>3898.2066402109976</v>
      </c>
      <c r="T129" s="259"/>
      <c r="U129" s="179">
        <f t="shared" si="66"/>
        <v>79</v>
      </c>
      <c r="V129" s="259"/>
      <c r="W129" s="179">
        <f t="shared" si="67"/>
        <v>0</v>
      </c>
      <c r="X129" s="259"/>
      <c r="Y129" s="179">
        <f t="shared" si="68"/>
        <v>1099.9999518559998</v>
      </c>
      <c r="Z129" s="259"/>
      <c r="AA129" s="179">
        <f t="shared" si="69"/>
        <v>412.42479377000001</v>
      </c>
      <c r="AB129" s="259"/>
      <c r="AC129" s="179">
        <f t="shared" si="70"/>
        <v>0</v>
      </c>
      <c r="AD129" s="189">
        <f t="shared" si="64"/>
        <v>0</v>
      </c>
      <c r="AE129" s="179">
        <f t="shared" si="71"/>
        <v>1512.424745626</v>
      </c>
      <c r="AF129" s="264"/>
      <c r="AG129" s="179">
        <f t="shared" si="72"/>
        <v>999.99995185600005</v>
      </c>
      <c r="AH129" s="268"/>
      <c r="AI129" s="179">
        <f t="shared" si="73"/>
        <v>0</v>
      </c>
      <c r="AJ129" s="268"/>
      <c r="AK129" s="179">
        <f t="shared" si="74"/>
        <v>100</v>
      </c>
      <c r="AL129" s="268"/>
      <c r="AM129" s="179">
        <f t="shared" si="75"/>
        <v>0</v>
      </c>
      <c r="AN129" s="268"/>
      <c r="AO129" s="179">
        <f t="shared" si="76"/>
        <v>0</v>
      </c>
      <c r="AP129" s="268"/>
      <c r="AQ129" s="179">
        <f t="shared" si="77"/>
        <v>0</v>
      </c>
      <c r="AR129" s="273"/>
      <c r="AS129" s="209">
        <f t="shared" si="78"/>
        <v>0</v>
      </c>
      <c r="AT129" s="273"/>
      <c r="AU129" s="226">
        <f t="shared" si="79"/>
        <v>0</v>
      </c>
      <c r="AV129" s="273"/>
      <c r="AW129" s="209">
        <f t="shared" si="80"/>
        <v>0</v>
      </c>
      <c r="AX129" s="273"/>
      <c r="AY129" s="209">
        <f t="shared" si="81"/>
        <v>0</v>
      </c>
      <c r="AZ129" s="273"/>
      <c r="BA129" s="179">
        <f t="shared" si="82"/>
        <v>0</v>
      </c>
      <c r="BB129"/>
      <c r="BC129"/>
      <c r="BD129"/>
    </row>
    <row r="130" spans="1:56" s="34" customFormat="1" hidden="1" x14ac:dyDescent="0.25">
      <c r="A130" s="87"/>
      <c r="B130" s="42"/>
      <c r="C130" s="41"/>
      <c r="D130" s="41"/>
      <c r="E130" s="40"/>
      <c r="F130" s="40"/>
      <c r="G130" s="40"/>
      <c r="H130" s="40"/>
      <c r="I130" s="160"/>
      <c r="J130" s="41"/>
      <c r="K130" s="41"/>
      <c r="L130" s="41"/>
      <c r="M130" s="41"/>
      <c r="N130" s="41"/>
      <c r="O130" s="41"/>
      <c r="P130" s="188"/>
      <c r="Q130" s="221"/>
      <c r="R130" s="253"/>
      <c r="S130" s="179">
        <f t="shared" si="65"/>
        <v>3898.2066402109976</v>
      </c>
      <c r="T130" s="259"/>
      <c r="U130" s="179">
        <f t="shared" si="66"/>
        <v>79</v>
      </c>
      <c r="V130" s="259"/>
      <c r="W130" s="179">
        <f t="shared" si="67"/>
        <v>0</v>
      </c>
      <c r="X130" s="259"/>
      <c r="Y130" s="179">
        <f t="shared" si="68"/>
        <v>1099.9999518559998</v>
      </c>
      <c r="Z130" s="259"/>
      <c r="AA130" s="179">
        <f t="shared" si="69"/>
        <v>412.42479377000001</v>
      </c>
      <c r="AB130" s="259"/>
      <c r="AC130" s="179">
        <f t="shared" si="70"/>
        <v>0</v>
      </c>
      <c r="AD130" s="189">
        <f t="shared" si="64"/>
        <v>0</v>
      </c>
      <c r="AE130" s="179">
        <f t="shared" si="71"/>
        <v>1512.424745626</v>
      </c>
      <c r="AF130" s="264"/>
      <c r="AG130" s="179">
        <f t="shared" si="72"/>
        <v>999.99995185600005</v>
      </c>
      <c r="AH130" s="268"/>
      <c r="AI130" s="179">
        <f t="shared" si="73"/>
        <v>0</v>
      </c>
      <c r="AJ130" s="268"/>
      <c r="AK130" s="179">
        <f t="shared" si="74"/>
        <v>100</v>
      </c>
      <c r="AL130" s="268"/>
      <c r="AM130" s="179">
        <f t="shared" si="75"/>
        <v>0</v>
      </c>
      <c r="AN130" s="268"/>
      <c r="AO130" s="179">
        <f t="shared" si="76"/>
        <v>0</v>
      </c>
      <c r="AP130" s="268"/>
      <c r="AQ130" s="179">
        <f t="shared" si="77"/>
        <v>0</v>
      </c>
      <c r="AR130" s="273"/>
      <c r="AS130" s="209">
        <f t="shared" si="78"/>
        <v>0</v>
      </c>
      <c r="AT130" s="273"/>
      <c r="AU130" s="226">
        <f t="shared" si="79"/>
        <v>0</v>
      </c>
      <c r="AV130" s="273"/>
      <c r="AW130" s="209">
        <f t="shared" si="80"/>
        <v>0</v>
      </c>
      <c r="AX130" s="273"/>
      <c r="AY130" s="209">
        <f t="shared" si="81"/>
        <v>0</v>
      </c>
      <c r="AZ130" s="273"/>
      <c r="BA130" s="179">
        <f t="shared" si="82"/>
        <v>0</v>
      </c>
      <c r="BB130"/>
      <c r="BC130"/>
      <c r="BD130"/>
    </row>
    <row r="131" spans="1:56" s="34" customFormat="1" hidden="1" x14ac:dyDescent="0.25">
      <c r="A131" s="87"/>
      <c r="B131" s="42"/>
      <c r="C131" s="41"/>
      <c r="D131" s="41"/>
      <c r="E131" s="40"/>
      <c r="F131" s="40"/>
      <c r="G131" s="40"/>
      <c r="H131" s="40"/>
      <c r="I131" s="160"/>
      <c r="J131" s="41"/>
      <c r="K131" s="41"/>
      <c r="L131" s="41"/>
      <c r="M131" s="41"/>
      <c r="N131" s="41"/>
      <c r="O131" s="41"/>
      <c r="P131" s="188"/>
      <c r="Q131" s="221"/>
      <c r="R131" s="253"/>
      <c r="S131" s="179">
        <f t="shared" si="65"/>
        <v>3898.2066402109976</v>
      </c>
      <c r="T131" s="259"/>
      <c r="U131" s="179">
        <f t="shared" si="66"/>
        <v>79</v>
      </c>
      <c r="V131" s="259"/>
      <c r="W131" s="179">
        <f t="shared" si="67"/>
        <v>0</v>
      </c>
      <c r="X131" s="259"/>
      <c r="Y131" s="179">
        <f t="shared" si="68"/>
        <v>1099.9999518559998</v>
      </c>
      <c r="Z131" s="259"/>
      <c r="AA131" s="179">
        <f t="shared" si="69"/>
        <v>412.42479377000001</v>
      </c>
      <c r="AB131" s="259"/>
      <c r="AC131" s="179">
        <f t="shared" si="70"/>
        <v>0</v>
      </c>
      <c r="AD131" s="189">
        <f t="shared" ref="AD131:AD194" si="98">Dia_Col_Deduct+Dia_Col_Copay+Dia_Col_Coinsur</f>
        <v>0</v>
      </c>
      <c r="AE131" s="179">
        <f t="shared" si="71"/>
        <v>1512.424745626</v>
      </c>
      <c r="AF131" s="264"/>
      <c r="AG131" s="179">
        <f t="shared" si="72"/>
        <v>999.99995185600005</v>
      </c>
      <c r="AH131" s="268"/>
      <c r="AI131" s="179">
        <f t="shared" si="73"/>
        <v>0</v>
      </c>
      <c r="AJ131" s="268"/>
      <c r="AK131" s="179">
        <f t="shared" si="74"/>
        <v>100</v>
      </c>
      <c r="AL131" s="268"/>
      <c r="AM131" s="179">
        <f t="shared" si="75"/>
        <v>0</v>
      </c>
      <c r="AN131" s="268"/>
      <c r="AO131" s="179">
        <f t="shared" si="76"/>
        <v>0</v>
      </c>
      <c r="AP131" s="268"/>
      <c r="AQ131" s="179">
        <f t="shared" si="77"/>
        <v>0</v>
      </c>
      <c r="AR131" s="273"/>
      <c r="AS131" s="209">
        <f t="shared" si="78"/>
        <v>0</v>
      </c>
      <c r="AT131" s="273"/>
      <c r="AU131" s="226">
        <f t="shared" si="79"/>
        <v>0</v>
      </c>
      <c r="AV131" s="273"/>
      <c r="AW131" s="209">
        <f t="shared" si="80"/>
        <v>0</v>
      </c>
      <c r="AX131" s="273"/>
      <c r="AY131" s="209">
        <f t="shared" si="81"/>
        <v>0</v>
      </c>
      <c r="AZ131" s="273"/>
      <c r="BA131" s="179">
        <f t="shared" si="82"/>
        <v>0</v>
      </c>
      <c r="BB131"/>
      <c r="BC131"/>
      <c r="BD131"/>
    </row>
    <row r="132" spans="1:56" s="34" customFormat="1" hidden="1" x14ac:dyDescent="0.25">
      <c r="A132" s="87"/>
      <c r="B132" s="42"/>
      <c r="C132" s="41"/>
      <c r="D132" s="41"/>
      <c r="E132" s="40"/>
      <c r="F132" s="40"/>
      <c r="G132" s="40"/>
      <c r="H132" s="40"/>
      <c r="I132" s="160"/>
      <c r="J132" s="41"/>
      <c r="K132" s="41"/>
      <c r="L132" s="41"/>
      <c r="M132" s="41"/>
      <c r="N132" s="41"/>
      <c r="O132" s="41"/>
      <c r="P132" s="188"/>
      <c r="Q132" s="221"/>
      <c r="R132" s="253"/>
      <c r="S132" s="179">
        <f t="shared" si="65"/>
        <v>3898.2066402109976</v>
      </c>
      <c r="T132" s="259"/>
      <c r="U132" s="179">
        <f t="shared" si="66"/>
        <v>79</v>
      </c>
      <c r="V132" s="259"/>
      <c r="W132" s="179">
        <f t="shared" si="67"/>
        <v>0</v>
      </c>
      <c r="X132" s="259"/>
      <c r="Y132" s="179">
        <f t="shared" si="68"/>
        <v>1099.9999518559998</v>
      </c>
      <c r="Z132" s="259"/>
      <c r="AA132" s="179">
        <f t="shared" si="69"/>
        <v>412.42479377000001</v>
      </c>
      <c r="AB132" s="259"/>
      <c r="AC132" s="179">
        <f t="shared" si="70"/>
        <v>0</v>
      </c>
      <c r="AD132" s="189">
        <f t="shared" si="98"/>
        <v>0</v>
      </c>
      <c r="AE132" s="179">
        <f t="shared" si="71"/>
        <v>1512.424745626</v>
      </c>
      <c r="AF132" s="264"/>
      <c r="AG132" s="179">
        <f t="shared" si="72"/>
        <v>999.99995185600005</v>
      </c>
      <c r="AH132" s="268"/>
      <c r="AI132" s="179">
        <f t="shared" si="73"/>
        <v>0</v>
      </c>
      <c r="AJ132" s="268"/>
      <c r="AK132" s="179">
        <f t="shared" si="74"/>
        <v>100</v>
      </c>
      <c r="AL132" s="268"/>
      <c r="AM132" s="179">
        <f t="shared" si="75"/>
        <v>0</v>
      </c>
      <c r="AN132" s="268"/>
      <c r="AO132" s="179">
        <f t="shared" si="76"/>
        <v>0</v>
      </c>
      <c r="AP132" s="268"/>
      <c r="AQ132" s="179">
        <f t="shared" si="77"/>
        <v>0</v>
      </c>
      <c r="AR132" s="273"/>
      <c r="AS132" s="209">
        <f t="shared" si="78"/>
        <v>0</v>
      </c>
      <c r="AT132" s="273"/>
      <c r="AU132" s="226">
        <f t="shared" si="79"/>
        <v>0</v>
      </c>
      <c r="AV132" s="273"/>
      <c r="AW132" s="209">
        <f t="shared" si="80"/>
        <v>0</v>
      </c>
      <c r="AX132" s="273"/>
      <c r="AY132" s="209">
        <f t="shared" si="81"/>
        <v>0</v>
      </c>
      <c r="AZ132" s="273"/>
      <c r="BA132" s="179">
        <f t="shared" si="82"/>
        <v>0</v>
      </c>
      <c r="BB132"/>
      <c r="BC132"/>
      <c r="BD132"/>
    </row>
    <row r="133" spans="1:56" s="34" customFormat="1" hidden="1" x14ac:dyDescent="0.25">
      <c r="A133" s="87"/>
      <c r="B133" s="42"/>
      <c r="C133" s="41"/>
      <c r="D133" s="41"/>
      <c r="E133" s="40"/>
      <c r="F133" s="40"/>
      <c r="G133" s="40"/>
      <c r="H133" s="40"/>
      <c r="I133" s="160"/>
      <c r="J133" s="41"/>
      <c r="K133" s="41"/>
      <c r="L133" s="41"/>
      <c r="M133" s="41"/>
      <c r="N133" s="41"/>
      <c r="O133" s="41"/>
      <c r="P133" s="188"/>
      <c r="Q133" s="221"/>
      <c r="R133" s="253"/>
      <c r="S133" s="179">
        <f t="shared" ref="S133:S196" si="99">R133+S132</f>
        <v>3898.2066402109976</v>
      </c>
      <c r="T133" s="259"/>
      <c r="U133" s="179">
        <f t="shared" ref="U133:U196" si="100">T133+U132</f>
        <v>79</v>
      </c>
      <c r="V133" s="259"/>
      <c r="W133" s="179">
        <f t="shared" ref="W133:W196" si="101">V133+W132</f>
        <v>0</v>
      </c>
      <c r="X133" s="259"/>
      <c r="Y133" s="179">
        <f t="shared" ref="Y133:Y196" si="102">X133+Y132</f>
        <v>1099.9999518559998</v>
      </c>
      <c r="Z133" s="259"/>
      <c r="AA133" s="179">
        <f t="shared" ref="AA133:AA196" si="103">Z133+AA132</f>
        <v>412.42479377000001</v>
      </c>
      <c r="AB133" s="259"/>
      <c r="AC133" s="179">
        <f t="shared" ref="AC133:AC196" si="104">AB133+AC132</f>
        <v>0</v>
      </c>
      <c r="AD133" s="189">
        <f t="shared" si="98"/>
        <v>0</v>
      </c>
      <c r="AE133" s="179">
        <f t="shared" ref="AE133:AE196" si="105">AD133+AE132</f>
        <v>1512.424745626</v>
      </c>
      <c r="AF133" s="264"/>
      <c r="AG133" s="179">
        <f t="shared" ref="AG133:AG196" si="106">AF133+AG132</f>
        <v>999.99995185600005</v>
      </c>
      <c r="AH133" s="268"/>
      <c r="AI133" s="179">
        <f t="shared" ref="AI133:AI196" si="107">AH133+AI132</f>
        <v>0</v>
      </c>
      <c r="AJ133" s="268"/>
      <c r="AK133" s="179">
        <f t="shared" ref="AK133:AK196" si="108">AJ133+AK132</f>
        <v>100</v>
      </c>
      <c r="AL133" s="268"/>
      <c r="AM133" s="179">
        <f t="shared" ref="AM133:AM196" si="109">AL133+AM132</f>
        <v>0</v>
      </c>
      <c r="AN133" s="268"/>
      <c r="AO133" s="179">
        <f t="shared" ref="AO133:AO196" si="110">AN133+AO132</f>
        <v>0</v>
      </c>
      <c r="AP133" s="268"/>
      <c r="AQ133" s="179">
        <f t="shared" ref="AQ133:AQ196" si="111">AP133+AQ132</f>
        <v>0</v>
      </c>
      <c r="AR133" s="273"/>
      <c r="AS133" s="209">
        <f t="shared" ref="AS133:AS196" si="112">AR133+AS132</f>
        <v>0</v>
      </c>
      <c r="AT133" s="273"/>
      <c r="AU133" s="226">
        <f t="shared" ref="AU133:AU196" si="113">AT133+AU132</f>
        <v>0</v>
      </c>
      <c r="AV133" s="273"/>
      <c r="AW133" s="209">
        <f t="shared" ref="AW133:AW196" si="114">AV133+AW132</f>
        <v>0</v>
      </c>
      <c r="AX133" s="273"/>
      <c r="AY133" s="209">
        <f t="shared" ref="AY133:AY196" si="115">AX133+AY132</f>
        <v>0</v>
      </c>
      <c r="AZ133" s="273"/>
      <c r="BA133" s="179">
        <f t="shared" ref="BA133:BA196" si="116">AZ133+BA132</f>
        <v>0</v>
      </c>
      <c r="BB133"/>
      <c r="BC133"/>
      <c r="BD133"/>
    </row>
    <row r="134" spans="1:56" s="34" customFormat="1" hidden="1" x14ac:dyDescent="0.25">
      <c r="A134" s="87"/>
      <c r="B134" s="42"/>
      <c r="C134" s="41"/>
      <c r="D134" s="41"/>
      <c r="E134" s="40"/>
      <c r="F134" s="40"/>
      <c r="G134" s="40"/>
      <c r="H134" s="40"/>
      <c r="I134" s="160"/>
      <c r="J134" s="41"/>
      <c r="K134" s="41"/>
      <c r="L134" s="41"/>
      <c r="M134" s="41"/>
      <c r="N134" s="41"/>
      <c r="O134" s="41"/>
      <c r="P134" s="188"/>
      <c r="Q134" s="221"/>
      <c r="R134" s="253"/>
      <c r="S134" s="179">
        <f t="shared" si="99"/>
        <v>3898.2066402109976</v>
      </c>
      <c r="T134" s="259"/>
      <c r="U134" s="179">
        <f t="shared" si="100"/>
        <v>79</v>
      </c>
      <c r="V134" s="259"/>
      <c r="W134" s="179">
        <f t="shared" si="101"/>
        <v>0</v>
      </c>
      <c r="X134" s="259"/>
      <c r="Y134" s="179">
        <f t="shared" si="102"/>
        <v>1099.9999518559998</v>
      </c>
      <c r="Z134" s="259"/>
      <c r="AA134" s="179">
        <f t="shared" si="103"/>
        <v>412.42479377000001</v>
      </c>
      <c r="AB134" s="259"/>
      <c r="AC134" s="179">
        <f t="shared" si="104"/>
        <v>0</v>
      </c>
      <c r="AD134" s="189">
        <f t="shared" si="98"/>
        <v>0</v>
      </c>
      <c r="AE134" s="179">
        <f t="shared" si="105"/>
        <v>1512.424745626</v>
      </c>
      <c r="AF134" s="264"/>
      <c r="AG134" s="179">
        <f t="shared" si="106"/>
        <v>999.99995185600005</v>
      </c>
      <c r="AH134" s="268"/>
      <c r="AI134" s="179">
        <f t="shared" si="107"/>
        <v>0</v>
      </c>
      <c r="AJ134" s="268"/>
      <c r="AK134" s="179">
        <f t="shared" si="108"/>
        <v>100</v>
      </c>
      <c r="AL134" s="268"/>
      <c r="AM134" s="179">
        <f t="shared" si="109"/>
        <v>0</v>
      </c>
      <c r="AN134" s="268"/>
      <c r="AO134" s="179">
        <f t="shared" si="110"/>
        <v>0</v>
      </c>
      <c r="AP134" s="268"/>
      <c r="AQ134" s="179">
        <f t="shared" si="111"/>
        <v>0</v>
      </c>
      <c r="AR134" s="273"/>
      <c r="AS134" s="209">
        <f t="shared" si="112"/>
        <v>0</v>
      </c>
      <c r="AT134" s="273"/>
      <c r="AU134" s="226">
        <f t="shared" si="113"/>
        <v>0</v>
      </c>
      <c r="AV134" s="273"/>
      <c r="AW134" s="209">
        <f t="shared" si="114"/>
        <v>0</v>
      </c>
      <c r="AX134" s="273"/>
      <c r="AY134" s="209">
        <f t="shared" si="115"/>
        <v>0</v>
      </c>
      <c r="AZ134" s="273"/>
      <c r="BA134" s="179">
        <f t="shared" si="116"/>
        <v>0</v>
      </c>
      <c r="BB134"/>
      <c r="BC134"/>
      <c r="BD134"/>
    </row>
    <row r="135" spans="1:56" s="34" customFormat="1" hidden="1" x14ac:dyDescent="0.25">
      <c r="A135" s="87"/>
      <c r="B135" s="42"/>
      <c r="C135" s="41"/>
      <c r="D135" s="41"/>
      <c r="E135" s="40"/>
      <c r="F135" s="40"/>
      <c r="G135" s="40"/>
      <c r="H135" s="40"/>
      <c r="I135" s="160"/>
      <c r="J135" s="41"/>
      <c r="K135" s="41"/>
      <c r="L135" s="41"/>
      <c r="M135" s="41"/>
      <c r="N135" s="41"/>
      <c r="O135" s="41"/>
      <c r="P135" s="188"/>
      <c r="Q135" s="221"/>
      <c r="R135" s="253"/>
      <c r="S135" s="179">
        <f t="shared" si="99"/>
        <v>3898.2066402109976</v>
      </c>
      <c r="T135" s="259"/>
      <c r="U135" s="179">
        <f t="shared" si="100"/>
        <v>79</v>
      </c>
      <c r="V135" s="259"/>
      <c r="W135" s="179">
        <f t="shared" si="101"/>
        <v>0</v>
      </c>
      <c r="X135" s="259"/>
      <c r="Y135" s="179">
        <f t="shared" si="102"/>
        <v>1099.9999518559998</v>
      </c>
      <c r="Z135" s="259"/>
      <c r="AA135" s="179">
        <f t="shared" si="103"/>
        <v>412.42479377000001</v>
      </c>
      <c r="AB135" s="259"/>
      <c r="AC135" s="179">
        <f t="shared" si="104"/>
        <v>0</v>
      </c>
      <c r="AD135" s="189">
        <f t="shared" si="98"/>
        <v>0</v>
      </c>
      <c r="AE135" s="179">
        <f t="shared" si="105"/>
        <v>1512.424745626</v>
      </c>
      <c r="AF135" s="264"/>
      <c r="AG135" s="179">
        <f t="shared" si="106"/>
        <v>999.99995185600005</v>
      </c>
      <c r="AH135" s="268"/>
      <c r="AI135" s="179">
        <f t="shared" si="107"/>
        <v>0</v>
      </c>
      <c r="AJ135" s="268"/>
      <c r="AK135" s="179">
        <f t="shared" si="108"/>
        <v>100</v>
      </c>
      <c r="AL135" s="268"/>
      <c r="AM135" s="179">
        <f t="shared" si="109"/>
        <v>0</v>
      </c>
      <c r="AN135" s="268"/>
      <c r="AO135" s="179">
        <f t="shared" si="110"/>
        <v>0</v>
      </c>
      <c r="AP135" s="268"/>
      <c r="AQ135" s="179">
        <f t="shared" si="111"/>
        <v>0</v>
      </c>
      <c r="AR135" s="273"/>
      <c r="AS135" s="209">
        <f t="shared" si="112"/>
        <v>0</v>
      </c>
      <c r="AT135" s="273"/>
      <c r="AU135" s="226">
        <f t="shared" si="113"/>
        <v>0</v>
      </c>
      <c r="AV135" s="273"/>
      <c r="AW135" s="209">
        <f t="shared" si="114"/>
        <v>0</v>
      </c>
      <c r="AX135" s="273"/>
      <c r="AY135" s="209">
        <f t="shared" si="115"/>
        <v>0</v>
      </c>
      <c r="AZ135" s="273"/>
      <c r="BA135" s="179">
        <f t="shared" si="116"/>
        <v>0</v>
      </c>
      <c r="BB135"/>
      <c r="BC135"/>
      <c r="BD135"/>
    </row>
    <row r="136" spans="1:56" s="34" customFormat="1" hidden="1" x14ac:dyDescent="0.25">
      <c r="A136" s="87"/>
      <c r="B136" s="42"/>
      <c r="C136" s="41"/>
      <c r="D136" s="41"/>
      <c r="E136" s="40"/>
      <c r="F136" s="40"/>
      <c r="G136" s="40"/>
      <c r="H136" s="40"/>
      <c r="I136" s="160"/>
      <c r="J136" s="41"/>
      <c r="K136" s="41"/>
      <c r="L136" s="41"/>
      <c r="M136" s="41"/>
      <c r="N136" s="41"/>
      <c r="O136" s="41"/>
      <c r="P136" s="188"/>
      <c r="Q136" s="221"/>
      <c r="R136" s="253"/>
      <c r="S136" s="179">
        <f t="shared" si="99"/>
        <v>3898.2066402109976</v>
      </c>
      <c r="T136" s="259"/>
      <c r="U136" s="179">
        <f t="shared" si="100"/>
        <v>79</v>
      </c>
      <c r="V136" s="259"/>
      <c r="W136" s="179">
        <f t="shared" si="101"/>
        <v>0</v>
      </c>
      <c r="X136" s="259"/>
      <c r="Y136" s="179">
        <f t="shared" si="102"/>
        <v>1099.9999518559998</v>
      </c>
      <c r="Z136" s="259"/>
      <c r="AA136" s="179">
        <f t="shared" si="103"/>
        <v>412.42479377000001</v>
      </c>
      <c r="AB136" s="259"/>
      <c r="AC136" s="179">
        <f t="shared" si="104"/>
        <v>0</v>
      </c>
      <c r="AD136" s="189">
        <f t="shared" si="98"/>
        <v>0</v>
      </c>
      <c r="AE136" s="179">
        <f t="shared" si="105"/>
        <v>1512.424745626</v>
      </c>
      <c r="AF136" s="264"/>
      <c r="AG136" s="179">
        <f t="shared" si="106"/>
        <v>999.99995185600005</v>
      </c>
      <c r="AH136" s="268"/>
      <c r="AI136" s="179">
        <f t="shared" si="107"/>
        <v>0</v>
      </c>
      <c r="AJ136" s="268"/>
      <c r="AK136" s="179">
        <f t="shared" si="108"/>
        <v>100</v>
      </c>
      <c r="AL136" s="268"/>
      <c r="AM136" s="179">
        <f t="shared" si="109"/>
        <v>0</v>
      </c>
      <c r="AN136" s="268"/>
      <c r="AO136" s="179">
        <f t="shared" si="110"/>
        <v>0</v>
      </c>
      <c r="AP136" s="268"/>
      <c r="AQ136" s="179">
        <f t="shared" si="111"/>
        <v>0</v>
      </c>
      <c r="AR136" s="273"/>
      <c r="AS136" s="209">
        <f t="shared" si="112"/>
        <v>0</v>
      </c>
      <c r="AT136" s="273"/>
      <c r="AU136" s="226">
        <f t="shared" si="113"/>
        <v>0</v>
      </c>
      <c r="AV136" s="273"/>
      <c r="AW136" s="209">
        <f t="shared" si="114"/>
        <v>0</v>
      </c>
      <c r="AX136" s="273"/>
      <c r="AY136" s="209">
        <f t="shared" si="115"/>
        <v>0</v>
      </c>
      <c r="AZ136" s="273"/>
      <c r="BA136" s="179">
        <f t="shared" si="116"/>
        <v>0</v>
      </c>
      <c r="BB136"/>
      <c r="BC136"/>
      <c r="BD136"/>
    </row>
    <row r="137" spans="1:56" s="34" customFormat="1" hidden="1" x14ac:dyDescent="0.25">
      <c r="A137" s="87"/>
      <c r="B137" s="42"/>
      <c r="C137" s="41"/>
      <c r="D137" s="41"/>
      <c r="E137" s="40"/>
      <c r="F137" s="40"/>
      <c r="G137" s="40"/>
      <c r="H137" s="40"/>
      <c r="I137" s="160"/>
      <c r="J137" s="41"/>
      <c r="K137" s="41"/>
      <c r="L137" s="41"/>
      <c r="M137" s="41"/>
      <c r="N137" s="41"/>
      <c r="O137" s="41"/>
      <c r="P137" s="188"/>
      <c r="Q137" s="221"/>
      <c r="R137" s="253"/>
      <c r="S137" s="179">
        <f t="shared" si="99"/>
        <v>3898.2066402109976</v>
      </c>
      <c r="T137" s="259"/>
      <c r="U137" s="179">
        <f t="shared" si="100"/>
        <v>79</v>
      </c>
      <c r="V137" s="259"/>
      <c r="W137" s="179">
        <f t="shared" si="101"/>
        <v>0</v>
      </c>
      <c r="X137" s="259"/>
      <c r="Y137" s="179">
        <f t="shared" si="102"/>
        <v>1099.9999518559998</v>
      </c>
      <c r="Z137" s="259"/>
      <c r="AA137" s="179">
        <f t="shared" si="103"/>
        <v>412.42479377000001</v>
      </c>
      <c r="AB137" s="259"/>
      <c r="AC137" s="179">
        <f t="shared" si="104"/>
        <v>0</v>
      </c>
      <c r="AD137" s="189">
        <f t="shared" si="98"/>
        <v>0</v>
      </c>
      <c r="AE137" s="179">
        <f t="shared" si="105"/>
        <v>1512.424745626</v>
      </c>
      <c r="AF137" s="264"/>
      <c r="AG137" s="179">
        <f t="shared" si="106"/>
        <v>999.99995185600005</v>
      </c>
      <c r="AH137" s="268"/>
      <c r="AI137" s="179">
        <f t="shared" si="107"/>
        <v>0</v>
      </c>
      <c r="AJ137" s="268"/>
      <c r="AK137" s="179">
        <f t="shared" si="108"/>
        <v>100</v>
      </c>
      <c r="AL137" s="268"/>
      <c r="AM137" s="179">
        <f t="shared" si="109"/>
        <v>0</v>
      </c>
      <c r="AN137" s="268"/>
      <c r="AO137" s="179">
        <f t="shared" si="110"/>
        <v>0</v>
      </c>
      <c r="AP137" s="268"/>
      <c r="AQ137" s="179">
        <f t="shared" si="111"/>
        <v>0</v>
      </c>
      <c r="AR137" s="273"/>
      <c r="AS137" s="209">
        <f t="shared" si="112"/>
        <v>0</v>
      </c>
      <c r="AT137" s="273"/>
      <c r="AU137" s="226">
        <f t="shared" si="113"/>
        <v>0</v>
      </c>
      <c r="AV137" s="273"/>
      <c r="AW137" s="209">
        <f t="shared" si="114"/>
        <v>0</v>
      </c>
      <c r="AX137" s="273"/>
      <c r="AY137" s="209">
        <f t="shared" si="115"/>
        <v>0</v>
      </c>
      <c r="AZ137" s="273"/>
      <c r="BA137" s="179">
        <f t="shared" si="116"/>
        <v>0</v>
      </c>
      <c r="BB137"/>
      <c r="BC137"/>
      <c r="BD137"/>
    </row>
    <row r="138" spans="1:56" s="34" customFormat="1" hidden="1" x14ac:dyDescent="0.25">
      <c r="A138" s="87"/>
      <c r="B138" s="42"/>
      <c r="C138" s="41"/>
      <c r="D138" s="41"/>
      <c r="E138" s="40"/>
      <c r="F138" s="40"/>
      <c r="G138" s="40"/>
      <c r="H138" s="40"/>
      <c r="I138" s="160"/>
      <c r="J138" s="41"/>
      <c r="K138" s="41"/>
      <c r="L138" s="41"/>
      <c r="M138" s="41"/>
      <c r="N138" s="41"/>
      <c r="O138" s="41"/>
      <c r="P138" s="188"/>
      <c r="Q138" s="221"/>
      <c r="R138" s="253"/>
      <c r="S138" s="179">
        <f t="shared" si="99"/>
        <v>3898.2066402109976</v>
      </c>
      <c r="T138" s="259"/>
      <c r="U138" s="179">
        <f t="shared" si="100"/>
        <v>79</v>
      </c>
      <c r="V138" s="259"/>
      <c r="W138" s="179">
        <f t="shared" si="101"/>
        <v>0</v>
      </c>
      <c r="X138" s="259"/>
      <c r="Y138" s="179">
        <f t="shared" si="102"/>
        <v>1099.9999518559998</v>
      </c>
      <c r="Z138" s="259"/>
      <c r="AA138" s="179">
        <f t="shared" si="103"/>
        <v>412.42479377000001</v>
      </c>
      <c r="AB138" s="259"/>
      <c r="AC138" s="179">
        <f t="shared" si="104"/>
        <v>0</v>
      </c>
      <c r="AD138" s="189">
        <f t="shared" si="98"/>
        <v>0</v>
      </c>
      <c r="AE138" s="179">
        <f t="shared" si="105"/>
        <v>1512.424745626</v>
      </c>
      <c r="AF138" s="264"/>
      <c r="AG138" s="179">
        <f t="shared" si="106"/>
        <v>999.99995185600005</v>
      </c>
      <c r="AH138" s="268"/>
      <c r="AI138" s="179">
        <f t="shared" si="107"/>
        <v>0</v>
      </c>
      <c r="AJ138" s="268"/>
      <c r="AK138" s="179">
        <f t="shared" si="108"/>
        <v>100</v>
      </c>
      <c r="AL138" s="268"/>
      <c r="AM138" s="179">
        <f t="shared" si="109"/>
        <v>0</v>
      </c>
      <c r="AN138" s="268"/>
      <c r="AO138" s="179">
        <f t="shared" si="110"/>
        <v>0</v>
      </c>
      <c r="AP138" s="268"/>
      <c r="AQ138" s="179">
        <f t="shared" si="111"/>
        <v>0</v>
      </c>
      <c r="AR138" s="273"/>
      <c r="AS138" s="209">
        <f t="shared" si="112"/>
        <v>0</v>
      </c>
      <c r="AT138" s="273"/>
      <c r="AU138" s="226">
        <f t="shared" si="113"/>
        <v>0</v>
      </c>
      <c r="AV138" s="273"/>
      <c r="AW138" s="209">
        <f t="shared" si="114"/>
        <v>0</v>
      </c>
      <c r="AX138" s="273"/>
      <c r="AY138" s="209">
        <f t="shared" si="115"/>
        <v>0</v>
      </c>
      <c r="AZ138" s="273"/>
      <c r="BA138" s="179">
        <f t="shared" si="116"/>
        <v>0</v>
      </c>
      <c r="BB138"/>
      <c r="BC138"/>
      <c r="BD138"/>
    </row>
    <row r="139" spans="1:56" s="34" customFormat="1" hidden="1" x14ac:dyDescent="0.25">
      <c r="A139" s="87"/>
      <c r="B139" s="42"/>
      <c r="C139" s="41"/>
      <c r="D139" s="41"/>
      <c r="E139" s="40"/>
      <c r="F139" s="40"/>
      <c r="G139" s="40"/>
      <c r="H139" s="40"/>
      <c r="I139" s="160"/>
      <c r="J139" s="41"/>
      <c r="K139" s="41"/>
      <c r="L139" s="41"/>
      <c r="M139" s="41"/>
      <c r="N139" s="41"/>
      <c r="O139" s="41"/>
      <c r="P139" s="188"/>
      <c r="Q139" s="221"/>
      <c r="R139" s="253"/>
      <c r="S139" s="179">
        <f t="shared" si="99"/>
        <v>3898.2066402109976</v>
      </c>
      <c r="T139" s="259"/>
      <c r="U139" s="179">
        <f t="shared" si="100"/>
        <v>79</v>
      </c>
      <c r="V139" s="259"/>
      <c r="W139" s="179">
        <f t="shared" si="101"/>
        <v>0</v>
      </c>
      <c r="X139" s="259"/>
      <c r="Y139" s="179">
        <f t="shared" si="102"/>
        <v>1099.9999518559998</v>
      </c>
      <c r="Z139" s="259"/>
      <c r="AA139" s="179">
        <f t="shared" si="103"/>
        <v>412.42479377000001</v>
      </c>
      <c r="AB139" s="259"/>
      <c r="AC139" s="179">
        <f t="shared" si="104"/>
        <v>0</v>
      </c>
      <c r="AD139" s="189">
        <f t="shared" si="98"/>
        <v>0</v>
      </c>
      <c r="AE139" s="179">
        <f t="shared" si="105"/>
        <v>1512.424745626</v>
      </c>
      <c r="AF139" s="264"/>
      <c r="AG139" s="179">
        <f t="shared" si="106"/>
        <v>999.99995185600005</v>
      </c>
      <c r="AH139" s="268"/>
      <c r="AI139" s="179">
        <f t="shared" si="107"/>
        <v>0</v>
      </c>
      <c r="AJ139" s="268"/>
      <c r="AK139" s="179">
        <f t="shared" si="108"/>
        <v>100</v>
      </c>
      <c r="AL139" s="268"/>
      <c r="AM139" s="179">
        <f t="shared" si="109"/>
        <v>0</v>
      </c>
      <c r="AN139" s="268"/>
      <c r="AO139" s="179">
        <f t="shared" si="110"/>
        <v>0</v>
      </c>
      <c r="AP139" s="268"/>
      <c r="AQ139" s="179">
        <f t="shared" si="111"/>
        <v>0</v>
      </c>
      <c r="AR139" s="273"/>
      <c r="AS139" s="209">
        <f t="shared" si="112"/>
        <v>0</v>
      </c>
      <c r="AT139" s="273"/>
      <c r="AU139" s="226">
        <f t="shared" si="113"/>
        <v>0</v>
      </c>
      <c r="AV139" s="273"/>
      <c r="AW139" s="209">
        <f t="shared" si="114"/>
        <v>0</v>
      </c>
      <c r="AX139" s="273"/>
      <c r="AY139" s="209">
        <f t="shared" si="115"/>
        <v>0</v>
      </c>
      <c r="AZ139" s="273"/>
      <c r="BA139" s="179">
        <f t="shared" si="116"/>
        <v>0</v>
      </c>
      <c r="BB139"/>
      <c r="BC139"/>
      <c r="BD139"/>
    </row>
    <row r="140" spans="1:56" s="34" customFormat="1" hidden="1" x14ac:dyDescent="0.25">
      <c r="A140" s="87"/>
      <c r="B140" s="42"/>
      <c r="C140" s="41"/>
      <c r="D140" s="41"/>
      <c r="E140" s="40"/>
      <c r="F140" s="40"/>
      <c r="G140" s="40"/>
      <c r="H140" s="40"/>
      <c r="I140" s="160"/>
      <c r="J140" s="41"/>
      <c r="K140" s="41"/>
      <c r="L140" s="41"/>
      <c r="M140" s="41"/>
      <c r="N140" s="41"/>
      <c r="O140" s="41"/>
      <c r="P140" s="188"/>
      <c r="Q140" s="221"/>
      <c r="R140" s="253"/>
      <c r="S140" s="179">
        <f t="shared" si="99"/>
        <v>3898.2066402109976</v>
      </c>
      <c r="T140" s="259"/>
      <c r="U140" s="179">
        <f t="shared" si="100"/>
        <v>79</v>
      </c>
      <c r="V140" s="259"/>
      <c r="W140" s="179">
        <f t="shared" si="101"/>
        <v>0</v>
      </c>
      <c r="X140" s="259"/>
      <c r="Y140" s="179">
        <f t="shared" si="102"/>
        <v>1099.9999518559998</v>
      </c>
      <c r="Z140" s="259"/>
      <c r="AA140" s="179">
        <f t="shared" si="103"/>
        <v>412.42479377000001</v>
      </c>
      <c r="AB140" s="259"/>
      <c r="AC140" s="179">
        <f t="shared" si="104"/>
        <v>0</v>
      </c>
      <c r="AD140" s="189">
        <f t="shared" si="98"/>
        <v>0</v>
      </c>
      <c r="AE140" s="179">
        <f t="shared" si="105"/>
        <v>1512.424745626</v>
      </c>
      <c r="AF140" s="264"/>
      <c r="AG140" s="179">
        <f t="shared" si="106"/>
        <v>999.99995185600005</v>
      </c>
      <c r="AH140" s="268"/>
      <c r="AI140" s="179">
        <f t="shared" si="107"/>
        <v>0</v>
      </c>
      <c r="AJ140" s="268"/>
      <c r="AK140" s="179">
        <f t="shared" si="108"/>
        <v>100</v>
      </c>
      <c r="AL140" s="268"/>
      <c r="AM140" s="179">
        <f t="shared" si="109"/>
        <v>0</v>
      </c>
      <c r="AN140" s="268"/>
      <c r="AO140" s="179">
        <f t="shared" si="110"/>
        <v>0</v>
      </c>
      <c r="AP140" s="268"/>
      <c r="AQ140" s="179">
        <f t="shared" si="111"/>
        <v>0</v>
      </c>
      <c r="AR140" s="273"/>
      <c r="AS140" s="209">
        <f t="shared" si="112"/>
        <v>0</v>
      </c>
      <c r="AT140" s="273"/>
      <c r="AU140" s="226">
        <f t="shared" si="113"/>
        <v>0</v>
      </c>
      <c r="AV140" s="273"/>
      <c r="AW140" s="209">
        <f t="shared" si="114"/>
        <v>0</v>
      </c>
      <c r="AX140" s="273"/>
      <c r="AY140" s="209">
        <f t="shared" si="115"/>
        <v>0</v>
      </c>
      <c r="AZ140" s="273"/>
      <c r="BA140" s="179">
        <f t="shared" si="116"/>
        <v>0</v>
      </c>
      <c r="BB140"/>
      <c r="BC140"/>
      <c r="BD140"/>
    </row>
    <row r="141" spans="1:56" s="34" customFormat="1" hidden="1" x14ac:dyDescent="0.25">
      <c r="A141" s="87"/>
      <c r="B141" s="42"/>
      <c r="C141" s="41"/>
      <c r="D141" s="41"/>
      <c r="E141" s="40"/>
      <c r="F141" s="40"/>
      <c r="G141" s="40"/>
      <c r="H141" s="40"/>
      <c r="I141" s="160"/>
      <c r="J141" s="41"/>
      <c r="K141" s="41"/>
      <c r="L141" s="41"/>
      <c r="M141" s="41"/>
      <c r="N141" s="41"/>
      <c r="O141" s="41"/>
      <c r="P141" s="188"/>
      <c r="Q141" s="221"/>
      <c r="R141" s="253"/>
      <c r="S141" s="179">
        <f t="shared" si="99"/>
        <v>3898.2066402109976</v>
      </c>
      <c r="T141" s="259"/>
      <c r="U141" s="179">
        <f t="shared" si="100"/>
        <v>79</v>
      </c>
      <c r="V141" s="259"/>
      <c r="W141" s="179">
        <f t="shared" si="101"/>
        <v>0</v>
      </c>
      <c r="X141" s="259"/>
      <c r="Y141" s="179">
        <f t="shared" si="102"/>
        <v>1099.9999518559998</v>
      </c>
      <c r="Z141" s="259"/>
      <c r="AA141" s="179">
        <f t="shared" si="103"/>
        <v>412.42479377000001</v>
      </c>
      <c r="AB141" s="259"/>
      <c r="AC141" s="179">
        <f t="shared" si="104"/>
        <v>0</v>
      </c>
      <c r="AD141" s="189">
        <f t="shared" si="98"/>
        <v>0</v>
      </c>
      <c r="AE141" s="179">
        <f t="shared" si="105"/>
        <v>1512.424745626</v>
      </c>
      <c r="AF141" s="264"/>
      <c r="AG141" s="179">
        <f t="shared" si="106"/>
        <v>999.99995185600005</v>
      </c>
      <c r="AH141" s="268"/>
      <c r="AI141" s="179">
        <f t="shared" si="107"/>
        <v>0</v>
      </c>
      <c r="AJ141" s="268"/>
      <c r="AK141" s="179">
        <f t="shared" si="108"/>
        <v>100</v>
      </c>
      <c r="AL141" s="268"/>
      <c r="AM141" s="179">
        <f t="shared" si="109"/>
        <v>0</v>
      </c>
      <c r="AN141" s="268"/>
      <c r="AO141" s="179">
        <f t="shared" si="110"/>
        <v>0</v>
      </c>
      <c r="AP141" s="268"/>
      <c r="AQ141" s="179">
        <f t="shared" si="111"/>
        <v>0</v>
      </c>
      <c r="AR141" s="273"/>
      <c r="AS141" s="209">
        <f t="shared" si="112"/>
        <v>0</v>
      </c>
      <c r="AT141" s="273"/>
      <c r="AU141" s="226">
        <f t="shared" si="113"/>
        <v>0</v>
      </c>
      <c r="AV141" s="273"/>
      <c r="AW141" s="209">
        <f t="shared" si="114"/>
        <v>0</v>
      </c>
      <c r="AX141" s="273"/>
      <c r="AY141" s="209">
        <f t="shared" si="115"/>
        <v>0</v>
      </c>
      <c r="AZ141" s="273"/>
      <c r="BA141" s="179">
        <f t="shared" si="116"/>
        <v>0</v>
      </c>
      <c r="BB141"/>
      <c r="BC141"/>
      <c r="BD141"/>
    </row>
    <row r="142" spans="1:56" s="34" customFormat="1" hidden="1" x14ac:dyDescent="0.25">
      <c r="A142" s="87"/>
      <c r="B142" s="42"/>
      <c r="C142" s="41"/>
      <c r="D142" s="41"/>
      <c r="E142" s="40"/>
      <c r="F142" s="40"/>
      <c r="G142" s="40"/>
      <c r="H142" s="40"/>
      <c r="I142" s="160"/>
      <c r="J142" s="41"/>
      <c r="K142" s="41"/>
      <c r="L142" s="41"/>
      <c r="M142" s="41"/>
      <c r="N142" s="41"/>
      <c r="O142" s="41"/>
      <c r="P142" s="188"/>
      <c r="Q142" s="221"/>
      <c r="R142" s="253"/>
      <c r="S142" s="179">
        <f t="shared" si="99"/>
        <v>3898.2066402109976</v>
      </c>
      <c r="T142" s="259"/>
      <c r="U142" s="179">
        <f t="shared" si="100"/>
        <v>79</v>
      </c>
      <c r="V142" s="259"/>
      <c r="W142" s="179">
        <f t="shared" si="101"/>
        <v>0</v>
      </c>
      <c r="X142" s="259"/>
      <c r="Y142" s="179">
        <f t="shared" si="102"/>
        <v>1099.9999518559998</v>
      </c>
      <c r="Z142" s="259"/>
      <c r="AA142" s="179">
        <f t="shared" si="103"/>
        <v>412.42479377000001</v>
      </c>
      <c r="AB142" s="259"/>
      <c r="AC142" s="179">
        <f t="shared" si="104"/>
        <v>0</v>
      </c>
      <c r="AD142" s="189">
        <f t="shared" si="98"/>
        <v>0</v>
      </c>
      <c r="AE142" s="179">
        <f t="shared" si="105"/>
        <v>1512.424745626</v>
      </c>
      <c r="AF142" s="264"/>
      <c r="AG142" s="179">
        <f t="shared" si="106"/>
        <v>999.99995185600005</v>
      </c>
      <c r="AH142" s="268"/>
      <c r="AI142" s="179">
        <f t="shared" si="107"/>
        <v>0</v>
      </c>
      <c r="AJ142" s="268"/>
      <c r="AK142" s="179">
        <f t="shared" si="108"/>
        <v>100</v>
      </c>
      <c r="AL142" s="268"/>
      <c r="AM142" s="179">
        <f t="shared" si="109"/>
        <v>0</v>
      </c>
      <c r="AN142" s="268"/>
      <c r="AO142" s="179">
        <f t="shared" si="110"/>
        <v>0</v>
      </c>
      <c r="AP142" s="268"/>
      <c r="AQ142" s="179">
        <f t="shared" si="111"/>
        <v>0</v>
      </c>
      <c r="AR142" s="273"/>
      <c r="AS142" s="209">
        <f t="shared" si="112"/>
        <v>0</v>
      </c>
      <c r="AT142" s="273"/>
      <c r="AU142" s="226">
        <f t="shared" si="113"/>
        <v>0</v>
      </c>
      <c r="AV142" s="273"/>
      <c r="AW142" s="209">
        <f t="shared" si="114"/>
        <v>0</v>
      </c>
      <c r="AX142" s="273"/>
      <c r="AY142" s="209">
        <f t="shared" si="115"/>
        <v>0</v>
      </c>
      <c r="AZ142" s="273"/>
      <c r="BA142" s="179">
        <f t="shared" si="116"/>
        <v>0</v>
      </c>
      <c r="BB142"/>
      <c r="BC142"/>
      <c r="BD142"/>
    </row>
    <row r="143" spans="1:56" s="34" customFormat="1" hidden="1" x14ac:dyDescent="0.25">
      <c r="A143" s="87"/>
      <c r="B143" s="42"/>
      <c r="C143" s="41"/>
      <c r="D143" s="41"/>
      <c r="E143" s="40"/>
      <c r="F143" s="40"/>
      <c r="G143" s="40"/>
      <c r="H143" s="40"/>
      <c r="I143" s="160"/>
      <c r="J143" s="41"/>
      <c r="K143" s="41"/>
      <c r="L143" s="41"/>
      <c r="M143" s="41"/>
      <c r="N143" s="41"/>
      <c r="O143" s="41"/>
      <c r="P143" s="188"/>
      <c r="Q143" s="221"/>
      <c r="R143" s="253"/>
      <c r="S143" s="179">
        <f t="shared" si="99"/>
        <v>3898.2066402109976</v>
      </c>
      <c r="T143" s="259"/>
      <c r="U143" s="179">
        <f t="shared" si="100"/>
        <v>79</v>
      </c>
      <c r="V143" s="259"/>
      <c r="W143" s="179">
        <f t="shared" si="101"/>
        <v>0</v>
      </c>
      <c r="X143" s="259"/>
      <c r="Y143" s="179">
        <f t="shared" si="102"/>
        <v>1099.9999518559998</v>
      </c>
      <c r="Z143" s="259"/>
      <c r="AA143" s="179">
        <f t="shared" si="103"/>
        <v>412.42479377000001</v>
      </c>
      <c r="AB143" s="259"/>
      <c r="AC143" s="179">
        <f t="shared" si="104"/>
        <v>0</v>
      </c>
      <c r="AD143" s="189">
        <f t="shared" si="98"/>
        <v>0</v>
      </c>
      <c r="AE143" s="179">
        <f t="shared" si="105"/>
        <v>1512.424745626</v>
      </c>
      <c r="AF143" s="264"/>
      <c r="AG143" s="179">
        <f t="shared" si="106"/>
        <v>999.99995185600005</v>
      </c>
      <c r="AH143" s="268"/>
      <c r="AI143" s="179">
        <f t="shared" si="107"/>
        <v>0</v>
      </c>
      <c r="AJ143" s="268"/>
      <c r="AK143" s="179">
        <f t="shared" si="108"/>
        <v>100</v>
      </c>
      <c r="AL143" s="268"/>
      <c r="AM143" s="179">
        <f t="shared" si="109"/>
        <v>0</v>
      </c>
      <c r="AN143" s="268"/>
      <c r="AO143" s="179">
        <f t="shared" si="110"/>
        <v>0</v>
      </c>
      <c r="AP143" s="268"/>
      <c r="AQ143" s="179">
        <f t="shared" si="111"/>
        <v>0</v>
      </c>
      <c r="AR143" s="273"/>
      <c r="AS143" s="209">
        <f t="shared" si="112"/>
        <v>0</v>
      </c>
      <c r="AT143" s="273"/>
      <c r="AU143" s="226">
        <f t="shared" si="113"/>
        <v>0</v>
      </c>
      <c r="AV143" s="273"/>
      <c r="AW143" s="209">
        <f t="shared" si="114"/>
        <v>0</v>
      </c>
      <c r="AX143" s="273"/>
      <c r="AY143" s="209">
        <f t="shared" si="115"/>
        <v>0</v>
      </c>
      <c r="AZ143" s="273"/>
      <c r="BA143" s="179">
        <f t="shared" si="116"/>
        <v>0</v>
      </c>
      <c r="BB143"/>
      <c r="BC143"/>
      <c r="BD143"/>
    </row>
    <row r="144" spans="1:56" s="34" customFormat="1" hidden="1" x14ac:dyDescent="0.25">
      <c r="A144" s="87"/>
      <c r="B144" s="42"/>
      <c r="C144" s="41"/>
      <c r="D144" s="41"/>
      <c r="E144" s="40"/>
      <c r="F144" s="40"/>
      <c r="G144" s="40"/>
      <c r="H144" s="40"/>
      <c r="I144" s="160"/>
      <c r="J144" s="41"/>
      <c r="K144" s="41"/>
      <c r="L144" s="41"/>
      <c r="M144" s="41"/>
      <c r="N144" s="41"/>
      <c r="O144" s="41"/>
      <c r="P144" s="188"/>
      <c r="Q144" s="221"/>
      <c r="R144" s="253"/>
      <c r="S144" s="179">
        <f t="shared" si="99"/>
        <v>3898.2066402109976</v>
      </c>
      <c r="T144" s="259"/>
      <c r="U144" s="179">
        <f t="shared" si="100"/>
        <v>79</v>
      </c>
      <c r="V144" s="259"/>
      <c r="W144" s="179">
        <f t="shared" si="101"/>
        <v>0</v>
      </c>
      <c r="X144" s="259"/>
      <c r="Y144" s="179">
        <f t="shared" si="102"/>
        <v>1099.9999518559998</v>
      </c>
      <c r="Z144" s="259"/>
      <c r="AA144" s="179">
        <f t="shared" si="103"/>
        <v>412.42479377000001</v>
      </c>
      <c r="AB144" s="259"/>
      <c r="AC144" s="179">
        <f t="shared" si="104"/>
        <v>0</v>
      </c>
      <c r="AD144" s="189">
        <f t="shared" si="98"/>
        <v>0</v>
      </c>
      <c r="AE144" s="179">
        <f t="shared" si="105"/>
        <v>1512.424745626</v>
      </c>
      <c r="AF144" s="264"/>
      <c r="AG144" s="179">
        <f t="shared" si="106"/>
        <v>999.99995185600005</v>
      </c>
      <c r="AH144" s="268"/>
      <c r="AI144" s="179">
        <f t="shared" si="107"/>
        <v>0</v>
      </c>
      <c r="AJ144" s="268"/>
      <c r="AK144" s="179">
        <f t="shared" si="108"/>
        <v>100</v>
      </c>
      <c r="AL144" s="268"/>
      <c r="AM144" s="179">
        <f t="shared" si="109"/>
        <v>0</v>
      </c>
      <c r="AN144" s="268"/>
      <c r="AO144" s="179">
        <f t="shared" si="110"/>
        <v>0</v>
      </c>
      <c r="AP144" s="268"/>
      <c r="AQ144" s="179">
        <f t="shared" si="111"/>
        <v>0</v>
      </c>
      <c r="AR144" s="273"/>
      <c r="AS144" s="209">
        <f t="shared" si="112"/>
        <v>0</v>
      </c>
      <c r="AT144" s="273"/>
      <c r="AU144" s="226">
        <f t="shared" si="113"/>
        <v>0</v>
      </c>
      <c r="AV144" s="273"/>
      <c r="AW144" s="209">
        <f t="shared" si="114"/>
        <v>0</v>
      </c>
      <c r="AX144" s="273"/>
      <c r="AY144" s="209">
        <f t="shared" si="115"/>
        <v>0</v>
      </c>
      <c r="AZ144" s="273"/>
      <c r="BA144" s="179">
        <f t="shared" si="116"/>
        <v>0</v>
      </c>
      <c r="BB144"/>
      <c r="BC144"/>
      <c r="BD144"/>
    </row>
    <row r="145" spans="1:56" s="34" customFormat="1" hidden="1" x14ac:dyDescent="0.25">
      <c r="A145" s="87"/>
      <c r="B145" s="42"/>
      <c r="C145" s="41"/>
      <c r="D145" s="41"/>
      <c r="E145" s="40"/>
      <c r="F145" s="40"/>
      <c r="G145" s="40"/>
      <c r="H145" s="40"/>
      <c r="I145" s="160"/>
      <c r="J145" s="41"/>
      <c r="K145" s="41"/>
      <c r="L145" s="41"/>
      <c r="M145" s="41"/>
      <c r="N145" s="41"/>
      <c r="O145" s="41"/>
      <c r="P145" s="188"/>
      <c r="Q145" s="221"/>
      <c r="R145" s="253"/>
      <c r="S145" s="179">
        <f t="shared" si="99"/>
        <v>3898.2066402109976</v>
      </c>
      <c r="T145" s="259"/>
      <c r="U145" s="179">
        <f t="shared" si="100"/>
        <v>79</v>
      </c>
      <c r="V145" s="259"/>
      <c r="W145" s="179">
        <f t="shared" si="101"/>
        <v>0</v>
      </c>
      <c r="X145" s="259"/>
      <c r="Y145" s="179">
        <f t="shared" si="102"/>
        <v>1099.9999518559998</v>
      </c>
      <c r="Z145" s="259"/>
      <c r="AA145" s="179">
        <f t="shared" si="103"/>
        <v>412.42479377000001</v>
      </c>
      <c r="AB145" s="259"/>
      <c r="AC145" s="179">
        <f t="shared" si="104"/>
        <v>0</v>
      </c>
      <c r="AD145" s="189">
        <f t="shared" si="98"/>
        <v>0</v>
      </c>
      <c r="AE145" s="179">
        <f t="shared" si="105"/>
        <v>1512.424745626</v>
      </c>
      <c r="AF145" s="264"/>
      <c r="AG145" s="179">
        <f t="shared" si="106"/>
        <v>999.99995185600005</v>
      </c>
      <c r="AH145" s="268"/>
      <c r="AI145" s="179">
        <f t="shared" si="107"/>
        <v>0</v>
      </c>
      <c r="AJ145" s="268"/>
      <c r="AK145" s="179">
        <f t="shared" si="108"/>
        <v>100</v>
      </c>
      <c r="AL145" s="268"/>
      <c r="AM145" s="179">
        <f t="shared" si="109"/>
        <v>0</v>
      </c>
      <c r="AN145" s="268"/>
      <c r="AO145" s="179">
        <f t="shared" si="110"/>
        <v>0</v>
      </c>
      <c r="AP145" s="268"/>
      <c r="AQ145" s="179">
        <f t="shared" si="111"/>
        <v>0</v>
      </c>
      <c r="AR145" s="273"/>
      <c r="AS145" s="209">
        <f t="shared" si="112"/>
        <v>0</v>
      </c>
      <c r="AT145" s="273"/>
      <c r="AU145" s="226">
        <f t="shared" si="113"/>
        <v>0</v>
      </c>
      <c r="AV145" s="273"/>
      <c r="AW145" s="209">
        <f t="shared" si="114"/>
        <v>0</v>
      </c>
      <c r="AX145" s="273"/>
      <c r="AY145" s="209">
        <f t="shared" si="115"/>
        <v>0</v>
      </c>
      <c r="AZ145" s="273"/>
      <c r="BA145" s="179">
        <f t="shared" si="116"/>
        <v>0</v>
      </c>
      <c r="BB145"/>
      <c r="BC145"/>
      <c r="BD145"/>
    </row>
    <row r="146" spans="1:56" s="34" customFormat="1" hidden="1" x14ac:dyDescent="0.25">
      <c r="A146" s="87"/>
      <c r="B146" s="42"/>
      <c r="C146" s="41"/>
      <c r="D146" s="41"/>
      <c r="E146" s="40"/>
      <c r="F146" s="40"/>
      <c r="G146" s="40"/>
      <c r="H146" s="40"/>
      <c r="I146" s="160"/>
      <c r="J146" s="41"/>
      <c r="K146" s="41"/>
      <c r="L146" s="41"/>
      <c r="M146" s="41"/>
      <c r="N146" s="41"/>
      <c r="O146" s="41"/>
      <c r="P146" s="188"/>
      <c r="Q146" s="221"/>
      <c r="R146" s="253"/>
      <c r="S146" s="179">
        <f t="shared" si="99"/>
        <v>3898.2066402109976</v>
      </c>
      <c r="T146" s="259"/>
      <c r="U146" s="179">
        <f t="shared" si="100"/>
        <v>79</v>
      </c>
      <c r="V146" s="259"/>
      <c r="W146" s="179">
        <f t="shared" si="101"/>
        <v>0</v>
      </c>
      <c r="X146" s="259"/>
      <c r="Y146" s="179">
        <f t="shared" si="102"/>
        <v>1099.9999518559998</v>
      </c>
      <c r="Z146" s="259"/>
      <c r="AA146" s="179">
        <f t="shared" si="103"/>
        <v>412.42479377000001</v>
      </c>
      <c r="AB146" s="259"/>
      <c r="AC146" s="179">
        <f t="shared" si="104"/>
        <v>0</v>
      </c>
      <c r="AD146" s="189">
        <f t="shared" si="98"/>
        <v>0</v>
      </c>
      <c r="AE146" s="179">
        <f t="shared" si="105"/>
        <v>1512.424745626</v>
      </c>
      <c r="AF146" s="264"/>
      <c r="AG146" s="179">
        <f t="shared" si="106"/>
        <v>999.99995185600005</v>
      </c>
      <c r="AH146" s="268"/>
      <c r="AI146" s="179">
        <f t="shared" si="107"/>
        <v>0</v>
      </c>
      <c r="AJ146" s="268"/>
      <c r="AK146" s="179">
        <f t="shared" si="108"/>
        <v>100</v>
      </c>
      <c r="AL146" s="268"/>
      <c r="AM146" s="179">
        <f t="shared" si="109"/>
        <v>0</v>
      </c>
      <c r="AN146" s="268"/>
      <c r="AO146" s="179">
        <f t="shared" si="110"/>
        <v>0</v>
      </c>
      <c r="AP146" s="268"/>
      <c r="AQ146" s="179">
        <f t="shared" si="111"/>
        <v>0</v>
      </c>
      <c r="AR146" s="273"/>
      <c r="AS146" s="209">
        <f t="shared" si="112"/>
        <v>0</v>
      </c>
      <c r="AT146" s="273"/>
      <c r="AU146" s="226">
        <f t="shared" si="113"/>
        <v>0</v>
      </c>
      <c r="AV146" s="273"/>
      <c r="AW146" s="209">
        <f t="shared" si="114"/>
        <v>0</v>
      </c>
      <c r="AX146" s="273"/>
      <c r="AY146" s="209">
        <f t="shared" si="115"/>
        <v>0</v>
      </c>
      <c r="AZ146" s="273"/>
      <c r="BA146" s="179">
        <f t="shared" si="116"/>
        <v>0</v>
      </c>
      <c r="BB146"/>
      <c r="BC146"/>
      <c r="BD146"/>
    </row>
    <row r="147" spans="1:56" s="34" customFormat="1" hidden="1" x14ac:dyDescent="0.25">
      <c r="A147" s="87"/>
      <c r="B147" s="42"/>
      <c r="C147" s="41"/>
      <c r="D147" s="41"/>
      <c r="E147" s="40"/>
      <c r="F147" s="40"/>
      <c r="G147" s="40"/>
      <c r="H147" s="40"/>
      <c r="I147" s="160"/>
      <c r="J147" s="41"/>
      <c r="K147" s="41"/>
      <c r="L147" s="41"/>
      <c r="M147" s="41"/>
      <c r="N147" s="41"/>
      <c r="O147" s="41"/>
      <c r="P147" s="188"/>
      <c r="Q147" s="221"/>
      <c r="R147" s="253"/>
      <c r="S147" s="179">
        <f t="shared" si="99"/>
        <v>3898.2066402109976</v>
      </c>
      <c r="T147" s="259"/>
      <c r="U147" s="179">
        <f t="shared" si="100"/>
        <v>79</v>
      </c>
      <c r="V147" s="259"/>
      <c r="W147" s="179">
        <f t="shared" si="101"/>
        <v>0</v>
      </c>
      <c r="X147" s="259"/>
      <c r="Y147" s="179">
        <f t="shared" si="102"/>
        <v>1099.9999518559998</v>
      </c>
      <c r="Z147" s="259"/>
      <c r="AA147" s="179">
        <f t="shared" si="103"/>
        <v>412.42479377000001</v>
      </c>
      <c r="AB147" s="259"/>
      <c r="AC147" s="179">
        <f t="shared" si="104"/>
        <v>0</v>
      </c>
      <c r="AD147" s="189">
        <f t="shared" si="98"/>
        <v>0</v>
      </c>
      <c r="AE147" s="179">
        <f t="shared" si="105"/>
        <v>1512.424745626</v>
      </c>
      <c r="AF147" s="264"/>
      <c r="AG147" s="179">
        <f t="shared" si="106"/>
        <v>999.99995185600005</v>
      </c>
      <c r="AH147" s="268"/>
      <c r="AI147" s="179">
        <f t="shared" si="107"/>
        <v>0</v>
      </c>
      <c r="AJ147" s="268"/>
      <c r="AK147" s="179">
        <f t="shared" si="108"/>
        <v>100</v>
      </c>
      <c r="AL147" s="268"/>
      <c r="AM147" s="179">
        <f t="shared" si="109"/>
        <v>0</v>
      </c>
      <c r="AN147" s="268"/>
      <c r="AO147" s="179">
        <f t="shared" si="110"/>
        <v>0</v>
      </c>
      <c r="AP147" s="268"/>
      <c r="AQ147" s="179">
        <f t="shared" si="111"/>
        <v>0</v>
      </c>
      <c r="AR147" s="273"/>
      <c r="AS147" s="209">
        <f t="shared" si="112"/>
        <v>0</v>
      </c>
      <c r="AT147" s="273"/>
      <c r="AU147" s="226">
        <f t="shared" si="113"/>
        <v>0</v>
      </c>
      <c r="AV147" s="273"/>
      <c r="AW147" s="209">
        <f t="shared" si="114"/>
        <v>0</v>
      </c>
      <c r="AX147" s="273"/>
      <c r="AY147" s="209">
        <f t="shared" si="115"/>
        <v>0</v>
      </c>
      <c r="AZ147" s="273"/>
      <c r="BA147" s="179">
        <f t="shared" si="116"/>
        <v>0</v>
      </c>
      <c r="BB147"/>
      <c r="BC147"/>
      <c r="BD147"/>
    </row>
    <row r="148" spans="1:56" s="34" customFormat="1" hidden="1" x14ac:dyDescent="0.25">
      <c r="A148" s="87"/>
      <c r="B148" s="42"/>
      <c r="C148" s="41"/>
      <c r="D148" s="41"/>
      <c r="E148" s="40"/>
      <c r="F148" s="40"/>
      <c r="G148" s="40"/>
      <c r="H148" s="40"/>
      <c r="I148" s="160"/>
      <c r="J148" s="41"/>
      <c r="K148" s="41"/>
      <c r="L148" s="41"/>
      <c r="M148" s="41"/>
      <c r="N148" s="41"/>
      <c r="O148" s="41"/>
      <c r="P148" s="188"/>
      <c r="Q148" s="221"/>
      <c r="R148" s="253"/>
      <c r="S148" s="179">
        <f t="shared" si="99"/>
        <v>3898.2066402109976</v>
      </c>
      <c r="T148" s="259"/>
      <c r="U148" s="179">
        <f t="shared" si="100"/>
        <v>79</v>
      </c>
      <c r="V148" s="259"/>
      <c r="W148" s="179">
        <f t="shared" si="101"/>
        <v>0</v>
      </c>
      <c r="X148" s="259"/>
      <c r="Y148" s="179">
        <f t="shared" si="102"/>
        <v>1099.9999518559998</v>
      </c>
      <c r="Z148" s="259"/>
      <c r="AA148" s="179">
        <f t="shared" si="103"/>
        <v>412.42479377000001</v>
      </c>
      <c r="AB148" s="259"/>
      <c r="AC148" s="179">
        <f t="shared" si="104"/>
        <v>0</v>
      </c>
      <c r="AD148" s="189">
        <f t="shared" si="98"/>
        <v>0</v>
      </c>
      <c r="AE148" s="179">
        <f t="shared" si="105"/>
        <v>1512.424745626</v>
      </c>
      <c r="AF148" s="264"/>
      <c r="AG148" s="179">
        <f t="shared" si="106"/>
        <v>999.99995185600005</v>
      </c>
      <c r="AH148" s="268"/>
      <c r="AI148" s="179">
        <f t="shared" si="107"/>
        <v>0</v>
      </c>
      <c r="AJ148" s="268"/>
      <c r="AK148" s="179">
        <f t="shared" si="108"/>
        <v>100</v>
      </c>
      <c r="AL148" s="268"/>
      <c r="AM148" s="179">
        <f t="shared" si="109"/>
        <v>0</v>
      </c>
      <c r="AN148" s="268"/>
      <c r="AO148" s="179">
        <f t="shared" si="110"/>
        <v>0</v>
      </c>
      <c r="AP148" s="268"/>
      <c r="AQ148" s="179">
        <f t="shared" si="111"/>
        <v>0</v>
      </c>
      <c r="AR148" s="273"/>
      <c r="AS148" s="209">
        <f t="shared" si="112"/>
        <v>0</v>
      </c>
      <c r="AT148" s="273"/>
      <c r="AU148" s="226">
        <f t="shared" si="113"/>
        <v>0</v>
      </c>
      <c r="AV148" s="273"/>
      <c r="AW148" s="209">
        <f t="shared" si="114"/>
        <v>0</v>
      </c>
      <c r="AX148" s="273"/>
      <c r="AY148" s="209">
        <f t="shared" si="115"/>
        <v>0</v>
      </c>
      <c r="AZ148" s="273"/>
      <c r="BA148" s="179">
        <f t="shared" si="116"/>
        <v>0</v>
      </c>
      <c r="BB148"/>
      <c r="BC148"/>
      <c r="BD148"/>
    </row>
    <row r="149" spans="1:56" s="34" customFormat="1" hidden="1" x14ac:dyDescent="0.25">
      <c r="A149" s="87"/>
      <c r="B149" s="42"/>
      <c r="C149" s="41"/>
      <c r="D149" s="41"/>
      <c r="E149" s="40"/>
      <c r="F149" s="40"/>
      <c r="G149" s="40"/>
      <c r="H149" s="40"/>
      <c r="I149" s="160"/>
      <c r="J149" s="41"/>
      <c r="K149" s="41"/>
      <c r="L149" s="41"/>
      <c r="M149" s="41"/>
      <c r="N149" s="41"/>
      <c r="O149" s="41"/>
      <c r="P149" s="188"/>
      <c r="Q149" s="221"/>
      <c r="R149" s="253"/>
      <c r="S149" s="179">
        <f t="shared" si="99"/>
        <v>3898.2066402109976</v>
      </c>
      <c r="T149" s="259"/>
      <c r="U149" s="179">
        <f t="shared" si="100"/>
        <v>79</v>
      </c>
      <c r="V149" s="259"/>
      <c r="W149" s="179">
        <f t="shared" si="101"/>
        <v>0</v>
      </c>
      <c r="X149" s="259"/>
      <c r="Y149" s="179">
        <f t="shared" si="102"/>
        <v>1099.9999518559998</v>
      </c>
      <c r="Z149" s="259"/>
      <c r="AA149" s="179">
        <f t="shared" si="103"/>
        <v>412.42479377000001</v>
      </c>
      <c r="AB149" s="259"/>
      <c r="AC149" s="179">
        <f t="shared" si="104"/>
        <v>0</v>
      </c>
      <c r="AD149" s="189">
        <f t="shared" si="98"/>
        <v>0</v>
      </c>
      <c r="AE149" s="179">
        <f t="shared" si="105"/>
        <v>1512.424745626</v>
      </c>
      <c r="AF149" s="264"/>
      <c r="AG149" s="179">
        <f t="shared" si="106"/>
        <v>999.99995185600005</v>
      </c>
      <c r="AH149" s="268"/>
      <c r="AI149" s="179">
        <f t="shared" si="107"/>
        <v>0</v>
      </c>
      <c r="AJ149" s="268"/>
      <c r="AK149" s="179">
        <f t="shared" si="108"/>
        <v>100</v>
      </c>
      <c r="AL149" s="268"/>
      <c r="AM149" s="179">
        <f t="shared" si="109"/>
        <v>0</v>
      </c>
      <c r="AN149" s="268"/>
      <c r="AO149" s="179">
        <f t="shared" si="110"/>
        <v>0</v>
      </c>
      <c r="AP149" s="268"/>
      <c r="AQ149" s="179">
        <f t="shared" si="111"/>
        <v>0</v>
      </c>
      <c r="AR149" s="273"/>
      <c r="AS149" s="209">
        <f t="shared" si="112"/>
        <v>0</v>
      </c>
      <c r="AT149" s="273"/>
      <c r="AU149" s="226">
        <f t="shared" si="113"/>
        <v>0</v>
      </c>
      <c r="AV149" s="273"/>
      <c r="AW149" s="209">
        <f t="shared" si="114"/>
        <v>0</v>
      </c>
      <c r="AX149" s="273"/>
      <c r="AY149" s="209">
        <f t="shared" si="115"/>
        <v>0</v>
      </c>
      <c r="AZ149" s="273"/>
      <c r="BA149" s="179">
        <f t="shared" si="116"/>
        <v>0</v>
      </c>
      <c r="BB149"/>
      <c r="BC149"/>
      <c r="BD149"/>
    </row>
    <row r="150" spans="1:56" s="34" customFormat="1" hidden="1" x14ac:dyDescent="0.25">
      <c r="A150" s="87"/>
      <c r="B150" s="42"/>
      <c r="C150" s="41"/>
      <c r="D150" s="41"/>
      <c r="E150" s="40"/>
      <c r="F150" s="40"/>
      <c r="G150" s="40"/>
      <c r="H150" s="40"/>
      <c r="I150" s="160"/>
      <c r="J150" s="41"/>
      <c r="K150" s="41"/>
      <c r="L150" s="41"/>
      <c r="M150" s="41"/>
      <c r="N150" s="41"/>
      <c r="O150" s="41"/>
      <c r="P150" s="188"/>
      <c r="Q150" s="221"/>
      <c r="R150" s="253"/>
      <c r="S150" s="179">
        <f t="shared" si="99"/>
        <v>3898.2066402109976</v>
      </c>
      <c r="T150" s="259"/>
      <c r="U150" s="179">
        <f t="shared" si="100"/>
        <v>79</v>
      </c>
      <c r="V150" s="259"/>
      <c r="W150" s="179">
        <f t="shared" si="101"/>
        <v>0</v>
      </c>
      <c r="X150" s="259"/>
      <c r="Y150" s="179">
        <f t="shared" si="102"/>
        <v>1099.9999518559998</v>
      </c>
      <c r="Z150" s="259"/>
      <c r="AA150" s="179">
        <f t="shared" si="103"/>
        <v>412.42479377000001</v>
      </c>
      <c r="AB150" s="259"/>
      <c r="AC150" s="179">
        <f t="shared" si="104"/>
        <v>0</v>
      </c>
      <c r="AD150" s="189">
        <f t="shared" si="98"/>
        <v>0</v>
      </c>
      <c r="AE150" s="179">
        <f t="shared" si="105"/>
        <v>1512.424745626</v>
      </c>
      <c r="AF150" s="264"/>
      <c r="AG150" s="179">
        <f t="shared" si="106"/>
        <v>999.99995185600005</v>
      </c>
      <c r="AH150" s="268"/>
      <c r="AI150" s="179">
        <f t="shared" si="107"/>
        <v>0</v>
      </c>
      <c r="AJ150" s="268"/>
      <c r="AK150" s="179">
        <f t="shared" si="108"/>
        <v>100</v>
      </c>
      <c r="AL150" s="268"/>
      <c r="AM150" s="179">
        <f t="shared" si="109"/>
        <v>0</v>
      </c>
      <c r="AN150" s="268"/>
      <c r="AO150" s="179">
        <f t="shared" si="110"/>
        <v>0</v>
      </c>
      <c r="AP150" s="268"/>
      <c r="AQ150" s="179">
        <f t="shared" si="111"/>
        <v>0</v>
      </c>
      <c r="AR150" s="273"/>
      <c r="AS150" s="209">
        <f t="shared" si="112"/>
        <v>0</v>
      </c>
      <c r="AT150" s="273"/>
      <c r="AU150" s="226">
        <f t="shared" si="113"/>
        <v>0</v>
      </c>
      <c r="AV150" s="273"/>
      <c r="AW150" s="209">
        <f t="shared" si="114"/>
        <v>0</v>
      </c>
      <c r="AX150" s="273"/>
      <c r="AY150" s="209">
        <f t="shared" si="115"/>
        <v>0</v>
      </c>
      <c r="AZ150" s="273"/>
      <c r="BA150" s="179">
        <f t="shared" si="116"/>
        <v>0</v>
      </c>
      <c r="BB150"/>
      <c r="BC150"/>
      <c r="BD150"/>
    </row>
    <row r="151" spans="1:56" s="34" customFormat="1" hidden="1" x14ac:dyDescent="0.25">
      <c r="A151" s="87"/>
      <c r="B151" s="42"/>
      <c r="C151" s="41"/>
      <c r="D151" s="41"/>
      <c r="E151" s="40"/>
      <c r="F151" s="40"/>
      <c r="G151" s="40"/>
      <c r="H151" s="40"/>
      <c r="I151" s="160"/>
      <c r="J151" s="41"/>
      <c r="K151" s="41"/>
      <c r="L151" s="41"/>
      <c r="M151" s="41"/>
      <c r="N151" s="41"/>
      <c r="O151" s="41"/>
      <c r="P151" s="188"/>
      <c r="Q151" s="221"/>
      <c r="R151" s="253"/>
      <c r="S151" s="179">
        <f t="shared" si="99"/>
        <v>3898.2066402109976</v>
      </c>
      <c r="T151" s="259"/>
      <c r="U151" s="179">
        <f t="shared" si="100"/>
        <v>79</v>
      </c>
      <c r="V151" s="259"/>
      <c r="W151" s="179">
        <f t="shared" si="101"/>
        <v>0</v>
      </c>
      <c r="X151" s="259"/>
      <c r="Y151" s="179">
        <f t="shared" si="102"/>
        <v>1099.9999518559998</v>
      </c>
      <c r="Z151" s="259"/>
      <c r="AA151" s="179">
        <f t="shared" si="103"/>
        <v>412.42479377000001</v>
      </c>
      <c r="AB151" s="259"/>
      <c r="AC151" s="179">
        <f t="shared" si="104"/>
        <v>0</v>
      </c>
      <c r="AD151" s="189">
        <f t="shared" si="98"/>
        <v>0</v>
      </c>
      <c r="AE151" s="179">
        <f t="shared" si="105"/>
        <v>1512.424745626</v>
      </c>
      <c r="AF151" s="264"/>
      <c r="AG151" s="179">
        <f t="shared" si="106"/>
        <v>999.99995185600005</v>
      </c>
      <c r="AH151" s="268"/>
      <c r="AI151" s="179">
        <f t="shared" si="107"/>
        <v>0</v>
      </c>
      <c r="AJ151" s="268"/>
      <c r="AK151" s="179">
        <f t="shared" si="108"/>
        <v>100</v>
      </c>
      <c r="AL151" s="268"/>
      <c r="AM151" s="179">
        <f t="shared" si="109"/>
        <v>0</v>
      </c>
      <c r="AN151" s="268"/>
      <c r="AO151" s="179">
        <f t="shared" si="110"/>
        <v>0</v>
      </c>
      <c r="AP151" s="268"/>
      <c r="AQ151" s="179">
        <f t="shared" si="111"/>
        <v>0</v>
      </c>
      <c r="AR151" s="273"/>
      <c r="AS151" s="209">
        <f t="shared" si="112"/>
        <v>0</v>
      </c>
      <c r="AT151" s="273"/>
      <c r="AU151" s="226">
        <f t="shared" si="113"/>
        <v>0</v>
      </c>
      <c r="AV151" s="273"/>
      <c r="AW151" s="209">
        <f t="shared" si="114"/>
        <v>0</v>
      </c>
      <c r="AX151" s="273"/>
      <c r="AY151" s="209">
        <f t="shared" si="115"/>
        <v>0</v>
      </c>
      <c r="AZ151" s="273"/>
      <c r="BA151" s="179">
        <f t="shared" si="116"/>
        <v>0</v>
      </c>
      <c r="BB151"/>
      <c r="BC151"/>
      <c r="BD151"/>
    </row>
    <row r="152" spans="1:56" s="34" customFormat="1" hidden="1" x14ac:dyDescent="0.25">
      <c r="A152" s="87"/>
      <c r="B152" s="42"/>
      <c r="C152" s="41"/>
      <c r="D152" s="41"/>
      <c r="E152" s="40"/>
      <c r="F152" s="40"/>
      <c r="G152" s="40"/>
      <c r="H152" s="40"/>
      <c r="I152" s="160"/>
      <c r="J152" s="41"/>
      <c r="K152" s="41"/>
      <c r="L152" s="41"/>
      <c r="M152" s="41"/>
      <c r="N152" s="41"/>
      <c r="O152" s="41"/>
      <c r="P152" s="188"/>
      <c r="Q152" s="221"/>
      <c r="R152" s="253"/>
      <c r="S152" s="179">
        <f t="shared" si="99"/>
        <v>3898.2066402109976</v>
      </c>
      <c r="T152" s="259"/>
      <c r="U152" s="179">
        <f t="shared" si="100"/>
        <v>79</v>
      </c>
      <c r="V152" s="259"/>
      <c r="W152" s="179">
        <f t="shared" si="101"/>
        <v>0</v>
      </c>
      <c r="X152" s="259"/>
      <c r="Y152" s="179">
        <f t="shared" si="102"/>
        <v>1099.9999518559998</v>
      </c>
      <c r="Z152" s="259"/>
      <c r="AA152" s="179">
        <f t="shared" si="103"/>
        <v>412.42479377000001</v>
      </c>
      <c r="AB152" s="259"/>
      <c r="AC152" s="179">
        <f t="shared" si="104"/>
        <v>0</v>
      </c>
      <c r="AD152" s="189">
        <f t="shared" si="98"/>
        <v>0</v>
      </c>
      <c r="AE152" s="179">
        <f t="shared" si="105"/>
        <v>1512.424745626</v>
      </c>
      <c r="AF152" s="264"/>
      <c r="AG152" s="179">
        <f t="shared" si="106"/>
        <v>999.99995185600005</v>
      </c>
      <c r="AH152" s="268"/>
      <c r="AI152" s="179">
        <f t="shared" si="107"/>
        <v>0</v>
      </c>
      <c r="AJ152" s="268"/>
      <c r="AK152" s="179">
        <f t="shared" si="108"/>
        <v>100</v>
      </c>
      <c r="AL152" s="268"/>
      <c r="AM152" s="179">
        <f t="shared" si="109"/>
        <v>0</v>
      </c>
      <c r="AN152" s="268"/>
      <c r="AO152" s="179">
        <f t="shared" si="110"/>
        <v>0</v>
      </c>
      <c r="AP152" s="268"/>
      <c r="AQ152" s="179">
        <f t="shared" si="111"/>
        <v>0</v>
      </c>
      <c r="AR152" s="273"/>
      <c r="AS152" s="209">
        <f t="shared" si="112"/>
        <v>0</v>
      </c>
      <c r="AT152" s="273"/>
      <c r="AU152" s="226">
        <f t="shared" si="113"/>
        <v>0</v>
      </c>
      <c r="AV152" s="273"/>
      <c r="AW152" s="209">
        <f t="shared" si="114"/>
        <v>0</v>
      </c>
      <c r="AX152" s="273"/>
      <c r="AY152" s="209">
        <f t="shared" si="115"/>
        <v>0</v>
      </c>
      <c r="AZ152" s="273"/>
      <c r="BA152" s="179">
        <f t="shared" si="116"/>
        <v>0</v>
      </c>
      <c r="BB152"/>
      <c r="BC152"/>
      <c r="BD152"/>
    </row>
    <row r="153" spans="1:56" s="34" customFormat="1" hidden="1" x14ac:dyDescent="0.25">
      <c r="A153" s="87"/>
      <c r="B153" s="42"/>
      <c r="C153" s="41"/>
      <c r="D153" s="41"/>
      <c r="E153" s="40"/>
      <c r="F153" s="40"/>
      <c r="G153" s="40"/>
      <c r="H153" s="40"/>
      <c r="I153" s="160"/>
      <c r="J153" s="41"/>
      <c r="K153" s="41"/>
      <c r="L153" s="41"/>
      <c r="M153" s="41"/>
      <c r="N153" s="41"/>
      <c r="O153" s="41"/>
      <c r="P153" s="188"/>
      <c r="Q153" s="221"/>
      <c r="R153" s="253"/>
      <c r="S153" s="179">
        <f t="shared" si="99"/>
        <v>3898.2066402109976</v>
      </c>
      <c r="T153" s="259"/>
      <c r="U153" s="179">
        <f t="shared" si="100"/>
        <v>79</v>
      </c>
      <c r="V153" s="259"/>
      <c r="W153" s="179">
        <f t="shared" si="101"/>
        <v>0</v>
      </c>
      <c r="X153" s="259"/>
      <c r="Y153" s="179">
        <f t="shared" si="102"/>
        <v>1099.9999518559998</v>
      </c>
      <c r="Z153" s="259"/>
      <c r="AA153" s="179">
        <f t="shared" si="103"/>
        <v>412.42479377000001</v>
      </c>
      <c r="AB153" s="259"/>
      <c r="AC153" s="179">
        <f t="shared" si="104"/>
        <v>0</v>
      </c>
      <c r="AD153" s="189">
        <f t="shared" si="98"/>
        <v>0</v>
      </c>
      <c r="AE153" s="179">
        <f t="shared" si="105"/>
        <v>1512.424745626</v>
      </c>
      <c r="AF153" s="264"/>
      <c r="AG153" s="179">
        <f t="shared" si="106"/>
        <v>999.99995185600005</v>
      </c>
      <c r="AH153" s="268"/>
      <c r="AI153" s="179">
        <f t="shared" si="107"/>
        <v>0</v>
      </c>
      <c r="AJ153" s="268"/>
      <c r="AK153" s="179">
        <f t="shared" si="108"/>
        <v>100</v>
      </c>
      <c r="AL153" s="268"/>
      <c r="AM153" s="179">
        <f t="shared" si="109"/>
        <v>0</v>
      </c>
      <c r="AN153" s="268"/>
      <c r="AO153" s="179">
        <f t="shared" si="110"/>
        <v>0</v>
      </c>
      <c r="AP153" s="268"/>
      <c r="AQ153" s="179">
        <f t="shared" si="111"/>
        <v>0</v>
      </c>
      <c r="AR153" s="273"/>
      <c r="AS153" s="209">
        <f t="shared" si="112"/>
        <v>0</v>
      </c>
      <c r="AT153" s="273"/>
      <c r="AU153" s="226">
        <f t="shared" si="113"/>
        <v>0</v>
      </c>
      <c r="AV153" s="273"/>
      <c r="AW153" s="209">
        <f t="shared" si="114"/>
        <v>0</v>
      </c>
      <c r="AX153" s="273"/>
      <c r="AY153" s="209">
        <f t="shared" si="115"/>
        <v>0</v>
      </c>
      <c r="AZ153" s="273"/>
      <c r="BA153" s="179">
        <f t="shared" si="116"/>
        <v>0</v>
      </c>
      <c r="BB153"/>
      <c r="BC153"/>
      <c r="BD153"/>
    </row>
    <row r="154" spans="1:56" s="34" customFormat="1" hidden="1" x14ac:dyDescent="0.25">
      <c r="A154" s="87"/>
      <c r="B154" s="42"/>
      <c r="C154" s="41"/>
      <c r="D154" s="41"/>
      <c r="E154" s="40"/>
      <c r="F154" s="40"/>
      <c r="G154" s="40"/>
      <c r="H154" s="40"/>
      <c r="I154" s="160"/>
      <c r="J154" s="41"/>
      <c r="K154" s="41"/>
      <c r="L154" s="41"/>
      <c r="M154" s="41"/>
      <c r="N154" s="41"/>
      <c r="O154" s="41"/>
      <c r="P154" s="188"/>
      <c r="Q154" s="221"/>
      <c r="R154" s="253"/>
      <c r="S154" s="179">
        <f t="shared" si="99"/>
        <v>3898.2066402109976</v>
      </c>
      <c r="T154" s="259"/>
      <c r="U154" s="179">
        <f t="shared" si="100"/>
        <v>79</v>
      </c>
      <c r="V154" s="259"/>
      <c r="W154" s="179">
        <f t="shared" si="101"/>
        <v>0</v>
      </c>
      <c r="X154" s="259"/>
      <c r="Y154" s="179">
        <f t="shared" si="102"/>
        <v>1099.9999518559998</v>
      </c>
      <c r="Z154" s="259"/>
      <c r="AA154" s="179">
        <f t="shared" si="103"/>
        <v>412.42479377000001</v>
      </c>
      <c r="AB154" s="259"/>
      <c r="AC154" s="179">
        <f t="shared" si="104"/>
        <v>0</v>
      </c>
      <c r="AD154" s="189">
        <f t="shared" si="98"/>
        <v>0</v>
      </c>
      <c r="AE154" s="179">
        <f t="shared" si="105"/>
        <v>1512.424745626</v>
      </c>
      <c r="AF154" s="264"/>
      <c r="AG154" s="179">
        <f t="shared" si="106"/>
        <v>999.99995185600005</v>
      </c>
      <c r="AH154" s="268"/>
      <c r="AI154" s="179">
        <f t="shared" si="107"/>
        <v>0</v>
      </c>
      <c r="AJ154" s="268"/>
      <c r="AK154" s="179">
        <f t="shared" si="108"/>
        <v>100</v>
      </c>
      <c r="AL154" s="268"/>
      <c r="AM154" s="179">
        <f t="shared" si="109"/>
        <v>0</v>
      </c>
      <c r="AN154" s="268"/>
      <c r="AO154" s="179">
        <f t="shared" si="110"/>
        <v>0</v>
      </c>
      <c r="AP154" s="268"/>
      <c r="AQ154" s="179">
        <f t="shared" si="111"/>
        <v>0</v>
      </c>
      <c r="AR154" s="273"/>
      <c r="AS154" s="209">
        <f t="shared" si="112"/>
        <v>0</v>
      </c>
      <c r="AT154" s="273"/>
      <c r="AU154" s="226">
        <f t="shared" si="113"/>
        <v>0</v>
      </c>
      <c r="AV154" s="273"/>
      <c r="AW154" s="209">
        <f t="shared" si="114"/>
        <v>0</v>
      </c>
      <c r="AX154" s="273"/>
      <c r="AY154" s="209">
        <f t="shared" si="115"/>
        <v>0</v>
      </c>
      <c r="AZ154" s="273"/>
      <c r="BA154" s="179">
        <f t="shared" si="116"/>
        <v>0</v>
      </c>
      <c r="BB154"/>
      <c r="BC154"/>
      <c r="BD154"/>
    </row>
    <row r="155" spans="1:56" s="34" customFormat="1" hidden="1" x14ac:dyDescent="0.25">
      <c r="A155" s="87"/>
      <c r="B155" s="42"/>
      <c r="C155" s="41"/>
      <c r="D155" s="41"/>
      <c r="E155" s="40"/>
      <c r="F155" s="40"/>
      <c r="G155" s="40"/>
      <c r="H155" s="40"/>
      <c r="I155" s="160"/>
      <c r="J155" s="41"/>
      <c r="K155" s="41"/>
      <c r="L155" s="41"/>
      <c r="M155" s="41"/>
      <c r="N155" s="41"/>
      <c r="O155" s="41"/>
      <c r="P155" s="188"/>
      <c r="Q155" s="221"/>
      <c r="R155" s="253"/>
      <c r="S155" s="179">
        <f t="shared" si="99"/>
        <v>3898.2066402109976</v>
      </c>
      <c r="T155" s="259"/>
      <c r="U155" s="179">
        <f t="shared" si="100"/>
        <v>79</v>
      </c>
      <c r="V155" s="259"/>
      <c r="W155" s="179">
        <f t="shared" si="101"/>
        <v>0</v>
      </c>
      <c r="X155" s="259"/>
      <c r="Y155" s="179">
        <f t="shared" si="102"/>
        <v>1099.9999518559998</v>
      </c>
      <c r="Z155" s="259"/>
      <c r="AA155" s="179">
        <f t="shared" si="103"/>
        <v>412.42479377000001</v>
      </c>
      <c r="AB155" s="259"/>
      <c r="AC155" s="179">
        <f t="shared" si="104"/>
        <v>0</v>
      </c>
      <c r="AD155" s="189">
        <f t="shared" si="98"/>
        <v>0</v>
      </c>
      <c r="AE155" s="179">
        <f t="shared" si="105"/>
        <v>1512.424745626</v>
      </c>
      <c r="AF155" s="264"/>
      <c r="AG155" s="179">
        <f t="shared" si="106"/>
        <v>999.99995185600005</v>
      </c>
      <c r="AH155" s="268"/>
      <c r="AI155" s="179">
        <f t="shared" si="107"/>
        <v>0</v>
      </c>
      <c r="AJ155" s="268"/>
      <c r="AK155" s="179">
        <f t="shared" si="108"/>
        <v>100</v>
      </c>
      <c r="AL155" s="268"/>
      <c r="AM155" s="179">
        <f t="shared" si="109"/>
        <v>0</v>
      </c>
      <c r="AN155" s="268"/>
      <c r="AO155" s="179">
        <f t="shared" si="110"/>
        <v>0</v>
      </c>
      <c r="AP155" s="268"/>
      <c r="AQ155" s="179">
        <f t="shared" si="111"/>
        <v>0</v>
      </c>
      <c r="AR155" s="273"/>
      <c r="AS155" s="209">
        <f t="shared" si="112"/>
        <v>0</v>
      </c>
      <c r="AT155" s="273"/>
      <c r="AU155" s="226">
        <f t="shared" si="113"/>
        <v>0</v>
      </c>
      <c r="AV155" s="273"/>
      <c r="AW155" s="209">
        <f t="shared" si="114"/>
        <v>0</v>
      </c>
      <c r="AX155" s="273"/>
      <c r="AY155" s="209">
        <f t="shared" si="115"/>
        <v>0</v>
      </c>
      <c r="AZ155" s="273"/>
      <c r="BA155" s="179">
        <f t="shared" si="116"/>
        <v>0</v>
      </c>
      <c r="BB155"/>
      <c r="BC155"/>
      <c r="BD155"/>
    </row>
    <row r="156" spans="1:56" s="34" customFormat="1" hidden="1" x14ac:dyDescent="0.25">
      <c r="A156" s="87"/>
      <c r="B156" s="42"/>
      <c r="C156" s="41"/>
      <c r="D156" s="41"/>
      <c r="E156" s="40"/>
      <c r="F156" s="40"/>
      <c r="G156" s="40"/>
      <c r="H156" s="40"/>
      <c r="I156" s="160"/>
      <c r="J156" s="41"/>
      <c r="K156" s="41"/>
      <c r="L156" s="41"/>
      <c r="M156" s="41"/>
      <c r="N156" s="41"/>
      <c r="O156" s="41"/>
      <c r="P156" s="188"/>
      <c r="Q156" s="221"/>
      <c r="R156" s="253"/>
      <c r="S156" s="179">
        <f t="shared" si="99"/>
        <v>3898.2066402109976</v>
      </c>
      <c r="T156" s="259"/>
      <c r="U156" s="179">
        <f t="shared" si="100"/>
        <v>79</v>
      </c>
      <c r="V156" s="259"/>
      <c r="W156" s="179">
        <f t="shared" si="101"/>
        <v>0</v>
      </c>
      <c r="X156" s="259"/>
      <c r="Y156" s="179">
        <f t="shared" si="102"/>
        <v>1099.9999518559998</v>
      </c>
      <c r="Z156" s="259"/>
      <c r="AA156" s="179">
        <f t="shared" si="103"/>
        <v>412.42479377000001</v>
      </c>
      <c r="AB156" s="259"/>
      <c r="AC156" s="179">
        <f t="shared" si="104"/>
        <v>0</v>
      </c>
      <c r="AD156" s="189">
        <f t="shared" si="98"/>
        <v>0</v>
      </c>
      <c r="AE156" s="179">
        <f t="shared" si="105"/>
        <v>1512.424745626</v>
      </c>
      <c r="AF156" s="264"/>
      <c r="AG156" s="179">
        <f t="shared" si="106"/>
        <v>999.99995185600005</v>
      </c>
      <c r="AH156" s="268"/>
      <c r="AI156" s="179">
        <f t="shared" si="107"/>
        <v>0</v>
      </c>
      <c r="AJ156" s="268"/>
      <c r="AK156" s="179">
        <f t="shared" si="108"/>
        <v>100</v>
      </c>
      <c r="AL156" s="268"/>
      <c r="AM156" s="179">
        <f t="shared" si="109"/>
        <v>0</v>
      </c>
      <c r="AN156" s="268"/>
      <c r="AO156" s="179">
        <f t="shared" si="110"/>
        <v>0</v>
      </c>
      <c r="AP156" s="268"/>
      <c r="AQ156" s="179">
        <f t="shared" si="111"/>
        <v>0</v>
      </c>
      <c r="AR156" s="273"/>
      <c r="AS156" s="209">
        <f t="shared" si="112"/>
        <v>0</v>
      </c>
      <c r="AT156" s="273"/>
      <c r="AU156" s="226">
        <f t="shared" si="113"/>
        <v>0</v>
      </c>
      <c r="AV156" s="273"/>
      <c r="AW156" s="209">
        <f t="shared" si="114"/>
        <v>0</v>
      </c>
      <c r="AX156" s="273"/>
      <c r="AY156" s="209">
        <f t="shared" si="115"/>
        <v>0</v>
      </c>
      <c r="AZ156" s="273"/>
      <c r="BA156" s="179">
        <f t="shared" si="116"/>
        <v>0</v>
      </c>
      <c r="BB156"/>
      <c r="BC156"/>
      <c r="BD156"/>
    </row>
    <row r="157" spans="1:56" s="34" customFormat="1" hidden="1" x14ac:dyDescent="0.25">
      <c r="A157" s="87"/>
      <c r="B157" s="42"/>
      <c r="C157" s="41"/>
      <c r="D157" s="41"/>
      <c r="E157" s="40"/>
      <c r="F157" s="40"/>
      <c r="G157" s="40"/>
      <c r="H157" s="40"/>
      <c r="I157" s="160"/>
      <c r="J157" s="41"/>
      <c r="K157" s="41"/>
      <c r="L157" s="41"/>
      <c r="M157" s="41"/>
      <c r="N157" s="41"/>
      <c r="O157" s="41"/>
      <c r="P157" s="188"/>
      <c r="Q157" s="221"/>
      <c r="R157" s="253"/>
      <c r="S157" s="179">
        <f t="shared" si="99"/>
        <v>3898.2066402109976</v>
      </c>
      <c r="T157" s="259"/>
      <c r="U157" s="179">
        <f t="shared" si="100"/>
        <v>79</v>
      </c>
      <c r="V157" s="259"/>
      <c r="W157" s="179">
        <f t="shared" si="101"/>
        <v>0</v>
      </c>
      <c r="X157" s="259"/>
      <c r="Y157" s="179">
        <f t="shared" si="102"/>
        <v>1099.9999518559998</v>
      </c>
      <c r="Z157" s="259"/>
      <c r="AA157" s="179">
        <f t="shared" si="103"/>
        <v>412.42479377000001</v>
      </c>
      <c r="AB157" s="259"/>
      <c r="AC157" s="179">
        <f t="shared" si="104"/>
        <v>0</v>
      </c>
      <c r="AD157" s="189">
        <f t="shared" si="98"/>
        <v>0</v>
      </c>
      <c r="AE157" s="179">
        <f t="shared" si="105"/>
        <v>1512.424745626</v>
      </c>
      <c r="AF157" s="264"/>
      <c r="AG157" s="179">
        <f t="shared" si="106"/>
        <v>999.99995185600005</v>
      </c>
      <c r="AH157" s="268"/>
      <c r="AI157" s="179">
        <f t="shared" si="107"/>
        <v>0</v>
      </c>
      <c r="AJ157" s="268"/>
      <c r="AK157" s="179">
        <f t="shared" si="108"/>
        <v>100</v>
      </c>
      <c r="AL157" s="268"/>
      <c r="AM157" s="179">
        <f t="shared" si="109"/>
        <v>0</v>
      </c>
      <c r="AN157" s="268"/>
      <c r="AO157" s="179">
        <f t="shared" si="110"/>
        <v>0</v>
      </c>
      <c r="AP157" s="268"/>
      <c r="AQ157" s="179">
        <f t="shared" si="111"/>
        <v>0</v>
      </c>
      <c r="AR157" s="273"/>
      <c r="AS157" s="209">
        <f t="shared" si="112"/>
        <v>0</v>
      </c>
      <c r="AT157" s="273"/>
      <c r="AU157" s="226">
        <f t="shared" si="113"/>
        <v>0</v>
      </c>
      <c r="AV157" s="273"/>
      <c r="AW157" s="209">
        <f t="shared" si="114"/>
        <v>0</v>
      </c>
      <c r="AX157" s="273"/>
      <c r="AY157" s="209">
        <f t="shared" si="115"/>
        <v>0</v>
      </c>
      <c r="AZ157" s="273"/>
      <c r="BA157" s="179">
        <f t="shared" si="116"/>
        <v>0</v>
      </c>
      <c r="BB157"/>
      <c r="BC157"/>
      <c r="BD157"/>
    </row>
    <row r="158" spans="1:56" s="34" customFormat="1" hidden="1" x14ac:dyDescent="0.25">
      <c r="A158" s="87"/>
      <c r="B158" s="42"/>
      <c r="C158" s="41"/>
      <c r="D158" s="41"/>
      <c r="E158" s="40"/>
      <c r="F158" s="40"/>
      <c r="G158" s="40"/>
      <c r="H158" s="40"/>
      <c r="I158" s="160"/>
      <c r="J158" s="41"/>
      <c r="K158" s="41"/>
      <c r="L158" s="41"/>
      <c r="M158" s="41"/>
      <c r="N158" s="41"/>
      <c r="O158" s="41"/>
      <c r="P158" s="188"/>
      <c r="Q158" s="221"/>
      <c r="R158" s="253"/>
      <c r="S158" s="179">
        <f t="shared" si="99"/>
        <v>3898.2066402109976</v>
      </c>
      <c r="T158" s="259"/>
      <c r="U158" s="179">
        <f t="shared" si="100"/>
        <v>79</v>
      </c>
      <c r="V158" s="259"/>
      <c r="W158" s="179">
        <f t="shared" si="101"/>
        <v>0</v>
      </c>
      <c r="X158" s="259"/>
      <c r="Y158" s="179">
        <f t="shared" si="102"/>
        <v>1099.9999518559998</v>
      </c>
      <c r="Z158" s="259"/>
      <c r="AA158" s="179">
        <f t="shared" si="103"/>
        <v>412.42479377000001</v>
      </c>
      <c r="AB158" s="259"/>
      <c r="AC158" s="179">
        <f t="shared" si="104"/>
        <v>0</v>
      </c>
      <c r="AD158" s="189">
        <f t="shared" si="98"/>
        <v>0</v>
      </c>
      <c r="AE158" s="179">
        <f t="shared" si="105"/>
        <v>1512.424745626</v>
      </c>
      <c r="AF158" s="264"/>
      <c r="AG158" s="179">
        <f t="shared" si="106"/>
        <v>999.99995185600005</v>
      </c>
      <c r="AH158" s="268"/>
      <c r="AI158" s="179">
        <f t="shared" si="107"/>
        <v>0</v>
      </c>
      <c r="AJ158" s="268"/>
      <c r="AK158" s="179">
        <f t="shared" si="108"/>
        <v>100</v>
      </c>
      <c r="AL158" s="268"/>
      <c r="AM158" s="179">
        <f t="shared" si="109"/>
        <v>0</v>
      </c>
      <c r="AN158" s="268"/>
      <c r="AO158" s="179">
        <f t="shared" si="110"/>
        <v>0</v>
      </c>
      <c r="AP158" s="268"/>
      <c r="AQ158" s="179">
        <f t="shared" si="111"/>
        <v>0</v>
      </c>
      <c r="AR158" s="273"/>
      <c r="AS158" s="209">
        <f t="shared" si="112"/>
        <v>0</v>
      </c>
      <c r="AT158" s="273"/>
      <c r="AU158" s="226">
        <f t="shared" si="113"/>
        <v>0</v>
      </c>
      <c r="AV158" s="273"/>
      <c r="AW158" s="209">
        <f t="shared" si="114"/>
        <v>0</v>
      </c>
      <c r="AX158" s="273"/>
      <c r="AY158" s="209">
        <f t="shared" si="115"/>
        <v>0</v>
      </c>
      <c r="AZ158" s="273"/>
      <c r="BA158" s="179">
        <f t="shared" si="116"/>
        <v>0</v>
      </c>
      <c r="BB158"/>
      <c r="BC158"/>
      <c r="BD158"/>
    </row>
    <row r="159" spans="1:56" s="34" customFormat="1" hidden="1" x14ac:dyDescent="0.25">
      <c r="A159" s="87"/>
      <c r="B159" s="42"/>
      <c r="C159" s="41"/>
      <c r="D159" s="41"/>
      <c r="E159" s="40"/>
      <c r="F159" s="40"/>
      <c r="G159" s="40"/>
      <c r="H159" s="40"/>
      <c r="I159" s="160"/>
      <c r="J159" s="41"/>
      <c r="K159" s="41"/>
      <c r="L159" s="41"/>
      <c r="M159" s="41"/>
      <c r="N159" s="41"/>
      <c r="O159" s="41"/>
      <c r="P159" s="188"/>
      <c r="Q159" s="221"/>
      <c r="R159" s="253"/>
      <c r="S159" s="179">
        <f t="shared" si="99"/>
        <v>3898.2066402109976</v>
      </c>
      <c r="T159" s="259"/>
      <c r="U159" s="179">
        <f t="shared" si="100"/>
        <v>79</v>
      </c>
      <c r="V159" s="259"/>
      <c r="W159" s="179">
        <f t="shared" si="101"/>
        <v>0</v>
      </c>
      <c r="X159" s="259"/>
      <c r="Y159" s="179">
        <f t="shared" si="102"/>
        <v>1099.9999518559998</v>
      </c>
      <c r="Z159" s="259"/>
      <c r="AA159" s="179">
        <f t="shared" si="103"/>
        <v>412.42479377000001</v>
      </c>
      <c r="AB159" s="259"/>
      <c r="AC159" s="179">
        <f t="shared" si="104"/>
        <v>0</v>
      </c>
      <c r="AD159" s="189">
        <f t="shared" si="98"/>
        <v>0</v>
      </c>
      <c r="AE159" s="179">
        <f t="shared" si="105"/>
        <v>1512.424745626</v>
      </c>
      <c r="AF159" s="264"/>
      <c r="AG159" s="179">
        <f t="shared" si="106"/>
        <v>999.99995185600005</v>
      </c>
      <c r="AH159" s="268"/>
      <c r="AI159" s="179">
        <f t="shared" si="107"/>
        <v>0</v>
      </c>
      <c r="AJ159" s="268"/>
      <c r="AK159" s="179">
        <f t="shared" si="108"/>
        <v>100</v>
      </c>
      <c r="AL159" s="268"/>
      <c r="AM159" s="179">
        <f t="shared" si="109"/>
        <v>0</v>
      </c>
      <c r="AN159" s="268"/>
      <c r="AO159" s="179">
        <f t="shared" si="110"/>
        <v>0</v>
      </c>
      <c r="AP159" s="268"/>
      <c r="AQ159" s="179">
        <f t="shared" si="111"/>
        <v>0</v>
      </c>
      <c r="AR159" s="273"/>
      <c r="AS159" s="209">
        <f t="shared" si="112"/>
        <v>0</v>
      </c>
      <c r="AT159" s="273"/>
      <c r="AU159" s="226">
        <f t="shared" si="113"/>
        <v>0</v>
      </c>
      <c r="AV159" s="273"/>
      <c r="AW159" s="209">
        <f t="shared" si="114"/>
        <v>0</v>
      </c>
      <c r="AX159" s="273"/>
      <c r="AY159" s="209">
        <f t="shared" si="115"/>
        <v>0</v>
      </c>
      <c r="AZ159" s="273"/>
      <c r="BA159" s="179">
        <f t="shared" si="116"/>
        <v>0</v>
      </c>
      <c r="BB159"/>
      <c r="BC159"/>
      <c r="BD159"/>
    </row>
    <row r="160" spans="1:56" s="34" customFormat="1" hidden="1" x14ac:dyDescent="0.25">
      <c r="A160" s="87"/>
      <c r="B160" s="42"/>
      <c r="C160" s="41"/>
      <c r="D160" s="41"/>
      <c r="E160" s="40"/>
      <c r="F160" s="40"/>
      <c r="G160" s="40"/>
      <c r="H160" s="40"/>
      <c r="I160" s="160"/>
      <c r="J160" s="41"/>
      <c r="K160" s="41"/>
      <c r="L160" s="41"/>
      <c r="M160" s="41"/>
      <c r="N160" s="41"/>
      <c r="O160" s="41"/>
      <c r="P160" s="188"/>
      <c r="Q160" s="221"/>
      <c r="R160" s="253"/>
      <c r="S160" s="179">
        <f t="shared" si="99"/>
        <v>3898.2066402109976</v>
      </c>
      <c r="T160" s="259"/>
      <c r="U160" s="179">
        <f t="shared" si="100"/>
        <v>79</v>
      </c>
      <c r="V160" s="259"/>
      <c r="W160" s="179">
        <f t="shared" si="101"/>
        <v>0</v>
      </c>
      <c r="X160" s="259"/>
      <c r="Y160" s="179">
        <f t="shared" si="102"/>
        <v>1099.9999518559998</v>
      </c>
      <c r="Z160" s="259"/>
      <c r="AA160" s="179">
        <f t="shared" si="103"/>
        <v>412.42479377000001</v>
      </c>
      <c r="AB160" s="259"/>
      <c r="AC160" s="179">
        <f t="shared" si="104"/>
        <v>0</v>
      </c>
      <c r="AD160" s="189">
        <f t="shared" si="98"/>
        <v>0</v>
      </c>
      <c r="AE160" s="179">
        <f t="shared" si="105"/>
        <v>1512.424745626</v>
      </c>
      <c r="AF160" s="264"/>
      <c r="AG160" s="179">
        <f t="shared" si="106"/>
        <v>999.99995185600005</v>
      </c>
      <c r="AH160" s="268"/>
      <c r="AI160" s="179">
        <f t="shared" si="107"/>
        <v>0</v>
      </c>
      <c r="AJ160" s="268"/>
      <c r="AK160" s="179">
        <f t="shared" si="108"/>
        <v>100</v>
      </c>
      <c r="AL160" s="268"/>
      <c r="AM160" s="179">
        <f t="shared" si="109"/>
        <v>0</v>
      </c>
      <c r="AN160" s="268"/>
      <c r="AO160" s="179">
        <f t="shared" si="110"/>
        <v>0</v>
      </c>
      <c r="AP160" s="268"/>
      <c r="AQ160" s="179">
        <f t="shared" si="111"/>
        <v>0</v>
      </c>
      <c r="AR160" s="273"/>
      <c r="AS160" s="209">
        <f t="shared" si="112"/>
        <v>0</v>
      </c>
      <c r="AT160" s="273"/>
      <c r="AU160" s="226">
        <f t="shared" si="113"/>
        <v>0</v>
      </c>
      <c r="AV160" s="273"/>
      <c r="AW160" s="209">
        <f t="shared" si="114"/>
        <v>0</v>
      </c>
      <c r="AX160" s="273"/>
      <c r="AY160" s="209">
        <f t="shared" si="115"/>
        <v>0</v>
      </c>
      <c r="AZ160" s="273"/>
      <c r="BA160" s="179">
        <f t="shared" si="116"/>
        <v>0</v>
      </c>
      <c r="BB160"/>
      <c r="BC160"/>
      <c r="BD160"/>
    </row>
    <row r="161" spans="1:56" s="34" customFormat="1" hidden="1" x14ac:dyDescent="0.25">
      <c r="A161" s="87"/>
      <c r="B161" s="42"/>
      <c r="C161" s="41"/>
      <c r="D161" s="41"/>
      <c r="E161" s="40"/>
      <c r="F161" s="40"/>
      <c r="G161" s="40"/>
      <c r="H161" s="40"/>
      <c r="I161" s="160"/>
      <c r="J161" s="41"/>
      <c r="K161" s="41"/>
      <c r="L161" s="41"/>
      <c r="M161" s="41"/>
      <c r="N161" s="41"/>
      <c r="O161" s="41"/>
      <c r="P161" s="188"/>
      <c r="Q161" s="221"/>
      <c r="R161" s="253"/>
      <c r="S161" s="179">
        <f t="shared" si="99"/>
        <v>3898.2066402109976</v>
      </c>
      <c r="T161" s="259"/>
      <c r="U161" s="179">
        <f t="shared" si="100"/>
        <v>79</v>
      </c>
      <c r="V161" s="259"/>
      <c r="W161" s="179">
        <f t="shared" si="101"/>
        <v>0</v>
      </c>
      <c r="X161" s="259"/>
      <c r="Y161" s="179">
        <f t="shared" si="102"/>
        <v>1099.9999518559998</v>
      </c>
      <c r="Z161" s="259"/>
      <c r="AA161" s="179">
        <f t="shared" si="103"/>
        <v>412.42479377000001</v>
      </c>
      <c r="AB161" s="259"/>
      <c r="AC161" s="179">
        <f t="shared" si="104"/>
        <v>0</v>
      </c>
      <c r="AD161" s="189">
        <f t="shared" si="98"/>
        <v>0</v>
      </c>
      <c r="AE161" s="179">
        <f t="shared" si="105"/>
        <v>1512.424745626</v>
      </c>
      <c r="AF161" s="264"/>
      <c r="AG161" s="179">
        <f t="shared" si="106"/>
        <v>999.99995185600005</v>
      </c>
      <c r="AH161" s="268"/>
      <c r="AI161" s="179">
        <f t="shared" si="107"/>
        <v>0</v>
      </c>
      <c r="AJ161" s="268"/>
      <c r="AK161" s="179">
        <f t="shared" si="108"/>
        <v>100</v>
      </c>
      <c r="AL161" s="268"/>
      <c r="AM161" s="179">
        <f t="shared" si="109"/>
        <v>0</v>
      </c>
      <c r="AN161" s="268"/>
      <c r="AO161" s="179">
        <f t="shared" si="110"/>
        <v>0</v>
      </c>
      <c r="AP161" s="268"/>
      <c r="AQ161" s="179">
        <f t="shared" si="111"/>
        <v>0</v>
      </c>
      <c r="AR161" s="273"/>
      <c r="AS161" s="209">
        <f t="shared" si="112"/>
        <v>0</v>
      </c>
      <c r="AT161" s="273"/>
      <c r="AU161" s="226">
        <f t="shared" si="113"/>
        <v>0</v>
      </c>
      <c r="AV161" s="273"/>
      <c r="AW161" s="209">
        <f t="shared" si="114"/>
        <v>0</v>
      </c>
      <c r="AX161" s="273"/>
      <c r="AY161" s="209">
        <f t="shared" si="115"/>
        <v>0</v>
      </c>
      <c r="AZ161" s="273"/>
      <c r="BA161" s="179">
        <f t="shared" si="116"/>
        <v>0</v>
      </c>
      <c r="BB161"/>
      <c r="BC161"/>
      <c r="BD161"/>
    </row>
    <row r="162" spans="1:56" s="34" customFormat="1" hidden="1" x14ac:dyDescent="0.25">
      <c r="A162" s="87"/>
      <c r="B162" s="42"/>
      <c r="C162" s="41"/>
      <c r="D162" s="41"/>
      <c r="E162" s="40"/>
      <c r="F162" s="40"/>
      <c r="G162" s="40"/>
      <c r="H162" s="40"/>
      <c r="I162" s="160"/>
      <c r="J162" s="41"/>
      <c r="K162" s="41"/>
      <c r="L162" s="41"/>
      <c r="M162" s="41"/>
      <c r="N162" s="41"/>
      <c r="O162" s="41"/>
      <c r="P162" s="188"/>
      <c r="Q162" s="221"/>
      <c r="R162" s="253"/>
      <c r="S162" s="179">
        <f t="shared" si="99"/>
        <v>3898.2066402109976</v>
      </c>
      <c r="T162" s="259"/>
      <c r="U162" s="179">
        <f t="shared" si="100"/>
        <v>79</v>
      </c>
      <c r="V162" s="259"/>
      <c r="W162" s="179">
        <f t="shared" si="101"/>
        <v>0</v>
      </c>
      <c r="X162" s="259"/>
      <c r="Y162" s="179">
        <f t="shared" si="102"/>
        <v>1099.9999518559998</v>
      </c>
      <c r="Z162" s="259"/>
      <c r="AA162" s="179">
        <f t="shared" si="103"/>
        <v>412.42479377000001</v>
      </c>
      <c r="AB162" s="259"/>
      <c r="AC162" s="179">
        <f t="shared" si="104"/>
        <v>0</v>
      </c>
      <c r="AD162" s="189">
        <f t="shared" si="98"/>
        <v>0</v>
      </c>
      <c r="AE162" s="179">
        <f t="shared" si="105"/>
        <v>1512.424745626</v>
      </c>
      <c r="AF162" s="264"/>
      <c r="AG162" s="179">
        <f t="shared" si="106"/>
        <v>999.99995185600005</v>
      </c>
      <c r="AH162" s="268"/>
      <c r="AI162" s="179">
        <f t="shared" si="107"/>
        <v>0</v>
      </c>
      <c r="AJ162" s="268"/>
      <c r="AK162" s="179">
        <f t="shared" si="108"/>
        <v>100</v>
      </c>
      <c r="AL162" s="268"/>
      <c r="AM162" s="179">
        <f t="shared" si="109"/>
        <v>0</v>
      </c>
      <c r="AN162" s="268"/>
      <c r="AO162" s="179">
        <f t="shared" si="110"/>
        <v>0</v>
      </c>
      <c r="AP162" s="268"/>
      <c r="AQ162" s="179">
        <f t="shared" si="111"/>
        <v>0</v>
      </c>
      <c r="AR162" s="273"/>
      <c r="AS162" s="209">
        <f t="shared" si="112"/>
        <v>0</v>
      </c>
      <c r="AT162" s="273"/>
      <c r="AU162" s="226">
        <f t="shared" si="113"/>
        <v>0</v>
      </c>
      <c r="AV162" s="273"/>
      <c r="AW162" s="209">
        <f t="shared" si="114"/>
        <v>0</v>
      </c>
      <c r="AX162" s="273"/>
      <c r="AY162" s="209">
        <f t="shared" si="115"/>
        <v>0</v>
      </c>
      <c r="AZ162" s="273"/>
      <c r="BA162" s="179">
        <f t="shared" si="116"/>
        <v>0</v>
      </c>
      <c r="BB162"/>
      <c r="BC162"/>
      <c r="BD162"/>
    </row>
    <row r="163" spans="1:56" s="34" customFormat="1" hidden="1" x14ac:dyDescent="0.25">
      <c r="A163" s="87"/>
      <c r="B163" s="42"/>
      <c r="C163" s="41"/>
      <c r="D163" s="41"/>
      <c r="E163" s="40"/>
      <c r="F163" s="40"/>
      <c r="G163" s="40"/>
      <c r="H163" s="40"/>
      <c r="I163" s="160"/>
      <c r="J163" s="41"/>
      <c r="K163" s="41"/>
      <c r="L163" s="41"/>
      <c r="M163" s="41"/>
      <c r="N163" s="41"/>
      <c r="O163" s="41"/>
      <c r="P163" s="188"/>
      <c r="Q163" s="221"/>
      <c r="R163" s="253"/>
      <c r="S163" s="179">
        <f t="shared" si="99"/>
        <v>3898.2066402109976</v>
      </c>
      <c r="T163" s="259"/>
      <c r="U163" s="179">
        <f t="shared" si="100"/>
        <v>79</v>
      </c>
      <c r="V163" s="259"/>
      <c r="W163" s="179">
        <f t="shared" si="101"/>
        <v>0</v>
      </c>
      <c r="X163" s="259"/>
      <c r="Y163" s="179">
        <f t="shared" si="102"/>
        <v>1099.9999518559998</v>
      </c>
      <c r="Z163" s="259"/>
      <c r="AA163" s="179">
        <f t="shared" si="103"/>
        <v>412.42479377000001</v>
      </c>
      <c r="AB163" s="259"/>
      <c r="AC163" s="179">
        <f t="shared" si="104"/>
        <v>0</v>
      </c>
      <c r="AD163" s="189">
        <f t="shared" si="98"/>
        <v>0</v>
      </c>
      <c r="AE163" s="179">
        <f t="shared" si="105"/>
        <v>1512.424745626</v>
      </c>
      <c r="AF163" s="264"/>
      <c r="AG163" s="179">
        <f t="shared" si="106"/>
        <v>999.99995185600005</v>
      </c>
      <c r="AH163" s="268"/>
      <c r="AI163" s="179">
        <f t="shared" si="107"/>
        <v>0</v>
      </c>
      <c r="AJ163" s="268"/>
      <c r="AK163" s="179">
        <f t="shared" si="108"/>
        <v>100</v>
      </c>
      <c r="AL163" s="268"/>
      <c r="AM163" s="179">
        <f t="shared" si="109"/>
        <v>0</v>
      </c>
      <c r="AN163" s="268"/>
      <c r="AO163" s="179">
        <f t="shared" si="110"/>
        <v>0</v>
      </c>
      <c r="AP163" s="268"/>
      <c r="AQ163" s="179">
        <f t="shared" si="111"/>
        <v>0</v>
      </c>
      <c r="AR163" s="273"/>
      <c r="AS163" s="209">
        <f t="shared" si="112"/>
        <v>0</v>
      </c>
      <c r="AT163" s="273"/>
      <c r="AU163" s="226">
        <f t="shared" si="113"/>
        <v>0</v>
      </c>
      <c r="AV163" s="273"/>
      <c r="AW163" s="209">
        <f t="shared" si="114"/>
        <v>0</v>
      </c>
      <c r="AX163" s="273"/>
      <c r="AY163" s="209">
        <f t="shared" si="115"/>
        <v>0</v>
      </c>
      <c r="AZ163" s="273"/>
      <c r="BA163" s="179">
        <f t="shared" si="116"/>
        <v>0</v>
      </c>
      <c r="BB163"/>
      <c r="BC163"/>
      <c r="BD163"/>
    </row>
    <row r="164" spans="1:56" s="34" customFormat="1" hidden="1" x14ac:dyDescent="0.25">
      <c r="A164" s="87"/>
      <c r="B164" s="42"/>
      <c r="C164" s="41"/>
      <c r="D164" s="41"/>
      <c r="E164" s="40"/>
      <c r="F164" s="40"/>
      <c r="G164" s="40"/>
      <c r="H164" s="40"/>
      <c r="I164" s="160"/>
      <c r="J164" s="41"/>
      <c r="K164" s="41"/>
      <c r="L164" s="41"/>
      <c r="M164" s="41"/>
      <c r="N164" s="41"/>
      <c r="O164" s="41"/>
      <c r="P164" s="188"/>
      <c r="Q164" s="221"/>
      <c r="R164" s="253"/>
      <c r="S164" s="179">
        <f t="shared" si="99"/>
        <v>3898.2066402109976</v>
      </c>
      <c r="T164" s="259"/>
      <c r="U164" s="179">
        <f t="shared" si="100"/>
        <v>79</v>
      </c>
      <c r="V164" s="259"/>
      <c r="W164" s="179">
        <f t="shared" si="101"/>
        <v>0</v>
      </c>
      <c r="X164" s="259"/>
      <c r="Y164" s="179">
        <f t="shared" si="102"/>
        <v>1099.9999518559998</v>
      </c>
      <c r="Z164" s="259"/>
      <c r="AA164" s="179">
        <f t="shared" si="103"/>
        <v>412.42479377000001</v>
      </c>
      <c r="AB164" s="259"/>
      <c r="AC164" s="179">
        <f t="shared" si="104"/>
        <v>0</v>
      </c>
      <c r="AD164" s="189">
        <f t="shared" si="98"/>
        <v>0</v>
      </c>
      <c r="AE164" s="179">
        <f t="shared" si="105"/>
        <v>1512.424745626</v>
      </c>
      <c r="AF164" s="264"/>
      <c r="AG164" s="179">
        <f t="shared" si="106"/>
        <v>999.99995185600005</v>
      </c>
      <c r="AH164" s="268"/>
      <c r="AI164" s="179">
        <f t="shared" si="107"/>
        <v>0</v>
      </c>
      <c r="AJ164" s="268"/>
      <c r="AK164" s="179">
        <f t="shared" si="108"/>
        <v>100</v>
      </c>
      <c r="AL164" s="268"/>
      <c r="AM164" s="179">
        <f t="shared" si="109"/>
        <v>0</v>
      </c>
      <c r="AN164" s="268"/>
      <c r="AO164" s="179">
        <f t="shared" si="110"/>
        <v>0</v>
      </c>
      <c r="AP164" s="268"/>
      <c r="AQ164" s="179">
        <f t="shared" si="111"/>
        <v>0</v>
      </c>
      <c r="AR164" s="273"/>
      <c r="AS164" s="209">
        <f t="shared" si="112"/>
        <v>0</v>
      </c>
      <c r="AT164" s="273"/>
      <c r="AU164" s="226">
        <f t="shared" si="113"/>
        <v>0</v>
      </c>
      <c r="AV164" s="273"/>
      <c r="AW164" s="209">
        <f t="shared" si="114"/>
        <v>0</v>
      </c>
      <c r="AX164" s="273"/>
      <c r="AY164" s="209">
        <f t="shared" si="115"/>
        <v>0</v>
      </c>
      <c r="AZ164" s="273"/>
      <c r="BA164" s="179">
        <f t="shared" si="116"/>
        <v>0</v>
      </c>
      <c r="BB164"/>
      <c r="BC164"/>
      <c r="BD164"/>
    </row>
    <row r="165" spans="1:56" s="34" customFormat="1" hidden="1" x14ac:dyDescent="0.25">
      <c r="A165" s="87"/>
      <c r="B165" s="42"/>
      <c r="C165" s="41"/>
      <c r="D165" s="41"/>
      <c r="E165" s="40"/>
      <c r="F165" s="40"/>
      <c r="G165" s="40"/>
      <c r="H165" s="40"/>
      <c r="I165" s="160"/>
      <c r="J165" s="41"/>
      <c r="K165" s="41"/>
      <c r="L165" s="41"/>
      <c r="M165" s="41"/>
      <c r="N165" s="41"/>
      <c r="O165" s="41"/>
      <c r="P165" s="188"/>
      <c r="Q165" s="221"/>
      <c r="R165" s="253"/>
      <c r="S165" s="179">
        <f t="shared" si="99"/>
        <v>3898.2066402109976</v>
      </c>
      <c r="T165" s="259"/>
      <c r="U165" s="179">
        <f t="shared" si="100"/>
        <v>79</v>
      </c>
      <c r="V165" s="259"/>
      <c r="W165" s="179">
        <f t="shared" si="101"/>
        <v>0</v>
      </c>
      <c r="X165" s="259"/>
      <c r="Y165" s="179">
        <f t="shared" si="102"/>
        <v>1099.9999518559998</v>
      </c>
      <c r="Z165" s="259"/>
      <c r="AA165" s="179">
        <f t="shared" si="103"/>
        <v>412.42479377000001</v>
      </c>
      <c r="AB165" s="259"/>
      <c r="AC165" s="179">
        <f t="shared" si="104"/>
        <v>0</v>
      </c>
      <c r="AD165" s="189">
        <f t="shared" si="98"/>
        <v>0</v>
      </c>
      <c r="AE165" s="179">
        <f t="shared" si="105"/>
        <v>1512.424745626</v>
      </c>
      <c r="AF165" s="264"/>
      <c r="AG165" s="179">
        <f t="shared" si="106"/>
        <v>999.99995185600005</v>
      </c>
      <c r="AH165" s="268"/>
      <c r="AI165" s="179">
        <f t="shared" si="107"/>
        <v>0</v>
      </c>
      <c r="AJ165" s="268"/>
      <c r="AK165" s="179">
        <f t="shared" si="108"/>
        <v>100</v>
      </c>
      <c r="AL165" s="268"/>
      <c r="AM165" s="179">
        <f t="shared" si="109"/>
        <v>0</v>
      </c>
      <c r="AN165" s="268"/>
      <c r="AO165" s="179">
        <f t="shared" si="110"/>
        <v>0</v>
      </c>
      <c r="AP165" s="268"/>
      <c r="AQ165" s="179">
        <f t="shared" si="111"/>
        <v>0</v>
      </c>
      <c r="AR165" s="273"/>
      <c r="AS165" s="209">
        <f t="shared" si="112"/>
        <v>0</v>
      </c>
      <c r="AT165" s="273"/>
      <c r="AU165" s="226">
        <f t="shared" si="113"/>
        <v>0</v>
      </c>
      <c r="AV165" s="273"/>
      <c r="AW165" s="209">
        <f t="shared" si="114"/>
        <v>0</v>
      </c>
      <c r="AX165" s="273"/>
      <c r="AY165" s="209">
        <f t="shared" si="115"/>
        <v>0</v>
      </c>
      <c r="AZ165" s="273"/>
      <c r="BA165" s="179">
        <f t="shared" si="116"/>
        <v>0</v>
      </c>
      <c r="BB165"/>
      <c r="BC165"/>
      <c r="BD165"/>
    </row>
    <row r="166" spans="1:56" s="34" customFormat="1" hidden="1" x14ac:dyDescent="0.25">
      <c r="A166" s="87"/>
      <c r="B166" s="42"/>
      <c r="C166" s="41"/>
      <c r="D166" s="41"/>
      <c r="E166" s="40"/>
      <c r="F166" s="40"/>
      <c r="G166" s="40"/>
      <c r="H166" s="40"/>
      <c r="I166" s="160"/>
      <c r="J166" s="41"/>
      <c r="K166" s="41"/>
      <c r="L166" s="41"/>
      <c r="M166" s="41"/>
      <c r="N166" s="41"/>
      <c r="O166" s="41"/>
      <c r="P166" s="188"/>
      <c r="Q166" s="221"/>
      <c r="R166" s="253"/>
      <c r="S166" s="179">
        <f t="shared" si="99"/>
        <v>3898.2066402109976</v>
      </c>
      <c r="T166" s="259"/>
      <c r="U166" s="179">
        <f t="shared" si="100"/>
        <v>79</v>
      </c>
      <c r="V166" s="259"/>
      <c r="W166" s="179">
        <f t="shared" si="101"/>
        <v>0</v>
      </c>
      <c r="X166" s="259"/>
      <c r="Y166" s="179">
        <f t="shared" si="102"/>
        <v>1099.9999518559998</v>
      </c>
      <c r="Z166" s="259"/>
      <c r="AA166" s="179">
        <f t="shared" si="103"/>
        <v>412.42479377000001</v>
      </c>
      <c r="AB166" s="259"/>
      <c r="AC166" s="179">
        <f t="shared" si="104"/>
        <v>0</v>
      </c>
      <c r="AD166" s="189">
        <f t="shared" si="98"/>
        <v>0</v>
      </c>
      <c r="AE166" s="179">
        <f t="shared" si="105"/>
        <v>1512.424745626</v>
      </c>
      <c r="AF166" s="264"/>
      <c r="AG166" s="179">
        <f t="shared" si="106"/>
        <v>999.99995185600005</v>
      </c>
      <c r="AH166" s="268"/>
      <c r="AI166" s="179">
        <f t="shared" si="107"/>
        <v>0</v>
      </c>
      <c r="AJ166" s="268"/>
      <c r="AK166" s="179">
        <f t="shared" si="108"/>
        <v>100</v>
      </c>
      <c r="AL166" s="268"/>
      <c r="AM166" s="179">
        <f t="shared" si="109"/>
        <v>0</v>
      </c>
      <c r="AN166" s="268"/>
      <c r="AO166" s="179">
        <f t="shared" si="110"/>
        <v>0</v>
      </c>
      <c r="AP166" s="268"/>
      <c r="AQ166" s="179">
        <f t="shared" si="111"/>
        <v>0</v>
      </c>
      <c r="AR166" s="273"/>
      <c r="AS166" s="209">
        <f t="shared" si="112"/>
        <v>0</v>
      </c>
      <c r="AT166" s="273"/>
      <c r="AU166" s="226">
        <f t="shared" si="113"/>
        <v>0</v>
      </c>
      <c r="AV166" s="273"/>
      <c r="AW166" s="209">
        <f t="shared" si="114"/>
        <v>0</v>
      </c>
      <c r="AX166" s="273"/>
      <c r="AY166" s="209">
        <f t="shared" si="115"/>
        <v>0</v>
      </c>
      <c r="AZ166" s="273"/>
      <c r="BA166" s="179">
        <f t="shared" si="116"/>
        <v>0</v>
      </c>
      <c r="BB166"/>
      <c r="BC166"/>
      <c r="BD166"/>
    </row>
    <row r="167" spans="1:56" s="34" customFormat="1" hidden="1" x14ac:dyDescent="0.25">
      <c r="A167" s="87"/>
      <c r="B167" s="42"/>
      <c r="C167" s="41"/>
      <c r="D167" s="41"/>
      <c r="E167" s="40"/>
      <c r="F167" s="40"/>
      <c r="G167" s="40"/>
      <c r="H167" s="40"/>
      <c r="I167" s="160"/>
      <c r="J167" s="41"/>
      <c r="K167" s="41"/>
      <c r="L167" s="41"/>
      <c r="M167" s="41"/>
      <c r="N167" s="41"/>
      <c r="O167" s="41"/>
      <c r="P167" s="188"/>
      <c r="Q167" s="221"/>
      <c r="R167" s="253"/>
      <c r="S167" s="179">
        <f t="shared" si="99"/>
        <v>3898.2066402109976</v>
      </c>
      <c r="T167" s="259"/>
      <c r="U167" s="179">
        <f t="shared" si="100"/>
        <v>79</v>
      </c>
      <c r="V167" s="259"/>
      <c r="W167" s="179">
        <f t="shared" si="101"/>
        <v>0</v>
      </c>
      <c r="X167" s="259"/>
      <c r="Y167" s="179">
        <f t="shared" si="102"/>
        <v>1099.9999518559998</v>
      </c>
      <c r="Z167" s="259"/>
      <c r="AA167" s="179">
        <f t="shared" si="103"/>
        <v>412.42479377000001</v>
      </c>
      <c r="AB167" s="259"/>
      <c r="AC167" s="179">
        <f t="shared" si="104"/>
        <v>0</v>
      </c>
      <c r="AD167" s="189">
        <f t="shared" si="98"/>
        <v>0</v>
      </c>
      <c r="AE167" s="179">
        <f t="shared" si="105"/>
        <v>1512.424745626</v>
      </c>
      <c r="AF167" s="264"/>
      <c r="AG167" s="179">
        <f t="shared" si="106"/>
        <v>999.99995185600005</v>
      </c>
      <c r="AH167" s="268"/>
      <c r="AI167" s="179">
        <f t="shared" si="107"/>
        <v>0</v>
      </c>
      <c r="AJ167" s="268"/>
      <c r="AK167" s="179">
        <f t="shared" si="108"/>
        <v>100</v>
      </c>
      <c r="AL167" s="268"/>
      <c r="AM167" s="179">
        <f t="shared" si="109"/>
        <v>0</v>
      </c>
      <c r="AN167" s="268"/>
      <c r="AO167" s="179">
        <f t="shared" si="110"/>
        <v>0</v>
      </c>
      <c r="AP167" s="268"/>
      <c r="AQ167" s="179">
        <f t="shared" si="111"/>
        <v>0</v>
      </c>
      <c r="AR167" s="273"/>
      <c r="AS167" s="209">
        <f t="shared" si="112"/>
        <v>0</v>
      </c>
      <c r="AT167" s="273"/>
      <c r="AU167" s="226">
        <f t="shared" si="113"/>
        <v>0</v>
      </c>
      <c r="AV167" s="273"/>
      <c r="AW167" s="209">
        <f t="shared" si="114"/>
        <v>0</v>
      </c>
      <c r="AX167" s="273"/>
      <c r="AY167" s="209">
        <f t="shared" si="115"/>
        <v>0</v>
      </c>
      <c r="AZ167" s="273"/>
      <c r="BA167" s="179">
        <f t="shared" si="116"/>
        <v>0</v>
      </c>
      <c r="BB167"/>
      <c r="BC167"/>
      <c r="BD167"/>
    </row>
    <row r="168" spans="1:56" s="34" customFormat="1" hidden="1" x14ac:dyDescent="0.25">
      <c r="A168" s="87"/>
      <c r="B168" s="42"/>
      <c r="C168" s="41"/>
      <c r="D168" s="41"/>
      <c r="E168" s="40"/>
      <c r="F168" s="40"/>
      <c r="G168" s="40"/>
      <c r="H168" s="40"/>
      <c r="I168" s="160"/>
      <c r="J168" s="41"/>
      <c r="K168" s="41"/>
      <c r="L168" s="41"/>
      <c r="M168" s="41"/>
      <c r="N168" s="41"/>
      <c r="O168" s="41"/>
      <c r="P168" s="188"/>
      <c r="Q168" s="221"/>
      <c r="R168" s="253"/>
      <c r="S168" s="179">
        <f t="shared" si="99"/>
        <v>3898.2066402109976</v>
      </c>
      <c r="T168" s="259"/>
      <c r="U168" s="179">
        <f t="shared" si="100"/>
        <v>79</v>
      </c>
      <c r="V168" s="259"/>
      <c r="W168" s="179">
        <f t="shared" si="101"/>
        <v>0</v>
      </c>
      <c r="X168" s="259"/>
      <c r="Y168" s="179">
        <f t="shared" si="102"/>
        <v>1099.9999518559998</v>
      </c>
      <c r="Z168" s="259"/>
      <c r="AA168" s="179">
        <f t="shared" si="103"/>
        <v>412.42479377000001</v>
      </c>
      <c r="AB168" s="259"/>
      <c r="AC168" s="179">
        <f t="shared" si="104"/>
        <v>0</v>
      </c>
      <c r="AD168" s="189">
        <f t="shared" si="98"/>
        <v>0</v>
      </c>
      <c r="AE168" s="179">
        <f t="shared" si="105"/>
        <v>1512.424745626</v>
      </c>
      <c r="AF168" s="264"/>
      <c r="AG168" s="179">
        <f t="shared" si="106"/>
        <v>999.99995185600005</v>
      </c>
      <c r="AH168" s="268"/>
      <c r="AI168" s="179">
        <f t="shared" si="107"/>
        <v>0</v>
      </c>
      <c r="AJ168" s="268"/>
      <c r="AK168" s="179">
        <f t="shared" si="108"/>
        <v>100</v>
      </c>
      <c r="AL168" s="268"/>
      <c r="AM168" s="179">
        <f t="shared" si="109"/>
        <v>0</v>
      </c>
      <c r="AN168" s="268"/>
      <c r="AO168" s="179">
        <f t="shared" si="110"/>
        <v>0</v>
      </c>
      <c r="AP168" s="268"/>
      <c r="AQ168" s="179">
        <f t="shared" si="111"/>
        <v>0</v>
      </c>
      <c r="AR168" s="273"/>
      <c r="AS168" s="209">
        <f t="shared" si="112"/>
        <v>0</v>
      </c>
      <c r="AT168" s="273"/>
      <c r="AU168" s="226">
        <f t="shared" si="113"/>
        <v>0</v>
      </c>
      <c r="AV168" s="273"/>
      <c r="AW168" s="209">
        <f t="shared" si="114"/>
        <v>0</v>
      </c>
      <c r="AX168" s="273"/>
      <c r="AY168" s="209">
        <f t="shared" si="115"/>
        <v>0</v>
      </c>
      <c r="AZ168" s="273"/>
      <c r="BA168" s="179">
        <f t="shared" si="116"/>
        <v>0</v>
      </c>
      <c r="BB168"/>
      <c r="BC168"/>
      <c r="BD168"/>
    </row>
    <row r="169" spans="1:56" s="34" customFormat="1" hidden="1" x14ac:dyDescent="0.25">
      <c r="A169" s="87"/>
      <c r="B169" s="42"/>
      <c r="C169" s="41"/>
      <c r="D169" s="41"/>
      <c r="E169" s="40"/>
      <c r="F169" s="40"/>
      <c r="G169" s="40"/>
      <c r="H169" s="40"/>
      <c r="I169" s="160"/>
      <c r="J169" s="41"/>
      <c r="K169" s="41"/>
      <c r="L169" s="41"/>
      <c r="M169" s="41"/>
      <c r="N169" s="41"/>
      <c r="O169" s="41"/>
      <c r="P169" s="188"/>
      <c r="Q169" s="221"/>
      <c r="R169" s="253"/>
      <c r="S169" s="179">
        <f t="shared" si="99"/>
        <v>3898.2066402109976</v>
      </c>
      <c r="T169" s="259"/>
      <c r="U169" s="179">
        <f t="shared" si="100"/>
        <v>79</v>
      </c>
      <c r="V169" s="259"/>
      <c r="W169" s="179">
        <f t="shared" si="101"/>
        <v>0</v>
      </c>
      <c r="X169" s="259"/>
      <c r="Y169" s="179">
        <f t="shared" si="102"/>
        <v>1099.9999518559998</v>
      </c>
      <c r="Z169" s="259"/>
      <c r="AA169" s="179">
        <f t="shared" si="103"/>
        <v>412.42479377000001</v>
      </c>
      <c r="AB169" s="259"/>
      <c r="AC169" s="179">
        <f t="shared" si="104"/>
        <v>0</v>
      </c>
      <c r="AD169" s="189">
        <f t="shared" si="98"/>
        <v>0</v>
      </c>
      <c r="AE169" s="179">
        <f t="shared" si="105"/>
        <v>1512.424745626</v>
      </c>
      <c r="AF169" s="264"/>
      <c r="AG169" s="179">
        <f t="shared" si="106"/>
        <v>999.99995185600005</v>
      </c>
      <c r="AH169" s="268"/>
      <c r="AI169" s="179">
        <f t="shared" si="107"/>
        <v>0</v>
      </c>
      <c r="AJ169" s="268"/>
      <c r="AK169" s="179">
        <f t="shared" si="108"/>
        <v>100</v>
      </c>
      <c r="AL169" s="268"/>
      <c r="AM169" s="179">
        <f t="shared" si="109"/>
        <v>0</v>
      </c>
      <c r="AN169" s="268"/>
      <c r="AO169" s="179">
        <f t="shared" si="110"/>
        <v>0</v>
      </c>
      <c r="AP169" s="268"/>
      <c r="AQ169" s="179">
        <f t="shared" si="111"/>
        <v>0</v>
      </c>
      <c r="AR169" s="273"/>
      <c r="AS169" s="209">
        <f t="shared" si="112"/>
        <v>0</v>
      </c>
      <c r="AT169" s="273"/>
      <c r="AU169" s="226">
        <f t="shared" si="113"/>
        <v>0</v>
      </c>
      <c r="AV169" s="273"/>
      <c r="AW169" s="209">
        <f t="shared" si="114"/>
        <v>0</v>
      </c>
      <c r="AX169" s="273"/>
      <c r="AY169" s="209">
        <f t="shared" si="115"/>
        <v>0</v>
      </c>
      <c r="AZ169" s="273"/>
      <c r="BA169" s="179">
        <f t="shared" si="116"/>
        <v>0</v>
      </c>
      <c r="BB169"/>
      <c r="BC169"/>
      <c r="BD169"/>
    </row>
    <row r="170" spans="1:56" s="34" customFormat="1" hidden="1" x14ac:dyDescent="0.25">
      <c r="A170" s="87"/>
      <c r="B170" s="42"/>
      <c r="C170" s="41"/>
      <c r="D170" s="41"/>
      <c r="E170" s="40"/>
      <c r="F170" s="40"/>
      <c r="G170" s="40"/>
      <c r="H170" s="40"/>
      <c r="I170" s="160"/>
      <c r="J170" s="41"/>
      <c r="K170" s="41"/>
      <c r="L170" s="41"/>
      <c r="M170" s="41"/>
      <c r="N170" s="41"/>
      <c r="O170" s="41"/>
      <c r="P170" s="188"/>
      <c r="Q170" s="221"/>
      <c r="R170" s="253"/>
      <c r="S170" s="179">
        <f t="shared" si="99"/>
        <v>3898.2066402109976</v>
      </c>
      <c r="T170" s="259"/>
      <c r="U170" s="179">
        <f t="shared" si="100"/>
        <v>79</v>
      </c>
      <c r="V170" s="259"/>
      <c r="W170" s="179">
        <f t="shared" si="101"/>
        <v>0</v>
      </c>
      <c r="X170" s="259"/>
      <c r="Y170" s="179">
        <f t="shared" si="102"/>
        <v>1099.9999518559998</v>
      </c>
      <c r="Z170" s="259"/>
      <c r="AA170" s="179">
        <f t="shared" si="103"/>
        <v>412.42479377000001</v>
      </c>
      <c r="AB170" s="259"/>
      <c r="AC170" s="179">
        <f t="shared" si="104"/>
        <v>0</v>
      </c>
      <c r="AD170" s="189">
        <f t="shared" si="98"/>
        <v>0</v>
      </c>
      <c r="AE170" s="179">
        <f t="shared" si="105"/>
        <v>1512.424745626</v>
      </c>
      <c r="AF170" s="264"/>
      <c r="AG170" s="179">
        <f t="shared" si="106"/>
        <v>999.99995185600005</v>
      </c>
      <c r="AH170" s="268"/>
      <c r="AI170" s="179">
        <f t="shared" si="107"/>
        <v>0</v>
      </c>
      <c r="AJ170" s="268"/>
      <c r="AK170" s="179">
        <f t="shared" si="108"/>
        <v>100</v>
      </c>
      <c r="AL170" s="268"/>
      <c r="AM170" s="179">
        <f t="shared" si="109"/>
        <v>0</v>
      </c>
      <c r="AN170" s="268"/>
      <c r="AO170" s="179">
        <f t="shared" si="110"/>
        <v>0</v>
      </c>
      <c r="AP170" s="268"/>
      <c r="AQ170" s="179">
        <f t="shared" si="111"/>
        <v>0</v>
      </c>
      <c r="AR170" s="273"/>
      <c r="AS170" s="209">
        <f t="shared" si="112"/>
        <v>0</v>
      </c>
      <c r="AT170" s="273"/>
      <c r="AU170" s="226">
        <f t="shared" si="113"/>
        <v>0</v>
      </c>
      <c r="AV170" s="273"/>
      <c r="AW170" s="209">
        <f t="shared" si="114"/>
        <v>0</v>
      </c>
      <c r="AX170" s="273"/>
      <c r="AY170" s="209">
        <f t="shared" si="115"/>
        <v>0</v>
      </c>
      <c r="AZ170" s="273"/>
      <c r="BA170" s="179">
        <f t="shared" si="116"/>
        <v>0</v>
      </c>
      <c r="BB170"/>
      <c r="BC170"/>
      <c r="BD170"/>
    </row>
    <row r="171" spans="1:56" s="34" customFormat="1" hidden="1" x14ac:dyDescent="0.25">
      <c r="A171" s="87"/>
      <c r="B171" s="42"/>
      <c r="C171" s="41"/>
      <c r="D171" s="41"/>
      <c r="E171" s="40"/>
      <c r="F171" s="40"/>
      <c r="G171" s="40"/>
      <c r="H171" s="40"/>
      <c r="I171" s="160"/>
      <c r="J171" s="41"/>
      <c r="K171" s="41"/>
      <c r="L171" s="41"/>
      <c r="M171" s="41"/>
      <c r="N171" s="41"/>
      <c r="O171" s="41"/>
      <c r="P171" s="188"/>
      <c r="Q171" s="221"/>
      <c r="R171" s="253"/>
      <c r="S171" s="179">
        <f t="shared" si="99"/>
        <v>3898.2066402109976</v>
      </c>
      <c r="T171" s="259"/>
      <c r="U171" s="179">
        <f t="shared" si="100"/>
        <v>79</v>
      </c>
      <c r="V171" s="259"/>
      <c r="W171" s="179">
        <f t="shared" si="101"/>
        <v>0</v>
      </c>
      <c r="X171" s="259"/>
      <c r="Y171" s="179">
        <f t="shared" si="102"/>
        <v>1099.9999518559998</v>
      </c>
      <c r="Z171" s="259"/>
      <c r="AA171" s="179">
        <f t="shared" si="103"/>
        <v>412.42479377000001</v>
      </c>
      <c r="AB171" s="259"/>
      <c r="AC171" s="179">
        <f t="shared" si="104"/>
        <v>0</v>
      </c>
      <c r="AD171" s="189">
        <f t="shared" si="98"/>
        <v>0</v>
      </c>
      <c r="AE171" s="179">
        <f t="shared" si="105"/>
        <v>1512.424745626</v>
      </c>
      <c r="AF171" s="264"/>
      <c r="AG171" s="179">
        <f t="shared" si="106"/>
        <v>999.99995185600005</v>
      </c>
      <c r="AH171" s="268"/>
      <c r="AI171" s="179">
        <f t="shared" si="107"/>
        <v>0</v>
      </c>
      <c r="AJ171" s="268"/>
      <c r="AK171" s="179">
        <f t="shared" si="108"/>
        <v>100</v>
      </c>
      <c r="AL171" s="268"/>
      <c r="AM171" s="179">
        <f t="shared" si="109"/>
        <v>0</v>
      </c>
      <c r="AN171" s="268"/>
      <c r="AO171" s="179">
        <f t="shared" si="110"/>
        <v>0</v>
      </c>
      <c r="AP171" s="268"/>
      <c r="AQ171" s="179">
        <f t="shared" si="111"/>
        <v>0</v>
      </c>
      <c r="AR171" s="273"/>
      <c r="AS171" s="209">
        <f t="shared" si="112"/>
        <v>0</v>
      </c>
      <c r="AT171" s="273"/>
      <c r="AU171" s="226">
        <f t="shared" si="113"/>
        <v>0</v>
      </c>
      <c r="AV171" s="273"/>
      <c r="AW171" s="209">
        <f t="shared" si="114"/>
        <v>0</v>
      </c>
      <c r="AX171" s="273"/>
      <c r="AY171" s="209">
        <f t="shared" si="115"/>
        <v>0</v>
      </c>
      <c r="AZ171" s="273"/>
      <c r="BA171" s="179">
        <f t="shared" si="116"/>
        <v>0</v>
      </c>
      <c r="BB171"/>
      <c r="BC171"/>
      <c r="BD171"/>
    </row>
    <row r="172" spans="1:56" s="34" customFormat="1" hidden="1" x14ac:dyDescent="0.25">
      <c r="A172" s="87"/>
      <c r="B172" s="42"/>
      <c r="C172" s="41"/>
      <c r="D172" s="41"/>
      <c r="E172" s="40"/>
      <c r="F172" s="40"/>
      <c r="G172" s="40"/>
      <c r="H172" s="40"/>
      <c r="I172" s="160"/>
      <c r="J172" s="41"/>
      <c r="K172" s="41"/>
      <c r="L172" s="41"/>
      <c r="M172" s="41"/>
      <c r="N172" s="41"/>
      <c r="O172" s="41"/>
      <c r="P172" s="188"/>
      <c r="Q172" s="221"/>
      <c r="R172" s="253"/>
      <c r="S172" s="179">
        <f t="shared" si="99"/>
        <v>3898.2066402109976</v>
      </c>
      <c r="T172" s="259"/>
      <c r="U172" s="179">
        <f t="shared" si="100"/>
        <v>79</v>
      </c>
      <c r="V172" s="259"/>
      <c r="W172" s="179">
        <f t="shared" si="101"/>
        <v>0</v>
      </c>
      <c r="X172" s="259"/>
      <c r="Y172" s="179">
        <f t="shared" si="102"/>
        <v>1099.9999518559998</v>
      </c>
      <c r="Z172" s="259"/>
      <c r="AA172" s="179">
        <f t="shared" si="103"/>
        <v>412.42479377000001</v>
      </c>
      <c r="AB172" s="259"/>
      <c r="AC172" s="179">
        <f t="shared" si="104"/>
        <v>0</v>
      </c>
      <c r="AD172" s="189">
        <f t="shared" si="98"/>
        <v>0</v>
      </c>
      <c r="AE172" s="179">
        <f t="shared" si="105"/>
        <v>1512.424745626</v>
      </c>
      <c r="AF172" s="264"/>
      <c r="AG172" s="179">
        <f t="shared" si="106"/>
        <v>999.99995185600005</v>
      </c>
      <c r="AH172" s="268"/>
      <c r="AI172" s="179">
        <f t="shared" si="107"/>
        <v>0</v>
      </c>
      <c r="AJ172" s="268"/>
      <c r="AK172" s="179">
        <f t="shared" si="108"/>
        <v>100</v>
      </c>
      <c r="AL172" s="268"/>
      <c r="AM172" s="179">
        <f t="shared" si="109"/>
        <v>0</v>
      </c>
      <c r="AN172" s="268"/>
      <c r="AO172" s="179">
        <f t="shared" si="110"/>
        <v>0</v>
      </c>
      <c r="AP172" s="268"/>
      <c r="AQ172" s="179">
        <f t="shared" si="111"/>
        <v>0</v>
      </c>
      <c r="AR172" s="273"/>
      <c r="AS172" s="209">
        <f t="shared" si="112"/>
        <v>0</v>
      </c>
      <c r="AT172" s="273"/>
      <c r="AU172" s="226">
        <f t="shared" si="113"/>
        <v>0</v>
      </c>
      <c r="AV172" s="273"/>
      <c r="AW172" s="209">
        <f t="shared" si="114"/>
        <v>0</v>
      </c>
      <c r="AX172" s="273"/>
      <c r="AY172" s="209">
        <f t="shared" si="115"/>
        <v>0</v>
      </c>
      <c r="AZ172" s="273"/>
      <c r="BA172" s="179">
        <f t="shared" si="116"/>
        <v>0</v>
      </c>
      <c r="BB172"/>
      <c r="BC172"/>
      <c r="BD172"/>
    </row>
    <row r="173" spans="1:56" s="34" customFormat="1" hidden="1" x14ac:dyDescent="0.25">
      <c r="A173" s="87"/>
      <c r="B173" s="42"/>
      <c r="C173" s="41"/>
      <c r="D173" s="41"/>
      <c r="E173" s="40"/>
      <c r="F173" s="40"/>
      <c r="G173" s="40"/>
      <c r="H173" s="40"/>
      <c r="I173" s="160"/>
      <c r="J173" s="41"/>
      <c r="K173" s="41"/>
      <c r="L173" s="41"/>
      <c r="M173" s="41"/>
      <c r="N173" s="41"/>
      <c r="O173" s="41"/>
      <c r="P173" s="188"/>
      <c r="Q173" s="221"/>
      <c r="R173" s="253"/>
      <c r="S173" s="179">
        <f t="shared" si="99"/>
        <v>3898.2066402109976</v>
      </c>
      <c r="T173" s="259"/>
      <c r="U173" s="179">
        <f t="shared" si="100"/>
        <v>79</v>
      </c>
      <c r="V173" s="259"/>
      <c r="W173" s="179">
        <f t="shared" si="101"/>
        <v>0</v>
      </c>
      <c r="X173" s="259"/>
      <c r="Y173" s="179">
        <f t="shared" si="102"/>
        <v>1099.9999518559998</v>
      </c>
      <c r="Z173" s="259"/>
      <c r="AA173" s="179">
        <f t="shared" si="103"/>
        <v>412.42479377000001</v>
      </c>
      <c r="AB173" s="259"/>
      <c r="AC173" s="179">
        <f t="shared" si="104"/>
        <v>0</v>
      </c>
      <c r="AD173" s="189">
        <f t="shared" si="98"/>
        <v>0</v>
      </c>
      <c r="AE173" s="179">
        <f t="shared" si="105"/>
        <v>1512.424745626</v>
      </c>
      <c r="AF173" s="264"/>
      <c r="AG173" s="179">
        <f t="shared" si="106"/>
        <v>999.99995185600005</v>
      </c>
      <c r="AH173" s="268"/>
      <c r="AI173" s="179">
        <f t="shared" si="107"/>
        <v>0</v>
      </c>
      <c r="AJ173" s="268"/>
      <c r="AK173" s="179">
        <f t="shared" si="108"/>
        <v>100</v>
      </c>
      <c r="AL173" s="268"/>
      <c r="AM173" s="179">
        <f t="shared" si="109"/>
        <v>0</v>
      </c>
      <c r="AN173" s="268"/>
      <c r="AO173" s="179">
        <f t="shared" si="110"/>
        <v>0</v>
      </c>
      <c r="AP173" s="268"/>
      <c r="AQ173" s="179">
        <f t="shared" si="111"/>
        <v>0</v>
      </c>
      <c r="AR173" s="273"/>
      <c r="AS173" s="209">
        <f t="shared" si="112"/>
        <v>0</v>
      </c>
      <c r="AT173" s="273"/>
      <c r="AU173" s="226">
        <f t="shared" si="113"/>
        <v>0</v>
      </c>
      <c r="AV173" s="273"/>
      <c r="AW173" s="209">
        <f t="shared" si="114"/>
        <v>0</v>
      </c>
      <c r="AX173" s="273"/>
      <c r="AY173" s="209">
        <f t="shared" si="115"/>
        <v>0</v>
      </c>
      <c r="AZ173" s="273"/>
      <c r="BA173" s="179">
        <f t="shared" si="116"/>
        <v>0</v>
      </c>
      <c r="BB173"/>
      <c r="BC173"/>
      <c r="BD173"/>
    </row>
    <row r="174" spans="1:56" s="34" customFormat="1" hidden="1" x14ac:dyDescent="0.25">
      <c r="A174" s="87"/>
      <c r="B174" s="42"/>
      <c r="C174" s="41"/>
      <c r="D174" s="41"/>
      <c r="E174" s="40"/>
      <c r="F174" s="40"/>
      <c r="G174" s="40"/>
      <c r="H174" s="40"/>
      <c r="I174" s="160"/>
      <c r="J174" s="41"/>
      <c r="K174" s="41"/>
      <c r="L174" s="41"/>
      <c r="M174" s="41"/>
      <c r="N174" s="41"/>
      <c r="O174" s="41"/>
      <c r="P174" s="188"/>
      <c r="Q174" s="221"/>
      <c r="R174" s="253"/>
      <c r="S174" s="179">
        <f t="shared" si="99"/>
        <v>3898.2066402109976</v>
      </c>
      <c r="T174" s="259"/>
      <c r="U174" s="179">
        <f t="shared" si="100"/>
        <v>79</v>
      </c>
      <c r="V174" s="259"/>
      <c r="W174" s="179">
        <f t="shared" si="101"/>
        <v>0</v>
      </c>
      <c r="X174" s="259"/>
      <c r="Y174" s="179">
        <f t="shared" si="102"/>
        <v>1099.9999518559998</v>
      </c>
      <c r="Z174" s="259"/>
      <c r="AA174" s="179">
        <f t="shared" si="103"/>
        <v>412.42479377000001</v>
      </c>
      <c r="AB174" s="259"/>
      <c r="AC174" s="179">
        <f t="shared" si="104"/>
        <v>0</v>
      </c>
      <c r="AD174" s="189">
        <f t="shared" si="98"/>
        <v>0</v>
      </c>
      <c r="AE174" s="179">
        <f t="shared" si="105"/>
        <v>1512.424745626</v>
      </c>
      <c r="AF174" s="264"/>
      <c r="AG174" s="179">
        <f t="shared" si="106"/>
        <v>999.99995185600005</v>
      </c>
      <c r="AH174" s="268"/>
      <c r="AI174" s="179">
        <f t="shared" si="107"/>
        <v>0</v>
      </c>
      <c r="AJ174" s="268"/>
      <c r="AK174" s="179">
        <f t="shared" si="108"/>
        <v>100</v>
      </c>
      <c r="AL174" s="268"/>
      <c r="AM174" s="179">
        <f t="shared" si="109"/>
        <v>0</v>
      </c>
      <c r="AN174" s="268"/>
      <c r="AO174" s="179">
        <f t="shared" si="110"/>
        <v>0</v>
      </c>
      <c r="AP174" s="268"/>
      <c r="AQ174" s="179">
        <f t="shared" si="111"/>
        <v>0</v>
      </c>
      <c r="AR174" s="273"/>
      <c r="AS174" s="209">
        <f t="shared" si="112"/>
        <v>0</v>
      </c>
      <c r="AT174" s="273"/>
      <c r="AU174" s="226">
        <f t="shared" si="113"/>
        <v>0</v>
      </c>
      <c r="AV174" s="273"/>
      <c r="AW174" s="209">
        <f t="shared" si="114"/>
        <v>0</v>
      </c>
      <c r="AX174" s="273"/>
      <c r="AY174" s="209">
        <f t="shared" si="115"/>
        <v>0</v>
      </c>
      <c r="AZ174" s="273"/>
      <c r="BA174" s="179">
        <f t="shared" si="116"/>
        <v>0</v>
      </c>
      <c r="BB174"/>
      <c r="BC174"/>
      <c r="BD174"/>
    </row>
    <row r="175" spans="1:56" s="34" customFormat="1" hidden="1" x14ac:dyDescent="0.25">
      <c r="A175" s="87"/>
      <c r="B175" s="42"/>
      <c r="C175" s="41"/>
      <c r="D175" s="41"/>
      <c r="E175" s="40"/>
      <c r="F175" s="40"/>
      <c r="G175" s="40"/>
      <c r="H175" s="40"/>
      <c r="I175" s="160"/>
      <c r="J175" s="41"/>
      <c r="K175" s="41"/>
      <c r="L175" s="41"/>
      <c r="M175" s="41"/>
      <c r="N175" s="41"/>
      <c r="O175" s="41"/>
      <c r="P175" s="188"/>
      <c r="Q175" s="221"/>
      <c r="R175" s="253"/>
      <c r="S175" s="179">
        <f t="shared" si="99"/>
        <v>3898.2066402109976</v>
      </c>
      <c r="T175" s="259"/>
      <c r="U175" s="179">
        <f t="shared" si="100"/>
        <v>79</v>
      </c>
      <c r="V175" s="259"/>
      <c r="W175" s="179">
        <f t="shared" si="101"/>
        <v>0</v>
      </c>
      <c r="X175" s="259"/>
      <c r="Y175" s="179">
        <f t="shared" si="102"/>
        <v>1099.9999518559998</v>
      </c>
      <c r="Z175" s="259"/>
      <c r="AA175" s="179">
        <f t="shared" si="103"/>
        <v>412.42479377000001</v>
      </c>
      <c r="AB175" s="259"/>
      <c r="AC175" s="179">
        <f t="shared" si="104"/>
        <v>0</v>
      </c>
      <c r="AD175" s="189">
        <f t="shared" si="98"/>
        <v>0</v>
      </c>
      <c r="AE175" s="179">
        <f t="shared" si="105"/>
        <v>1512.424745626</v>
      </c>
      <c r="AF175" s="264"/>
      <c r="AG175" s="179">
        <f t="shared" si="106"/>
        <v>999.99995185600005</v>
      </c>
      <c r="AH175" s="268"/>
      <c r="AI175" s="179">
        <f t="shared" si="107"/>
        <v>0</v>
      </c>
      <c r="AJ175" s="268"/>
      <c r="AK175" s="179">
        <f t="shared" si="108"/>
        <v>100</v>
      </c>
      <c r="AL175" s="268"/>
      <c r="AM175" s="179">
        <f t="shared" si="109"/>
        <v>0</v>
      </c>
      <c r="AN175" s="268"/>
      <c r="AO175" s="179">
        <f t="shared" si="110"/>
        <v>0</v>
      </c>
      <c r="AP175" s="268"/>
      <c r="AQ175" s="179">
        <f t="shared" si="111"/>
        <v>0</v>
      </c>
      <c r="AR175" s="273"/>
      <c r="AS175" s="209">
        <f t="shared" si="112"/>
        <v>0</v>
      </c>
      <c r="AT175" s="273"/>
      <c r="AU175" s="226">
        <f t="shared" si="113"/>
        <v>0</v>
      </c>
      <c r="AV175" s="273"/>
      <c r="AW175" s="209">
        <f t="shared" si="114"/>
        <v>0</v>
      </c>
      <c r="AX175" s="273"/>
      <c r="AY175" s="209">
        <f t="shared" si="115"/>
        <v>0</v>
      </c>
      <c r="AZ175" s="273"/>
      <c r="BA175" s="179">
        <f t="shared" si="116"/>
        <v>0</v>
      </c>
      <c r="BB175"/>
      <c r="BC175"/>
      <c r="BD175"/>
    </row>
    <row r="176" spans="1:56" s="34" customFormat="1" hidden="1" x14ac:dyDescent="0.25">
      <c r="A176" s="87"/>
      <c r="B176" s="42"/>
      <c r="C176" s="41"/>
      <c r="D176" s="41"/>
      <c r="E176" s="40"/>
      <c r="F176" s="40"/>
      <c r="G176" s="40"/>
      <c r="H176" s="40"/>
      <c r="I176" s="160"/>
      <c r="J176" s="41"/>
      <c r="K176" s="41"/>
      <c r="L176" s="41"/>
      <c r="M176" s="41"/>
      <c r="N176" s="41"/>
      <c r="O176" s="41"/>
      <c r="P176" s="188"/>
      <c r="Q176" s="221"/>
      <c r="R176" s="253"/>
      <c r="S176" s="179">
        <f t="shared" si="99"/>
        <v>3898.2066402109976</v>
      </c>
      <c r="T176" s="259"/>
      <c r="U176" s="179">
        <f t="shared" si="100"/>
        <v>79</v>
      </c>
      <c r="V176" s="259"/>
      <c r="W176" s="179">
        <f t="shared" si="101"/>
        <v>0</v>
      </c>
      <c r="X176" s="259"/>
      <c r="Y176" s="179">
        <f t="shared" si="102"/>
        <v>1099.9999518559998</v>
      </c>
      <c r="Z176" s="259"/>
      <c r="AA176" s="179">
        <f t="shared" si="103"/>
        <v>412.42479377000001</v>
      </c>
      <c r="AB176" s="259"/>
      <c r="AC176" s="179">
        <f t="shared" si="104"/>
        <v>0</v>
      </c>
      <c r="AD176" s="189">
        <f t="shared" si="98"/>
        <v>0</v>
      </c>
      <c r="AE176" s="179">
        <f t="shared" si="105"/>
        <v>1512.424745626</v>
      </c>
      <c r="AF176" s="264"/>
      <c r="AG176" s="179">
        <f t="shared" si="106"/>
        <v>999.99995185600005</v>
      </c>
      <c r="AH176" s="268"/>
      <c r="AI176" s="179">
        <f t="shared" si="107"/>
        <v>0</v>
      </c>
      <c r="AJ176" s="268"/>
      <c r="AK176" s="179">
        <f t="shared" si="108"/>
        <v>100</v>
      </c>
      <c r="AL176" s="268"/>
      <c r="AM176" s="179">
        <f t="shared" si="109"/>
        <v>0</v>
      </c>
      <c r="AN176" s="268"/>
      <c r="AO176" s="179">
        <f t="shared" si="110"/>
        <v>0</v>
      </c>
      <c r="AP176" s="268"/>
      <c r="AQ176" s="179">
        <f t="shared" si="111"/>
        <v>0</v>
      </c>
      <c r="AR176" s="273"/>
      <c r="AS176" s="209">
        <f t="shared" si="112"/>
        <v>0</v>
      </c>
      <c r="AT176" s="273"/>
      <c r="AU176" s="226">
        <f t="shared" si="113"/>
        <v>0</v>
      </c>
      <c r="AV176" s="273"/>
      <c r="AW176" s="209">
        <f t="shared" si="114"/>
        <v>0</v>
      </c>
      <c r="AX176" s="273"/>
      <c r="AY176" s="209">
        <f t="shared" si="115"/>
        <v>0</v>
      </c>
      <c r="AZ176" s="273"/>
      <c r="BA176" s="179">
        <f t="shared" si="116"/>
        <v>0</v>
      </c>
      <c r="BB176"/>
      <c r="BC176"/>
      <c r="BD176"/>
    </row>
    <row r="177" spans="1:56" s="34" customFormat="1" hidden="1" x14ac:dyDescent="0.25">
      <c r="A177" s="87"/>
      <c r="B177" s="42"/>
      <c r="C177" s="41"/>
      <c r="D177" s="41"/>
      <c r="E177" s="40"/>
      <c r="F177" s="40"/>
      <c r="G177" s="40"/>
      <c r="H177" s="40"/>
      <c r="I177" s="160"/>
      <c r="J177" s="41"/>
      <c r="K177" s="41"/>
      <c r="L177" s="41"/>
      <c r="M177" s="41"/>
      <c r="N177" s="41"/>
      <c r="O177" s="41"/>
      <c r="P177" s="188"/>
      <c r="Q177" s="221"/>
      <c r="R177" s="253"/>
      <c r="S177" s="179">
        <f t="shared" si="99"/>
        <v>3898.2066402109976</v>
      </c>
      <c r="T177" s="259"/>
      <c r="U177" s="179">
        <f t="shared" si="100"/>
        <v>79</v>
      </c>
      <c r="V177" s="259"/>
      <c r="W177" s="179">
        <f t="shared" si="101"/>
        <v>0</v>
      </c>
      <c r="X177" s="259"/>
      <c r="Y177" s="179">
        <f t="shared" si="102"/>
        <v>1099.9999518559998</v>
      </c>
      <c r="Z177" s="259"/>
      <c r="AA177" s="179">
        <f t="shared" si="103"/>
        <v>412.42479377000001</v>
      </c>
      <c r="AB177" s="259"/>
      <c r="AC177" s="179">
        <f t="shared" si="104"/>
        <v>0</v>
      </c>
      <c r="AD177" s="189">
        <f t="shared" si="98"/>
        <v>0</v>
      </c>
      <c r="AE177" s="179">
        <f t="shared" si="105"/>
        <v>1512.424745626</v>
      </c>
      <c r="AF177" s="264"/>
      <c r="AG177" s="179">
        <f t="shared" si="106"/>
        <v>999.99995185600005</v>
      </c>
      <c r="AH177" s="268"/>
      <c r="AI177" s="179">
        <f t="shared" si="107"/>
        <v>0</v>
      </c>
      <c r="AJ177" s="268"/>
      <c r="AK177" s="179">
        <f t="shared" si="108"/>
        <v>100</v>
      </c>
      <c r="AL177" s="268"/>
      <c r="AM177" s="179">
        <f t="shared" si="109"/>
        <v>0</v>
      </c>
      <c r="AN177" s="268"/>
      <c r="AO177" s="179">
        <f t="shared" si="110"/>
        <v>0</v>
      </c>
      <c r="AP177" s="268"/>
      <c r="AQ177" s="179">
        <f t="shared" si="111"/>
        <v>0</v>
      </c>
      <c r="AR177" s="273"/>
      <c r="AS177" s="209">
        <f t="shared" si="112"/>
        <v>0</v>
      </c>
      <c r="AT177" s="273"/>
      <c r="AU177" s="226">
        <f t="shared" si="113"/>
        <v>0</v>
      </c>
      <c r="AV177" s="273"/>
      <c r="AW177" s="209">
        <f t="shared" si="114"/>
        <v>0</v>
      </c>
      <c r="AX177" s="273"/>
      <c r="AY177" s="209">
        <f t="shared" si="115"/>
        <v>0</v>
      </c>
      <c r="AZ177" s="273"/>
      <c r="BA177" s="179">
        <f t="shared" si="116"/>
        <v>0</v>
      </c>
      <c r="BB177"/>
      <c r="BC177"/>
      <c r="BD177"/>
    </row>
    <row r="178" spans="1:56" s="34" customFormat="1" hidden="1" x14ac:dyDescent="0.25">
      <c r="A178" s="87"/>
      <c r="B178" s="42"/>
      <c r="C178" s="41"/>
      <c r="D178" s="41"/>
      <c r="E178" s="40"/>
      <c r="F178" s="40"/>
      <c r="G178" s="40"/>
      <c r="H178" s="40"/>
      <c r="I178" s="160"/>
      <c r="J178" s="41"/>
      <c r="K178" s="41"/>
      <c r="L178" s="41"/>
      <c r="M178" s="41"/>
      <c r="N178" s="41"/>
      <c r="O178" s="41"/>
      <c r="P178" s="188"/>
      <c r="Q178" s="221"/>
      <c r="R178" s="253"/>
      <c r="S178" s="179">
        <f t="shared" si="99"/>
        <v>3898.2066402109976</v>
      </c>
      <c r="T178" s="259"/>
      <c r="U178" s="179">
        <f t="shared" si="100"/>
        <v>79</v>
      </c>
      <c r="V178" s="259"/>
      <c r="W178" s="179">
        <f t="shared" si="101"/>
        <v>0</v>
      </c>
      <c r="X178" s="259"/>
      <c r="Y178" s="179">
        <f t="shared" si="102"/>
        <v>1099.9999518559998</v>
      </c>
      <c r="Z178" s="259"/>
      <c r="AA178" s="179">
        <f t="shared" si="103"/>
        <v>412.42479377000001</v>
      </c>
      <c r="AB178" s="259"/>
      <c r="AC178" s="179">
        <f t="shared" si="104"/>
        <v>0</v>
      </c>
      <c r="AD178" s="189">
        <f t="shared" si="98"/>
        <v>0</v>
      </c>
      <c r="AE178" s="179">
        <f t="shared" si="105"/>
        <v>1512.424745626</v>
      </c>
      <c r="AF178" s="264"/>
      <c r="AG178" s="179">
        <f t="shared" si="106"/>
        <v>999.99995185600005</v>
      </c>
      <c r="AH178" s="268"/>
      <c r="AI178" s="179">
        <f t="shared" si="107"/>
        <v>0</v>
      </c>
      <c r="AJ178" s="268"/>
      <c r="AK178" s="179">
        <f t="shared" si="108"/>
        <v>100</v>
      </c>
      <c r="AL178" s="268"/>
      <c r="AM178" s="179">
        <f t="shared" si="109"/>
        <v>0</v>
      </c>
      <c r="AN178" s="268"/>
      <c r="AO178" s="179">
        <f t="shared" si="110"/>
        <v>0</v>
      </c>
      <c r="AP178" s="268"/>
      <c r="AQ178" s="179">
        <f t="shared" si="111"/>
        <v>0</v>
      </c>
      <c r="AR178" s="273"/>
      <c r="AS178" s="209">
        <f t="shared" si="112"/>
        <v>0</v>
      </c>
      <c r="AT178" s="273"/>
      <c r="AU178" s="226">
        <f t="shared" si="113"/>
        <v>0</v>
      </c>
      <c r="AV178" s="273"/>
      <c r="AW178" s="209">
        <f t="shared" si="114"/>
        <v>0</v>
      </c>
      <c r="AX178" s="273"/>
      <c r="AY178" s="209">
        <f t="shared" si="115"/>
        <v>0</v>
      </c>
      <c r="AZ178" s="273"/>
      <c r="BA178" s="179">
        <f t="shared" si="116"/>
        <v>0</v>
      </c>
      <c r="BB178"/>
      <c r="BC178"/>
      <c r="BD178"/>
    </row>
    <row r="179" spans="1:56" s="34" customFormat="1" hidden="1" x14ac:dyDescent="0.25">
      <c r="A179" s="87"/>
      <c r="B179" s="42"/>
      <c r="C179" s="41"/>
      <c r="D179" s="41"/>
      <c r="E179" s="40"/>
      <c r="F179" s="40"/>
      <c r="G179" s="40"/>
      <c r="H179" s="40"/>
      <c r="I179" s="160"/>
      <c r="J179" s="41"/>
      <c r="K179" s="41"/>
      <c r="L179" s="41"/>
      <c r="M179" s="41"/>
      <c r="N179" s="41"/>
      <c r="O179" s="41"/>
      <c r="P179" s="188"/>
      <c r="Q179" s="221"/>
      <c r="R179" s="253"/>
      <c r="S179" s="179">
        <f t="shared" si="99"/>
        <v>3898.2066402109976</v>
      </c>
      <c r="T179" s="259"/>
      <c r="U179" s="179">
        <f t="shared" si="100"/>
        <v>79</v>
      </c>
      <c r="V179" s="259"/>
      <c r="W179" s="179">
        <f t="shared" si="101"/>
        <v>0</v>
      </c>
      <c r="X179" s="259"/>
      <c r="Y179" s="179">
        <f t="shared" si="102"/>
        <v>1099.9999518559998</v>
      </c>
      <c r="Z179" s="259"/>
      <c r="AA179" s="179">
        <f t="shared" si="103"/>
        <v>412.42479377000001</v>
      </c>
      <c r="AB179" s="259"/>
      <c r="AC179" s="179">
        <f t="shared" si="104"/>
        <v>0</v>
      </c>
      <c r="AD179" s="189">
        <f t="shared" si="98"/>
        <v>0</v>
      </c>
      <c r="AE179" s="179">
        <f t="shared" si="105"/>
        <v>1512.424745626</v>
      </c>
      <c r="AF179" s="264"/>
      <c r="AG179" s="179">
        <f t="shared" si="106"/>
        <v>999.99995185600005</v>
      </c>
      <c r="AH179" s="268"/>
      <c r="AI179" s="179">
        <f t="shared" si="107"/>
        <v>0</v>
      </c>
      <c r="AJ179" s="268"/>
      <c r="AK179" s="179">
        <f t="shared" si="108"/>
        <v>100</v>
      </c>
      <c r="AL179" s="268"/>
      <c r="AM179" s="179">
        <f t="shared" si="109"/>
        <v>0</v>
      </c>
      <c r="AN179" s="268"/>
      <c r="AO179" s="179">
        <f t="shared" si="110"/>
        <v>0</v>
      </c>
      <c r="AP179" s="268"/>
      <c r="AQ179" s="179">
        <f t="shared" si="111"/>
        <v>0</v>
      </c>
      <c r="AR179" s="273"/>
      <c r="AS179" s="209">
        <f t="shared" si="112"/>
        <v>0</v>
      </c>
      <c r="AT179" s="273"/>
      <c r="AU179" s="226">
        <f t="shared" si="113"/>
        <v>0</v>
      </c>
      <c r="AV179" s="273"/>
      <c r="AW179" s="209">
        <f t="shared" si="114"/>
        <v>0</v>
      </c>
      <c r="AX179" s="273"/>
      <c r="AY179" s="209">
        <f t="shared" si="115"/>
        <v>0</v>
      </c>
      <c r="AZ179" s="273"/>
      <c r="BA179" s="179">
        <f t="shared" si="116"/>
        <v>0</v>
      </c>
      <c r="BB179"/>
      <c r="BC179"/>
      <c r="BD179"/>
    </row>
    <row r="180" spans="1:56" s="34" customFormat="1" hidden="1" x14ac:dyDescent="0.25">
      <c r="A180" s="87"/>
      <c r="B180" s="42"/>
      <c r="C180" s="41"/>
      <c r="D180" s="41"/>
      <c r="E180" s="40"/>
      <c r="F180" s="40"/>
      <c r="G180" s="40"/>
      <c r="H180" s="40"/>
      <c r="I180" s="160"/>
      <c r="J180" s="41"/>
      <c r="K180" s="41"/>
      <c r="L180" s="41"/>
      <c r="M180" s="41"/>
      <c r="N180" s="41"/>
      <c r="O180" s="41"/>
      <c r="P180" s="188"/>
      <c r="Q180" s="221"/>
      <c r="R180" s="253"/>
      <c r="S180" s="179">
        <f t="shared" si="99"/>
        <v>3898.2066402109976</v>
      </c>
      <c r="T180" s="259"/>
      <c r="U180" s="179">
        <f t="shared" si="100"/>
        <v>79</v>
      </c>
      <c r="V180" s="259"/>
      <c r="W180" s="179">
        <f t="shared" si="101"/>
        <v>0</v>
      </c>
      <c r="X180" s="259"/>
      <c r="Y180" s="179">
        <f t="shared" si="102"/>
        <v>1099.9999518559998</v>
      </c>
      <c r="Z180" s="259"/>
      <c r="AA180" s="179">
        <f t="shared" si="103"/>
        <v>412.42479377000001</v>
      </c>
      <c r="AB180" s="259"/>
      <c r="AC180" s="179">
        <f t="shared" si="104"/>
        <v>0</v>
      </c>
      <c r="AD180" s="189">
        <f t="shared" si="98"/>
        <v>0</v>
      </c>
      <c r="AE180" s="179">
        <f t="shared" si="105"/>
        <v>1512.424745626</v>
      </c>
      <c r="AF180" s="264"/>
      <c r="AG180" s="179">
        <f t="shared" si="106"/>
        <v>999.99995185600005</v>
      </c>
      <c r="AH180" s="268"/>
      <c r="AI180" s="179">
        <f t="shared" si="107"/>
        <v>0</v>
      </c>
      <c r="AJ180" s="268"/>
      <c r="AK180" s="179">
        <f t="shared" si="108"/>
        <v>100</v>
      </c>
      <c r="AL180" s="268"/>
      <c r="AM180" s="179">
        <f t="shared" si="109"/>
        <v>0</v>
      </c>
      <c r="AN180" s="268"/>
      <c r="AO180" s="179">
        <f t="shared" si="110"/>
        <v>0</v>
      </c>
      <c r="AP180" s="268"/>
      <c r="AQ180" s="179">
        <f t="shared" si="111"/>
        <v>0</v>
      </c>
      <c r="AR180" s="273"/>
      <c r="AS180" s="209">
        <f t="shared" si="112"/>
        <v>0</v>
      </c>
      <c r="AT180" s="273"/>
      <c r="AU180" s="226">
        <f t="shared" si="113"/>
        <v>0</v>
      </c>
      <c r="AV180" s="273"/>
      <c r="AW180" s="209">
        <f t="shared" si="114"/>
        <v>0</v>
      </c>
      <c r="AX180" s="273"/>
      <c r="AY180" s="209">
        <f t="shared" si="115"/>
        <v>0</v>
      </c>
      <c r="AZ180" s="273"/>
      <c r="BA180" s="179">
        <f t="shared" si="116"/>
        <v>0</v>
      </c>
      <c r="BB180"/>
      <c r="BC180"/>
      <c r="BD180"/>
    </row>
    <row r="181" spans="1:56" s="34" customFormat="1" hidden="1" x14ac:dyDescent="0.25">
      <c r="A181" s="87"/>
      <c r="B181" s="42"/>
      <c r="C181" s="41"/>
      <c r="D181" s="41"/>
      <c r="E181" s="40"/>
      <c r="F181" s="40"/>
      <c r="G181" s="40"/>
      <c r="H181" s="40"/>
      <c r="I181" s="160"/>
      <c r="J181" s="41"/>
      <c r="K181" s="41"/>
      <c r="L181" s="41"/>
      <c r="M181" s="41"/>
      <c r="N181" s="41"/>
      <c r="O181" s="41"/>
      <c r="P181" s="188"/>
      <c r="Q181" s="221"/>
      <c r="R181" s="253"/>
      <c r="S181" s="179">
        <f t="shared" si="99"/>
        <v>3898.2066402109976</v>
      </c>
      <c r="T181" s="259"/>
      <c r="U181" s="179">
        <f t="shared" si="100"/>
        <v>79</v>
      </c>
      <c r="V181" s="259"/>
      <c r="W181" s="179">
        <f t="shared" si="101"/>
        <v>0</v>
      </c>
      <c r="X181" s="259"/>
      <c r="Y181" s="179">
        <f t="shared" si="102"/>
        <v>1099.9999518559998</v>
      </c>
      <c r="Z181" s="259"/>
      <c r="AA181" s="179">
        <f t="shared" si="103"/>
        <v>412.42479377000001</v>
      </c>
      <c r="AB181" s="259"/>
      <c r="AC181" s="179">
        <f t="shared" si="104"/>
        <v>0</v>
      </c>
      <c r="AD181" s="189">
        <f t="shared" si="98"/>
        <v>0</v>
      </c>
      <c r="AE181" s="179">
        <f t="shared" si="105"/>
        <v>1512.424745626</v>
      </c>
      <c r="AF181" s="264"/>
      <c r="AG181" s="179">
        <f t="shared" si="106"/>
        <v>999.99995185600005</v>
      </c>
      <c r="AH181" s="268"/>
      <c r="AI181" s="179">
        <f t="shared" si="107"/>
        <v>0</v>
      </c>
      <c r="AJ181" s="268"/>
      <c r="AK181" s="179">
        <f t="shared" si="108"/>
        <v>100</v>
      </c>
      <c r="AL181" s="268"/>
      <c r="AM181" s="179">
        <f t="shared" si="109"/>
        <v>0</v>
      </c>
      <c r="AN181" s="268"/>
      <c r="AO181" s="179">
        <f t="shared" si="110"/>
        <v>0</v>
      </c>
      <c r="AP181" s="268"/>
      <c r="AQ181" s="179">
        <f t="shared" si="111"/>
        <v>0</v>
      </c>
      <c r="AR181" s="273"/>
      <c r="AS181" s="209">
        <f t="shared" si="112"/>
        <v>0</v>
      </c>
      <c r="AT181" s="273"/>
      <c r="AU181" s="226">
        <f t="shared" si="113"/>
        <v>0</v>
      </c>
      <c r="AV181" s="273"/>
      <c r="AW181" s="209">
        <f t="shared" si="114"/>
        <v>0</v>
      </c>
      <c r="AX181" s="273"/>
      <c r="AY181" s="209">
        <f t="shared" si="115"/>
        <v>0</v>
      </c>
      <c r="AZ181" s="273"/>
      <c r="BA181" s="179">
        <f t="shared" si="116"/>
        <v>0</v>
      </c>
      <c r="BB181"/>
      <c r="BC181"/>
      <c r="BD181"/>
    </row>
    <row r="182" spans="1:56" s="34" customFormat="1" hidden="1" x14ac:dyDescent="0.25">
      <c r="A182" s="87"/>
      <c r="B182" s="42"/>
      <c r="C182" s="41"/>
      <c r="D182" s="41"/>
      <c r="E182" s="40"/>
      <c r="F182" s="40"/>
      <c r="G182" s="40"/>
      <c r="H182" s="40"/>
      <c r="I182" s="160"/>
      <c r="J182" s="41"/>
      <c r="K182" s="41"/>
      <c r="L182" s="41"/>
      <c r="M182" s="41"/>
      <c r="N182" s="41"/>
      <c r="O182" s="41"/>
      <c r="P182" s="188"/>
      <c r="Q182" s="221"/>
      <c r="R182" s="253"/>
      <c r="S182" s="179">
        <f t="shared" si="99"/>
        <v>3898.2066402109976</v>
      </c>
      <c r="T182" s="259"/>
      <c r="U182" s="179">
        <f t="shared" si="100"/>
        <v>79</v>
      </c>
      <c r="V182" s="259"/>
      <c r="W182" s="179">
        <f t="shared" si="101"/>
        <v>0</v>
      </c>
      <c r="X182" s="259"/>
      <c r="Y182" s="179">
        <f t="shared" si="102"/>
        <v>1099.9999518559998</v>
      </c>
      <c r="Z182" s="259"/>
      <c r="AA182" s="179">
        <f t="shared" si="103"/>
        <v>412.42479377000001</v>
      </c>
      <c r="AB182" s="259"/>
      <c r="AC182" s="179">
        <f t="shared" si="104"/>
        <v>0</v>
      </c>
      <c r="AD182" s="189">
        <f t="shared" si="98"/>
        <v>0</v>
      </c>
      <c r="AE182" s="179">
        <f t="shared" si="105"/>
        <v>1512.424745626</v>
      </c>
      <c r="AF182" s="264"/>
      <c r="AG182" s="179">
        <f t="shared" si="106"/>
        <v>999.99995185600005</v>
      </c>
      <c r="AH182" s="268"/>
      <c r="AI182" s="179">
        <f t="shared" si="107"/>
        <v>0</v>
      </c>
      <c r="AJ182" s="268"/>
      <c r="AK182" s="179">
        <f t="shared" si="108"/>
        <v>100</v>
      </c>
      <c r="AL182" s="268"/>
      <c r="AM182" s="179">
        <f t="shared" si="109"/>
        <v>0</v>
      </c>
      <c r="AN182" s="268"/>
      <c r="AO182" s="179">
        <f t="shared" si="110"/>
        <v>0</v>
      </c>
      <c r="AP182" s="268"/>
      <c r="AQ182" s="179">
        <f t="shared" si="111"/>
        <v>0</v>
      </c>
      <c r="AR182" s="273"/>
      <c r="AS182" s="209">
        <f t="shared" si="112"/>
        <v>0</v>
      </c>
      <c r="AT182" s="273"/>
      <c r="AU182" s="226">
        <f t="shared" si="113"/>
        <v>0</v>
      </c>
      <c r="AV182" s="273"/>
      <c r="AW182" s="209">
        <f t="shared" si="114"/>
        <v>0</v>
      </c>
      <c r="AX182" s="273"/>
      <c r="AY182" s="209">
        <f t="shared" si="115"/>
        <v>0</v>
      </c>
      <c r="AZ182" s="273"/>
      <c r="BA182" s="179">
        <f t="shared" si="116"/>
        <v>0</v>
      </c>
      <c r="BB182"/>
      <c r="BC182"/>
      <c r="BD182"/>
    </row>
    <row r="183" spans="1:56" s="34" customFormat="1" hidden="1" x14ac:dyDescent="0.25">
      <c r="A183" s="87"/>
      <c r="B183" s="42"/>
      <c r="C183" s="41"/>
      <c r="D183" s="41"/>
      <c r="E183" s="40"/>
      <c r="F183" s="40"/>
      <c r="G183" s="40"/>
      <c r="H183" s="40"/>
      <c r="I183" s="160"/>
      <c r="J183" s="41"/>
      <c r="K183" s="41"/>
      <c r="L183" s="41"/>
      <c r="M183" s="41"/>
      <c r="N183" s="41"/>
      <c r="O183" s="41"/>
      <c r="P183" s="188"/>
      <c r="Q183" s="221"/>
      <c r="R183" s="253"/>
      <c r="S183" s="179">
        <f t="shared" si="99"/>
        <v>3898.2066402109976</v>
      </c>
      <c r="T183" s="259"/>
      <c r="U183" s="179">
        <f t="shared" si="100"/>
        <v>79</v>
      </c>
      <c r="V183" s="259"/>
      <c r="W183" s="179">
        <f t="shared" si="101"/>
        <v>0</v>
      </c>
      <c r="X183" s="259"/>
      <c r="Y183" s="179">
        <f t="shared" si="102"/>
        <v>1099.9999518559998</v>
      </c>
      <c r="Z183" s="259"/>
      <c r="AA183" s="179">
        <f t="shared" si="103"/>
        <v>412.42479377000001</v>
      </c>
      <c r="AB183" s="259"/>
      <c r="AC183" s="179">
        <f t="shared" si="104"/>
        <v>0</v>
      </c>
      <c r="AD183" s="189">
        <f t="shared" si="98"/>
        <v>0</v>
      </c>
      <c r="AE183" s="179">
        <f t="shared" si="105"/>
        <v>1512.424745626</v>
      </c>
      <c r="AF183" s="264"/>
      <c r="AG183" s="179">
        <f t="shared" si="106"/>
        <v>999.99995185600005</v>
      </c>
      <c r="AH183" s="268"/>
      <c r="AI183" s="179">
        <f t="shared" si="107"/>
        <v>0</v>
      </c>
      <c r="AJ183" s="268"/>
      <c r="AK183" s="179">
        <f t="shared" si="108"/>
        <v>100</v>
      </c>
      <c r="AL183" s="268"/>
      <c r="AM183" s="179">
        <f t="shared" si="109"/>
        <v>0</v>
      </c>
      <c r="AN183" s="268"/>
      <c r="AO183" s="179">
        <f t="shared" si="110"/>
        <v>0</v>
      </c>
      <c r="AP183" s="268"/>
      <c r="AQ183" s="179">
        <f t="shared" si="111"/>
        <v>0</v>
      </c>
      <c r="AR183" s="273"/>
      <c r="AS183" s="209">
        <f t="shared" si="112"/>
        <v>0</v>
      </c>
      <c r="AT183" s="273"/>
      <c r="AU183" s="226">
        <f t="shared" si="113"/>
        <v>0</v>
      </c>
      <c r="AV183" s="273"/>
      <c r="AW183" s="209">
        <f t="shared" si="114"/>
        <v>0</v>
      </c>
      <c r="AX183" s="273"/>
      <c r="AY183" s="209">
        <f t="shared" si="115"/>
        <v>0</v>
      </c>
      <c r="AZ183" s="273"/>
      <c r="BA183" s="179">
        <f t="shared" si="116"/>
        <v>0</v>
      </c>
      <c r="BB183"/>
      <c r="BC183"/>
      <c r="BD183"/>
    </row>
    <row r="184" spans="1:56" s="34" customFormat="1" hidden="1" x14ac:dyDescent="0.25">
      <c r="A184" s="87"/>
      <c r="B184" s="42"/>
      <c r="C184" s="41"/>
      <c r="D184" s="41"/>
      <c r="E184" s="40"/>
      <c r="F184" s="40"/>
      <c r="G184" s="40"/>
      <c r="H184" s="40"/>
      <c r="I184" s="160"/>
      <c r="J184" s="41"/>
      <c r="K184" s="41"/>
      <c r="L184" s="41"/>
      <c r="M184" s="41"/>
      <c r="N184" s="41"/>
      <c r="O184" s="41"/>
      <c r="P184" s="188"/>
      <c r="Q184" s="221"/>
      <c r="R184" s="253"/>
      <c r="S184" s="179">
        <f t="shared" si="99"/>
        <v>3898.2066402109976</v>
      </c>
      <c r="T184" s="259"/>
      <c r="U184" s="179">
        <f t="shared" si="100"/>
        <v>79</v>
      </c>
      <c r="V184" s="259"/>
      <c r="W184" s="179">
        <f t="shared" si="101"/>
        <v>0</v>
      </c>
      <c r="X184" s="259"/>
      <c r="Y184" s="179">
        <f t="shared" si="102"/>
        <v>1099.9999518559998</v>
      </c>
      <c r="Z184" s="259"/>
      <c r="AA184" s="179">
        <f t="shared" si="103"/>
        <v>412.42479377000001</v>
      </c>
      <c r="AB184" s="259"/>
      <c r="AC184" s="179">
        <f t="shared" si="104"/>
        <v>0</v>
      </c>
      <c r="AD184" s="189">
        <f t="shared" si="98"/>
        <v>0</v>
      </c>
      <c r="AE184" s="179">
        <f t="shared" si="105"/>
        <v>1512.424745626</v>
      </c>
      <c r="AF184" s="264"/>
      <c r="AG184" s="179">
        <f t="shared" si="106"/>
        <v>999.99995185600005</v>
      </c>
      <c r="AH184" s="268"/>
      <c r="AI184" s="179">
        <f t="shared" si="107"/>
        <v>0</v>
      </c>
      <c r="AJ184" s="268"/>
      <c r="AK184" s="179">
        <f t="shared" si="108"/>
        <v>100</v>
      </c>
      <c r="AL184" s="268"/>
      <c r="AM184" s="179">
        <f t="shared" si="109"/>
        <v>0</v>
      </c>
      <c r="AN184" s="268"/>
      <c r="AO184" s="179">
        <f t="shared" si="110"/>
        <v>0</v>
      </c>
      <c r="AP184" s="268"/>
      <c r="AQ184" s="179">
        <f t="shared" si="111"/>
        <v>0</v>
      </c>
      <c r="AR184" s="273"/>
      <c r="AS184" s="209">
        <f t="shared" si="112"/>
        <v>0</v>
      </c>
      <c r="AT184" s="273"/>
      <c r="AU184" s="226">
        <f t="shared" si="113"/>
        <v>0</v>
      </c>
      <c r="AV184" s="273"/>
      <c r="AW184" s="209">
        <f t="shared" si="114"/>
        <v>0</v>
      </c>
      <c r="AX184" s="273"/>
      <c r="AY184" s="209">
        <f t="shared" si="115"/>
        <v>0</v>
      </c>
      <c r="AZ184" s="273"/>
      <c r="BA184" s="179">
        <f t="shared" si="116"/>
        <v>0</v>
      </c>
      <c r="BB184"/>
      <c r="BC184"/>
      <c r="BD184"/>
    </row>
    <row r="185" spans="1:56" s="34" customFormat="1" hidden="1" x14ac:dyDescent="0.25">
      <c r="A185" s="87"/>
      <c r="B185" s="42"/>
      <c r="C185" s="41"/>
      <c r="D185" s="41"/>
      <c r="E185" s="40"/>
      <c r="F185" s="40"/>
      <c r="G185" s="40"/>
      <c r="H185" s="40"/>
      <c r="I185" s="160"/>
      <c r="J185" s="41"/>
      <c r="K185" s="41"/>
      <c r="L185" s="41"/>
      <c r="M185" s="41"/>
      <c r="N185" s="41"/>
      <c r="O185" s="41"/>
      <c r="P185" s="188"/>
      <c r="Q185" s="221"/>
      <c r="R185" s="253"/>
      <c r="S185" s="179">
        <f t="shared" si="99"/>
        <v>3898.2066402109976</v>
      </c>
      <c r="T185" s="259"/>
      <c r="U185" s="179">
        <f t="shared" si="100"/>
        <v>79</v>
      </c>
      <c r="V185" s="259"/>
      <c r="W185" s="179">
        <f t="shared" si="101"/>
        <v>0</v>
      </c>
      <c r="X185" s="259"/>
      <c r="Y185" s="179">
        <f t="shared" si="102"/>
        <v>1099.9999518559998</v>
      </c>
      <c r="Z185" s="259"/>
      <c r="AA185" s="179">
        <f t="shared" si="103"/>
        <v>412.42479377000001</v>
      </c>
      <c r="AB185" s="259"/>
      <c r="AC185" s="179">
        <f t="shared" si="104"/>
        <v>0</v>
      </c>
      <c r="AD185" s="189">
        <f t="shared" si="98"/>
        <v>0</v>
      </c>
      <c r="AE185" s="179">
        <f t="shared" si="105"/>
        <v>1512.424745626</v>
      </c>
      <c r="AF185" s="264"/>
      <c r="AG185" s="179">
        <f t="shared" si="106"/>
        <v>999.99995185600005</v>
      </c>
      <c r="AH185" s="268"/>
      <c r="AI185" s="179">
        <f t="shared" si="107"/>
        <v>0</v>
      </c>
      <c r="AJ185" s="268"/>
      <c r="AK185" s="179">
        <f t="shared" si="108"/>
        <v>100</v>
      </c>
      <c r="AL185" s="268"/>
      <c r="AM185" s="179">
        <f t="shared" si="109"/>
        <v>0</v>
      </c>
      <c r="AN185" s="268"/>
      <c r="AO185" s="179">
        <f t="shared" si="110"/>
        <v>0</v>
      </c>
      <c r="AP185" s="268"/>
      <c r="AQ185" s="179">
        <f t="shared" si="111"/>
        <v>0</v>
      </c>
      <c r="AR185" s="273"/>
      <c r="AS185" s="209">
        <f t="shared" si="112"/>
        <v>0</v>
      </c>
      <c r="AT185" s="273"/>
      <c r="AU185" s="226">
        <f t="shared" si="113"/>
        <v>0</v>
      </c>
      <c r="AV185" s="273"/>
      <c r="AW185" s="209">
        <f t="shared" si="114"/>
        <v>0</v>
      </c>
      <c r="AX185" s="273"/>
      <c r="AY185" s="209">
        <f t="shared" si="115"/>
        <v>0</v>
      </c>
      <c r="AZ185" s="273"/>
      <c r="BA185" s="179">
        <f t="shared" si="116"/>
        <v>0</v>
      </c>
      <c r="BB185"/>
      <c r="BC185"/>
      <c r="BD185"/>
    </row>
    <row r="186" spans="1:56" s="34" customFormat="1" hidden="1" x14ac:dyDescent="0.25">
      <c r="A186" s="87"/>
      <c r="B186" s="42"/>
      <c r="C186" s="41"/>
      <c r="D186" s="41"/>
      <c r="E186" s="40"/>
      <c r="F186" s="40"/>
      <c r="G186" s="40"/>
      <c r="H186" s="40"/>
      <c r="I186" s="160"/>
      <c r="J186" s="41"/>
      <c r="K186" s="41"/>
      <c r="L186" s="41"/>
      <c r="M186" s="41"/>
      <c r="N186" s="41"/>
      <c r="O186" s="41"/>
      <c r="P186" s="188"/>
      <c r="Q186" s="221"/>
      <c r="R186" s="253"/>
      <c r="S186" s="179">
        <f t="shared" si="99"/>
        <v>3898.2066402109976</v>
      </c>
      <c r="T186" s="259"/>
      <c r="U186" s="179">
        <f t="shared" si="100"/>
        <v>79</v>
      </c>
      <c r="V186" s="259"/>
      <c r="W186" s="179">
        <f t="shared" si="101"/>
        <v>0</v>
      </c>
      <c r="X186" s="259"/>
      <c r="Y186" s="179">
        <f t="shared" si="102"/>
        <v>1099.9999518559998</v>
      </c>
      <c r="Z186" s="259"/>
      <c r="AA186" s="179">
        <f t="shared" si="103"/>
        <v>412.42479377000001</v>
      </c>
      <c r="AB186" s="259"/>
      <c r="AC186" s="179">
        <f t="shared" si="104"/>
        <v>0</v>
      </c>
      <c r="AD186" s="189">
        <f t="shared" si="98"/>
        <v>0</v>
      </c>
      <c r="AE186" s="179">
        <f t="shared" si="105"/>
        <v>1512.424745626</v>
      </c>
      <c r="AF186" s="264"/>
      <c r="AG186" s="179">
        <f t="shared" si="106"/>
        <v>999.99995185600005</v>
      </c>
      <c r="AH186" s="268"/>
      <c r="AI186" s="179">
        <f t="shared" si="107"/>
        <v>0</v>
      </c>
      <c r="AJ186" s="268"/>
      <c r="AK186" s="179">
        <f t="shared" si="108"/>
        <v>100</v>
      </c>
      <c r="AL186" s="268"/>
      <c r="AM186" s="179">
        <f t="shared" si="109"/>
        <v>0</v>
      </c>
      <c r="AN186" s="268"/>
      <c r="AO186" s="179">
        <f t="shared" si="110"/>
        <v>0</v>
      </c>
      <c r="AP186" s="268"/>
      <c r="AQ186" s="179">
        <f t="shared" si="111"/>
        <v>0</v>
      </c>
      <c r="AR186" s="273"/>
      <c r="AS186" s="209">
        <f t="shared" si="112"/>
        <v>0</v>
      </c>
      <c r="AT186" s="273"/>
      <c r="AU186" s="226">
        <f t="shared" si="113"/>
        <v>0</v>
      </c>
      <c r="AV186" s="273"/>
      <c r="AW186" s="209">
        <f t="shared" si="114"/>
        <v>0</v>
      </c>
      <c r="AX186" s="273"/>
      <c r="AY186" s="209">
        <f t="shared" si="115"/>
        <v>0</v>
      </c>
      <c r="AZ186" s="273"/>
      <c r="BA186" s="179">
        <f t="shared" si="116"/>
        <v>0</v>
      </c>
      <c r="BB186"/>
      <c r="BC186"/>
      <c r="BD186"/>
    </row>
    <row r="187" spans="1:56" s="34" customFormat="1" hidden="1" x14ac:dyDescent="0.25">
      <c r="A187" s="87"/>
      <c r="B187" s="42"/>
      <c r="C187" s="41"/>
      <c r="D187" s="41"/>
      <c r="E187" s="40"/>
      <c r="F187" s="40"/>
      <c r="G187" s="40"/>
      <c r="H187" s="40"/>
      <c r="I187" s="160"/>
      <c r="J187" s="41"/>
      <c r="K187" s="41"/>
      <c r="L187" s="41"/>
      <c r="M187" s="41"/>
      <c r="N187" s="41"/>
      <c r="O187" s="41"/>
      <c r="P187" s="188"/>
      <c r="Q187" s="221"/>
      <c r="R187" s="253"/>
      <c r="S187" s="179">
        <f t="shared" si="99"/>
        <v>3898.2066402109976</v>
      </c>
      <c r="T187" s="259"/>
      <c r="U187" s="179">
        <f t="shared" si="100"/>
        <v>79</v>
      </c>
      <c r="V187" s="259"/>
      <c r="W187" s="179">
        <f t="shared" si="101"/>
        <v>0</v>
      </c>
      <c r="X187" s="259"/>
      <c r="Y187" s="179">
        <f t="shared" si="102"/>
        <v>1099.9999518559998</v>
      </c>
      <c r="Z187" s="259"/>
      <c r="AA187" s="179">
        <f t="shared" si="103"/>
        <v>412.42479377000001</v>
      </c>
      <c r="AB187" s="259"/>
      <c r="AC187" s="179">
        <f t="shared" si="104"/>
        <v>0</v>
      </c>
      <c r="AD187" s="189">
        <f t="shared" si="98"/>
        <v>0</v>
      </c>
      <c r="AE187" s="179">
        <f t="shared" si="105"/>
        <v>1512.424745626</v>
      </c>
      <c r="AF187" s="264"/>
      <c r="AG187" s="179">
        <f t="shared" si="106"/>
        <v>999.99995185600005</v>
      </c>
      <c r="AH187" s="268"/>
      <c r="AI187" s="179">
        <f t="shared" si="107"/>
        <v>0</v>
      </c>
      <c r="AJ187" s="268"/>
      <c r="AK187" s="179">
        <f t="shared" si="108"/>
        <v>100</v>
      </c>
      <c r="AL187" s="268"/>
      <c r="AM187" s="179">
        <f t="shared" si="109"/>
        <v>0</v>
      </c>
      <c r="AN187" s="268"/>
      <c r="AO187" s="179">
        <f t="shared" si="110"/>
        <v>0</v>
      </c>
      <c r="AP187" s="268"/>
      <c r="AQ187" s="179">
        <f t="shared" si="111"/>
        <v>0</v>
      </c>
      <c r="AR187" s="273"/>
      <c r="AS187" s="209">
        <f t="shared" si="112"/>
        <v>0</v>
      </c>
      <c r="AT187" s="273"/>
      <c r="AU187" s="226">
        <f t="shared" si="113"/>
        <v>0</v>
      </c>
      <c r="AV187" s="273"/>
      <c r="AW187" s="209">
        <f t="shared" si="114"/>
        <v>0</v>
      </c>
      <c r="AX187" s="273"/>
      <c r="AY187" s="209">
        <f t="shared" si="115"/>
        <v>0</v>
      </c>
      <c r="AZ187" s="273"/>
      <c r="BA187" s="179">
        <f t="shared" si="116"/>
        <v>0</v>
      </c>
      <c r="BB187"/>
      <c r="BC187"/>
      <c r="BD187"/>
    </row>
    <row r="188" spans="1:56" s="34" customFormat="1" hidden="1" x14ac:dyDescent="0.25">
      <c r="A188" s="87"/>
      <c r="B188" s="42"/>
      <c r="C188" s="41"/>
      <c r="D188" s="41"/>
      <c r="E188" s="40"/>
      <c r="F188" s="40"/>
      <c r="G188" s="40"/>
      <c r="H188" s="40"/>
      <c r="I188" s="160"/>
      <c r="J188" s="41"/>
      <c r="K188" s="41"/>
      <c r="L188" s="41"/>
      <c r="M188" s="41"/>
      <c r="N188" s="41"/>
      <c r="O188" s="41"/>
      <c r="P188" s="188"/>
      <c r="Q188" s="221"/>
      <c r="R188" s="253"/>
      <c r="S188" s="179">
        <f t="shared" si="99"/>
        <v>3898.2066402109976</v>
      </c>
      <c r="T188" s="259"/>
      <c r="U188" s="179">
        <f t="shared" si="100"/>
        <v>79</v>
      </c>
      <c r="V188" s="259"/>
      <c r="W188" s="179">
        <f t="shared" si="101"/>
        <v>0</v>
      </c>
      <c r="X188" s="259"/>
      <c r="Y188" s="179">
        <f t="shared" si="102"/>
        <v>1099.9999518559998</v>
      </c>
      <c r="Z188" s="259"/>
      <c r="AA188" s="179">
        <f t="shared" si="103"/>
        <v>412.42479377000001</v>
      </c>
      <c r="AB188" s="259"/>
      <c r="AC188" s="179">
        <f t="shared" si="104"/>
        <v>0</v>
      </c>
      <c r="AD188" s="189">
        <f t="shared" si="98"/>
        <v>0</v>
      </c>
      <c r="AE188" s="179">
        <f t="shared" si="105"/>
        <v>1512.424745626</v>
      </c>
      <c r="AF188" s="264"/>
      <c r="AG188" s="179">
        <f t="shared" si="106"/>
        <v>999.99995185600005</v>
      </c>
      <c r="AH188" s="268"/>
      <c r="AI188" s="179">
        <f t="shared" si="107"/>
        <v>0</v>
      </c>
      <c r="AJ188" s="268"/>
      <c r="AK188" s="179">
        <f t="shared" si="108"/>
        <v>100</v>
      </c>
      <c r="AL188" s="268"/>
      <c r="AM188" s="179">
        <f t="shared" si="109"/>
        <v>0</v>
      </c>
      <c r="AN188" s="268"/>
      <c r="AO188" s="179">
        <f t="shared" si="110"/>
        <v>0</v>
      </c>
      <c r="AP188" s="268"/>
      <c r="AQ188" s="179">
        <f t="shared" si="111"/>
        <v>0</v>
      </c>
      <c r="AR188" s="273"/>
      <c r="AS188" s="209">
        <f t="shared" si="112"/>
        <v>0</v>
      </c>
      <c r="AT188" s="273"/>
      <c r="AU188" s="226">
        <f t="shared" si="113"/>
        <v>0</v>
      </c>
      <c r="AV188" s="273"/>
      <c r="AW188" s="209">
        <f t="shared" si="114"/>
        <v>0</v>
      </c>
      <c r="AX188" s="273"/>
      <c r="AY188" s="209">
        <f t="shared" si="115"/>
        <v>0</v>
      </c>
      <c r="AZ188" s="273"/>
      <c r="BA188" s="179">
        <f t="shared" si="116"/>
        <v>0</v>
      </c>
      <c r="BB188"/>
      <c r="BC188"/>
      <c r="BD188"/>
    </row>
    <row r="189" spans="1:56" s="34" customFormat="1" hidden="1" x14ac:dyDescent="0.25">
      <c r="A189" s="87"/>
      <c r="B189" s="42"/>
      <c r="C189" s="41"/>
      <c r="D189" s="41"/>
      <c r="E189" s="40"/>
      <c r="F189" s="40"/>
      <c r="G189" s="40"/>
      <c r="H189" s="40"/>
      <c r="I189" s="160"/>
      <c r="J189" s="41"/>
      <c r="K189" s="41"/>
      <c r="L189" s="41"/>
      <c r="M189" s="41"/>
      <c r="N189" s="41"/>
      <c r="O189" s="41"/>
      <c r="P189" s="188"/>
      <c r="Q189" s="221"/>
      <c r="R189" s="253"/>
      <c r="S189" s="179">
        <f t="shared" si="99"/>
        <v>3898.2066402109976</v>
      </c>
      <c r="T189" s="259"/>
      <c r="U189" s="179">
        <f t="shared" si="100"/>
        <v>79</v>
      </c>
      <c r="V189" s="259"/>
      <c r="W189" s="179">
        <f t="shared" si="101"/>
        <v>0</v>
      </c>
      <c r="X189" s="259"/>
      <c r="Y189" s="179">
        <f t="shared" si="102"/>
        <v>1099.9999518559998</v>
      </c>
      <c r="Z189" s="259"/>
      <c r="AA189" s="179">
        <f t="shared" si="103"/>
        <v>412.42479377000001</v>
      </c>
      <c r="AB189" s="259"/>
      <c r="AC189" s="179">
        <f t="shared" si="104"/>
        <v>0</v>
      </c>
      <c r="AD189" s="189">
        <f t="shared" si="98"/>
        <v>0</v>
      </c>
      <c r="AE189" s="179">
        <f t="shared" si="105"/>
        <v>1512.424745626</v>
      </c>
      <c r="AF189" s="264"/>
      <c r="AG189" s="179">
        <f t="shared" si="106"/>
        <v>999.99995185600005</v>
      </c>
      <c r="AH189" s="268"/>
      <c r="AI189" s="179">
        <f t="shared" si="107"/>
        <v>0</v>
      </c>
      <c r="AJ189" s="268"/>
      <c r="AK189" s="179">
        <f t="shared" si="108"/>
        <v>100</v>
      </c>
      <c r="AL189" s="268"/>
      <c r="AM189" s="179">
        <f t="shared" si="109"/>
        <v>0</v>
      </c>
      <c r="AN189" s="268"/>
      <c r="AO189" s="179">
        <f t="shared" si="110"/>
        <v>0</v>
      </c>
      <c r="AP189" s="268"/>
      <c r="AQ189" s="179">
        <f t="shared" si="111"/>
        <v>0</v>
      </c>
      <c r="AR189" s="273"/>
      <c r="AS189" s="209">
        <f t="shared" si="112"/>
        <v>0</v>
      </c>
      <c r="AT189" s="273"/>
      <c r="AU189" s="226">
        <f t="shared" si="113"/>
        <v>0</v>
      </c>
      <c r="AV189" s="273"/>
      <c r="AW189" s="209">
        <f t="shared" si="114"/>
        <v>0</v>
      </c>
      <c r="AX189" s="273"/>
      <c r="AY189" s="209">
        <f t="shared" si="115"/>
        <v>0</v>
      </c>
      <c r="AZ189" s="273"/>
      <c r="BA189" s="179">
        <f t="shared" si="116"/>
        <v>0</v>
      </c>
      <c r="BB189"/>
      <c r="BC189"/>
      <c r="BD189"/>
    </row>
    <row r="190" spans="1:56" s="34" customFormat="1" hidden="1" x14ac:dyDescent="0.25">
      <c r="A190" s="87"/>
      <c r="B190" s="42"/>
      <c r="C190" s="41"/>
      <c r="D190" s="41"/>
      <c r="E190" s="40"/>
      <c r="F190" s="40"/>
      <c r="G190" s="40"/>
      <c r="H190" s="40"/>
      <c r="I190" s="160"/>
      <c r="J190" s="41"/>
      <c r="K190" s="41"/>
      <c r="L190" s="41"/>
      <c r="M190" s="41"/>
      <c r="N190" s="41"/>
      <c r="O190" s="41"/>
      <c r="P190" s="188"/>
      <c r="Q190" s="221"/>
      <c r="R190" s="253"/>
      <c r="S190" s="179">
        <f t="shared" si="99"/>
        <v>3898.2066402109976</v>
      </c>
      <c r="T190" s="259"/>
      <c r="U190" s="179">
        <f t="shared" si="100"/>
        <v>79</v>
      </c>
      <c r="V190" s="259"/>
      <c r="W190" s="179">
        <f t="shared" si="101"/>
        <v>0</v>
      </c>
      <c r="X190" s="259"/>
      <c r="Y190" s="179">
        <f t="shared" si="102"/>
        <v>1099.9999518559998</v>
      </c>
      <c r="Z190" s="259"/>
      <c r="AA190" s="179">
        <f t="shared" si="103"/>
        <v>412.42479377000001</v>
      </c>
      <c r="AB190" s="259"/>
      <c r="AC190" s="179">
        <f t="shared" si="104"/>
        <v>0</v>
      </c>
      <c r="AD190" s="189">
        <f t="shared" si="98"/>
        <v>0</v>
      </c>
      <c r="AE190" s="179">
        <f t="shared" si="105"/>
        <v>1512.424745626</v>
      </c>
      <c r="AF190" s="264"/>
      <c r="AG190" s="179">
        <f t="shared" si="106"/>
        <v>999.99995185600005</v>
      </c>
      <c r="AH190" s="268"/>
      <c r="AI190" s="179">
        <f t="shared" si="107"/>
        <v>0</v>
      </c>
      <c r="AJ190" s="268"/>
      <c r="AK190" s="179">
        <f t="shared" si="108"/>
        <v>100</v>
      </c>
      <c r="AL190" s="268"/>
      <c r="AM190" s="179">
        <f t="shared" si="109"/>
        <v>0</v>
      </c>
      <c r="AN190" s="268"/>
      <c r="AO190" s="179">
        <f t="shared" si="110"/>
        <v>0</v>
      </c>
      <c r="AP190" s="268"/>
      <c r="AQ190" s="179">
        <f t="shared" si="111"/>
        <v>0</v>
      </c>
      <c r="AR190" s="273"/>
      <c r="AS190" s="209">
        <f t="shared" si="112"/>
        <v>0</v>
      </c>
      <c r="AT190" s="273"/>
      <c r="AU190" s="226">
        <f t="shared" si="113"/>
        <v>0</v>
      </c>
      <c r="AV190" s="273"/>
      <c r="AW190" s="209">
        <f t="shared" si="114"/>
        <v>0</v>
      </c>
      <c r="AX190" s="273"/>
      <c r="AY190" s="209">
        <f t="shared" si="115"/>
        <v>0</v>
      </c>
      <c r="AZ190" s="273"/>
      <c r="BA190" s="179">
        <f t="shared" si="116"/>
        <v>0</v>
      </c>
      <c r="BB190"/>
      <c r="BC190"/>
      <c r="BD190"/>
    </row>
    <row r="191" spans="1:56" s="34" customFormat="1" hidden="1" x14ac:dyDescent="0.25">
      <c r="A191" s="87"/>
      <c r="B191" s="42"/>
      <c r="C191" s="41"/>
      <c r="D191" s="41"/>
      <c r="E191" s="40"/>
      <c r="F191" s="40"/>
      <c r="G191" s="40"/>
      <c r="H191" s="40"/>
      <c r="I191" s="160"/>
      <c r="J191" s="41"/>
      <c r="K191" s="41"/>
      <c r="L191" s="41"/>
      <c r="M191" s="41"/>
      <c r="N191" s="41"/>
      <c r="O191" s="41"/>
      <c r="P191" s="188"/>
      <c r="Q191" s="221"/>
      <c r="R191" s="253"/>
      <c r="S191" s="179">
        <f t="shared" si="99"/>
        <v>3898.2066402109976</v>
      </c>
      <c r="T191" s="259"/>
      <c r="U191" s="179">
        <f t="shared" si="100"/>
        <v>79</v>
      </c>
      <c r="V191" s="259"/>
      <c r="W191" s="179">
        <f t="shared" si="101"/>
        <v>0</v>
      </c>
      <c r="X191" s="259"/>
      <c r="Y191" s="179">
        <f t="shared" si="102"/>
        <v>1099.9999518559998</v>
      </c>
      <c r="Z191" s="259"/>
      <c r="AA191" s="179">
        <f t="shared" si="103"/>
        <v>412.42479377000001</v>
      </c>
      <c r="AB191" s="259"/>
      <c r="AC191" s="179">
        <f t="shared" si="104"/>
        <v>0</v>
      </c>
      <c r="AD191" s="189">
        <f t="shared" si="98"/>
        <v>0</v>
      </c>
      <c r="AE191" s="179">
        <f t="shared" si="105"/>
        <v>1512.424745626</v>
      </c>
      <c r="AF191" s="264"/>
      <c r="AG191" s="179">
        <f t="shared" si="106"/>
        <v>999.99995185600005</v>
      </c>
      <c r="AH191" s="268"/>
      <c r="AI191" s="179">
        <f t="shared" si="107"/>
        <v>0</v>
      </c>
      <c r="AJ191" s="268"/>
      <c r="AK191" s="179">
        <f t="shared" si="108"/>
        <v>100</v>
      </c>
      <c r="AL191" s="268"/>
      <c r="AM191" s="179">
        <f t="shared" si="109"/>
        <v>0</v>
      </c>
      <c r="AN191" s="268"/>
      <c r="AO191" s="179">
        <f t="shared" si="110"/>
        <v>0</v>
      </c>
      <c r="AP191" s="268"/>
      <c r="AQ191" s="179">
        <f t="shared" si="111"/>
        <v>0</v>
      </c>
      <c r="AR191" s="273"/>
      <c r="AS191" s="209">
        <f t="shared" si="112"/>
        <v>0</v>
      </c>
      <c r="AT191" s="273"/>
      <c r="AU191" s="226">
        <f t="shared" si="113"/>
        <v>0</v>
      </c>
      <c r="AV191" s="273"/>
      <c r="AW191" s="209">
        <f t="shared" si="114"/>
        <v>0</v>
      </c>
      <c r="AX191" s="273"/>
      <c r="AY191" s="209">
        <f t="shared" si="115"/>
        <v>0</v>
      </c>
      <c r="AZ191" s="273"/>
      <c r="BA191" s="179">
        <f t="shared" si="116"/>
        <v>0</v>
      </c>
      <c r="BB191"/>
      <c r="BC191"/>
      <c r="BD191"/>
    </row>
    <row r="192" spans="1:56" s="34" customFormat="1" hidden="1" x14ac:dyDescent="0.25">
      <c r="A192" s="87"/>
      <c r="B192" s="42"/>
      <c r="C192" s="41"/>
      <c r="D192" s="41"/>
      <c r="E192" s="40"/>
      <c r="F192" s="40"/>
      <c r="G192" s="40"/>
      <c r="H192" s="40"/>
      <c r="I192" s="160"/>
      <c r="J192" s="41"/>
      <c r="K192" s="41"/>
      <c r="L192" s="41"/>
      <c r="M192" s="41"/>
      <c r="N192" s="41"/>
      <c r="O192" s="41"/>
      <c r="P192" s="188"/>
      <c r="Q192" s="221"/>
      <c r="R192" s="253"/>
      <c r="S192" s="179">
        <f t="shared" si="99"/>
        <v>3898.2066402109976</v>
      </c>
      <c r="T192" s="259"/>
      <c r="U192" s="179">
        <f t="shared" si="100"/>
        <v>79</v>
      </c>
      <c r="V192" s="259"/>
      <c r="W192" s="179">
        <f t="shared" si="101"/>
        <v>0</v>
      </c>
      <c r="X192" s="259"/>
      <c r="Y192" s="179">
        <f t="shared" si="102"/>
        <v>1099.9999518559998</v>
      </c>
      <c r="Z192" s="259"/>
      <c r="AA192" s="179">
        <f t="shared" si="103"/>
        <v>412.42479377000001</v>
      </c>
      <c r="AB192" s="259"/>
      <c r="AC192" s="179">
        <f t="shared" si="104"/>
        <v>0</v>
      </c>
      <c r="AD192" s="189">
        <f t="shared" si="98"/>
        <v>0</v>
      </c>
      <c r="AE192" s="179">
        <f t="shared" si="105"/>
        <v>1512.424745626</v>
      </c>
      <c r="AF192" s="264"/>
      <c r="AG192" s="179">
        <f t="shared" si="106"/>
        <v>999.99995185600005</v>
      </c>
      <c r="AH192" s="268"/>
      <c r="AI192" s="179">
        <f t="shared" si="107"/>
        <v>0</v>
      </c>
      <c r="AJ192" s="268"/>
      <c r="AK192" s="179">
        <f t="shared" si="108"/>
        <v>100</v>
      </c>
      <c r="AL192" s="268"/>
      <c r="AM192" s="179">
        <f t="shared" si="109"/>
        <v>0</v>
      </c>
      <c r="AN192" s="268"/>
      <c r="AO192" s="179">
        <f t="shared" si="110"/>
        <v>0</v>
      </c>
      <c r="AP192" s="268"/>
      <c r="AQ192" s="179">
        <f t="shared" si="111"/>
        <v>0</v>
      </c>
      <c r="AR192" s="273"/>
      <c r="AS192" s="209">
        <f t="shared" si="112"/>
        <v>0</v>
      </c>
      <c r="AT192" s="273"/>
      <c r="AU192" s="226">
        <f t="shared" si="113"/>
        <v>0</v>
      </c>
      <c r="AV192" s="273"/>
      <c r="AW192" s="209">
        <f t="shared" si="114"/>
        <v>0</v>
      </c>
      <c r="AX192" s="273"/>
      <c r="AY192" s="209">
        <f t="shared" si="115"/>
        <v>0</v>
      </c>
      <c r="AZ192" s="273"/>
      <c r="BA192" s="179">
        <f t="shared" si="116"/>
        <v>0</v>
      </c>
      <c r="BB192"/>
      <c r="BC192"/>
      <c r="BD192"/>
    </row>
    <row r="193" spans="1:56" s="34" customFormat="1" hidden="1" x14ac:dyDescent="0.25">
      <c r="A193" s="87"/>
      <c r="B193" s="42"/>
      <c r="C193" s="41"/>
      <c r="D193" s="41"/>
      <c r="E193" s="40"/>
      <c r="F193" s="40"/>
      <c r="G193" s="40"/>
      <c r="H193" s="40"/>
      <c r="I193" s="160"/>
      <c r="J193" s="41"/>
      <c r="K193" s="41"/>
      <c r="L193" s="41"/>
      <c r="M193" s="41"/>
      <c r="N193" s="41"/>
      <c r="O193" s="41"/>
      <c r="P193" s="188"/>
      <c r="Q193" s="221"/>
      <c r="R193" s="253"/>
      <c r="S193" s="179">
        <f t="shared" si="99"/>
        <v>3898.2066402109976</v>
      </c>
      <c r="T193" s="259"/>
      <c r="U193" s="179">
        <f t="shared" si="100"/>
        <v>79</v>
      </c>
      <c r="V193" s="259"/>
      <c r="W193" s="179">
        <f t="shared" si="101"/>
        <v>0</v>
      </c>
      <c r="X193" s="259"/>
      <c r="Y193" s="179">
        <f t="shared" si="102"/>
        <v>1099.9999518559998</v>
      </c>
      <c r="Z193" s="259"/>
      <c r="AA193" s="179">
        <f t="shared" si="103"/>
        <v>412.42479377000001</v>
      </c>
      <c r="AB193" s="259"/>
      <c r="AC193" s="179">
        <f t="shared" si="104"/>
        <v>0</v>
      </c>
      <c r="AD193" s="189">
        <f t="shared" si="98"/>
        <v>0</v>
      </c>
      <c r="AE193" s="179">
        <f t="shared" si="105"/>
        <v>1512.424745626</v>
      </c>
      <c r="AF193" s="264"/>
      <c r="AG193" s="179">
        <f t="shared" si="106"/>
        <v>999.99995185600005</v>
      </c>
      <c r="AH193" s="268"/>
      <c r="AI193" s="179">
        <f t="shared" si="107"/>
        <v>0</v>
      </c>
      <c r="AJ193" s="268"/>
      <c r="AK193" s="179">
        <f t="shared" si="108"/>
        <v>100</v>
      </c>
      <c r="AL193" s="268"/>
      <c r="AM193" s="179">
        <f t="shared" si="109"/>
        <v>0</v>
      </c>
      <c r="AN193" s="268"/>
      <c r="AO193" s="179">
        <f t="shared" si="110"/>
        <v>0</v>
      </c>
      <c r="AP193" s="268"/>
      <c r="AQ193" s="179">
        <f t="shared" si="111"/>
        <v>0</v>
      </c>
      <c r="AR193" s="273"/>
      <c r="AS193" s="209">
        <f t="shared" si="112"/>
        <v>0</v>
      </c>
      <c r="AT193" s="273"/>
      <c r="AU193" s="226">
        <f t="shared" si="113"/>
        <v>0</v>
      </c>
      <c r="AV193" s="273"/>
      <c r="AW193" s="209">
        <f t="shared" si="114"/>
        <v>0</v>
      </c>
      <c r="AX193" s="273"/>
      <c r="AY193" s="209">
        <f t="shared" si="115"/>
        <v>0</v>
      </c>
      <c r="AZ193" s="273"/>
      <c r="BA193" s="179">
        <f t="shared" si="116"/>
        <v>0</v>
      </c>
      <c r="BB193"/>
      <c r="BC193"/>
      <c r="BD193"/>
    </row>
    <row r="194" spans="1:56" s="34" customFormat="1" hidden="1" x14ac:dyDescent="0.25">
      <c r="A194" s="87"/>
      <c r="B194" s="42"/>
      <c r="C194" s="41"/>
      <c r="D194" s="41"/>
      <c r="E194" s="40"/>
      <c r="F194" s="40"/>
      <c r="G194" s="40"/>
      <c r="H194" s="40"/>
      <c r="I194" s="160"/>
      <c r="J194" s="41"/>
      <c r="K194" s="41"/>
      <c r="L194" s="41"/>
      <c r="M194" s="41"/>
      <c r="N194" s="41"/>
      <c r="O194" s="41"/>
      <c r="P194" s="188"/>
      <c r="Q194" s="221"/>
      <c r="R194" s="253"/>
      <c r="S194" s="179">
        <f t="shared" si="99"/>
        <v>3898.2066402109976</v>
      </c>
      <c r="T194" s="259"/>
      <c r="U194" s="179">
        <f t="shared" si="100"/>
        <v>79</v>
      </c>
      <c r="V194" s="259"/>
      <c r="W194" s="179">
        <f t="shared" si="101"/>
        <v>0</v>
      </c>
      <c r="X194" s="259"/>
      <c r="Y194" s="179">
        <f t="shared" si="102"/>
        <v>1099.9999518559998</v>
      </c>
      <c r="Z194" s="259"/>
      <c r="AA194" s="179">
        <f t="shared" si="103"/>
        <v>412.42479377000001</v>
      </c>
      <c r="AB194" s="259"/>
      <c r="AC194" s="179">
        <f t="shared" si="104"/>
        <v>0</v>
      </c>
      <c r="AD194" s="189">
        <f t="shared" si="98"/>
        <v>0</v>
      </c>
      <c r="AE194" s="179">
        <f t="shared" si="105"/>
        <v>1512.424745626</v>
      </c>
      <c r="AF194" s="264"/>
      <c r="AG194" s="179">
        <f t="shared" si="106"/>
        <v>999.99995185600005</v>
      </c>
      <c r="AH194" s="268"/>
      <c r="AI194" s="179">
        <f t="shared" si="107"/>
        <v>0</v>
      </c>
      <c r="AJ194" s="268"/>
      <c r="AK194" s="179">
        <f t="shared" si="108"/>
        <v>100</v>
      </c>
      <c r="AL194" s="268"/>
      <c r="AM194" s="179">
        <f t="shared" si="109"/>
        <v>0</v>
      </c>
      <c r="AN194" s="268"/>
      <c r="AO194" s="179">
        <f t="shared" si="110"/>
        <v>0</v>
      </c>
      <c r="AP194" s="268"/>
      <c r="AQ194" s="179">
        <f t="shared" si="111"/>
        <v>0</v>
      </c>
      <c r="AR194" s="273"/>
      <c r="AS194" s="209">
        <f t="shared" si="112"/>
        <v>0</v>
      </c>
      <c r="AT194" s="273"/>
      <c r="AU194" s="226">
        <f t="shared" si="113"/>
        <v>0</v>
      </c>
      <c r="AV194" s="273"/>
      <c r="AW194" s="209">
        <f t="shared" si="114"/>
        <v>0</v>
      </c>
      <c r="AX194" s="273"/>
      <c r="AY194" s="209">
        <f t="shared" si="115"/>
        <v>0</v>
      </c>
      <c r="AZ194" s="273"/>
      <c r="BA194" s="179">
        <f t="shared" si="116"/>
        <v>0</v>
      </c>
      <c r="BB194"/>
      <c r="BC194"/>
      <c r="BD194"/>
    </row>
    <row r="195" spans="1:56" s="34" customFormat="1" hidden="1" x14ac:dyDescent="0.25">
      <c r="A195" s="87"/>
      <c r="B195" s="42"/>
      <c r="C195" s="41"/>
      <c r="D195" s="41"/>
      <c r="E195" s="40"/>
      <c r="F195" s="40"/>
      <c r="G195" s="40"/>
      <c r="H195" s="40"/>
      <c r="I195" s="160"/>
      <c r="J195" s="41"/>
      <c r="K195" s="41"/>
      <c r="L195" s="41"/>
      <c r="M195" s="41"/>
      <c r="N195" s="41"/>
      <c r="O195" s="41"/>
      <c r="P195" s="188"/>
      <c r="Q195" s="221"/>
      <c r="R195" s="253"/>
      <c r="S195" s="179">
        <f t="shared" si="99"/>
        <v>3898.2066402109976</v>
      </c>
      <c r="T195" s="259"/>
      <c r="U195" s="179">
        <f t="shared" si="100"/>
        <v>79</v>
      </c>
      <c r="V195" s="259"/>
      <c r="W195" s="179">
        <f t="shared" si="101"/>
        <v>0</v>
      </c>
      <c r="X195" s="259"/>
      <c r="Y195" s="179">
        <f t="shared" si="102"/>
        <v>1099.9999518559998</v>
      </c>
      <c r="Z195" s="259"/>
      <c r="AA195" s="179">
        <f t="shared" si="103"/>
        <v>412.42479377000001</v>
      </c>
      <c r="AB195" s="259"/>
      <c r="AC195" s="179">
        <f t="shared" si="104"/>
        <v>0</v>
      </c>
      <c r="AD195" s="189">
        <f t="shared" ref="AD195:AD258" si="117">Dia_Col_Deduct+Dia_Col_Copay+Dia_Col_Coinsur</f>
        <v>0</v>
      </c>
      <c r="AE195" s="179">
        <f t="shared" si="105"/>
        <v>1512.424745626</v>
      </c>
      <c r="AF195" s="264"/>
      <c r="AG195" s="179">
        <f t="shared" si="106"/>
        <v>999.99995185600005</v>
      </c>
      <c r="AH195" s="268"/>
      <c r="AI195" s="179">
        <f t="shared" si="107"/>
        <v>0</v>
      </c>
      <c r="AJ195" s="268"/>
      <c r="AK195" s="179">
        <f t="shared" si="108"/>
        <v>100</v>
      </c>
      <c r="AL195" s="268"/>
      <c r="AM195" s="179">
        <f t="shared" si="109"/>
        <v>0</v>
      </c>
      <c r="AN195" s="268"/>
      <c r="AO195" s="179">
        <f t="shared" si="110"/>
        <v>0</v>
      </c>
      <c r="AP195" s="268"/>
      <c r="AQ195" s="179">
        <f t="shared" si="111"/>
        <v>0</v>
      </c>
      <c r="AR195" s="273"/>
      <c r="AS195" s="209">
        <f t="shared" si="112"/>
        <v>0</v>
      </c>
      <c r="AT195" s="273"/>
      <c r="AU195" s="226">
        <f t="shared" si="113"/>
        <v>0</v>
      </c>
      <c r="AV195" s="273"/>
      <c r="AW195" s="209">
        <f t="shared" si="114"/>
        <v>0</v>
      </c>
      <c r="AX195" s="273"/>
      <c r="AY195" s="209">
        <f t="shared" si="115"/>
        <v>0</v>
      </c>
      <c r="AZ195" s="273"/>
      <c r="BA195" s="179">
        <f t="shared" si="116"/>
        <v>0</v>
      </c>
      <c r="BB195"/>
      <c r="BC195"/>
      <c r="BD195"/>
    </row>
    <row r="196" spans="1:56" s="34" customFormat="1" hidden="1" x14ac:dyDescent="0.25">
      <c r="A196" s="87"/>
      <c r="B196" s="42"/>
      <c r="C196" s="41"/>
      <c r="D196" s="41"/>
      <c r="E196" s="40"/>
      <c r="F196" s="40"/>
      <c r="G196" s="40"/>
      <c r="H196" s="40"/>
      <c r="I196" s="160"/>
      <c r="J196" s="41"/>
      <c r="K196" s="41"/>
      <c r="L196" s="41"/>
      <c r="M196" s="41"/>
      <c r="N196" s="41"/>
      <c r="O196" s="41"/>
      <c r="P196" s="188"/>
      <c r="Q196" s="221"/>
      <c r="R196" s="253"/>
      <c r="S196" s="179">
        <f t="shared" si="99"/>
        <v>3898.2066402109976</v>
      </c>
      <c r="T196" s="259"/>
      <c r="U196" s="179">
        <f t="shared" si="100"/>
        <v>79</v>
      </c>
      <c r="V196" s="259"/>
      <c r="W196" s="179">
        <f t="shared" si="101"/>
        <v>0</v>
      </c>
      <c r="X196" s="259"/>
      <c r="Y196" s="179">
        <f t="shared" si="102"/>
        <v>1099.9999518559998</v>
      </c>
      <c r="Z196" s="259"/>
      <c r="AA196" s="179">
        <f t="shared" si="103"/>
        <v>412.42479377000001</v>
      </c>
      <c r="AB196" s="259"/>
      <c r="AC196" s="179">
        <f t="shared" si="104"/>
        <v>0</v>
      </c>
      <c r="AD196" s="189">
        <f t="shared" si="117"/>
        <v>0</v>
      </c>
      <c r="AE196" s="179">
        <f t="shared" si="105"/>
        <v>1512.424745626</v>
      </c>
      <c r="AF196" s="264"/>
      <c r="AG196" s="179">
        <f t="shared" si="106"/>
        <v>999.99995185600005</v>
      </c>
      <c r="AH196" s="268"/>
      <c r="AI196" s="179">
        <f t="shared" si="107"/>
        <v>0</v>
      </c>
      <c r="AJ196" s="268"/>
      <c r="AK196" s="179">
        <f t="shared" si="108"/>
        <v>100</v>
      </c>
      <c r="AL196" s="268"/>
      <c r="AM196" s="179">
        <f t="shared" si="109"/>
        <v>0</v>
      </c>
      <c r="AN196" s="268"/>
      <c r="AO196" s="179">
        <f t="shared" si="110"/>
        <v>0</v>
      </c>
      <c r="AP196" s="268"/>
      <c r="AQ196" s="179">
        <f t="shared" si="111"/>
        <v>0</v>
      </c>
      <c r="AR196" s="273"/>
      <c r="AS196" s="209">
        <f t="shared" si="112"/>
        <v>0</v>
      </c>
      <c r="AT196" s="273"/>
      <c r="AU196" s="226">
        <f t="shared" si="113"/>
        <v>0</v>
      </c>
      <c r="AV196" s="273"/>
      <c r="AW196" s="209">
        <f t="shared" si="114"/>
        <v>0</v>
      </c>
      <c r="AX196" s="273"/>
      <c r="AY196" s="209">
        <f t="shared" si="115"/>
        <v>0</v>
      </c>
      <c r="AZ196" s="273"/>
      <c r="BA196" s="179">
        <f t="shared" si="116"/>
        <v>0</v>
      </c>
      <c r="BB196"/>
      <c r="BC196"/>
      <c r="BD196"/>
    </row>
    <row r="197" spans="1:56" s="34" customFormat="1" hidden="1" x14ac:dyDescent="0.25">
      <c r="A197" s="87"/>
      <c r="B197" s="42"/>
      <c r="C197" s="41"/>
      <c r="D197" s="41"/>
      <c r="E197" s="40"/>
      <c r="F197" s="40"/>
      <c r="G197" s="40"/>
      <c r="H197" s="40"/>
      <c r="I197" s="160"/>
      <c r="J197" s="41"/>
      <c r="K197" s="41"/>
      <c r="L197" s="41"/>
      <c r="M197" s="41"/>
      <c r="N197" s="41"/>
      <c r="O197" s="41"/>
      <c r="P197" s="188"/>
      <c r="Q197" s="221"/>
      <c r="R197" s="253"/>
      <c r="S197" s="179">
        <f t="shared" ref="S197:S260" si="118">R197+S196</f>
        <v>3898.2066402109976</v>
      </c>
      <c r="T197" s="259"/>
      <c r="U197" s="179">
        <f t="shared" ref="U197:U260" si="119">T197+U196</f>
        <v>79</v>
      </c>
      <c r="V197" s="259"/>
      <c r="W197" s="179">
        <f t="shared" ref="W197:W260" si="120">V197+W196</f>
        <v>0</v>
      </c>
      <c r="X197" s="259"/>
      <c r="Y197" s="179">
        <f t="shared" ref="Y197:Y260" si="121">X197+Y196</f>
        <v>1099.9999518559998</v>
      </c>
      <c r="Z197" s="259"/>
      <c r="AA197" s="179">
        <f t="shared" ref="AA197:AA260" si="122">Z197+AA196</f>
        <v>412.42479377000001</v>
      </c>
      <c r="AB197" s="259"/>
      <c r="AC197" s="179">
        <f t="shared" ref="AC197:AC260" si="123">AB197+AC196</f>
        <v>0</v>
      </c>
      <c r="AD197" s="189">
        <f t="shared" si="117"/>
        <v>0</v>
      </c>
      <c r="AE197" s="179">
        <f t="shared" ref="AE197:AE260" si="124">AD197+AE196</f>
        <v>1512.424745626</v>
      </c>
      <c r="AF197" s="264"/>
      <c r="AG197" s="179">
        <f t="shared" ref="AG197:AG260" si="125">AF197+AG196</f>
        <v>999.99995185600005</v>
      </c>
      <c r="AH197" s="268"/>
      <c r="AI197" s="179">
        <f t="shared" ref="AI197:AI260" si="126">AH197+AI196</f>
        <v>0</v>
      </c>
      <c r="AJ197" s="268"/>
      <c r="AK197" s="179">
        <f t="shared" ref="AK197:AK260" si="127">AJ197+AK196</f>
        <v>100</v>
      </c>
      <c r="AL197" s="268"/>
      <c r="AM197" s="179">
        <f t="shared" ref="AM197:AM260" si="128">AL197+AM196</f>
        <v>0</v>
      </c>
      <c r="AN197" s="268"/>
      <c r="AO197" s="179">
        <f t="shared" ref="AO197:AO260" si="129">AN197+AO196</f>
        <v>0</v>
      </c>
      <c r="AP197" s="268"/>
      <c r="AQ197" s="179">
        <f t="shared" ref="AQ197:AQ260" si="130">AP197+AQ196</f>
        <v>0</v>
      </c>
      <c r="AR197" s="273"/>
      <c r="AS197" s="209">
        <f t="shared" ref="AS197:AS260" si="131">AR197+AS196</f>
        <v>0</v>
      </c>
      <c r="AT197" s="273"/>
      <c r="AU197" s="226">
        <f t="shared" ref="AU197:AU260" si="132">AT197+AU196</f>
        <v>0</v>
      </c>
      <c r="AV197" s="273"/>
      <c r="AW197" s="209">
        <f t="shared" ref="AW197:AW260" si="133">AV197+AW196</f>
        <v>0</v>
      </c>
      <c r="AX197" s="273"/>
      <c r="AY197" s="209">
        <f t="shared" ref="AY197:AY260" si="134">AX197+AY196</f>
        <v>0</v>
      </c>
      <c r="AZ197" s="273"/>
      <c r="BA197" s="179">
        <f t="shared" ref="BA197:BA260" si="135">AZ197+BA196</f>
        <v>0</v>
      </c>
      <c r="BB197"/>
      <c r="BC197"/>
      <c r="BD197"/>
    </row>
    <row r="198" spans="1:56" s="34" customFormat="1" hidden="1" x14ac:dyDescent="0.25">
      <c r="A198" s="87"/>
      <c r="B198" s="42"/>
      <c r="C198" s="41"/>
      <c r="D198" s="41"/>
      <c r="E198" s="40"/>
      <c r="F198" s="40"/>
      <c r="G198" s="40"/>
      <c r="H198" s="40"/>
      <c r="I198" s="160"/>
      <c r="J198" s="41"/>
      <c r="K198" s="41"/>
      <c r="L198" s="41"/>
      <c r="M198" s="41"/>
      <c r="N198" s="41"/>
      <c r="O198" s="41"/>
      <c r="P198" s="188"/>
      <c r="Q198" s="221"/>
      <c r="R198" s="253"/>
      <c r="S198" s="179">
        <f t="shared" si="118"/>
        <v>3898.2066402109976</v>
      </c>
      <c r="T198" s="259"/>
      <c r="U198" s="179">
        <f t="shared" si="119"/>
        <v>79</v>
      </c>
      <c r="V198" s="259"/>
      <c r="W198" s="179">
        <f t="shared" si="120"/>
        <v>0</v>
      </c>
      <c r="X198" s="259"/>
      <c r="Y198" s="179">
        <f t="shared" si="121"/>
        <v>1099.9999518559998</v>
      </c>
      <c r="Z198" s="259"/>
      <c r="AA198" s="179">
        <f t="shared" si="122"/>
        <v>412.42479377000001</v>
      </c>
      <c r="AB198" s="259"/>
      <c r="AC198" s="179">
        <f t="shared" si="123"/>
        <v>0</v>
      </c>
      <c r="AD198" s="189">
        <f t="shared" si="117"/>
        <v>0</v>
      </c>
      <c r="AE198" s="179">
        <f t="shared" si="124"/>
        <v>1512.424745626</v>
      </c>
      <c r="AF198" s="264"/>
      <c r="AG198" s="179">
        <f t="shared" si="125"/>
        <v>999.99995185600005</v>
      </c>
      <c r="AH198" s="268"/>
      <c r="AI198" s="179">
        <f t="shared" si="126"/>
        <v>0</v>
      </c>
      <c r="AJ198" s="268"/>
      <c r="AK198" s="179">
        <f t="shared" si="127"/>
        <v>100</v>
      </c>
      <c r="AL198" s="268"/>
      <c r="AM198" s="179">
        <f t="shared" si="128"/>
        <v>0</v>
      </c>
      <c r="AN198" s="268"/>
      <c r="AO198" s="179">
        <f t="shared" si="129"/>
        <v>0</v>
      </c>
      <c r="AP198" s="268"/>
      <c r="AQ198" s="179">
        <f t="shared" si="130"/>
        <v>0</v>
      </c>
      <c r="AR198" s="273"/>
      <c r="AS198" s="209">
        <f t="shared" si="131"/>
        <v>0</v>
      </c>
      <c r="AT198" s="273"/>
      <c r="AU198" s="226">
        <f t="shared" si="132"/>
        <v>0</v>
      </c>
      <c r="AV198" s="273"/>
      <c r="AW198" s="209">
        <f t="shared" si="133"/>
        <v>0</v>
      </c>
      <c r="AX198" s="273"/>
      <c r="AY198" s="209">
        <f t="shared" si="134"/>
        <v>0</v>
      </c>
      <c r="AZ198" s="273"/>
      <c r="BA198" s="179">
        <f t="shared" si="135"/>
        <v>0</v>
      </c>
      <c r="BB198"/>
      <c r="BC198"/>
      <c r="BD198"/>
    </row>
    <row r="199" spans="1:56" s="34" customFormat="1" hidden="1" x14ac:dyDescent="0.25">
      <c r="A199" s="87"/>
      <c r="B199" s="42"/>
      <c r="C199" s="41"/>
      <c r="D199" s="41"/>
      <c r="E199" s="40"/>
      <c r="F199" s="40"/>
      <c r="G199" s="40"/>
      <c r="H199" s="40"/>
      <c r="I199" s="160"/>
      <c r="J199" s="41"/>
      <c r="K199" s="41"/>
      <c r="L199" s="41"/>
      <c r="M199" s="41"/>
      <c r="N199" s="41"/>
      <c r="O199" s="41"/>
      <c r="P199" s="188"/>
      <c r="Q199" s="221"/>
      <c r="R199" s="253"/>
      <c r="S199" s="179">
        <f t="shared" si="118"/>
        <v>3898.2066402109976</v>
      </c>
      <c r="T199" s="259"/>
      <c r="U199" s="179">
        <f t="shared" si="119"/>
        <v>79</v>
      </c>
      <c r="V199" s="259"/>
      <c r="W199" s="179">
        <f t="shared" si="120"/>
        <v>0</v>
      </c>
      <c r="X199" s="259"/>
      <c r="Y199" s="179">
        <f t="shared" si="121"/>
        <v>1099.9999518559998</v>
      </c>
      <c r="Z199" s="259"/>
      <c r="AA199" s="179">
        <f t="shared" si="122"/>
        <v>412.42479377000001</v>
      </c>
      <c r="AB199" s="259"/>
      <c r="AC199" s="179">
        <f t="shared" si="123"/>
        <v>0</v>
      </c>
      <c r="AD199" s="189">
        <f t="shared" si="117"/>
        <v>0</v>
      </c>
      <c r="AE199" s="179">
        <f t="shared" si="124"/>
        <v>1512.424745626</v>
      </c>
      <c r="AF199" s="264"/>
      <c r="AG199" s="179">
        <f t="shared" si="125"/>
        <v>999.99995185600005</v>
      </c>
      <c r="AH199" s="268"/>
      <c r="AI199" s="179">
        <f t="shared" si="126"/>
        <v>0</v>
      </c>
      <c r="AJ199" s="268"/>
      <c r="AK199" s="179">
        <f t="shared" si="127"/>
        <v>100</v>
      </c>
      <c r="AL199" s="268"/>
      <c r="AM199" s="179">
        <f t="shared" si="128"/>
        <v>0</v>
      </c>
      <c r="AN199" s="268"/>
      <c r="AO199" s="179">
        <f t="shared" si="129"/>
        <v>0</v>
      </c>
      <c r="AP199" s="268"/>
      <c r="AQ199" s="179">
        <f t="shared" si="130"/>
        <v>0</v>
      </c>
      <c r="AR199" s="273"/>
      <c r="AS199" s="209">
        <f t="shared" si="131"/>
        <v>0</v>
      </c>
      <c r="AT199" s="273"/>
      <c r="AU199" s="226">
        <f t="shared" si="132"/>
        <v>0</v>
      </c>
      <c r="AV199" s="273"/>
      <c r="AW199" s="209">
        <f t="shared" si="133"/>
        <v>0</v>
      </c>
      <c r="AX199" s="273"/>
      <c r="AY199" s="209">
        <f t="shared" si="134"/>
        <v>0</v>
      </c>
      <c r="AZ199" s="273"/>
      <c r="BA199" s="179">
        <f t="shared" si="135"/>
        <v>0</v>
      </c>
      <c r="BB199"/>
      <c r="BC199"/>
      <c r="BD199"/>
    </row>
    <row r="200" spans="1:56" s="34" customFormat="1" hidden="1" x14ac:dyDescent="0.25">
      <c r="A200" s="87"/>
      <c r="B200" s="42"/>
      <c r="C200" s="41"/>
      <c r="D200" s="41"/>
      <c r="E200" s="40"/>
      <c r="F200" s="40"/>
      <c r="G200" s="40"/>
      <c r="H200" s="40"/>
      <c r="I200" s="160"/>
      <c r="J200" s="41"/>
      <c r="K200" s="41"/>
      <c r="L200" s="41"/>
      <c r="M200" s="41"/>
      <c r="N200" s="41"/>
      <c r="O200" s="41"/>
      <c r="P200" s="188"/>
      <c r="Q200" s="221"/>
      <c r="R200" s="253"/>
      <c r="S200" s="179">
        <f t="shared" si="118"/>
        <v>3898.2066402109976</v>
      </c>
      <c r="T200" s="259"/>
      <c r="U200" s="179">
        <f t="shared" si="119"/>
        <v>79</v>
      </c>
      <c r="V200" s="259"/>
      <c r="W200" s="179">
        <f t="shared" si="120"/>
        <v>0</v>
      </c>
      <c r="X200" s="259"/>
      <c r="Y200" s="179">
        <f t="shared" si="121"/>
        <v>1099.9999518559998</v>
      </c>
      <c r="Z200" s="259"/>
      <c r="AA200" s="179">
        <f t="shared" si="122"/>
        <v>412.42479377000001</v>
      </c>
      <c r="AB200" s="259"/>
      <c r="AC200" s="179">
        <f t="shared" si="123"/>
        <v>0</v>
      </c>
      <c r="AD200" s="189">
        <f t="shared" si="117"/>
        <v>0</v>
      </c>
      <c r="AE200" s="179">
        <f t="shared" si="124"/>
        <v>1512.424745626</v>
      </c>
      <c r="AF200" s="264"/>
      <c r="AG200" s="179">
        <f t="shared" si="125"/>
        <v>999.99995185600005</v>
      </c>
      <c r="AH200" s="268"/>
      <c r="AI200" s="179">
        <f t="shared" si="126"/>
        <v>0</v>
      </c>
      <c r="AJ200" s="268"/>
      <c r="AK200" s="179">
        <f t="shared" si="127"/>
        <v>100</v>
      </c>
      <c r="AL200" s="268"/>
      <c r="AM200" s="179">
        <f t="shared" si="128"/>
        <v>0</v>
      </c>
      <c r="AN200" s="268"/>
      <c r="AO200" s="179">
        <f t="shared" si="129"/>
        <v>0</v>
      </c>
      <c r="AP200" s="268"/>
      <c r="AQ200" s="179">
        <f t="shared" si="130"/>
        <v>0</v>
      </c>
      <c r="AR200" s="273"/>
      <c r="AS200" s="209">
        <f t="shared" si="131"/>
        <v>0</v>
      </c>
      <c r="AT200" s="273"/>
      <c r="AU200" s="226">
        <f t="shared" si="132"/>
        <v>0</v>
      </c>
      <c r="AV200" s="273"/>
      <c r="AW200" s="209">
        <f t="shared" si="133"/>
        <v>0</v>
      </c>
      <c r="AX200" s="273"/>
      <c r="AY200" s="209">
        <f t="shared" si="134"/>
        <v>0</v>
      </c>
      <c r="AZ200" s="273"/>
      <c r="BA200" s="179">
        <f t="shared" si="135"/>
        <v>0</v>
      </c>
      <c r="BB200"/>
      <c r="BC200"/>
      <c r="BD200"/>
    </row>
    <row r="201" spans="1:56" s="34" customFormat="1" hidden="1" x14ac:dyDescent="0.25">
      <c r="A201" s="87"/>
      <c r="B201" s="42"/>
      <c r="C201" s="41"/>
      <c r="D201" s="41"/>
      <c r="E201" s="40"/>
      <c r="F201" s="40"/>
      <c r="G201" s="40"/>
      <c r="H201" s="40"/>
      <c r="I201" s="160"/>
      <c r="J201" s="41"/>
      <c r="K201" s="41"/>
      <c r="L201" s="41"/>
      <c r="M201" s="41"/>
      <c r="N201" s="41"/>
      <c r="O201" s="41"/>
      <c r="P201" s="188"/>
      <c r="Q201" s="221"/>
      <c r="R201" s="253"/>
      <c r="S201" s="179">
        <f t="shared" si="118"/>
        <v>3898.2066402109976</v>
      </c>
      <c r="T201" s="259"/>
      <c r="U201" s="179">
        <f t="shared" si="119"/>
        <v>79</v>
      </c>
      <c r="V201" s="259"/>
      <c r="W201" s="179">
        <f t="shared" si="120"/>
        <v>0</v>
      </c>
      <c r="X201" s="259"/>
      <c r="Y201" s="179">
        <f t="shared" si="121"/>
        <v>1099.9999518559998</v>
      </c>
      <c r="Z201" s="259"/>
      <c r="AA201" s="179">
        <f t="shared" si="122"/>
        <v>412.42479377000001</v>
      </c>
      <c r="AB201" s="259"/>
      <c r="AC201" s="179">
        <f t="shared" si="123"/>
        <v>0</v>
      </c>
      <c r="AD201" s="189">
        <f t="shared" si="117"/>
        <v>0</v>
      </c>
      <c r="AE201" s="179">
        <f t="shared" si="124"/>
        <v>1512.424745626</v>
      </c>
      <c r="AF201" s="264"/>
      <c r="AG201" s="179">
        <f t="shared" si="125"/>
        <v>999.99995185600005</v>
      </c>
      <c r="AH201" s="268"/>
      <c r="AI201" s="179">
        <f t="shared" si="126"/>
        <v>0</v>
      </c>
      <c r="AJ201" s="268"/>
      <c r="AK201" s="179">
        <f t="shared" si="127"/>
        <v>100</v>
      </c>
      <c r="AL201" s="268"/>
      <c r="AM201" s="179">
        <f t="shared" si="128"/>
        <v>0</v>
      </c>
      <c r="AN201" s="268"/>
      <c r="AO201" s="179">
        <f t="shared" si="129"/>
        <v>0</v>
      </c>
      <c r="AP201" s="268"/>
      <c r="AQ201" s="179">
        <f t="shared" si="130"/>
        <v>0</v>
      </c>
      <c r="AR201" s="273"/>
      <c r="AS201" s="209">
        <f t="shared" si="131"/>
        <v>0</v>
      </c>
      <c r="AT201" s="273"/>
      <c r="AU201" s="226">
        <f t="shared" si="132"/>
        <v>0</v>
      </c>
      <c r="AV201" s="273"/>
      <c r="AW201" s="209">
        <f t="shared" si="133"/>
        <v>0</v>
      </c>
      <c r="AX201" s="273"/>
      <c r="AY201" s="209">
        <f t="shared" si="134"/>
        <v>0</v>
      </c>
      <c r="AZ201" s="273"/>
      <c r="BA201" s="179">
        <f t="shared" si="135"/>
        <v>0</v>
      </c>
      <c r="BB201"/>
      <c r="BC201"/>
      <c r="BD201"/>
    </row>
    <row r="202" spans="1:56" s="34" customFormat="1" hidden="1" x14ac:dyDescent="0.25">
      <c r="A202" s="87"/>
      <c r="B202" s="42"/>
      <c r="C202" s="41"/>
      <c r="D202" s="41"/>
      <c r="E202" s="40"/>
      <c r="F202" s="40"/>
      <c r="G202" s="40"/>
      <c r="H202" s="40"/>
      <c r="I202" s="160"/>
      <c r="J202" s="41"/>
      <c r="K202" s="41"/>
      <c r="L202" s="41"/>
      <c r="M202" s="41"/>
      <c r="N202" s="41"/>
      <c r="O202" s="41"/>
      <c r="P202" s="188"/>
      <c r="Q202" s="221"/>
      <c r="R202" s="253"/>
      <c r="S202" s="179">
        <f t="shared" si="118"/>
        <v>3898.2066402109976</v>
      </c>
      <c r="T202" s="259"/>
      <c r="U202" s="179">
        <f t="shared" si="119"/>
        <v>79</v>
      </c>
      <c r="V202" s="259"/>
      <c r="W202" s="179">
        <f t="shared" si="120"/>
        <v>0</v>
      </c>
      <c r="X202" s="259"/>
      <c r="Y202" s="179">
        <f t="shared" si="121"/>
        <v>1099.9999518559998</v>
      </c>
      <c r="Z202" s="259"/>
      <c r="AA202" s="179">
        <f t="shared" si="122"/>
        <v>412.42479377000001</v>
      </c>
      <c r="AB202" s="259"/>
      <c r="AC202" s="179">
        <f t="shared" si="123"/>
        <v>0</v>
      </c>
      <c r="AD202" s="189">
        <f t="shared" si="117"/>
        <v>0</v>
      </c>
      <c r="AE202" s="179">
        <f t="shared" si="124"/>
        <v>1512.424745626</v>
      </c>
      <c r="AF202" s="264"/>
      <c r="AG202" s="179">
        <f t="shared" si="125"/>
        <v>999.99995185600005</v>
      </c>
      <c r="AH202" s="268"/>
      <c r="AI202" s="179">
        <f t="shared" si="126"/>
        <v>0</v>
      </c>
      <c r="AJ202" s="268"/>
      <c r="AK202" s="179">
        <f t="shared" si="127"/>
        <v>100</v>
      </c>
      <c r="AL202" s="268"/>
      <c r="AM202" s="179">
        <f t="shared" si="128"/>
        <v>0</v>
      </c>
      <c r="AN202" s="268"/>
      <c r="AO202" s="179">
        <f t="shared" si="129"/>
        <v>0</v>
      </c>
      <c r="AP202" s="268"/>
      <c r="AQ202" s="179">
        <f t="shared" si="130"/>
        <v>0</v>
      </c>
      <c r="AR202" s="273"/>
      <c r="AS202" s="209">
        <f t="shared" si="131"/>
        <v>0</v>
      </c>
      <c r="AT202" s="273"/>
      <c r="AU202" s="226">
        <f t="shared" si="132"/>
        <v>0</v>
      </c>
      <c r="AV202" s="273"/>
      <c r="AW202" s="209">
        <f t="shared" si="133"/>
        <v>0</v>
      </c>
      <c r="AX202" s="273"/>
      <c r="AY202" s="209">
        <f t="shared" si="134"/>
        <v>0</v>
      </c>
      <c r="AZ202" s="273"/>
      <c r="BA202" s="179">
        <f t="shared" si="135"/>
        <v>0</v>
      </c>
      <c r="BB202"/>
      <c r="BC202"/>
      <c r="BD202"/>
    </row>
    <row r="203" spans="1:56" s="34" customFormat="1" hidden="1" x14ac:dyDescent="0.25">
      <c r="A203" s="87"/>
      <c r="B203" s="42"/>
      <c r="C203" s="41"/>
      <c r="D203" s="41"/>
      <c r="E203" s="40"/>
      <c r="F203" s="40"/>
      <c r="G203" s="40"/>
      <c r="H203" s="40"/>
      <c r="I203" s="160"/>
      <c r="J203" s="41"/>
      <c r="K203" s="41"/>
      <c r="L203" s="41"/>
      <c r="M203" s="41"/>
      <c r="N203" s="41"/>
      <c r="O203" s="41"/>
      <c r="P203" s="188"/>
      <c r="Q203" s="221"/>
      <c r="R203" s="253"/>
      <c r="S203" s="179">
        <f t="shared" si="118"/>
        <v>3898.2066402109976</v>
      </c>
      <c r="T203" s="259"/>
      <c r="U203" s="179">
        <f t="shared" si="119"/>
        <v>79</v>
      </c>
      <c r="V203" s="259"/>
      <c r="W203" s="179">
        <f t="shared" si="120"/>
        <v>0</v>
      </c>
      <c r="X203" s="259"/>
      <c r="Y203" s="179">
        <f t="shared" si="121"/>
        <v>1099.9999518559998</v>
      </c>
      <c r="Z203" s="259"/>
      <c r="AA203" s="179">
        <f t="shared" si="122"/>
        <v>412.42479377000001</v>
      </c>
      <c r="AB203" s="259"/>
      <c r="AC203" s="179">
        <f t="shared" si="123"/>
        <v>0</v>
      </c>
      <c r="AD203" s="189">
        <f t="shared" si="117"/>
        <v>0</v>
      </c>
      <c r="AE203" s="179">
        <f t="shared" si="124"/>
        <v>1512.424745626</v>
      </c>
      <c r="AF203" s="264"/>
      <c r="AG203" s="179">
        <f t="shared" si="125"/>
        <v>999.99995185600005</v>
      </c>
      <c r="AH203" s="268"/>
      <c r="AI203" s="179">
        <f t="shared" si="126"/>
        <v>0</v>
      </c>
      <c r="AJ203" s="268"/>
      <c r="AK203" s="179">
        <f t="shared" si="127"/>
        <v>100</v>
      </c>
      <c r="AL203" s="268"/>
      <c r="AM203" s="179">
        <f t="shared" si="128"/>
        <v>0</v>
      </c>
      <c r="AN203" s="268"/>
      <c r="AO203" s="179">
        <f t="shared" si="129"/>
        <v>0</v>
      </c>
      <c r="AP203" s="268"/>
      <c r="AQ203" s="179">
        <f t="shared" si="130"/>
        <v>0</v>
      </c>
      <c r="AR203" s="273"/>
      <c r="AS203" s="209">
        <f t="shared" si="131"/>
        <v>0</v>
      </c>
      <c r="AT203" s="273"/>
      <c r="AU203" s="226">
        <f t="shared" si="132"/>
        <v>0</v>
      </c>
      <c r="AV203" s="273"/>
      <c r="AW203" s="209">
        <f t="shared" si="133"/>
        <v>0</v>
      </c>
      <c r="AX203" s="273"/>
      <c r="AY203" s="209">
        <f t="shared" si="134"/>
        <v>0</v>
      </c>
      <c r="AZ203" s="273"/>
      <c r="BA203" s="179">
        <f t="shared" si="135"/>
        <v>0</v>
      </c>
      <c r="BB203"/>
      <c r="BC203"/>
      <c r="BD203"/>
    </row>
    <row r="204" spans="1:56" s="34" customFormat="1" hidden="1" x14ac:dyDescent="0.25">
      <c r="A204" s="87"/>
      <c r="B204" s="42"/>
      <c r="C204" s="41"/>
      <c r="D204" s="41"/>
      <c r="E204" s="40"/>
      <c r="F204" s="40"/>
      <c r="G204" s="40"/>
      <c r="H204" s="40"/>
      <c r="I204" s="160"/>
      <c r="J204" s="41"/>
      <c r="K204" s="41"/>
      <c r="L204" s="41"/>
      <c r="M204" s="41"/>
      <c r="N204" s="41"/>
      <c r="O204" s="41"/>
      <c r="P204" s="188"/>
      <c r="Q204" s="221"/>
      <c r="R204" s="253"/>
      <c r="S204" s="179">
        <f t="shared" si="118"/>
        <v>3898.2066402109976</v>
      </c>
      <c r="T204" s="259"/>
      <c r="U204" s="179">
        <f t="shared" si="119"/>
        <v>79</v>
      </c>
      <c r="V204" s="259"/>
      <c r="W204" s="179">
        <f t="shared" si="120"/>
        <v>0</v>
      </c>
      <c r="X204" s="259"/>
      <c r="Y204" s="179">
        <f t="shared" si="121"/>
        <v>1099.9999518559998</v>
      </c>
      <c r="Z204" s="259"/>
      <c r="AA204" s="179">
        <f t="shared" si="122"/>
        <v>412.42479377000001</v>
      </c>
      <c r="AB204" s="259"/>
      <c r="AC204" s="179">
        <f t="shared" si="123"/>
        <v>0</v>
      </c>
      <c r="AD204" s="189">
        <f t="shared" si="117"/>
        <v>0</v>
      </c>
      <c r="AE204" s="179">
        <f t="shared" si="124"/>
        <v>1512.424745626</v>
      </c>
      <c r="AF204" s="264"/>
      <c r="AG204" s="179">
        <f t="shared" si="125"/>
        <v>999.99995185600005</v>
      </c>
      <c r="AH204" s="268"/>
      <c r="AI204" s="179">
        <f t="shared" si="126"/>
        <v>0</v>
      </c>
      <c r="AJ204" s="268"/>
      <c r="AK204" s="179">
        <f t="shared" si="127"/>
        <v>100</v>
      </c>
      <c r="AL204" s="268"/>
      <c r="AM204" s="179">
        <f t="shared" si="128"/>
        <v>0</v>
      </c>
      <c r="AN204" s="268"/>
      <c r="AO204" s="179">
        <f t="shared" si="129"/>
        <v>0</v>
      </c>
      <c r="AP204" s="268"/>
      <c r="AQ204" s="179">
        <f t="shared" si="130"/>
        <v>0</v>
      </c>
      <c r="AR204" s="273"/>
      <c r="AS204" s="209">
        <f t="shared" si="131"/>
        <v>0</v>
      </c>
      <c r="AT204" s="273"/>
      <c r="AU204" s="226">
        <f t="shared" si="132"/>
        <v>0</v>
      </c>
      <c r="AV204" s="273"/>
      <c r="AW204" s="209">
        <f t="shared" si="133"/>
        <v>0</v>
      </c>
      <c r="AX204" s="273"/>
      <c r="AY204" s="209">
        <f t="shared" si="134"/>
        <v>0</v>
      </c>
      <c r="AZ204" s="273"/>
      <c r="BA204" s="179">
        <f t="shared" si="135"/>
        <v>0</v>
      </c>
      <c r="BB204"/>
      <c r="BC204"/>
      <c r="BD204"/>
    </row>
    <row r="205" spans="1:56" s="34" customFormat="1" hidden="1" x14ac:dyDescent="0.25">
      <c r="A205" s="87"/>
      <c r="B205" s="42"/>
      <c r="C205" s="41"/>
      <c r="D205" s="41"/>
      <c r="E205" s="40"/>
      <c r="F205" s="40"/>
      <c r="G205" s="40"/>
      <c r="H205" s="40"/>
      <c r="I205" s="160"/>
      <c r="J205" s="41"/>
      <c r="K205" s="41"/>
      <c r="L205" s="41"/>
      <c r="M205" s="41"/>
      <c r="N205" s="41"/>
      <c r="O205" s="41"/>
      <c r="P205" s="188"/>
      <c r="Q205" s="221"/>
      <c r="R205" s="253"/>
      <c r="S205" s="179">
        <f t="shared" si="118"/>
        <v>3898.2066402109976</v>
      </c>
      <c r="T205" s="259"/>
      <c r="U205" s="179">
        <f t="shared" si="119"/>
        <v>79</v>
      </c>
      <c r="V205" s="259"/>
      <c r="W205" s="179">
        <f t="shared" si="120"/>
        <v>0</v>
      </c>
      <c r="X205" s="259"/>
      <c r="Y205" s="179">
        <f t="shared" si="121"/>
        <v>1099.9999518559998</v>
      </c>
      <c r="Z205" s="259"/>
      <c r="AA205" s="179">
        <f t="shared" si="122"/>
        <v>412.42479377000001</v>
      </c>
      <c r="AB205" s="259"/>
      <c r="AC205" s="179">
        <f t="shared" si="123"/>
        <v>0</v>
      </c>
      <c r="AD205" s="189">
        <f t="shared" si="117"/>
        <v>0</v>
      </c>
      <c r="AE205" s="179">
        <f t="shared" si="124"/>
        <v>1512.424745626</v>
      </c>
      <c r="AF205" s="264"/>
      <c r="AG205" s="179">
        <f t="shared" si="125"/>
        <v>999.99995185600005</v>
      </c>
      <c r="AH205" s="268"/>
      <c r="AI205" s="179">
        <f t="shared" si="126"/>
        <v>0</v>
      </c>
      <c r="AJ205" s="268"/>
      <c r="AK205" s="179">
        <f t="shared" si="127"/>
        <v>100</v>
      </c>
      <c r="AL205" s="268"/>
      <c r="AM205" s="179">
        <f t="shared" si="128"/>
        <v>0</v>
      </c>
      <c r="AN205" s="268"/>
      <c r="AO205" s="179">
        <f t="shared" si="129"/>
        <v>0</v>
      </c>
      <c r="AP205" s="268"/>
      <c r="AQ205" s="179">
        <f t="shared" si="130"/>
        <v>0</v>
      </c>
      <c r="AR205" s="273"/>
      <c r="AS205" s="209">
        <f t="shared" si="131"/>
        <v>0</v>
      </c>
      <c r="AT205" s="273"/>
      <c r="AU205" s="226">
        <f t="shared" si="132"/>
        <v>0</v>
      </c>
      <c r="AV205" s="273"/>
      <c r="AW205" s="209">
        <f t="shared" si="133"/>
        <v>0</v>
      </c>
      <c r="AX205" s="273"/>
      <c r="AY205" s="209">
        <f t="shared" si="134"/>
        <v>0</v>
      </c>
      <c r="AZ205" s="273"/>
      <c r="BA205" s="179">
        <f t="shared" si="135"/>
        <v>0</v>
      </c>
      <c r="BB205"/>
      <c r="BC205"/>
      <c r="BD205"/>
    </row>
    <row r="206" spans="1:56" s="34" customFormat="1" hidden="1" x14ac:dyDescent="0.25">
      <c r="A206" s="87"/>
      <c r="B206" s="42"/>
      <c r="C206" s="41"/>
      <c r="D206" s="41"/>
      <c r="E206" s="40"/>
      <c r="F206" s="40"/>
      <c r="G206" s="40"/>
      <c r="H206" s="40"/>
      <c r="I206" s="160"/>
      <c r="J206" s="41"/>
      <c r="K206" s="41"/>
      <c r="L206" s="41"/>
      <c r="M206" s="41"/>
      <c r="N206" s="41"/>
      <c r="O206" s="41"/>
      <c r="P206" s="188"/>
      <c r="Q206" s="221"/>
      <c r="R206" s="253"/>
      <c r="S206" s="179">
        <f t="shared" si="118"/>
        <v>3898.2066402109976</v>
      </c>
      <c r="T206" s="259"/>
      <c r="U206" s="179">
        <f t="shared" si="119"/>
        <v>79</v>
      </c>
      <c r="V206" s="259"/>
      <c r="W206" s="179">
        <f t="shared" si="120"/>
        <v>0</v>
      </c>
      <c r="X206" s="259"/>
      <c r="Y206" s="179">
        <f t="shared" si="121"/>
        <v>1099.9999518559998</v>
      </c>
      <c r="Z206" s="259"/>
      <c r="AA206" s="179">
        <f t="shared" si="122"/>
        <v>412.42479377000001</v>
      </c>
      <c r="AB206" s="259"/>
      <c r="AC206" s="179">
        <f t="shared" si="123"/>
        <v>0</v>
      </c>
      <c r="AD206" s="189">
        <f t="shared" si="117"/>
        <v>0</v>
      </c>
      <c r="AE206" s="179">
        <f t="shared" si="124"/>
        <v>1512.424745626</v>
      </c>
      <c r="AF206" s="264"/>
      <c r="AG206" s="179">
        <f t="shared" si="125"/>
        <v>999.99995185600005</v>
      </c>
      <c r="AH206" s="268"/>
      <c r="AI206" s="179">
        <f t="shared" si="126"/>
        <v>0</v>
      </c>
      <c r="AJ206" s="268"/>
      <c r="AK206" s="179">
        <f t="shared" si="127"/>
        <v>100</v>
      </c>
      <c r="AL206" s="268"/>
      <c r="AM206" s="179">
        <f t="shared" si="128"/>
        <v>0</v>
      </c>
      <c r="AN206" s="268"/>
      <c r="AO206" s="179">
        <f t="shared" si="129"/>
        <v>0</v>
      </c>
      <c r="AP206" s="268"/>
      <c r="AQ206" s="179">
        <f t="shared" si="130"/>
        <v>0</v>
      </c>
      <c r="AR206" s="273"/>
      <c r="AS206" s="209">
        <f t="shared" si="131"/>
        <v>0</v>
      </c>
      <c r="AT206" s="273"/>
      <c r="AU206" s="226">
        <f t="shared" si="132"/>
        <v>0</v>
      </c>
      <c r="AV206" s="273"/>
      <c r="AW206" s="209">
        <f t="shared" si="133"/>
        <v>0</v>
      </c>
      <c r="AX206" s="273"/>
      <c r="AY206" s="209">
        <f t="shared" si="134"/>
        <v>0</v>
      </c>
      <c r="AZ206" s="273"/>
      <c r="BA206" s="179">
        <f t="shared" si="135"/>
        <v>0</v>
      </c>
      <c r="BB206"/>
      <c r="BC206"/>
      <c r="BD206"/>
    </row>
    <row r="207" spans="1:56" s="34" customFormat="1" hidden="1" x14ac:dyDescent="0.25">
      <c r="A207" s="87"/>
      <c r="B207" s="42"/>
      <c r="C207" s="41"/>
      <c r="D207" s="41"/>
      <c r="E207" s="40"/>
      <c r="F207" s="40"/>
      <c r="G207" s="40"/>
      <c r="H207" s="40"/>
      <c r="I207" s="160"/>
      <c r="J207" s="41"/>
      <c r="K207" s="41"/>
      <c r="L207" s="41"/>
      <c r="M207" s="41"/>
      <c r="N207" s="41"/>
      <c r="O207" s="41"/>
      <c r="P207" s="188"/>
      <c r="Q207" s="221"/>
      <c r="R207" s="253"/>
      <c r="S207" s="179">
        <f t="shared" si="118"/>
        <v>3898.2066402109976</v>
      </c>
      <c r="T207" s="259"/>
      <c r="U207" s="179">
        <f t="shared" si="119"/>
        <v>79</v>
      </c>
      <c r="V207" s="259"/>
      <c r="W207" s="179">
        <f t="shared" si="120"/>
        <v>0</v>
      </c>
      <c r="X207" s="259"/>
      <c r="Y207" s="179">
        <f t="shared" si="121"/>
        <v>1099.9999518559998</v>
      </c>
      <c r="Z207" s="259"/>
      <c r="AA207" s="179">
        <f t="shared" si="122"/>
        <v>412.42479377000001</v>
      </c>
      <c r="AB207" s="259"/>
      <c r="AC207" s="179">
        <f t="shared" si="123"/>
        <v>0</v>
      </c>
      <c r="AD207" s="189">
        <f t="shared" si="117"/>
        <v>0</v>
      </c>
      <c r="AE207" s="179">
        <f t="shared" si="124"/>
        <v>1512.424745626</v>
      </c>
      <c r="AF207" s="264"/>
      <c r="AG207" s="179">
        <f t="shared" si="125"/>
        <v>999.99995185600005</v>
      </c>
      <c r="AH207" s="268"/>
      <c r="AI207" s="179">
        <f t="shared" si="126"/>
        <v>0</v>
      </c>
      <c r="AJ207" s="268"/>
      <c r="AK207" s="179">
        <f t="shared" si="127"/>
        <v>100</v>
      </c>
      <c r="AL207" s="268"/>
      <c r="AM207" s="179">
        <f t="shared" si="128"/>
        <v>0</v>
      </c>
      <c r="AN207" s="268"/>
      <c r="AO207" s="179">
        <f t="shared" si="129"/>
        <v>0</v>
      </c>
      <c r="AP207" s="268"/>
      <c r="AQ207" s="179">
        <f t="shared" si="130"/>
        <v>0</v>
      </c>
      <c r="AR207" s="273"/>
      <c r="AS207" s="209">
        <f t="shared" si="131"/>
        <v>0</v>
      </c>
      <c r="AT207" s="273"/>
      <c r="AU207" s="226">
        <f t="shared" si="132"/>
        <v>0</v>
      </c>
      <c r="AV207" s="273"/>
      <c r="AW207" s="209">
        <f t="shared" si="133"/>
        <v>0</v>
      </c>
      <c r="AX207" s="273"/>
      <c r="AY207" s="209">
        <f t="shared" si="134"/>
        <v>0</v>
      </c>
      <c r="AZ207" s="273"/>
      <c r="BA207" s="179">
        <f t="shared" si="135"/>
        <v>0</v>
      </c>
      <c r="BB207"/>
      <c r="BC207"/>
      <c r="BD207"/>
    </row>
    <row r="208" spans="1:56" s="34" customFormat="1" hidden="1" x14ac:dyDescent="0.25">
      <c r="A208" s="87"/>
      <c r="B208" s="42"/>
      <c r="C208" s="41"/>
      <c r="D208" s="41"/>
      <c r="E208" s="40"/>
      <c r="F208" s="40"/>
      <c r="G208" s="40"/>
      <c r="H208" s="40"/>
      <c r="I208" s="160"/>
      <c r="J208" s="41"/>
      <c r="K208" s="41"/>
      <c r="L208" s="41"/>
      <c r="M208" s="41"/>
      <c r="N208" s="41"/>
      <c r="O208" s="41"/>
      <c r="P208" s="188"/>
      <c r="Q208" s="221"/>
      <c r="R208" s="253"/>
      <c r="S208" s="179">
        <f t="shared" si="118"/>
        <v>3898.2066402109976</v>
      </c>
      <c r="T208" s="259"/>
      <c r="U208" s="179">
        <f t="shared" si="119"/>
        <v>79</v>
      </c>
      <c r="V208" s="259"/>
      <c r="W208" s="179">
        <f t="shared" si="120"/>
        <v>0</v>
      </c>
      <c r="X208" s="259"/>
      <c r="Y208" s="179">
        <f t="shared" si="121"/>
        <v>1099.9999518559998</v>
      </c>
      <c r="Z208" s="259"/>
      <c r="AA208" s="179">
        <f t="shared" si="122"/>
        <v>412.42479377000001</v>
      </c>
      <c r="AB208" s="259"/>
      <c r="AC208" s="179">
        <f t="shared" si="123"/>
        <v>0</v>
      </c>
      <c r="AD208" s="189">
        <f t="shared" si="117"/>
        <v>0</v>
      </c>
      <c r="AE208" s="179">
        <f t="shared" si="124"/>
        <v>1512.424745626</v>
      </c>
      <c r="AF208" s="264"/>
      <c r="AG208" s="179">
        <f t="shared" si="125"/>
        <v>999.99995185600005</v>
      </c>
      <c r="AH208" s="268"/>
      <c r="AI208" s="179">
        <f t="shared" si="126"/>
        <v>0</v>
      </c>
      <c r="AJ208" s="268"/>
      <c r="AK208" s="179">
        <f t="shared" si="127"/>
        <v>100</v>
      </c>
      <c r="AL208" s="268"/>
      <c r="AM208" s="179">
        <f t="shared" si="128"/>
        <v>0</v>
      </c>
      <c r="AN208" s="268"/>
      <c r="AO208" s="179">
        <f t="shared" si="129"/>
        <v>0</v>
      </c>
      <c r="AP208" s="268"/>
      <c r="AQ208" s="179">
        <f t="shared" si="130"/>
        <v>0</v>
      </c>
      <c r="AR208" s="273"/>
      <c r="AS208" s="209">
        <f t="shared" si="131"/>
        <v>0</v>
      </c>
      <c r="AT208" s="273"/>
      <c r="AU208" s="226">
        <f t="shared" si="132"/>
        <v>0</v>
      </c>
      <c r="AV208" s="273"/>
      <c r="AW208" s="209">
        <f t="shared" si="133"/>
        <v>0</v>
      </c>
      <c r="AX208" s="273"/>
      <c r="AY208" s="209">
        <f t="shared" si="134"/>
        <v>0</v>
      </c>
      <c r="AZ208" s="273"/>
      <c r="BA208" s="179">
        <f t="shared" si="135"/>
        <v>0</v>
      </c>
      <c r="BB208"/>
      <c r="BC208"/>
      <c r="BD208"/>
    </row>
    <row r="209" spans="1:56" s="34" customFormat="1" hidden="1" x14ac:dyDescent="0.25">
      <c r="A209" s="87"/>
      <c r="B209" s="42"/>
      <c r="C209" s="41"/>
      <c r="D209" s="41"/>
      <c r="E209" s="40"/>
      <c r="F209" s="40"/>
      <c r="G209" s="40"/>
      <c r="H209" s="40"/>
      <c r="I209" s="160"/>
      <c r="J209" s="41"/>
      <c r="K209" s="41"/>
      <c r="L209" s="41"/>
      <c r="M209" s="41"/>
      <c r="N209" s="41"/>
      <c r="O209" s="41"/>
      <c r="P209" s="188"/>
      <c r="Q209" s="221"/>
      <c r="R209" s="253"/>
      <c r="S209" s="179">
        <f t="shared" si="118"/>
        <v>3898.2066402109976</v>
      </c>
      <c r="T209" s="259"/>
      <c r="U209" s="179">
        <f t="shared" si="119"/>
        <v>79</v>
      </c>
      <c r="V209" s="259"/>
      <c r="W209" s="179">
        <f t="shared" si="120"/>
        <v>0</v>
      </c>
      <c r="X209" s="259"/>
      <c r="Y209" s="179">
        <f t="shared" si="121"/>
        <v>1099.9999518559998</v>
      </c>
      <c r="Z209" s="259"/>
      <c r="AA209" s="179">
        <f t="shared" si="122"/>
        <v>412.42479377000001</v>
      </c>
      <c r="AB209" s="259"/>
      <c r="AC209" s="179">
        <f t="shared" si="123"/>
        <v>0</v>
      </c>
      <c r="AD209" s="189">
        <f t="shared" si="117"/>
        <v>0</v>
      </c>
      <c r="AE209" s="179">
        <f t="shared" si="124"/>
        <v>1512.424745626</v>
      </c>
      <c r="AF209" s="264"/>
      <c r="AG209" s="179">
        <f t="shared" si="125"/>
        <v>999.99995185600005</v>
      </c>
      <c r="AH209" s="268"/>
      <c r="AI209" s="179">
        <f t="shared" si="126"/>
        <v>0</v>
      </c>
      <c r="AJ209" s="268"/>
      <c r="AK209" s="179">
        <f t="shared" si="127"/>
        <v>100</v>
      </c>
      <c r="AL209" s="268"/>
      <c r="AM209" s="179">
        <f t="shared" si="128"/>
        <v>0</v>
      </c>
      <c r="AN209" s="268"/>
      <c r="AO209" s="179">
        <f t="shared" si="129"/>
        <v>0</v>
      </c>
      <c r="AP209" s="268"/>
      <c r="AQ209" s="179">
        <f t="shared" si="130"/>
        <v>0</v>
      </c>
      <c r="AR209" s="273"/>
      <c r="AS209" s="209">
        <f t="shared" si="131"/>
        <v>0</v>
      </c>
      <c r="AT209" s="273"/>
      <c r="AU209" s="226">
        <f t="shared" si="132"/>
        <v>0</v>
      </c>
      <c r="AV209" s="273"/>
      <c r="AW209" s="209">
        <f t="shared" si="133"/>
        <v>0</v>
      </c>
      <c r="AX209" s="273"/>
      <c r="AY209" s="209">
        <f t="shared" si="134"/>
        <v>0</v>
      </c>
      <c r="AZ209" s="273"/>
      <c r="BA209" s="179">
        <f t="shared" si="135"/>
        <v>0</v>
      </c>
      <c r="BB209"/>
      <c r="BC209"/>
      <c r="BD209"/>
    </row>
    <row r="210" spans="1:56" s="34" customFormat="1" hidden="1" x14ac:dyDescent="0.25">
      <c r="A210" s="87"/>
      <c r="B210" s="42"/>
      <c r="C210" s="41"/>
      <c r="D210" s="41"/>
      <c r="E210" s="40"/>
      <c r="F210" s="40"/>
      <c r="G210" s="40"/>
      <c r="H210" s="40"/>
      <c r="I210" s="160"/>
      <c r="J210" s="41"/>
      <c r="K210" s="41"/>
      <c r="L210" s="41"/>
      <c r="M210" s="41"/>
      <c r="N210" s="41"/>
      <c r="O210" s="41"/>
      <c r="P210" s="188"/>
      <c r="Q210" s="221"/>
      <c r="R210" s="253"/>
      <c r="S210" s="179">
        <f t="shared" si="118"/>
        <v>3898.2066402109976</v>
      </c>
      <c r="T210" s="259"/>
      <c r="U210" s="179">
        <f t="shared" si="119"/>
        <v>79</v>
      </c>
      <c r="V210" s="259"/>
      <c r="W210" s="179">
        <f t="shared" si="120"/>
        <v>0</v>
      </c>
      <c r="X210" s="259"/>
      <c r="Y210" s="179">
        <f t="shared" si="121"/>
        <v>1099.9999518559998</v>
      </c>
      <c r="Z210" s="259"/>
      <c r="AA210" s="179">
        <f t="shared" si="122"/>
        <v>412.42479377000001</v>
      </c>
      <c r="AB210" s="259"/>
      <c r="AC210" s="179">
        <f t="shared" si="123"/>
        <v>0</v>
      </c>
      <c r="AD210" s="189">
        <f t="shared" si="117"/>
        <v>0</v>
      </c>
      <c r="AE210" s="179">
        <f t="shared" si="124"/>
        <v>1512.424745626</v>
      </c>
      <c r="AF210" s="264"/>
      <c r="AG210" s="179">
        <f t="shared" si="125"/>
        <v>999.99995185600005</v>
      </c>
      <c r="AH210" s="268"/>
      <c r="AI210" s="179">
        <f t="shared" si="126"/>
        <v>0</v>
      </c>
      <c r="AJ210" s="268"/>
      <c r="AK210" s="179">
        <f t="shared" si="127"/>
        <v>100</v>
      </c>
      <c r="AL210" s="268"/>
      <c r="AM210" s="179">
        <f t="shared" si="128"/>
        <v>0</v>
      </c>
      <c r="AN210" s="268"/>
      <c r="AO210" s="179">
        <f t="shared" si="129"/>
        <v>0</v>
      </c>
      <c r="AP210" s="268"/>
      <c r="AQ210" s="179">
        <f t="shared" si="130"/>
        <v>0</v>
      </c>
      <c r="AR210" s="273"/>
      <c r="AS210" s="209">
        <f t="shared" si="131"/>
        <v>0</v>
      </c>
      <c r="AT210" s="273"/>
      <c r="AU210" s="226">
        <f t="shared" si="132"/>
        <v>0</v>
      </c>
      <c r="AV210" s="273"/>
      <c r="AW210" s="209">
        <f t="shared" si="133"/>
        <v>0</v>
      </c>
      <c r="AX210" s="273"/>
      <c r="AY210" s="209">
        <f t="shared" si="134"/>
        <v>0</v>
      </c>
      <c r="AZ210" s="273"/>
      <c r="BA210" s="179">
        <f t="shared" si="135"/>
        <v>0</v>
      </c>
      <c r="BB210"/>
      <c r="BC210"/>
      <c r="BD210"/>
    </row>
    <row r="211" spans="1:56" s="34" customFormat="1" hidden="1" x14ac:dyDescent="0.25">
      <c r="A211" s="87"/>
      <c r="B211" s="42"/>
      <c r="C211" s="41"/>
      <c r="D211" s="41"/>
      <c r="E211" s="40"/>
      <c r="F211" s="40"/>
      <c r="G211" s="40"/>
      <c r="H211" s="40"/>
      <c r="I211" s="160"/>
      <c r="J211" s="41"/>
      <c r="K211" s="41"/>
      <c r="L211" s="41"/>
      <c r="M211" s="41"/>
      <c r="N211" s="41"/>
      <c r="O211" s="41"/>
      <c r="P211" s="188"/>
      <c r="Q211" s="221"/>
      <c r="R211" s="253"/>
      <c r="S211" s="179">
        <f t="shared" si="118"/>
        <v>3898.2066402109976</v>
      </c>
      <c r="T211" s="259"/>
      <c r="U211" s="179">
        <f t="shared" si="119"/>
        <v>79</v>
      </c>
      <c r="V211" s="259"/>
      <c r="W211" s="179">
        <f t="shared" si="120"/>
        <v>0</v>
      </c>
      <c r="X211" s="259"/>
      <c r="Y211" s="179">
        <f t="shared" si="121"/>
        <v>1099.9999518559998</v>
      </c>
      <c r="Z211" s="259"/>
      <c r="AA211" s="179">
        <f t="shared" si="122"/>
        <v>412.42479377000001</v>
      </c>
      <c r="AB211" s="259"/>
      <c r="AC211" s="179">
        <f t="shared" si="123"/>
        <v>0</v>
      </c>
      <c r="AD211" s="189">
        <f t="shared" si="117"/>
        <v>0</v>
      </c>
      <c r="AE211" s="179">
        <f t="shared" si="124"/>
        <v>1512.424745626</v>
      </c>
      <c r="AF211" s="264"/>
      <c r="AG211" s="179">
        <f t="shared" si="125"/>
        <v>999.99995185600005</v>
      </c>
      <c r="AH211" s="268"/>
      <c r="AI211" s="179">
        <f t="shared" si="126"/>
        <v>0</v>
      </c>
      <c r="AJ211" s="268"/>
      <c r="AK211" s="179">
        <f t="shared" si="127"/>
        <v>100</v>
      </c>
      <c r="AL211" s="268"/>
      <c r="AM211" s="179">
        <f t="shared" si="128"/>
        <v>0</v>
      </c>
      <c r="AN211" s="268"/>
      <c r="AO211" s="179">
        <f t="shared" si="129"/>
        <v>0</v>
      </c>
      <c r="AP211" s="268"/>
      <c r="AQ211" s="179">
        <f t="shared" si="130"/>
        <v>0</v>
      </c>
      <c r="AR211" s="273"/>
      <c r="AS211" s="209">
        <f t="shared" si="131"/>
        <v>0</v>
      </c>
      <c r="AT211" s="273"/>
      <c r="AU211" s="226">
        <f t="shared" si="132"/>
        <v>0</v>
      </c>
      <c r="AV211" s="273"/>
      <c r="AW211" s="209">
        <f t="shared" si="133"/>
        <v>0</v>
      </c>
      <c r="AX211" s="273"/>
      <c r="AY211" s="209">
        <f t="shared" si="134"/>
        <v>0</v>
      </c>
      <c r="AZ211" s="273"/>
      <c r="BA211" s="179">
        <f t="shared" si="135"/>
        <v>0</v>
      </c>
      <c r="BB211"/>
      <c r="BC211"/>
      <c r="BD211"/>
    </row>
    <row r="212" spans="1:56" s="34" customFormat="1" hidden="1" x14ac:dyDescent="0.25">
      <c r="A212" s="87"/>
      <c r="B212" s="42"/>
      <c r="C212" s="41"/>
      <c r="D212" s="41"/>
      <c r="E212" s="40"/>
      <c r="F212" s="40"/>
      <c r="G212" s="40"/>
      <c r="H212" s="40"/>
      <c r="I212" s="160"/>
      <c r="J212" s="41"/>
      <c r="K212" s="41"/>
      <c r="L212" s="41"/>
      <c r="M212" s="41"/>
      <c r="N212" s="41"/>
      <c r="O212" s="41"/>
      <c r="P212" s="188"/>
      <c r="Q212" s="221"/>
      <c r="R212" s="253"/>
      <c r="S212" s="179">
        <f t="shared" si="118"/>
        <v>3898.2066402109976</v>
      </c>
      <c r="T212" s="259"/>
      <c r="U212" s="179">
        <f t="shared" si="119"/>
        <v>79</v>
      </c>
      <c r="V212" s="259"/>
      <c r="W212" s="179">
        <f t="shared" si="120"/>
        <v>0</v>
      </c>
      <c r="X212" s="259"/>
      <c r="Y212" s="179">
        <f t="shared" si="121"/>
        <v>1099.9999518559998</v>
      </c>
      <c r="Z212" s="259"/>
      <c r="AA212" s="179">
        <f t="shared" si="122"/>
        <v>412.42479377000001</v>
      </c>
      <c r="AB212" s="259"/>
      <c r="AC212" s="179">
        <f t="shared" si="123"/>
        <v>0</v>
      </c>
      <c r="AD212" s="189">
        <f t="shared" si="117"/>
        <v>0</v>
      </c>
      <c r="AE212" s="179">
        <f t="shared" si="124"/>
        <v>1512.424745626</v>
      </c>
      <c r="AF212" s="264"/>
      <c r="AG212" s="179">
        <f t="shared" si="125"/>
        <v>999.99995185600005</v>
      </c>
      <c r="AH212" s="268"/>
      <c r="AI212" s="179">
        <f t="shared" si="126"/>
        <v>0</v>
      </c>
      <c r="AJ212" s="268"/>
      <c r="AK212" s="179">
        <f t="shared" si="127"/>
        <v>100</v>
      </c>
      <c r="AL212" s="268"/>
      <c r="AM212" s="179">
        <f t="shared" si="128"/>
        <v>0</v>
      </c>
      <c r="AN212" s="268"/>
      <c r="AO212" s="179">
        <f t="shared" si="129"/>
        <v>0</v>
      </c>
      <c r="AP212" s="268"/>
      <c r="AQ212" s="179">
        <f t="shared" si="130"/>
        <v>0</v>
      </c>
      <c r="AR212" s="273"/>
      <c r="AS212" s="209">
        <f t="shared" si="131"/>
        <v>0</v>
      </c>
      <c r="AT212" s="273"/>
      <c r="AU212" s="226">
        <f t="shared" si="132"/>
        <v>0</v>
      </c>
      <c r="AV212" s="273"/>
      <c r="AW212" s="209">
        <f t="shared" si="133"/>
        <v>0</v>
      </c>
      <c r="AX212" s="273"/>
      <c r="AY212" s="209">
        <f t="shared" si="134"/>
        <v>0</v>
      </c>
      <c r="AZ212" s="273"/>
      <c r="BA212" s="179">
        <f t="shared" si="135"/>
        <v>0</v>
      </c>
      <c r="BB212"/>
      <c r="BC212"/>
      <c r="BD212"/>
    </row>
    <row r="213" spans="1:56" s="34" customFormat="1" hidden="1" x14ac:dyDescent="0.25">
      <c r="A213" s="87"/>
      <c r="B213" s="42"/>
      <c r="C213" s="41"/>
      <c r="D213" s="41"/>
      <c r="E213" s="40"/>
      <c r="F213" s="40"/>
      <c r="G213" s="40"/>
      <c r="H213" s="40"/>
      <c r="I213" s="160"/>
      <c r="J213" s="41"/>
      <c r="K213" s="41"/>
      <c r="L213" s="41"/>
      <c r="M213" s="41"/>
      <c r="N213" s="41"/>
      <c r="O213" s="41"/>
      <c r="P213" s="188"/>
      <c r="Q213" s="221"/>
      <c r="R213" s="253"/>
      <c r="S213" s="179">
        <f t="shared" si="118"/>
        <v>3898.2066402109976</v>
      </c>
      <c r="T213" s="259"/>
      <c r="U213" s="179">
        <f t="shared" si="119"/>
        <v>79</v>
      </c>
      <c r="V213" s="259"/>
      <c r="W213" s="179">
        <f t="shared" si="120"/>
        <v>0</v>
      </c>
      <c r="X213" s="259"/>
      <c r="Y213" s="179">
        <f t="shared" si="121"/>
        <v>1099.9999518559998</v>
      </c>
      <c r="Z213" s="259"/>
      <c r="AA213" s="179">
        <f t="shared" si="122"/>
        <v>412.42479377000001</v>
      </c>
      <c r="AB213" s="259"/>
      <c r="AC213" s="179">
        <f t="shared" si="123"/>
        <v>0</v>
      </c>
      <c r="AD213" s="189">
        <f t="shared" si="117"/>
        <v>0</v>
      </c>
      <c r="AE213" s="179">
        <f t="shared" si="124"/>
        <v>1512.424745626</v>
      </c>
      <c r="AF213" s="264"/>
      <c r="AG213" s="179">
        <f t="shared" si="125"/>
        <v>999.99995185600005</v>
      </c>
      <c r="AH213" s="268"/>
      <c r="AI213" s="179">
        <f t="shared" si="126"/>
        <v>0</v>
      </c>
      <c r="AJ213" s="268"/>
      <c r="AK213" s="179">
        <f t="shared" si="127"/>
        <v>100</v>
      </c>
      <c r="AL213" s="268"/>
      <c r="AM213" s="179">
        <f t="shared" si="128"/>
        <v>0</v>
      </c>
      <c r="AN213" s="268"/>
      <c r="AO213" s="179">
        <f t="shared" si="129"/>
        <v>0</v>
      </c>
      <c r="AP213" s="268"/>
      <c r="AQ213" s="179">
        <f t="shared" si="130"/>
        <v>0</v>
      </c>
      <c r="AR213" s="273"/>
      <c r="AS213" s="209">
        <f t="shared" si="131"/>
        <v>0</v>
      </c>
      <c r="AT213" s="273"/>
      <c r="AU213" s="226">
        <f t="shared" si="132"/>
        <v>0</v>
      </c>
      <c r="AV213" s="273"/>
      <c r="AW213" s="209">
        <f t="shared" si="133"/>
        <v>0</v>
      </c>
      <c r="AX213" s="273"/>
      <c r="AY213" s="209">
        <f t="shared" si="134"/>
        <v>0</v>
      </c>
      <c r="AZ213" s="273"/>
      <c r="BA213" s="179">
        <f t="shared" si="135"/>
        <v>0</v>
      </c>
      <c r="BB213"/>
      <c r="BC213"/>
      <c r="BD213"/>
    </row>
    <row r="214" spans="1:56" s="34" customFormat="1" hidden="1" x14ac:dyDescent="0.25">
      <c r="A214" s="87"/>
      <c r="B214" s="42"/>
      <c r="C214" s="41"/>
      <c r="D214" s="41"/>
      <c r="E214" s="40"/>
      <c r="F214" s="40"/>
      <c r="G214" s="40"/>
      <c r="H214" s="40"/>
      <c r="I214" s="160"/>
      <c r="J214" s="41"/>
      <c r="K214" s="41"/>
      <c r="L214" s="41"/>
      <c r="M214" s="41"/>
      <c r="N214" s="41"/>
      <c r="O214" s="41"/>
      <c r="P214" s="188"/>
      <c r="Q214" s="221"/>
      <c r="R214" s="253"/>
      <c r="S214" s="179">
        <f t="shared" si="118"/>
        <v>3898.2066402109976</v>
      </c>
      <c r="T214" s="259"/>
      <c r="U214" s="179">
        <f t="shared" si="119"/>
        <v>79</v>
      </c>
      <c r="V214" s="259"/>
      <c r="W214" s="179">
        <f t="shared" si="120"/>
        <v>0</v>
      </c>
      <c r="X214" s="259"/>
      <c r="Y214" s="179">
        <f t="shared" si="121"/>
        <v>1099.9999518559998</v>
      </c>
      <c r="Z214" s="259"/>
      <c r="AA214" s="179">
        <f t="shared" si="122"/>
        <v>412.42479377000001</v>
      </c>
      <c r="AB214" s="259"/>
      <c r="AC214" s="179">
        <f t="shared" si="123"/>
        <v>0</v>
      </c>
      <c r="AD214" s="189">
        <f t="shared" si="117"/>
        <v>0</v>
      </c>
      <c r="AE214" s="179">
        <f t="shared" si="124"/>
        <v>1512.424745626</v>
      </c>
      <c r="AF214" s="264"/>
      <c r="AG214" s="179">
        <f t="shared" si="125"/>
        <v>999.99995185600005</v>
      </c>
      <c r="AH214" s="268"/>
      <c r="AI214" s="179">
        <f t="shared" si="126"/>
        <v>0</v>
      </c>
      <c r="AJ214" s="268"/>
      <c r="AK214" s="179">
        <f t="shared" si="127"/>
        <v>100</v>
      </c>
      <c r="AL214" s="268"/>
      <c r="AM214" s="179">
        <f t="shared" si="128"/>
        <v>0</v>
      </c>
      <c r="AN214" s="268"/>
      <c r="AO214" s="179">
        <f t="shared" si="129"/>
        <v>0</v>
      </c>
      <c r="AP214" s="268"/>
      <c r="AQ214" s="179">
        <f t="shared" si="130"/>
        <v>0</v>
      </c>
      <c r="AR214" s="273"/>
      <c r="AS214" s="209">
        <f t="shared" si="131"/>
        <v>0</v>
      </c>
      <c r="AT214" s="273"/>
      <c r="AU214" s="226">
        <f t="shared" si="132"/>
        <v>0</v>
      </c>
      <c r="AV214" s="273"/>
      <c r="AW214" s="209">
        <f t="shared" si="133"/>
        <v>0</v>
      </c>
      <c r="AX214" s="273"/>
      <c r="AY214" s="209">
        <f t="shared" si="134"/>
        <v>0</v>
      </c>
      <c r="AZ214" s="273"/>
      <c r="BA214" s="179">
        <f t="shared" si="135"/>
        <v>0</v>
      </c>
      <c r="BB214"/>
      <c r="BC214"/>
      <c r="BD214"/>
    </row>
    <row r="215" spans="1:56" s="34" customFormat="1" hidden="1" x14ac:dyDescent="0.25">
      <c r="A215" s="87"/>
      <c r="B215" s="42"/>
      <c r="C215" s="41"/>
      <c r="D215" s="41"/>
      <c r="E215" s="40"/>
      <c r="F215" s="40"/>
      <c r="G215" s="40"/>
      <c r="H215" s="40"/>
      <c r="I215" s="160"/>
      <c r="J215" s="41"/>
      <c r="K215" s="41"/>
      <c r="L215" s="41"/>
      <c r="M215" s="41"/>
      <c r="N215" s="41"/>
      <c r="O215" s="41"/>
      <c r="P215" s="188"/>
      <c r="Q215" s="221"/>
      <c r="R215" s="253"/>
      <c r="S215" s="179">
        <f t="shared" si="118"/>
        <v>3898.2066402109976</v>
      </c>
      <c r="T215" s="259"/>
      <c r="U215" s="179">
        <f t="shared" si="119"/>
        <v>79</v>
      </c>
      <c r="V215" s="259"/>
      <c r="W215" s="179">
        <f t="shared" si="120"/>
        <v>0</v>
      </c>
      <c r="X215" s="259"/>
      <c r="Y215" s="179">
        <f t="shared" si="121"/>
        <v>1099.9999518559998</v>
      </c>
      <c r="Z215" s="259"/>
      <c r="AA215" s="179">
        <f t="shared" si="122"/>
        <v>412.42479377000001</v>
      </c>
      <c r="AB215" s="259"/>
      <c r="AC215" s="179">
        <f t="shared" si="123"/>
        <v>0</v>
      </c>
      <c r="AD215" s="189">
        <f t="shared" si="117"/>
        <v>0</v>
      </c>
      <c r="AE215" s="179">
        <f t="shared" si="124"/>
        <v>1512.424745626</v>
      </c>
      <c r="AF215" s="264"/>
      <c r="AG215" s="179">
        <f t="shared" si="125"/>
        <v>999.99995185600005</v>
      </c>
      <c r="AH215" s="268"/>
      <c r="AI215" s="179">
        <f t="shared" si="126"/>
        <v>0</v>
      </c>
      <c r="AJ215" s="268"/>
      <c r="AK215" s="179">
        <f t="shared" si="127"/>
        <v>100</v>
      </c>
      <c r="AL215" s="268"/>
      <c r="AM215" s="179">
        <f t="shared" si="128"/>
        <v>0</v>
      </c>
      <c r="AN215" s="268"/>
      <c r="AO215" s="179">
        <f t="shared" si="129"/>
        <v>0</v>
      </c>
      <c r="AP215" s="268"/>
      <c r="AQ215" s="179">
        <f t="shared" si="130"/>
        <v>0</v>
      </c>
      <c r="AR215" s="273"/>
      <c r="AS215" s="209">
        <f t="shared" si="131"/>
        <v>0</v>
      </c>
      <c r="AT215" s="273"/>
      <c r="AU215" s="226">
        <f t="shared" si="132"/>
        <v>0</v>
      </c>
      <c r="AV215" s="273"/>
      <c r="AW215" s="209">
        <f t="shared" si="133"/>
        <v>0</v>
      </c>
      <c r="AX215" s="273"/>
      <c r="AY215" s="209">
        <f t="shared" si="134"/>
        <v>0</v>
      </c>
      <c r="AZ215" s="273"/>
      <c r="BA215" s="179">
        <f t="shared" si="135"/>
        <v>0</v>
      </c>
      <c r="BB215"/>
      <c r="BC215"/>
      <c r="BD215"/>
    </row>
    <row r="216" spans="1:56" s="34" customFormat="1" hidden="1" x14ac:dyDescent="0.25">
      <c r="A216" s="87"/>
      <c r="B216" s="42"/>
      <c r="C216" s="41"/>
      <c r="D216" s="41"/>
      <c r="E216" s="40"/>
      <c r="F216" s="40"/>
      <c r="G216" s="40"/>
      <c r="H216" s="40"/>
      <c r="I216" s="160"/>
      <c r="J216" s="41"/>
      <c r="K216" s="41"/>
      <c r="L216" s="41"/>
      <c r="M216" s="41"/>
      <c r="N216" s="41"/>
      <c r="O216" s="41"/>
      <c r="P216" s="188"/>
      <c r="Q216" s="221"/>
      <c r="R216" s="253"/>
      <c r="S216" s="179">
        <f t="shared" si="118"/>
        <v>3898.2066402109976</v>
      </c>
      <c r="T216" s="259"/>
      <c r="U216" s="179">
        <f t="shared" si="119"/>
        <v>79</v>
      </c>
      <c r="V216" s="259"/>
      <c r="W216" s="179">
        <f t="shared" si="120"/>
        <v>0</v>
      </c>
      <c r="X216" s="259"/>
      <c r="Y216" s="179">
        <f t="shared" si="121"/>
        <v>1099.9999518559998</v>
      </c>
      <c r="Z216" s="259"/>
      <c r="AA216" s="179">
        <f t="shared" si="122"/>
        <v>412.42479377000001</v>
      </c>
      <c r="AB216" s="259"/>
      <c r="AC216" s="179">
        <f t="shared" si="123"/>
        <v>0</v>
      </c>
      <c r="AD216" s="189">
        <f t="shared" si="117"/>
        <v>0</v>
      </c>
      <c r="AE216" s="179">
        <f t="shared" si="124"/>
        <v>1512.424745626</v>
      </c>
      <c r="AF216" s="264"/>
      <c r="AG216" s="179">
        <f t="shared" si="125"/>
        <v>999.99995185600005</v>
      </c>
      <c r="AH216" s="268"/>
      <c r="AI216" s="179">
        <f t="shared" si="126"/>
        <v>0</v>
      </c>
      <c r="AJ216" s="268"/>
      <c r="AK216" s="179">
        <f t="shared" si="127"/>
        <v>100</v>
      </c>
      <c r="AL216" s="268"/>
      <c r="AM216" s="179">
        <f t="shared" si="128"/>
        <v>0</v>
      </c>
      <c r="AN216" s="268"/>
      <c r="AO216" s="179">
        <f t="shared" si="129"/>
        <v>0</v>
      </c>
      <c r="AP216" s="268"/>
      <c r="AQ216" s="179">
        <f t="shared" si="130"/>
        <v>0</v>
      </c>
      <c r="AR216" s="273"/>
      <c r="AS216" s="209">
        <f t="shared" si="131"/>
        <v>0</v>
      </c>
      <c r="AT216" s="273"/>
      <c r="AU216" s="226">
        <f t="shared" si="132"/>
        <v>0</v>
      </c>
      <c r="AV216" s="273"/>
      <c r="AW216" s="209">
        <f t="shared" si="133"/>
        <v>0</v>
      </c>
      <c r="AX216" s="273"/>
      <c r="AY216" s="209">
        <f t="shared" si="134"/>
        <v>0</v>
      </c>
      <c r="AZ216" s="273"/>
      <c r="BA216" s="179">
        <f t="shared" si="135"/>
        <v>0</v>
      </c>
      <c r="BB216"/>
      <c r="BC216"/>
      <c r="BD216"/>
    </row>
    <row r="217" spans="1:56" s="34" customFormat="1" hidden="1" x14ac:dyDescent="0.25">
      <c r="A217" s="87"/>
      <c r="B217" s="42"/>
      <c r="C217" s="41"/>
      <c r="D217" s="41"/>
      <c r="E217" s="40"/>
      <c r="F217" s="40"/>
      <c r="G217" s="40"/>
      <c r="H217" s="40"/>
      <c r="I217" s="160"/>
      <c r="J217" s="41"/>
      <c r="K217" s="41"/>
      <c r="L217" s="41"/>
      <c r="M217" s="41"/>
      <c r="N217" s="41"/>
      <c r="O217" s="41"/>
      <c r="P217" s="188"/>
      <c r="Q217" s="221"/>
      <c r="R217" s="253"/>
      <c r="S217" s="179">
        <f t="shared" si="118"/>
        <v>3898.2066402109976</v>
      </c>
      <c r="T217" s="259"/>
      <c r="U217" s="179">
        <f t="shared" si="119"/>
        <v>79</v>
      </c>
      <c r="V217" s="259"/>
      <c r="W217" s="179">
        <f t="shared" si="120"/>
        <v>0</v>
      </c>
      <c r="X217" s="259"/>
      <c r="Y217" s="179">
        <f t="shared" si="121"/>
        <v>1099.9999518559998</v>
      </c>
      <c r="Z217" s="259"/>
      <c r="AA217" s="179">
        <f t="shared" si="122"/>
        <v>412.42479377000001</v>
      </c>
      <c r="AB217" s="259"/>
      <c r="AC217" s="179">
        <f t="shared" si="123"/>
        <v>0</v>
      </c>
      <c r="AD217" s="189">
        <f t="shared" si="117"/>
        <v>0</v>
      </c>
      <c r="AE217" s="179">
        <f t="shared" si="124"/>
        <v>1512.424745626</v>
      </c>
      <c r="AF217" s="264"/>
      <c r="AG217" s="179">
        <f t="shared" si="125"/>
        <v>999.99995185600005</v>
      </c>
      <c r="AH217" s="268"/>
      <c r="AI217" s="179">
        <f t="shared" si="126"/>
        <v>0</v>
      </c>
      <c r="AJ217" s="268"/>
      <c r="AK217" s="179">
        <f t="shared" si="127"/>
        <v>100</v>
      </c>
      <c r="AL217" s="268"/>
      <c r="AM217" s="179">
        <f t="shared" si="128"/>
        <v>0</v>
      </c>
      <c r="AN217" s="268"/>
      <c r="AO217" s="179">
        <f t="shared" si="129"/>
        <v>0</v>
      </c>
      <c r="AP217" s="268"/>
      <c r="AQ217" s="179">
        <f t="shared" si="130"/>
        <v>0</v>
      </c>
      <c r="AR217" s="273"/>
      <c r="AS217" s="209">
        <f t="shared" si="131"/>
        <v>0</v>
      </c>
      <c r="AT217" s="273"/>
      <c r="AU217" s="226">
        <f t="shared" si="132"/>
        <v>0</v>
      </c>
      <c r="AV217" s="273"/>
      <c r="AW217" s="209">
        <f t="shared" si="133"/>
        <v>0</v>
      </c>
      <c r="AX217" s="273"/>
      <c r="AY217" s="209">
        <f t="shared" si="134"/>
        <v>0</v>
      </c>
      <c r="AZ217" s="273"/>
      <c r="BA217" s="179">
        <f t="shared" si="135"/>
        <v>0</v>
      </c>
      <c r="BB217"/>
      <c r="BC217"/>
      <c r="BD217"/>
    </row>
    <row r="218" spans="1:56" s="34" customFormat="1" hidden="1" x14ac:dyDescent="0.25">
      <c r="A218" s="87"/>
      <c r="B218" s="42"/>
      <c r="C218" s="41"/>
      <c r="D218" s="41"/>
      <c r="E218" s="40"/>
      <c r="F218" s="40"/>
      <c r="G218" s="40"/>
      <c r="H218" s="40"/>
      <c r="I218" s="160"/>
      <c r="J218" s="41"/>
      <c r="K218" s="41"/>
      <c r="L218" s="41"/>
      <c r="M218" s="41"/>
      <c r="N218" s="41"/>
      <c r="O218" s="41"/>
      <c r="P218" s="188"/>
      <c r="Q218" s="221"/>
      <c r="R218" s="253"/>
      <c r="S218" s="179">
        <f t="shared" si="118"/>
        <v>3898.2066402109976</v>
      </c>
      <c r="T218" s="259"/>
      <c r="U218" s="179">
        <f t="shared" si="119"/>
        <v>79</v>
      </c>
      <c r="V218" s="259"/>
      <c r="W218" s="179">
        <f t="shared" si="120"/>
        <v>0</v>
      </c>
      <c r="X218" s="259"/>
      <c r="Y218" s="179">
        <f t="shared" si="121"/>
        <v>1099.9999518559998</v>
      </c>
      <c r="Z218" s="259"/>
      <c r="AA218" s="179">
        <f t="shared" si="122"/>
        <v>412.42479377000001</v>
      </c>
      <c r="AB218" s="259"/>
      <c r="AC218" s="179">
        <f t="shared" si="123"/>
        <v>0</v>
      </c>
      <c r="AD218" s="189">
        <f t="shared" si="117"/>
        <v>0</v>
      </c>
      <c r="AE218" s="179">
        <f t="shared" si="124"/>
        <v>1512.424745626</v>
      </c>
      <c r="AF218" s="264"/>
      <c r="AG218" s="179">
        <f t="shared" si="125"/>
        <v>999.99995185600005</v>
      </c>
      <c r="AH218" s="268"/>
      <c r="AI218" s="179">
        <f t="shared" si="126"/>
        <v>0</v>
      </c>
      <c r="AJ218" s="268"/>
      <c r="AK218" s="179">
        <f t="shared" si="127"/>
        <v>100</v>
      </c>
      <c r="AL218" s="268"/>
      <c r="AM218" s="179">
        <f t="shared" si="128"/>
        <v>0</v>
      </c>
      <c r="AN218" s="268"/>
      <c r="AO218" s="179">
        <f t="shared" si="129"/>
        <v>0</v>
      </c>
      <c r="AP218" s="268"/>
      <c r="AQ218" s="179">
        <f t="shared" si="130"/>
        <v>0</v>
      </c>
      <c r="AR218" s="273"/>
      <c r="AS218" s="209">
        <f t="shared" si="131"/>
        <v>0</v>
      </c>
      <c r="AT218" s="273"/>
      <c r="AU218" s="226">
        <f t="shared" si="132"/>
        <v>0</v>
      </c>
      <c r="AV218" s="273"/>
      <c r="AW218" s="209">
        <f t="shared" si="133"/>
        <v>0</v>
      </c>
      <c r="AX218" s="273"/>
      <c r="AY218" s="209">
        <f t="shared" si="134"/>
        <v>0</v>
      </c>
      <c r="AZ218" s="273"/>
      <c r="BA218" s="179">
        <f t="shared" si="135"/>
        <v>0</v>
      </c>
      <c r="BB218"/>
      <c r="BC218"/>
      <c r="BD218"/>
    </row>
    <row r="219" spans="1:56" s="34" customFormat="1" hidden="1" x14ac:dyDescent="0.25">
      <c r="A219" s="87"/>
      <c r="B219" s="42"/>
      <c r="C219" s="41"/>
      <c r="D219" s="41"/>
      <c r="E219" s="40"/>
      <c r="F219" s="40"/>
      <c r="G219" s="40"/>
      <c r="H219" s="40"/>
      <c r="I219" s="160"/>
      <c r="J219" s="41"/>
      <c r="K219" s="41"/>
      <c r="L219" s="41"/>
      <c r="M219" s="41"/>
      <c r="N219" s="41"/>
      <c r="O219" s="41"/>
      <c r="P219" s="188"/>
      <c r="Q219" s="221"/>
      <c r="R219" s="253"/>
      <c r="S219" s="179">
        <f t="shared" si="118"/>
        <v>3898.2066402109976</v>
      </c>
      <c r="T219" s="259"/>
      <c r="U219" s="179">
        <f t="shared" si="119"/>
        <v>79</v>
      </c>
      <c r="V219" s="259"/>
      <c r="W219" s="179">
        <f t="shared" si="120"/>
        <v>0</v>
      </c>
      <c r="X219" s="259"/>
      <c r="Y219" s="179">
        <f t="shared" si="121"/>
        <v>1099.9999518559998</v>
      </c>
      <c r="Z219" s="259"/>
      <c r="AA219" s="179">
        <f t="shared" si="122"/>
        <v>412.42479377000001</v>
      </c>
      <c r="AB219" s="259"/>
      <c r="AC219" s="179">
        <f t="shared" si="123"/>
        <v>0</v>
      </c>
      <c r="AD219" s="189">
        <f t="shared" si="117"/>
        <v>0</v>
      </c>
      <c r="AE219" s="179">
        <f t="shared" si="124"/>
        <v>1512.424745626</v>
      </c>
      <c r="AF219" s="264"/>
      <c r="AG219" s="179">
        <f t="shared" si="125"/>
        <v>999.99995185600005</v>
      </c>
      <c r="AH219" s="268"/>
      <c r="AI219" s="179">
        <f t="shared" si="126"/>
        <v>0</v>
      </c>
      <c r="AJ219" s="268"/>
      <c r="AK219" s="179">
        <f t="shared" si="127"/>
        <v>100</v>
      </c>
      <c r="AL219" s="268"/>
      <c r="AM219" s="179">
        <f t="shared" si="128"/>
        <v>0</v>
      </c>
      <c r="AN219" s="268"/>
      <c r="AO219" s="179">
        <f t="shared" si="129"/>
        <v>0</v>
      </c>
      <c r="AP219" s="268"/>
      <c r="AQ219" s="179">
        <f t="shared" si="130"/>
        <v>0</v>
      </c>
      <c r="AR219" s="273"/>
      <c r="AS219" s="209">
        <f t="shared" si="131"/>
        <v>0</v>
      </c>
      <c r="AT219" s="273"/>
      <c r="AU219" s="226">
        <f t="shared" si="132"/>
        <v>0</v>
      </c>
      <c r="AV219" s="273"/>
      <c r="AW219" s="209">
        <f t="shared" si="133"/>
        <v>0</v>
      </c>
      <c r="AX219" s="273"/>
      <c r="AY219" s="209">
        <f t="shared" si="134"/>
        <v>0</v>
      </c>
      <c r="AZ219" s="273"/>
      <c r="BA219" s="179">
        <f t="shared" si="135"/>
        <v>0</v>
      </c>
      <c r="BB219"/>
      <c r="BC219"/>
      <c r="BD219"/>
    </row>
    <row r="220" spans="1:56" s="34" customFormat="1" hidden="1" x14ac:dyDescent="0.25">
      <c r="A220" s="87"/>
      <c r="B220" s="42"/>
      <c r="C220" s="41"/>
      <c r="D220" s="41"/>
      <c r="E220" s="40"/>
      <c r="F220" s="40"/>
      <c r="G220" s="40"/>
      <c r="H220" s="40"/>
      <c r="I220" s="160"/>
      <c r="J220" s="41"/>
      <c r="K220" s="41"/>
      <c r="L220" s="41"/>
      <c r="M220" s="41"/>
      <c r="N220" s="41"/>
      <c r="O220" s="41"/>
      <c r="P220" s="188"/>
      <c r="Q220" s="221"/>
      <c r="R220" s="253"/>
      <c r="S220" s="179">
        <f t="shared" si="118"/>
        <v>3898.2066402109976</v>
      </c>
      <c r="T220" s="259"/>
      <c r="U220" s="179">
        <f t="shared" si="119"/>
        <v>79</v>
      </c>
      <c r="V220" s="259"/>
      <c r="W220" s="179">
        <f t="shared" si="120"/>
        <v>0</v>
      </c>
      <c r="X220" s="259"/>
      <c r="Y220" s="179">
        <f t="shared" si="121"/>
        <v>1099.9999518559998</v>
      </c>
      <c r="Z220" s="259"/>
      <c r="AA220" s="179">
        <f t="shared" si="122"/>
        <v>412.42479377000001</v>
      </c>
      <c r="AB220" s="259"/>
      <c r="AC220" s="179">
        <f t="shared" si="123"/>
        <v>0</v>
      </c>
      <c r="AD220" s="189">
        <f t="shared" si="117"/>
        <v>0</v>
      </c>
      <c r="AE220" s="179">
        <f t="shared" si="124"/>
        <v>1512.424745626</v>
      </c>
      <c r="AF220" s="264"/>
      <c r="AG220" s="179">
        <f t="shared" si="125"/>
        <v>999.99995185600005</v>
      </c>
      <c r="AH220" s="268"/>
      <c r="AI220" s="179">
        <f t="shared" si="126"/>
        <v>0</v>
      </c>
      <c r="AJ220" s="268"/>
      <c r="AK220" s="179">
        <f t="shared" si="127"/>
        <v>100</v>
      </c>
      <c r="AL220" s="268"/>
      <c r="AM220" s="179">
        <f t="shared" si="128"/>
        <v>0</v>
      </c>
      <c r="AN220" s="268"/>
      <c r="AO220" s="179">
        <f t="shared" si="129"/>
        <v>0</v>
      </c>
      <c r="AP220" s="268"/>
      <c r="AQ220" s="179">
        <f t="shared" si="130"/>
        <v>0</v>
      </c>
      <c r="AR220" s="273"/>
      <c r="AS220" s="209">
        <f t="shared" si="131"/>
        <v>0</v>
      </c>
      <c r="AT220" s="273"/>
      <c r="AU220" s="226">
        <f t="shared" si="132"/>
        <v>0</v>
      </c>
      <c r="AV220" s="273"/>
      <c r="AW220" s="209">
        <f t="shared" si="133"/>
        <v>0</v>
      </c>
      <c r="AX220" s="273"/>
      <c r="AY220" s="209">
        <f t="shared" si="134"/>
        <v>0</v>
      </c>
      <c r="AZ220" s="273"/>
      <c r="BA220" s="179">
        <f t="shared" si="135"/>
        <v>0</v>
      </c>
      <c r="BB220"/>
      <c r="BC220"/>
      <c r="BD220"/>
    </row>
    <row r="221" spans="1:56" s="34" customFormat="1" hidden="1" x14ac:dyDescent="0.25">
      <c r="A221" s="87"/>
      <c r="B221" s="42"/>
      <c r="C221" s="41"/>
      <c r="D221" s="41"/>
      <c r="E221" s="40"/>
      <c r="F221" s="40"/>
      <c r="G221" s="40"/>
      <c r="H221" s="40"/>
      <c r="I221" s="160"/>
      <c r="J221" s="41"/>
      <c r="K221" s="41"/>
      <c r="L221" s="41"/>
      <c r="M221" s="41"/>
      <c r="N221" s="41"/>
      <c r="O221" s="41"/>
      <c r="P221" s="188"/>
      <c r="Q221" s="221"/>
      <c r="R221" s="253"/>
      <c r="S221" s="179">
        <f t="shared" si="118"/>
        <v>3898.2066402109976</v>
      </c>
      <c r="T221" s="259"/>
      <c r="U221" s="179">
        <f t="shared" si="119"/>
        <v>79</v>
      </c>
      <c r="V221" s="259"/>
      <c r="W221" s="179">
        <f t="shared" si="120"/>
        <v>0</v>
      </c>
      <c r="X221" s="259"/>
      <c r="Y221" s="179">
        <f t="shared" si="121"/>
        <v>1099.9999518559998</v>
      </c>
      <c r="Z221" s="259"/>
      <c r="AA221" s="179">
        <f t="shared" si="122"/>
        <v>412.42479377000001</v>
      </c>
      <c r="AB221" s="259"/>
      <c r="AC221" s="179">
        <f t="shared" si="123"/>
        <v>0</v>
      </c>
      <c r="AD221" s="189">
        <f t="shared" si="117"/>
        <v>0</v>
      </c>
      <c r="AE221" s="179">
        <f t="shared" si="124"/>
        <v>1512.424745626</v>
      </c>
      <c r="AF221" s="264"/>
      <c r="AG221" s="179">
        <f t="shared" si="125"/>
        <v>999.99995185600005</v>
      </c>
      <c r="AH221" s="268"/>
      <c r="AI221" s="179">
        <f t="shared" si="126"/>
        <v>0</v>
      </c>
      <c r="AJ221" s="268"/>
      <c r="AK221" s="179">
        <f t="shared" si="127"/>
        <v>100</v>
      </c>
      <c r="AL221" s="268"/>
      <c r="AM221" s="179">
        <f t="shared" si="128"/>
        <v>0</v>
      </c>
      <c r="AN221" s="268"/>
      <c r="AO221" s="179">
        <f t="shared" si="129"/>
        <v>0</v>
      </c>
      <c r="AP221" s="268"/>
      <c r="AQ221" s="179">
        <f t="shared" si="130"/>
        <v>0</v>
      </c>
      <c r="AR221" s="273"/>
      <c r="AS221" s="209">
        <f t="shared" si="131"/>
        <v>0</v>
      </c>
      <c r="AT221" s="273"/>
      <c r="AU221" s="226">
        <f t="shared" si="132"/>
        <v>0</v>
      </c>
      <c r="AV221" s="273"/>
      <c r="AW221" s="209">
        <f t="shared" si="133"/>
        <v>0</v>
      </c>
      <c r="AX221" s="273"/>
      <c r="AY221" s="209">
        <f t="shared" si="134"/>
        <v>0</v>
      </c>
      <c r="AZ221" s="273"/>
      <c r="BA221" s="179">
        <f t="shared" si="135"/>
        <v>0</v>
      </c>
      <c r="BB221"/>
      <c r="BC221"/>
      <c r="BD221"/>
    </row>
    <row r="222" spans="1:56" s="34" customFormat="1" hidden="1" x14ac:dyDescent="0.25">
      <c r="A222" s="87"/>
      <c r="B222" s="42"/>
      <c r="C222" s="41"/>
      <c r="D222" s="41"/>
      <c r="E222" s="40"/>
      <c r="F222" s="40"/>
      <c r="G222" s="40"/>
      <c r="H222" s="40"/>
      <c r="I222" s="160"/>
      <c r="J222" s="41"/>
      <c r="K222" s="41"/>
      <c r="L222" s="41"/>
      <c r="M222" s="41"/>
      <c r="N222" s="41"/>
      <c r="O222" s="41"/>
      <c r="P222" s="188"/>
      <c r="Q222" s="221"/>
      <c r="R222" s="253"/>
      <c r="S222" s="179">
        <f t="shared" si="118"/>
        <v>3898.2066402109976</v>
      </c>
      <c r="T222" s="259"/>
      <c r="U222" s="179">
        <f t="shared" si="119"/>
        <v>79</v>
      </c>
      <c r="V222" s="259"/>
      <c r="W222" s="179">
        <f t="shared" si="120"/>
        <v>0</v>
      </c>
      <c r="X222" s="259"/>
      <c r="Y222" s="179">
        <f t="shared" si="121"/>
        <v>1099.9999518559998</v>
      </c>
      <c r="Z222" s="259"/>
      <c r="AA222" s="179">
        <f t="shared" si="122"/>
        <v>412.42479377000001</v>
      </c>
      <c r="AB222" s="259"/>
      <c r="AC222" s="179">
        <f t="shared" si="123"/>
        <v>0</v>
      </c>
      <c r="AD222" s="189">
        <f t="shared" si="117"/>
        <v>0</v>
      </c>
      <c r="AE222" s="179">
        <f t="shared" si="124"/>
        <v>1512.424745626</v>
      </c>
      <c r="AF222" s="264"/>
      <c r="AG222" s="179">
        <f t="shared" si="125"/>
        <v>999.99995185600005</v>
      </c>
      <c r="AH222" s="268"/>
      <c r="AI222" s="179">
        <f t="shared" si="126"/>
        <v>0</v>
      </c>
      <c r="AJ222" s="268"/>
      <c r="AK222" s="179">
        <f t="shared" si="127"/>
        <v>100</v>
      </c>
      <c r="AL222" s="268"/>
      <c r="AM222" s="179">
        <f t="shared" si="128"/>
        <v>0</v>
      </c>
      <c r="AN222" s="268"/>
      <c r="AO222" s="179">
        <f t="shared" si="129"/>
        <v>0</v>
      </c>
      <c r="AP222" s="268"/>
      <c r="AQ222" s="179">
        <f t="shared" si="130"/>
        <v>0</v>
      </c>
      <c r="AR222" s="273"/>
      <c r="AS222" s="209">
        <f t="shared" si="131"/>
        <v>0</v>
      </c>
      <c r="AT222" s="273"/>
      <c r="AU222" s="226">
        <f t="shared" si="132"/>
        <v>0</v>
      </c>
      <c r="AV222" s="273"/>
      <c r="AW222" s="209">
        <f t="shared" si="133"/>
        <v>0</v>
      </c>
      <c r="AX222" s="273"/>
      <c r="AY222" s="209">
        <f t="shared" si="134"/>
        <v>0</v>
      </c>
      <c r="AZ222" s="273"/>
      <c r="BA222" s="179">
        <f t="shared" si="135"/>
        <v>0</v>
      </c>
      <c r="BB222"/>
      <c r="BC222"/>
      <c r="BD222"/>
    </row>
    <row r="223" spans="1:56" s="34" customFormat="1" hidden="1" x14ac:dyDescent="0.25">
      <c r="A223" s="87"/>
      <c r="B223" s="42"/>
      <c r="C223" s="41"/>
      <c r="D223" s="41"/>
      <c r="E223" s="40"/>
      <c r="F223" s="40"/>
      <c r="G223" s="40"/>
      <c r="H223" s="40"/>
      <c r="I223" s="160"/>
      <c r="J223" s="41"/>
      <c r="K223" s="41"/>
      <c r="L223" s="41"/>
      <c r="M223" s="41"/>
      <c r="N223" s="41"/>
      <c r="O223" s="41"/>
      <c r="P223" s="188"/>
      <c r="Q223" s="221"/>
      <c r="R223" s="253"/>
      <c r="S223" s="179">
        <f t="shared" si="118"/>
        <v>3898.2066402109976</v>
      </c>
      <c r="T223" s="259"/>
      <c r="U223" s="179">
        <f t="shared" si="119"/>
        <v>79</v>
      </c>
      <c r="V223" s="259"/>
      <c r="W223" s="179">
        <f t="shared" si="120"/>
        <v>0</v>
      </c>
      <c r="X223" s="259"/>
      <c r="Y223" s="179">
        <f t="shared" si="121"/>
        <v>1099.9999518559998</v>
      </c>
      <c r="Z223" s="259"/>
      <c r="AA223" s="179">
        <f t="shared" si="122"/>
        <v>412.42479377000001</v>
      </c>
      <c r="AB223" s="259"/>
      <c r="AC223" s="179">
        <f t="shared" si="123"/>
        <v>0</v>
      </c>
      <c r="AD223" s="189">
        <f t="shared" si="117"/>
        <v>0</v>
      </c>
      <c r="AE223" s="179">
        <f t="shared" si="124"/>
        <v>1512.424745626</v>
      </c>
      <c r="AF223" s="264"/>
      <c r="AG223" s="179">
        <f t="shared" si="125"/>
        <v>999.99995185600005</v>
      </c>
      <c r="AH223" s="268"/>
      <c r="AI223" s="179">
        <f t="shared" si="126"/>
        <v>0</v>
      </c>
      <c r="AJ223" s="268"/>
      <c r="AK223" s="179">
        <f t="shared" si="127"/>
        <v>100</v>
      </c>
      <c r="AL223" s="268"/>
      <c r="AM223" s="179">
        <f t="shared" si="128"/>
        <v>0</v>
      </c>
      <c r="AN223" s="268"/>
      <c r="AO223" s="179">
        <f t="shared" si="129"/>
        <v>0</v>
      </c>
      <c r="AP223" s="268"/>
      <c r="AQ223" s="179">
        <f t="shared" si="130"/>
        <v>0</v>
      </c>
      <c r="AR223" s="273"/>
      <c r="AS223" s="209">
        <f t="shared" si="131"/>
        <v>0</v>
      </c>
      <c r="AT223" s="273"/>
      <c r="AU223" s="226">
        <f t="shared" si="132"/>
        <v>0</v>
      </c>
      <c r="AV223" s="273"/>
      <c r="AW223" s="209">
        <f t="shared" si="133"/>
        <v>0</v>
      </c>
      <c r="AX223" s="273"/>
      <c r="AY223" s="209">
        <f t="shared" si="134"/>
        <v>0</v>
      </c>
      <c r="AZ223" s="273"/>
      <c r="BA223" s="179">
        <f t="shared" si="135"/>
        <v>0</v>
      </c>
      <c r="BB223"/>
      <c r="BC223"/>
      <c r="BD223"/>
    </row>
    <row r="224" spans="1:56" s="34" customFormat="1" hidden="1" x14ac:dyDescent="0.25">
      <c r="A224" s="87"/>
      <c r="B224" s="42"/>
      <c r="C224" s="41"/>
      <c r="D224" s="41"/>
      <c r="E224" s="40"/>
      <c r="F224" s="40"/>
      <c r="G224" s="40"/>
      <c r="H224" s="40"/>
      <c r="I224" s="160"/>
      <c r="J224" s="41"/>
      <c r="K224" s="41"/>
      <c r="L224" s="41"/>
      <c r="M224" s="41"/>
      <c r="N224" s="41"/>
      <c r="O224" s="41"/>
      <c r="P224" s="188"/>
      <c r="Q224" s="221"/>
      <c r="R224" s="253"/>
      <c r="S224" s="179">
        <f t="shared" si="118"/>
        <v>3898.2066402109976</v>
      </c>
      <c r="T224" s="259"/>
      <c r="U224" s="179">
        <f t="shared" si="119"/>
        <v>79</v>
      </c>
      <c r="V224" s="259"/>
      <c r="W224" s="179">
        <f t="shared" si="120"/>
        <v>0</v>
      </c>
      <c r="X224" s="259"/>
      <c r="Y224" s="179">
        <f t="shared" si="121"/>
        <v>1099.9999518559998</v>
      </c>
      <c r="Z224" s="259"/>
      <c r="AA224" s="179">
        <f t="shared" si="122"/>
        <v>412.42479377000001</v>
      </c>
      <c r="AB224" s="259"/>
      <c r="AC224" s="179">
        <f t="shared" si="123"/>
        <v>0</v>
      </c>
      <c r="AD224" s="189">
        <f t="shared" si="117"/>
        <v>0</v>
      </c>
      <c r="AE224" s="179">
        <f t="shared" si="124"/>
        <v>1512.424745626</v>
      </c>
      <c r="AF224" s="264"/>
      <c r="AG224" s="179">
        <f t="shared" si="125"/>
        <v>999.99995185600005</v>
      </c>
      <c r="AH224" s="268"/>
      <c r="AI224" s="179">
        <f t="shared" si="126"/>
        <v>0</v>
      </c>
      <c r="AJ224" s="268"/>
      <c r="AK224" s="179">
        <f t="shared" si="127"/>
        <v>100</v>
      </c>
      <c r="AL224" s="268"/>
      <c r="AM224" s="179">
        <f t="shared" si="128"/>
        <v>0</v>
      </c>
      <c r="AN224" s="268"/>
      <c r="AO224" s="179">
        <f t="shared" si="129"/>
        <v>0</v>
      </c>
      <c r="AP224" s="268"/>
      <c r="AQ224" s="179">
        <f t="shared" si="130"/>
        <v>0</v>
      </c>
      <c r="AR224" s="273"/>
      <c r="AS224" s="209">
        <f t="shared" si="131"/>
        <v>0</v>
      </c>
      <c r="AT224" s="273"/>
      <c r="AU224" s="226">
        <f t="shared" si="132"/>
        <v>0</v>
      </c>
      <c r="AV224" s="273"/>
      <c r="AW224" s="209">
        <f t="shared" si="133"/>
        <v>0</v>
      </c>
      <c r="AX224" s="273"/>
      <c r="AY224" s="209">
        <f t="shared" si="134"/>
        <v>0</v>
      </c>
      <c r="AZ224" s="273"/>
      <c r="BA224" s="179">
        <f t="shared" si="135"/>
        <v>0</v>
      </c>
      <c r="BB224"/>
      <c r="BC224"/>
      <c r="BD224"/>
    </row>
    <row r="225" spans="1:56" s="34" customFormat="1" hidden="1" x14ac:dyDescent="0.25">
      <c r="A225" s="87"/>
      <c r="B225" s="42"/>
      <c r="C225" s="41"/>
      <c r="D225" s="41"/>
      <c r="E225" s="40"/>
      <c r="F225" s="40"/>
      <c r="G225" s="40"/>
      <c r="H225" s="40"/>
      <c r="I225" s="160"/>
      <c r="J225" s="41"/>
      <c r="K225" s="41"/>
      <c r="L225" s="41"/>
      <c r="M225" s="41"/>
      <c r="N225" s="41"/>
      <c r="O225" s="41"/>
      <c r="P225" s="188"/>
      <c r="Q225" s="221"/>
      <c r="R225" s="253"/>
      <c r="S225" s="179">
        <f t="shared" si="118"/>
        <v>3898.2066402109976</v>
      </c>
      <c r="T225" s="259"/>
      <c r="U225" s="179">
        <f t="shared" si="119"/>
        <v>79</v>
      </c>
      <c r="V225" s="259"/>
      <c r="W225" s="179">
        <f t="shared" si="120"/>
        <v>0</v>
      </c>
      <c r="X225" s="259"/>
      <c r="Y225" s="179">
        <f t="shared" si="121"/>
        <v>1099.9999518559998</v>
      </c>
      <c r="Z225" s="259"/>
      <c r="AA225" s="179">
        <f t="shared" si="122"/>
        <v>412.42479377000001</v>
      </c>
      <c r="AB225" s="259"/>
      <c r="AC225" s="179">
        <f t="shared" si="123"/>
        <v>0</v>
      </c>
      <c r="AD225" s="189">
        <f t="shared" si="117"/>
        <v>0</v>
      </c>
      <c r="AE225" s="179">
        <f t="shared" si="124"/>
        <v>1512.424745626</v>
      </c>
      <c r="AF225" s="264"/>
      <c r="AG225" s="179">
        <f t="shared" si="125"/>
        <v>999.99995185600005</v>
      </c>
      <c r="AH225" s="268"/>
      <c r="AI225" s="179">
        <f t="shared" si="126"/>
        <v>0</v>
      </c>
      <c r="AJ225" s="268"/>
      <c r="AK225" s="179">
        <f t="shared" si="127"/>
        <v>100</v>
      </c>
      <c r="AL225" s="268"/>
      <c r="AM225" s="179">
        <f t="shared" si="128"/>
        <v>0</v>
      </c>
      <c r="AN225" s="268"/>
      <c r="AO225" s="179">
        <f t="shared" si="129"/>
        <v>0</v>
      </c>
      <c r="AP225" s="268"/>
      <c r="AQ225" s="179">
        <f t="shared" si="130"/>
        <v>0</v>
      </c>
      <c r="AR225" s="273"/>
      <c r="AS225" s="209">
        <f t="shared" si="131"/>
        <v>0</v>
      </c>
      <c r="AT225" s="273"/>
      <c r="AU225" s="226">
        <f t="shared" si="132"/>
        <v>0</v>
      </c>
      <c r="AV225" s="273"/>
      <c r="AW225" s="209">
        <f t="shared" si="133"/>
        <v>0</v>
      </c>
      <c r="AX225" s="273"/>
      <c r="AY225" s="209">
        <f t="shared" si="134"/>
        <v>0</v>
      </c>
      <c r="AZ225" s="273"/>
      <c r="BA225" s="179">
        <f t="shared" si="135"/>
        <v>0</v>
      </c>
      <c r="BB225"/>
      <c r="BC225"/>
      <c r="BD225"/>
    </row>
    <row r="226" spans="1:56" s="34" customFormat="1" hidden="1" x14ac:dyDescent="0.25">
      <c r="A226" s="87"/>
      <c r="B226" s="42"/>
      <c r="C226" s="41"/>
      <c r="D226" s="41"/>
      <c r="E226" s="40"/>
      <c r="F226" s="40"/>
      <c r="G226" s="40"/>
      <c r="H226" s="40"/>
      <c r="I226" s="160"/>
      <c r="J226" s="41"/>
      <c r="K226" s="41"/>
      <c r="L226" s="41"/>
      <c r="M226" s="41"/>
      <c r="N226" s="41"/>
      <c r="O226" s="41"/>
      <c r="P226" s="188"/>
      <c r="Q226" s="221"/>
      <c r="R226" s="253"/>
      <c r="S226" s="179">
        <f t="shared" si="118"/>
        <v>3898.2066402109976</v>
      </c>
      <c r="T226" s="259"/>
      <c r="U226" s="179">
        <f t="shared" si="119"/>
        <v>79</v>
      </c>
      <c r="V226" s="259"/>
      <c r="W226" s="179">
        <f t="shared" si="120"/>
        <v>0</v>
      </c>
      <c r="X226" s="259"/>
      <c r="Y226" s="179">
        <f t="shared" si="121"/>
        <v>1099.9999518559998</v>
      </c>
      <c r="Z226" s="259"/>
      <c r="AA226" s="179">
        <f t="shared" si="122"/>
        <v>412.42479377000001</v>
      </c>
      <c r="AB226" s="259"/>
      <c r="AC226" s="179">
        <f t="shared" si="123"/>
        <v>0</v>
      </c>
      <c r="AD226" s="189">
        <f t="shared" si="117"/>
        <v>0</v>
      </c>
      <c r="AE226" s="179">
        <f t="shared" si="124"/>
        <v>1512.424745626</v>
      </c>
      <c r="AF226" s="264"/>
      <c r="AG226" s="179">
        <f t="shared" si="125"/>
        <v>999.99995185600005</v>
      </c>
      <c r="AH226" s="268"/>
      <c r="AI226" s="179">
        <f t="shared" si="126"/>
        <v>0</v>
      </c>
      <c r="AJ226" s="268"/>
      <c r="AK226" s="179">
        <f t="shared" si="127"/>
        <v>100</v>
      </c>
      <c r="AL226" s="268"/>
      <c r="AM226" s="179">
        <f t="shared" si="128"/>
        <v>0</v>
      </c>
      <c r="AN226" s="268"/>
      <c r="AO226" s="179">
        <f t="shared" si="129"/>
        <v>0</v>
      </c>
      <c r="AP226" s="268"/>
      <c r="AQ226" s="179">
        <f t="shared" si="130"/>
        <v>0</v>
      </c>
      <c r="AR226" s="273"/>
      <c r="AS226" s="209">
        <f t="shared" si="131"/>
        <v>0</v>
      </c>
      <c r="AT226" s="273"/>
      <c r="AU226" s="226">
        <f t="shared" si="132"/>
        <v>0</v>
      </c>
      <c r="AV226" s="273"/>
      <c r="AW226" s="209">
        <f t="shared" si="133"/>
        <v>0</v>
      </c>
      <c r="AX226" s="273"/>
      <c r="AY226" s="209">
        <f t="shared" si="134"/>
        <v>0</v>
      </c>
      <c r="AZ226" s="273"/>
      <c r="BA226" s="179">
        <f t="shared" si="135"/>
        <v>0</v>
      </c>
      <c r="BB226"/>
      <c r="BC226"/>
      <c r="BD226"/>
    </row>
    <row r="227" spans="1:56" s="34" customFormat="1" hidden="1" x14ac:dyDescent="0.25">
      <c r="A227" s="87"/>
      <c r="B227" s="42"/>
      <c r="C227" s="41"/>
      <c r="D227" s="41"/>
      <c r="E227" s="40"/>
      <c r="F227" s="40"/>
      <c r="G227" s="40"/>
      <c r="H227" s="40"/>
      <c r="I227" s="160"/>
      <c r="J227" s="41"/>
      <c r="K227" s="41"/>
      <c r="L227" s="41"/>
      <c r="M227" s="41"/>
      <c r="N227" s="41"/>
      <c r="O227" s="41"/>
      <c r="P227" s="188"/>
      <c r="Q227" s="221"/>
      <c r="R227" s="253"/>
      <c r="S227" s="179">
        <f t="shared" si="118"/>
        <v>3898.2066402109976</v>
      </c>
      <c r="T227" s="259"/>
      <c r="U227" s="179">
        <f t="shared" si="119"/>
        <v>79</v>
      </c>
      <c r="V227" s="259"/>
      <c r="W227" s="179">
        <f t="shared" si="120"/>
        <v>0</v>
      </c>
      <c r="X227" s="259"/>
      <c r="Y227" s="179">
        <f t="shared" si="121"/>
        <v>1099.9999518559998</v>
      </c>
      <c r="Z227" s="259"/>
      <c r="AA227" s="179">
        <f t="shared" si="122"/>
        <v>412.42479377000001</v>
      </c>
      <c r="AB227" s="259"/>
      <c r="AC227" s="179">
        <f t="shared" si="123"/>
        <v>0</v>
      </c>
      <c r="AD227" s="189">
        <f t="shared" si="117"/>
        <v>0</v>
      </c>
      <c r="AE227" s="179">
        <f t="shared" si="124"/>
        <v>1512.424745626</v>
      </c>
      <c r="AF227" s="264"/>
      <c r="AG227" s="179">
        <f t="shared" si="125"/>
        <v>999.99995185600005</v>
      </c>
      <c r="AH227" s="268"/>
      <c r="AI227" s="179">
        <f t="shared" si="126"/>
        <v>0</v>
      </c>
      <c r="AJ227" s="268"/>
      <c r="AK227" s="179">
        <f t="shared" si="127"/>
        <v>100</v>
      </c>
      <c r="AL227" s="268"/>
      <c r="AM227" s="179">
        <f t="shared" si="128"/>
        <v>0</v>
      </c>
      <c r="AN227" s="268"/>
      <c r="AO227" s="179">
        <f t="shared" si="129"/>
        <v>0</v>
      </c>
      <c r="AP227" s="268"/>
      <c r="AQ227" s="179">
        <f t="shared" si="130"/>
        <v>0</v>
      </c>
      <c r="AR227" s="273"/>
      <c r="AS227" s="209">
        <f t="shared" si="131"/>
        <v>0</v>
      </c>
      <c r="AT227" s="273"/>
      <c r="AU227" s="226">
        <f t="shared" si="132"/>
        <v>0</v>
      </c>
      <c r="AV227" s="273"/>
      <c r="AW227" s="209">
        <f t="shared" si="133"/>
        <v>0</v>
      </c>
      <c r="AX227" s="273"/>
      <c r="AY227" s="209">
        <f t="shared" si="134"/>
        <v>0</v>
      </c>
      <c r="AZ227" s="273"/>
      <c r="BA227" s="179">
        <f t="shared" si="135"/>
        <v>0</v>
      </c>
      <c r="BB227"/>
      <c r="BC227"/>
      <c r="BD227"/>
    </row>
    <row r="228" spans="1:56" s="34" customFormat="1" hidden="1" x14ac:dyDescent="0.25">
      <c r="A228" s="87"/>
      <c r="B228" s="42"/>
      <c r="C228" s="41"/>
      <c r="D228" s="41"/>
      <c r="E228" s="40"/>
      <c r="F228" s="40"/>
      <c r="G228" s="40"/>
      <c r="H228" s="40"/>
      <c r="I228" s="160"/>
      <c r="J228" s="41"/>
      <c r="K228" s="41"/>
      <c r="L228" s="41"/>
      <c r="M228" s="41"/>
      <c r="N228" s="41"/>
      <c r="O228" s="41"/>
      <c r="P228" s="188"/>
      <c r="Q228" s="221"/>
      <c r="R228" s="253"/>
      <c r="S228" s="179">
        <f t="shared" si="118"/>
        <v>3898.2066402109976</v>
      </c>
      <c r="T228" s="259"/>
      <c r="U228" s="179">
        <f t="shared" si="119"/>
        <v>79</v>
      </c>
      <c r="V228" s="259"/>
      <c r="W228" s="179">
        <f t="shared" si="120"/>
        <v>0</v>
      </c>
      <c r="X228" s="259"/>
      <c r="Y228" s="179">
        <f t="shared" si="121"/>
        <v>1099.9999518559998</v>
      </c>
      <c r="Z228" s="259"/>
      <c r="AA228" s="179">
        <f t="shared" si="122"/>
        <v>412.42479377000001</v>
      </c>
      <c r="AB228" s="259"/>
      <c r="AC228" s="179">
        <f t="shared" si="123"/>
        <v>0</v>
      </c>
      <c r="AD228" s="189">
        <f t="shared" si="117"/>
        <v>0</v>
      </c>
      <c r="AE228" s="179">
        <f t="shared" si="124"/>
        <v>1512.424745626</v>
      </c>
      <c r="AF228" s="264"/>
      <c r="AG228" s="179">
        <f t="shared" si="125"/>
        <v>999.99995185600005</v>
      </c>
      <c r="AH228" s="268"/>
      <c r="AI228" s="179">
        <f t="shared" si="126"/>
        <v>0</v>
      </c>
      <c r="AJ228" s="268"/>
      <c r="AK228" s="179">
        <f t="shared" si="127"/>
        <v>100</v>
      </c>
      <c r="AL228" s="268"/>
      <c r="AM228" s="179">
        <f t="shared" si="128"/>
        <v>0</v>
      </c>
      <c r="AN228" s="268"/>
      <c r="AO228" s="179">
        <f t="shared" si="129"/>
        <v>0</v>
      </c>
      <c r="AP228" s="268"/>
      <c r="AQ228" s="179">
        <f t="shared" si="130"/>
        <v>0</v>
      </c>
      <c r="AR228" s="273"/>
      <c r="AS228" s="209">
        <f t="shared" si="131"/>
        <v>0</v>
      </c>
      <c r="AT228" s="273"/>
      <c r="AU228" s="226">
        <f t="shared" si="132"/>
        <v>0</v>
      </c>
      <c r="AV228" s="273"/>
      <c r="AW228" s="209">
        <f t="shared" si="133"/>
        <v>0</v>
      </c>
      <c r="AX228" s="273"/>
      <c r="AY228" s="209">
        <f t="shared" si="134"/>
        <v>0</v>
      </c>
      <c r="AZ228" s="273"/>
      <c r="BA228" s="179">
        <f t="shared" si="135"/>
        <v>0</v>
      </c>
      <c r="BB228"/>
      <c r="BC228"/>
      <c r="BD228"/>
    </row>
    <row r="229" spans="1:56" s="34" customFormat="1" hidden="1" x14ac:dyDescent="0.25">
      <c r="A229" s="87"/>
      <c r="B229" s="42"/>
      <c r="C229" s="41"/>
      <c r="D229" s="41"/>
      <c r="E229" s="40"/>
      <c r="F229" s="40"/>
      <c r="G229" s="40"/>
      <c r="H229" s="40"/>
      <c r="I229" s="160"/>
      <c r="J229" s="41"/>
      <c r="K229" s="41"/>
      <c r="L229" s="41"/>
      <c r="M229" s="41"/>
      <c r="N229" s="41"/>
      <c r="O229" s="41"/>
      <c r="P229" s="188"/>
      <c r="Q229" s="221"/>
      <c r="R229" s="253"/>
      <c r="S229" s="179">
        <f t="shared" si="118"/>
        <v>3898.2066402109976</v>
      </c>
      <c r="T229" s="259"/>
      <c r="U229" s="179">
        <f t="shared" si="119"/>
        <v>79</v>
      </c>
      <c r="V229" s="259"/>
      <c r="W229" s="179">
        <f t="shared" si="120"/>
        <v>0</v>
      </c>
      <c r="X229" s="259"/>
      <c r="Y229" s="179">
        <f t="shared" si="121"/>
        <v>1099.9999518559998</v>
      </c>
      <c r="Z229" s="259"/>
      <c r="AA229" s="179">
        <f t="shared" si="122"/>
        <v>412.42479377000001</v>
      </c>
      <c r="AB229" s="259"/>
      <c r="AC229" s="179">
        <f t="shared" si="123"/>
        <v>0</v>
      </c>
      <c r="AD229" s="189">
        <f t="shared" si="117"/>
        <v>0</v>
      </c>
      <c r="AE229" s="179">
        <f t="shared" si="124"/>
        <v>1512.424745626</v>
      </c>
      <c r="AF229" s="264"/>
      <c r="AG229" s="179">
        <f t="shared" si="125"/>
        <v>999.99995185600005</v>
      </c>
      <c r="AH229" s="268"/>
      <c r="AI229" s="179">
        <f t="shared" si="126"/>
        <v>0</v>
      </c>
      <c r="AJ229" s="268"/>
      <c r="AK229" s="179">
        <f t="shared" si="127"/>
        <v>100</v>
      </c>
      <c r="AL229" s="268"/>
      <c r="AM229" s="179">
        <f t="shared" si="128"/>
        <v>0</v>
      </c>
      <c r="AN229" s="268"/>
      <c r="AO229" s="179">
        <f t="shared" si="129"/>
        <v>0</v>
      </c>
      <c r="AP229" s="268"/>
      <c r="AQ229" s="179">
        <f t="shared" si="130"/>
        <v>0</v>
      </c>
      <c r="AR229" s="273"/>
      <c r="AS229" s="209">
        <f t="shared" si="131"/>
        <v>0</v>
      </c>
      <c r="AT229" s="273"/>
      <c r="AU229" s="226">
        <f t="shared" si="132"/>
        <v>0</v>
      </c>
      <c r="AV229" s="273"/>
      <c r="AW229" s="209">
        <f t="shared" si="133"/>
        <v>0</v>
      </c>
      <c r="AX229" s="273"/>
      <c r="AY229" s="209">
        <f t="shared" si="134"/>
        <v>0</v>
      </c>
      <c r="AZ229" s="273"/>
      <c r="BA229" s="179">
        <f t="shared" si="135"/>
        <v>0</v>
      </c>
      <c r="BB229"/>
      <c r="BC229"/>
      <c r="BD229"/>
    </row>
    <row r="230" spans="1:56" s="34" customFormat="1" hidden="1" x14ac:dyDescent="0.25">
      <c r="A230" s="87"/>
      <c r="B230" s="42"/>
      <c r="C230" s="41"/>
      <c r="D230" s="41"/>
      <c r="E230" s="40"/>
      <c r="F230" s="40"/>
      <c r="G230" s="40"/>
      <c r="H230" s="40"/>
      <c r="I230" s="160"/>
      <c r="J230" s="41"/>
      <c r="K230" s="41"/>
      <c r="L230" s="41"/>
      <c r="M230" s="41"/>
      <c r="N230" s="41"/>
      <c r="O230" s="41"/>
      <c r="P230" s="188"/>
      <c r="Q230" s="221"/>
      <c r="R230" s="253"/>
      <c r="S230" s="179">
        <f t="shared" si="118"/>
        <v>3898.2066402109976</v>
      </c>
      <c r="T230" s="259"/>
      <c r="U230" s="179">
        <f t="shared" si="119"/>
        <v>79</v>
      </c>
      <c r="V230" s="259"/>
      <c r="W230" s="179">
        <f t="shared" si="120"/>
        <v>0</v>
      </c>
      <c r="X230" s="259"/>
      <c r="Y230" s="179">
        <f t="shared" si="121"/>
        <v>1099.9999518559998</v>
      </c>
      <c r="Z230" s="259"/>
      <c r="AA230" s="179">
        <f t="shared" si="122"/>
        <v>412.42479377000001</v>
      </c>
      <c r="AB230" s="259"/>
      <c r="AC230" s="179">
        <f t="shared" si="123"/>
        <v>0</v>
      </c>
      <c r="AD230" s="189">
        <f t="shared" si="117"/>
        <v>0</v>
      </c>
      <c r="AE230" s="179">
        <f t="shared" si="124"/>
        <v>1512.424745626</v>
      </c>
      <c r="AF230" s="264"/>
      <c r="AG230" s="179">
        <f t="shared" si="125"/>
        <v>999.99995185600005</v>
      </c>
      <c r="AH230" s="268"/>
      <c r="AI230" s="179">
        <f t="shared" si="126"/>
        <v>0</v>
      </c>
      <c r="AJ230" s="268"/>
      <c r="AK230" s="179">
        <f t="shared" si="127"/>
        <v>100</v>
      </c>
      <c r="AL230" s="268"/>
      <c r="AM230" s="179">
        <f t="shared" si="128"/>
        <v>0</v>
      </c>
      <c r="AN230" s="268"/>
      <c r="AO230" s="179">
        <f t="shared" si="129"/>
        <v>0</v>
      </c>
      <c r="AP230" s="268"/>
      <c r="AQ230" s="179">
        <f t="shared" si="130"/>
        <v>0</v>
      </c>
      <c r="AR230" s="273"/>
      <c r="AS230" s="209">
        <f t="shared" si="131"/>
        <v>0</v>
      </c>
      <c r="AT230" s="273"/>
      <c r="AU230" s="226">
        <f t="shared" si="132"/>
        <v>0</v>
      </c>
      <c r="AV230" s="273"/>
      <c r="AW230" s="209">
        <f t="shared" si="133"/>
        <v>0</v>
      </c>
      <c r="AX230" s="273"/>
      <c r="AY230" s="209">
        <f t="shared" si="134"/>
        <v>0</v>
      </c>
      <c r="AZ230" s="273"/>
      <c r="BA230" s="179">
        <f t="shared" si="135"/>
        <v>0</v>
      </c>
      <c r="BB230"/>
      <c r="BC230"/>
      <c r="BD230"/>
    </row>
    <row r="231" spans="1:56" s="34" customFormat="1" hidden="1" x14ac:dyDescent="0.25">
      <c r="A231" s="87"/>
      <c r="B231" s="42"/>
      <c r="C231" s="41"/>
      <c r="D231" s="41"/>
      <c r="E231" s="40"/>
      <c r="F231" s="40"/>
      <c r="G231" s="40"/>
      <c r="H231" s="40"/>
      <c r="I231" s="160"/>
      <c r="J231" s="41"/>
      <c r="K231" s="41"/>
      <c r="L231" s="41"/>
      <c r="M231" s="41"/>
      <c r="N231" s="41"/>
      <c r="O231" s="41"/>
      <c r="P231" s="188"/>
      <c r="Q231" s="221"/>
      <c r="R231" s="253"/>
      <c r="S231" s="179">
        <f t="shared" si="118"/>
        <v>3898.2066402109976</v>
      </c>
      <c r="T231" s="259"/>
      <c r="U231" s="179">
        <f t="shared" si="119"/>
        <v>79</v>
      </c>
      <c r="V231" s="259"/>
      <c r="W231" s="179">
        <f t="shared" si="120"/>
        <v>0</v>
      </c>
      <c r="X231" s="259"/>
      <c r="Y231" s="179">
        <f t="shared" si="121"/>
        <v>1099.9999518559998</v>
      </c>
      <c r="Z231" s="259"/>
      <c r="AA231" s="179">
        <f t="shared" si="122"/>
        <v>412.42479377000001</v>
      </c>
      <c r="AB231" s="259"/>
      <c r="AC231" s="179">
        <f t="shared" si="123"/>
        <v>0</v>
      </c>
      <c r="AD231" s="189">
        <f t="shared" si="117"/>
        <v>0</v>
      </c>
      <c r="AE231" s="179">
        <f t="shared" si="124"/>
        <v>1512.424745626</v>
      </c>
      <c r="AF231" s="264"/>
      <c r="AG231" s="179">
        <f t="shared" si="125"/>
        <v>999.99995185600005</v>
      </c>
      <c r="AH231" s="268"/>
      <c r="AI231" s="179">
        <f t="shared" si="126"/>
        <v>0</v>
      </c>
      <c r="AJ231" s="268"/>
      <c r="AK231" s="179">
        <f t="shared" si="127"/>
        <v>100</v>
      </c>
      <c r="AL231" s="268"/>
      <c r="AM231" s="179">
        <f t="shared" si="128"/>
        <v>0</v>
      </c>
      <c r="AN231" s="268"/>
      <c r="AO231" s="179">
        <f t="shared" si="129"/>
        <v>0</v>
      </c>
      <c r="AP231" s="268"/>
      <c r="AQ231" s="179">
        <f t="shared" si="130"/>
        <v>0</v>
      </c>
      <c r="AR231" s="273"/>
      <c r="AS231" s="209">
        <f t="shared" si="131"/>
        <v>0</v>
      </c>
      <c r="AT231" s="273"/>
      <c r="AU231" s="226">
        <f t="shared" si="132"/>
        <v>0</v>
      </c>
      <c r="AV231" s="273"/>
      <c r="AW231" s="209">
        <f t="shared" si="133"/>
        <v>0</v>
      </c>
      <c r="AX231" s="273"/>
      <c r="AY231" s="209">
        <f t="shared" si="134"/>
        <v>0</v>
      </c>
      <c r="AZ231" s="273"/>
      <c r="BA231" s="179">
        <f t="shared" si="135"/>
        <v>0</v>
      </c>
      <c r="BB231"/>
      <c r="BC231"/>
      <c r="BD231"/>
    </row>
    <row r="232" spans="1:56" s="34" customFormat="1" hidden="1" x14ac:dyDescent="0.25">
      <c r="A232" s="87"/>
      <c r="B232" s="42"/>
      <c r="C232" s="41"/>
      <c r="D232" s="41"/>
      <c r="E232" s="40"/>
      <c r="F232" s="40"/>
      <c r="G232" s="40"/>
      <c r="H232" s="40"/>
      <c r="I232" s="160"/>
      <c r="J232" s="41"/>
      <c r="K232" s="41"/>
      <c r="L232" s="41"/>
      <c r="M232" s="41"/>
      <c r="N232" s="41"/>
      <c r="O232" s="41"/>
      <c r="P232" s="188"/>
      <c r="Q232" s="221"/>
      <c r="R232" s="253"/>
      <c r="S232" s="179">
        <f t="shared" si="118"/>
        <v>3898.2066402109976</v>
      </c>
      <c r="T232" s="259"/>
      <c r="U232" s="179">
        <f t="shared" si="119"/>
        <v>79</v>
      </c>
      <c r="V232" s="259"/>
      <c r="W232" s="179">
        <f t="shared" si="120"/>
        <v>0</v>
      </c>
      <c r="X232" s="259"/>
      <c r="Y232" s="179">
        <f t="shared" si="121"/>
        <v>1099.9999518559998</v>
      </c>
      <c r="Z232" s="259"/>
      <c r="AA232" s="179">
        <f t="shared" si="122"/>
        <v>412.42479377000001</v>
      </c>
      <c r="AB232" s="259"/>
      <c r="AC232" s="179">
        <f t="shared" si="123"/>
        <v>0</v>
      </c>
      <c r="AD232" s="189">
        <f t="shared" si="117"/>
        <v>0</v>
      </c>
      <c r="AE232" s="179">
        <f t="shared" si="124"/>
        <v>1512.424745626</v>
      </c>
      <c r="AF232" s="264"/>
      <c r="AG232" s="179">
        <f t="shared" si="125"/>
        <v>999.99995185600005</v>
      </c>
      <c r="AH232" s="268"/>
      <c r="AI232" s="179">
        <f t="shared" si="126"/>
        <v>0</v>
      </c>
      <c r="AJ232" s="268"/>
      <c r="AK232" s="179">
        <f t="shared" si="127"/>
        <v>100</v>
      </c>
      <c r="AL232" s="268"/>
      <c r="AM232" s="179">
        <f t="shared" si="128"/>
        <v>0</v>
      </c>
      <c r="AN232" s="268"/>
      <c r="AO232" s="179">
        <f t="shared" si="129"/>
        <v>0</v>
      </c>
      <c r="AP232" s="268"/>
      <c r="AQ232" s="179">
        <f t="shared" si="130"/>
        <v>0</v>
      </c>
      <c r="AR232" s="273"/>
      <c r="AS232" s="209">
        <f t="shared" si="131"/>
        <v>0</v>
      </c>
      <c r="AT232" s="273"/>
      <c r="AU232" s="226">
        <f t="shared" si="132"/>
        <v>0</v>
      </c>
      <c r="AV232" s="273"/>
      <c r="AW232" s="209">
        <f t="shared" si="133"/>
        <v>0</v>
      </c>
      <c r="AX232" s="273"/>
      <c r="AY232" s="209">
        <f t="shared" si="134"/>
        <v>0</v>
      </c>
      <c r="AZ232" s="273"/>
      <c r="BA232" s="179">
        <f t="shared" si="135"/>
        <v>0</v>
      </c>
      <c r="BB232"/>
      <c r="BC232"/>
      <c r="BD232"/>
    </row>
    <row r="233" spans="1:56" s="34" customFormat="1" hidden="1" x14ac:dyDescent="0.25">
      <c r="A233" s="87"/>
      <c r="B233" s="42"/>
      <c r="C233" s="41"/>
      <c r="D233" s="41"/>
      <c r="E233" s="40"/>
      <c r="F233" s="40"/>
      <c r="G233" s="40"/>
      <c r="H233" s="40"/>
      <c r="I233" s="160"/>
      <c r="J233" s="41"/>
      <c r="K233" s="41"/>
      <c r="L233" s="41"/>
      <c r="M233" s="41"/>
      <c r="N233" s="41"/>
      <c r="O233" s="41"/>
      <c r="P233" s="188"/>
      <c r="Q233" s="221"/>
      <c r="R233" s="253"/>
      <c r="S233" s="179">
        <f t="shared" si="118"/>
        <v>3898.2066402109976</v>
      </c>
      <c r="T233" s="259"/>
      <c r="U233" s="179">
        <f t="shared" si="119"/>
        <v>79</v>
      </c>
      <c r="V233" s="259"/>
      <c r="W233" s="179">
        <f t="shared" si="120"/>
        <v>0</v>
      </c>
      <c r="X233" s="259"/>
      <c r="Y233" s="179">
        <f t="shared" si="121"/>
        <v>1099.9999518559998</v>
      </c>
      <c r="Z233" s="259"/>
      <c r="AA233" s="179">
        <f t="shared" si="122"/>
        <v>412.42479377000001</v>
      </c>
      <c r="AB233" s="259"/>
      <c r="AC233" s="179">
        <f t="shared" si="123"/>
        <v>0</v>
      </c>
      <c r="AD233" s="189">
        <f t="shared" si="117"/>
        <v>0</v>
      </c>
      <c r="AE233" s="179">
        <f t="shared" si="124"/>
        <v>1512.424745626</v>
      </c>
      <c r="AF233" s="264"/>
      <c r="AG233" s="179">
        <f t="shared" si="125"/>
        <v>999.99995185600005</v>
      </c>
      <c r="AH233" s="268"/>
      <c r="AI233" s="179">
        <f t="shared" si="126"/>
        <v>0</v>
      </c>
      <c r="AJ233" s="268"/>
      <c r="AK233" s="179">
        <f t="shared" si="127"/>
        <v>100</v>
      </c>
      <c r="AL233" s="268"/>
      <c r="AM233" s="179">
        <f t="shared" si="128"/>
        <v>0</v>
      </c>
      <c r="AN233" s="268"/>
      <c r="AO233" s="179">
        <f t="shared" si="129"/>
        <v>0</v>
      </c>
      <c r="AP233" s="268"/>
      <c r="AQ233" s="179">
        <f t="shared" si="130"/>
        <v>0</v>
      </c>
      <c r="AR233" s="273"/>
      <c r="AS233" s="209">
        <f t="shared" si="131"/>
        <v>0</v>
      </c>
      <c r="AT233" s="273"/>
      <c r="AU233" s="226">
        <f t="shared" si="132"/>
        <v>0</v>
      </c>
      <c r="AV233" s="273"/>
      <c r="AW233" s="209">
        <f t="shared" si="133"/>
        <v>0</v>
      </c>
      <c r="AX233" s="273"/>
      <c r="AY233" s="209">
        <f t="shared" si="134"/>
        <v>0</v>
      </c>
      <c r="AZ233" s="273"/>
      <c r="BA233" s="179">
        <f t="shared" si="135"/>
        <v>0</v>
      </c>
      <c r="BB233"/>
      <c r="BC233"/>
      <c r="BD233"/>
    </row>
    <row r="234" spans="1:56" s="34" customFormat="1" hidden="1" x14ac:dyDescent="0.25">
      <c r="A234" s="87"/>
      <c r="B234" s="42"/>
      <c r="C234" s="41"/>
      <c r="D234" s="41"/>
      <c r="E234" s="40"/>
      <c r="F234" s="40"/>
      <c r="G234" s="40"/>
      <c r="H234" s="40"/>
      <c r="I234" s="160"/>
      <c r="J234" s="41"/>
      <c r="K234" s="41"/>
      <c r="L234" s="41"/>
      <c r="M234" s="41"/>
      <c r="N234" s="41"/>
      <c r="O234" s="41"/>
      <c r="P234" s="188"/>
      <c r="Q234" s="221"/>
      <c r="R234" s="253"/>
      <c r="S234" s="179">
        <f t="shared" si="118"/>
        <v>3898.2066402109976</v>
      </c>
      <c r="T234" s="259"/>
      <c r="U234" s="179">
        <f t="shared" si="119"/>
        <v>79</v>
      </c>
      <c r="V234" s="259"/>
      <c r="W234" s="179">
        <f t="shared" si="120"/>
        <v>0</v>
      </c>
      <c r="X234" s="259"/>
      <c r="Y234" s="179">
        <f t="shared" si="121"/>
        <v>1099.9999518559998</v>
      </c>
      <c r="Z234" s="259"/>
      <c r="AA234" s="179">
        <f t="shared" si="122"/>
        <v>412.42479377000001</v>
      </c>
      <c r="AB234" s="259"/>
      <c r="AC234" s="179">
        <f t="shared" si="123"/>
        <v>0</v>
      </c>
      <c r="AD234" s="189">
        <f t="shared" si="117"/>
        <v>0</v>
      </c>
      <c r="AE234" s="179">
        <f t="shared" si="124"/>
        <v>1512.424745626</v>
      </c>
      <c r="AF234" s="264"/>
      <c r="AG234" s="179">
        <f t="shared" si="125"/>
        <v>999.99995185600005</v>
      </c>
      <c r="AH234" s="268"/>
      <c r="AI234" s="179">
        <f t="shared" si="126"/>
        <v>0</v>
      </c>
      <c r="AJ234" s="268"/>
      <c r="AK234" s="179">
        <f t="shared" si="127"/>
        <v>100</v>
      </c>
      <c r="AL234" s="268"/>
      <c r="AM234" s="179">
        <f t="shared" si="128"/>
        <v>0</v>
      </c>
      <c r="AN234" s="268"/>
      <c r="AO234" s="179">
        <f t="shared" si="129"/>
        <v>0</v>
      </c>
      <c r="AP234" s="268"/>
      <c r="AQ234" s="179">
        <f t="shared" si="130"/>
        <v>0</v>
      </c>
      <c r="AR234" s="273"/>
      <c r="AS234" s="209">
        <f t="shared" si="131"/>
        <v>0</v>
      </c>
      <c r="AT234" s="273"/>
      <c r="AU234" s="226">
        <f t="shared" si="132"/>
        <v>0</v>
      </c>
      <c r="AV234" s="273"/>
      <c r="AW234" s="209">
        <f t="shared" si="133"/>
        <v>0</v>
      </c>
      <c r="AX234" s="273"/>
      <c r="AY234" s="209">
        <f t="shared" si="134"/>
        <v>0</v>
      </c>
      <c r="AZ234" s="273"/>
      <c r="BA234" s="179">
        <f t="shared" si="135"/>
        <v>0</v>
      </c>
      <c r="BB234"/>
      <c r="BC234"/>
      <c r="BD234"/>
    </row>
    <row r="235" spans="1:56" s="34" customFormat="1" hidden="1" x14ac:dyDescent="0.25">
      <c r="A235" s="87"/>
      <c r="B235" s="42"/>
      <c r="C235" s="41"/>
      <c r="D235" s="41"/>
      <c r="E235" s="40"/>
      <c r="F235" s="40"/>
      <c r="G235" s="40"/>
      <c r="H235" s="40"/>
      <c r="I235" s="160"/>
      <c r="J235" s="41"/>
      <c r="K235" s="41"/>
      <c r="L235" s="41"/>
      <c r="M235" s="41"/>
      <c r="N235" s="41"/>
      <c r="O235" s="41"/>
      <c r="P235" s="188"/>
      <c r="Q235" s="221"/>
      <c r="R235" s="253"/>
      <c r="S235" s="179">
        <f t="shared" si="118"/>
        <v>3898.2066402109976</v>
      </c>
      <c r="T235" s="259"/>
      <c r="U235" s="179">
        <f t="shared" si="119"/>
        <v>79</v>
      </c>
      <c r="V235" s="259"/>
      <c r="W235" s="179">
        <f t="shared" si="120"/>
        <v>0</v>
      </c>
      <c r="X235" s="259"/>
      <c r="Y235" s="179">
        <f t="shared" si="121"/>
        <v>1099.9999518559998</v>
      </c>
      <c r="Z235" s="259"/>
      <c r="AA235" s="179">
        <f t="shared" si="122"/>
        <v>412.42479377000001</v>
      </c>
      <c r="AB235" s="259"/>
      <c r="AC235" s="179">
        <f t="shared" si="123"/>
        <v>0</v>
      </c>
      <c r="AD235" s="189">
        <f t="shared" si="117"/>
        <v>0</v>
      </c>
      <c r="AE235" s="179">
        <f t="shared" si="124"/>
        <v>1512.424745626</v>
      </c>
      <c r="AF235" s="264"/>
      <c r="AG235" s="179">
        <f t="shared" si="125"/>
        <v>999.99995185600005</v>
      </c>
      <c r="AH235" s="268"/>
      <c r="AI235" s="179">
        <f t="shared" si="126"/>
        <v>0</v>
      </c>
      <c r="AJ235" s="268"/>
      <c r="AK235" s="179">
        <f t="shared" si="127"/>
        <v>100</v>
      </c>
      <c r="AL235" s="268"/>
      <c r="AM235" s="179">
        <f t="shared" si="128"/>
        <v>0</v>
      </c>
      <c r="AN235" s="268"/>
      <c r="AO235" s="179">
        <f t="shared" si="129"/>
        <v>0</v>
      </c>
      <c r="AP235" s="268"/>
      <c r="AQ235" s="179">
        <f t="shared" si="130"/>
        <v>0</v>
      </c>
      <c r="AR235" s="273"/>
      <c r="AS235" s="209">
        <f t="shared" si="131"/>
        <v>0</v>
      </c>
      <c r="AT235" s="273"/>
      <c r="AU235" s="226">
        <f t="shared" si="132"/>
        <v>0</v>
      </c>
      <c r="AV235" s="273"/>
      <c r="AW235" s="209">
        <f t="shared" si="133"/>
        <v>0</v>
      </c>
      <c r="AX235" s="273"/>
      <c r="AY235" s="209">
        <f t="shared" si="134"/>
        <v>0</v>
      </c>
      <c r="AZ235" s="273"/>
      <c r="BA235" s="179">
        <f t="shared" si="135"/>
        <v>0</v>
      </c>
      <c r="BB235"/>
      <c r="BC235"/>
      <c r="BD235"/>
    </row>
    <row r="236" spans="1:56" s="34" customFormat="1" hidden="1" x14ac:dyDescent="0.25">
      <c r="A236" s="87"/>
      <c r="B236" s="42"/>
      <c r="C236" s="41"/>
      <c r="D236" s="41"/>
      <c r="E236" s="40"/>
      <c r="F236" s="40"/>
      <c r="G236" s="40"/>
      <c r="H236" s="40"/>
      <c r="I236" s="160"/>
      <c r="J236" s="41"/>
      <c r="K236" s="41"/>
      <c r="L236" s="41"/>
      <c r="M236" s="41"/>
      <c r="N236" s="41"/>
      <c r="O236" s="41"/>
      <c r="P236" s="188"/>
      <c r="Q236" s="221"/>
      <c r="R236" s="253"/>
      <c r="S236" s="179">
        <f t="shared" si="118"/>
        <v>3898.2066402109976</v>
      </c>
      <c r="T236" s="259"/>
      <c r="U236" s="179">
        <f t="shared" si="119"/>
        <v>79</v>
      </c>
      <c r="V236" s="259"/>
      <c r="W236" s="179">
        <f t="shared" si="120"/>
        <v>0</v>
      </c>
      <c r="X236" s="259"/>
      <c r="Y236" s="179">
        <f t="shared" si="121"/>
        <v>1099.9999518559998</v>
      </c>
      <c r="Z236" s="259"/>
      <c r="AA236" s="179">
        <f t="shared" si="122"/>
        <v>412.42479377000001</v>
      </c>
      <c r="AB236" s="259"/>
      <c r="AC236" s="179">
        <f t="shared" si="123"/>
        <v>0</v>
      </c>
      <c r="AD236" s="189">
        <f t="shared" si="117"/>
        <v>0</v>
      </c>
      <c r="AE236" s="179">
        <f t="shared" si="124"/>
        <v>1512.424745626</v>
      </c>
      <c r="AF236" s="264"/>
      <c r="AG236" s="179">
        <f t="shared" si="125"/>
        <v>999.99995185600005</v>
      </c>
      <c r="AH236" s="268"/>
      <c r="AI236" s="179">
        <f t="shared" si="126"/>
        <v>0</v>
      </c>
      <c r="AJ236" s="268"/>
      <c r="AK236" s="179">
        <f t="shared" si="127"/>
        <v>100</v>
      </c>
      <c r="AL236" s="268"/>
      <c r="AM236" s="179">
        <f t="shared" si="128"/>
        <v>0</v>
      </c>
      <c r="AN236" s="268"/>
      <c r="AO236" s="179">
        <f t="shared" si="129"/>
        <v>0</v>
      </c>
      <c r="AP236" s="268"/>
      <c r="AQ236" s="179">
        <f t="shared" si="130"/>
        <v>0</v>
      </c>
      <c r="AR236" s="273"/>
      <c r="AS236" s="209">
        <f t="shared" si="131"/>
        <v>0</v>
      </c>
      <c r="AT236" s="273"/>
      <c r="AU236" s="226">
        <f t="shared" si="132"/>
        <v>0</v>
      </c>
      <c r="AV236" s="273"/>
      <c r="AW236" s="209">
        <f t="shared" si="133"/>
        <v>0</v>
      </c>
      <c r="AX236" s="273"/>
      <c r="AY236" s="209">
        <f t="shared" si="134"/>
        <v>0</v>
      </c>
      <c r="AZ236" s="273"/>
      <c r="BA236" s="179">
        <f t="shared" si="135"/>
        <v>0</v>
      </c>
      <c r="BB236"/>
      <c r="BC236"/>
      <c r="BD236"/>
    </row>
    <row r="237" spans="1:56" s="34" customFormat="1" hidden="1" x14ac:dyDescent="0.25">
      <c r="A237" s="87"/>
      <c r="B237" s="42"/>
      <c r="C237" s="41"/>
      <c r="D237" s="41"/>
      <c r="E237" s="40"/>
      <c r="F237" s="40"/>
      <c r="G237" s="40"/>
      <c r="H237" s="40"/>
      <c r="I237" s="160"/>
      <c r="J237" s="41"/>
      <c r="K237" s="41"/>
      <c r="L237" s="41"/>
      <c r="M237" s="41"/>
      <c r="N237" s="41"/>
      <c r="O237" s="41"/>
      <c r="P237" s="188"/>
      <c r="Q237" s="221"/>
      <c r="R237" s="253"/>
      <c r="S237" s="179">
        <f t="shared" si="118"/>
        <v>3898.2066402109976</v>
      </c>
      <c r="T237" s="259"/>
      <c r="U237" s="179">
        <f t="shared" si="119"/>
        <v>79</v>
      </c>
      <c r="V237" s="259"/>
      <c r="W237" s="179">
        <f t="shared" si="120"/>
        <v>0</v>
      </c>
      <c r="X237" s="259"/>
      <c r="Y237" s="179">
        <f t="shared" si="121"/>
        <v>1099.9999518559998</v>
      </c>
      <c r="Z237" s="259"/>
      <c r="AA237" s="179">
        <f t="shared" si="122"/>
        <v>412.42479377000001</v>
      </c>
      <c r="AB237" s="259"/>
      <c r="AC237" s="179">
        <f t="shared" si="123"/>
        <v>0</v>
      </c>
      <c r="AD237" s="189">
        <f t="shared" si="117"/>
        <v>0</v>
      </c>
      <c r="AE237" s="179">
        <f t="shared" si="124"/>
        <v>1512.424745626</v>
      </c>
      <c r="AF237" s="264"/>
      <c r="AG237" s="179">
        <f t="shared" si="125"/>
        <v>999.99995185600005</v>
      </c>
      <c r="AH237" s="268"/>
      <c r="AI237" s="179">
        <f t="shared" si="126"/>
        <v>0</v>
      </c>
      <c r="AJ237" s="268"/>
      <c r="AK237" s="179">
        <f t="shared" si="127"/>
        <v>100</v>
      </c>
      <c r="AL237" s="268"/>
      <c r="AM237" s="179">
        <f t="shared" si="128"/>
        <v>0</v>
      </c>
      <c r="AN237" s="268"/>
      <c r="AO237" s="179">
        <f t="shared" si="129"/>
        <v>0</v>
      </c>
      <c r="AP237" s="268"/>
      <c r="AQ237" s="179">
        <f t="shared" si="130"/>
        <v>0</v>
      </c>
      <c r="AR237" s="273"/>
      <c r="AS237" s="209">
        <f t="shared" si="131"/>
        <v>0</v>
      </c>
      <c r="AT237" s="273"/>
      <c r="AU237" s="226">
        <f t="shared" si="132"/>
        <v>0</v>
      </c>
      <c r="AV237" s="273"/>
      <c r="AW237" s="209">
        <f t="shared" si="133"/>
        <v>0</v>
      </c>
      <c r="AX237" s="273"/>
      <c r="AY237" s="209">
        <f t="shared" si="134"/>
        <v>0</v>
      </c>
      <c r="AZ237" s="273"/>
      <c r="BA237" s="179">
        <f t="shared" si="135"/>
        <v>0</v>
      </c>
      <c r="BB237"/>
      <c r="BC237"/>
      <c r="BD237"/>
    </row>
    <row r="238" spans="1:56" s="34" customFormat="1" hidden="1" x14ac:dyDescent="0.25">
      <c r="A238" s="87"/>
      <c r="B238" s="42"/>
      <c r="C238" s="41"/>
      <c r="D238" s="41"/>
      <c r="E238" s="40"/>
      <c r="F238" s="40"/>
      <c r="G238" s="40"/>
      <c r="H238" s="40"/>
      <c r="I238" s="160"/>
      <c r="J238" s="41"/>
      <c r="K238" s="41"/>
      <c r="L238" s="41"/>
      <c r="M238" s="41"/>
      <c r="N238" s="41"/>
      <c r="O238" s="41"/>
      <c r="P238" s="188"/>
      <c r="Q238" s="221"/>
      <c r="R238" s="253"/>
      <c r="S238" s="179">
        <f t="shared" si="118"/>
        <v>3898.2066402109976</v>
      </c>
      <c r="T238" s="259"/>
      <c r="U238" s="179">
        <f t="shared" si="119"/>
        <v>79</v>
      </c>
      <c r="V238" s="259"/>
      <c r="W238" s="179">
        <f t="shared" si="120"/>
        <v>0</v>
      </c>
      <c r="X238" s="259"/>
      <c r="Y238" s="179">
        <f t="shared" si="121"/>
        <v>1099.9999518559998</v>
      </c>
      <c r="Z238" s="259"/>
      <c r="AA238" s="179">
        <f t="shared" si="122"/>
        <v>412.42479377000001</v>
      </c>
      <c r="AB238" s="259"/>
      <c r="AC238" s="179">
        <f t="shared" si="123"/>
        <v>0</v>
      </c>
      <c r="AD238" s="189">
        <f t="shared" si="117"/>
        <v>0</v>
      </c>
      <c r="AE238" s="179">
        <f t="shared" si="124"/>
        <v>1512.424745626</v>
      </c>
      <c r="AF238" s="264"/>
      <c r="AG238" s="179">
        <f t="shared" si="125"/>
        <v>999.99995185600005</v>
      </c>
      <c r="AH238" s="268"/>
      <c r="AI238" s="179">
        <f t="shared" si="126"/>
        <v>0</v>
      </c>
      <c r="AJ238" s="268"/>
      <c r="AK238" s="179">
        <f t="shared" si="127"/>
        <v>100</v>
      </c>
      <c r="AL238" s="268"/>
      <c r="AM238" s="179">
        <f t="shared" si="128"/>
        <v>0</v>
      </c>
      <c r="AN238" s="268"/>
      <c r="AO238" s="179">
        <f t="shared" si="129"/>
        <v>0</v>
      </c>
      <c r="AP238" s="268"/>
      <c r="AQ238" s="179">
        <f t="shared" si="130"/>
        <v>0</v>
      </c>
      <c r="AR238" s="273"/>
      <c r="AS238" s="209">
        <f t="shared" si="131"/>
        <v>0</v>
      </c>
      <c r="AT238" s="273"/>
      <c r="AU238" s="226">
        <f t="shared" si="132"/>
        <v>0</v>
      </c>
      <c r="AV238" s="273"/>
      <c r="AW238" s="209">
        <f t="shared" si="133"/>
        <v>0</v>
      </c>
      <c r="AX238" s="273"/>
      <c r="AY238" s="209">
        <f t="shared" si="134"/>
        <v>0</v>
      </c>
      <c r="AZ238" s="273"/>
      <c r="BA238" s="179">
        <f t="shared" si="135"/>
        <v>0</v>
      </c>
      <c r="BB238"/>
      <c r="BC238"/>
      <c r="BD238"/>
    </row>
    <row r="239" spans="1:56" s="34" customFormat="1" hidden="1" x14ac:dyDescent="0.25">
      <c r="A239" s="87"/>
      <c r="B239" s="42"/>
      <c r="C239" s="41"/>
      <c r="D239" s="41"/>
      <c r="E239" s="40"/>
      <c r="F239" s="40"/>
      <c r="G239" s="40"/>
      <c r="H239" s="40"/>
      <c r="I239" s="160"/>
      <c r="J239" s="41"/>
      <c r="K239" s="41"/>
      <c r="L239" s="41"/>
      <c r="M239" s="41"/>
      <c r="N239" s="41"/>
      <c r="O239" s="41"/>
      <c r="P239" s="188"/>
      <c r="Q239" s="221"/>
      <c r="R239" s="253"/>
      <c r="S239" s="179">
        <f t="shared" si="118"/>
        <v>3898.2066402109976</v>
      </c>
      <c r="T239" s="259"/>
      <c r="U239" s="179">
        <f t="shared" si="119"/>
        <v>79</v>
      </c>
      <c r="V239" s="259"/>
      <c r="W239" s="179">
        <f t="shared" si="120"/>
        <v>0</v>
      </c>
      <c r="X239" s="259"/>
      <c r="Y239" s="179">
        <f t="shared" si="121"/>
        <v>1099.9999518559998</v>
      </c>
      <c r="Z239" s="259"/>
      <c r="AA239" s="179">
        <f t="shared" si="122"/>
        <v>412.42479377000001</v>
      </c>
      <c r="AB239" s="259"/>
      <c r="AC239" s="179">
        <f t="shared" si="123"/>
        <v>0</v>
      </c>
      <c r="AD239" s="189">
        <f t="shared" si="117"/>
        <v>0</v>
      </c>
      <c r="AE239" s="179">
        <f t="shared" si="124"/>
        <v>1512.424745626</v>
      </c>
      <c r="AF239" s="264"/>
      <c r="AG239" s="179">
        <f t="shared" si="125"/>
        <v>999.99995185600005</v>
      </c>
      <c r="AH239" s="268"/>
      <c r="AI239" s="179">
        <f t="shared" si="126"/>
        <v>0</v>
      </c>
      <c r="AJ239" s="268"/>
      <c r="AK239" s="179">
        <f t="shared" si="127"/>
        <v>100</v>
      </c>
      <c r="AL239" s="268"/>
      <c r="AM239" s="179">
        <f t="shared" si="128"/>
        <v>0</v>
      </c>
      <c r="AN239" s="268"/>
      <c r="AO239" s="179">
        <f t="shared" si="129"/>
        <v>0</v>
      </c>
      <c r="AP239" s="268"/>
      <c r="AQ239" s="179">
        <f t="shared" si="130"/>
        <v>0</v>
      </c>
      <c r="AR239" s="273"/>
      <c r="AS239" s="209">
        <f t="shared" si="131"/>
        <v>0</v>
      </c>
      <c r="AT239" s="273"/>
      <c r="AU239" s="226">
        <f t="shared" si="132"/>
        <v>0</v>
      </c>
      <c r="AV239" s="273"/>
      <c r="AW239" s="209">
        <f t="shared" si="133"/>
        <v>0</v>
      </c>
      <c r="AX239" s="273"/>
      <c r="AY239" s="209">
        <f t="shared" si="134"/>
        <v>0</v>
      </c>
      <c r="AZ239" s="273"/>
      <c r="BA239" s="179">
        <f t="shared" si="135"/>
        <v>0</v>
      </c>
      <c r="BB239"/>
      <c r="BC239"/>
      <c r="BD239"/>
    </row>
    <row r="240" spans="1:56" s="34" customFormat="1" hidden="1" x14ac:dyDescent="0.25">
      <c r="A240" s="87"/>
      <c r="B240" s="42"/>
      <c r="C240" s="41"/>
      <c r="D240" s="41"/>
      <c r="E240" s="40"/>
      <c r="F240" s="40"/>
      <c r="G240" s="40"/>
      <c r="H240" s="40"/>
      <c r="I240" s="160"/>
      <c r="J240" s="41"/>
      <c r="K240" s="41"/>
      <c r="L240" s="41"/>
      <c r="M240" s="41"/>
      <c r="N240" s="41"/>
      <c r="O240" s="41"/>
      <c r="P240" s="188"/>
      <c r="Q240" s="221"/>
      <c r="R240" s="253"/>
      <c r="S240" s="179">
        <f t="shared" si="118"/>
        <v>3898.2066402109976</v>
      </c>
      <c r="T240" s="259"/>
      <c r="U240" s="179">
        <f t="shared" si="119"/>
        <v>79</v>
      </c>
      <c r="V240" s="259"/>
      <c r="W240" s="179">
        <f t="shared" si="120"/>
        <v>0</v>
      </c>
      <c r="X240" s="259"/>
      <c r="Y240" s="179">
        <f t="shared" si="121"/>
        <v>1099.9999518559998</v>
      </c>
      <c r="Z240" s="259"/>
      <c r="AA240" s="179">
        <f t="shared" si="122"/>
        <v>412.42479377000001</v>
      </c>
      <c r="AB240" s="259"/>
      <c r="AC240" s="179">
        <f t="shared" si="123"/>
        <v>0</v>
      </c>
      <c r="AD240" s="189">
        <f t="shared" si="117"/>
        <v>0</v>
      </c>
      <c r="AE240" s="179">
        <f t="shared" si="124"/>
        <v>1512.424745626</v>
      </c>
      <c r="AF240" s="264"/>
      <c r="AG240" s="179">
        <f t="shared" si="125"/>
        <v>999.99995185600005</v>
      </c>
      <c r="AH240" s="268"/>
      <c r="AI240" s="179">
        <f t="shared" si="126"/>
        <v>0</v>
      </c>
      <c r="AJ240" s="268"/>
      <c r="AK240" s="179">
        <f t="shared" si="127"/>
        <v>100</v>
      </c>
      <c r="AL240" s="268"/>
      <c r="AM240" s="179">
        <f t="shared" si="128"/>
        <v>0</v>
      </c>
      <c r="AN240" s="268"/>
      <c r="AO240" s="179">
        <f t="shared" si="129"/>
        <v>0</v>
      </c>
      <c r="AP240" s="268"/>
      <c r="AQ240" s="179">
        <f t="shared" si="130"/>
        <v>0</v>
      </c>
      <c r="AR240" s="273"/>
      <c r="AS240" s="209">
        <f t="shared" si="131"/>
        <v>0</v>
      </c>
      <c r="AT240" s="273"/>
      <c r="AU240" s="226">
        <f t="shared" si="132"/>
        <v>0</v>
      </c>
      <c r="AV240" s="273"/>
      <c r="AW240" s="209">
        <f t="shared" si="133"/>
        <v>0</v>
      </c>
      <c r="AX240" s="273"/>
      <c r="AY240" s="209">
        <f t="shared" si="134"/>
        <v>0</v>
      </c>
      <c r="AZ240" s="273"/>
      <c r="BA240" s="179">
        <f t="shared" si="135"/>
        <v>0</v>
      </c>
      <c r="BB240"/>
      <c r="BC240"/>
      <c r="BD240"/>
    </row>
    <row r="241" spans="1:56" s="34" customFormat="1" hidden="1" x14ac:dyDescent="0.25">
      <c r="A241" s="87"/>
      <c r="B241" s="42"/>
      <c r="C241" s="41"/>
      <c r="D241" s="41"/>
      <c r="E241" s="40"/>
      <c r="F241" s="40"/>
      <c r="G241" s="40"/>
      <c r="H241" s="40"/>
      <c r="I241" s="160"/>
      <c r="J241" s="41"/>
      <c r="K241" s="41"/>
      <c r="L241" s="41"/>
      <c r="M241" s="41"/>
      <c r="N241" s="41"/>
      <c r="O241" s="41"/>
      <c r="P241" s="188"/>
      <c r="Q241" s="221"/>
      <c r="R241" s="253"/>
      <c r="S241" s="179">
        <f t="shared" si="118"/>
        <v>3898.2066402109976</v>
      </c>
      <c r="T241" s="259"/>
      <c r="U241" s="179">
        <f t="shared" si="119"/>
        <v>79</v>
      </c>
      <c r="V241" s="259"/>
      <c r="W241" s="179">
        <f t="shared" si="120"/>
        <v>0</v>
      </c>
      <c r="X241" s="259"/>
      <c r="Y241" s="179">
        <f t="shared" si="121"/>
        <v>1099.9999518559998</v>
      </c>
      <c r="Z241" s="259"/>
      <c r="AA241" s="179">
        <f t="shared" si="122"/>
        <v>412.42479377000001</v>
      </c>
      <c r="AB241" s="259"/>
      <c r="AC241" s="179">
        <f t="shared" si="123"/>
        <v>0</v>
      </c>
      <c r="AD241" s="189">
        <f t="shared" si="117"/>
        <v>0</v>
      </c>
      <c r="AE241" s="179">
        <f t="shared" si="124"/>
        <v>1512.424745626</v>
      </c>
      <c r="AF241" s="264"/>
      <c r="AG241" s="179">
        <f t="shared" si="125"/>
        <v>999.99995185600005</v>
      </c>
      <c r="AH241" s="268"/>
      <c r="AI241" s="179">
        <f t="shared" si="126"/>
        <v>0</v>
      </c>
      <c r="AJ241" s="268"/>
      <c r="AK241" s="179">
        <f t="shared" si="127"/>
        <v>100</v>
      </c>
      <c r="AL241" s="268"/>
      <c r="AM241" s="179">
        <f t="shared" si="128"/>
        <v>0</v>
      </c>
      <c r="AN241" s="268"/>
      <c r="AO241" s="179">
        <f t="shared" si="129"/>
        <v>0</v>
      </c>
      <c r="AP241" s="268"/>
      <c r="AQ241" s="179">
        <f t="shared" si="130"/>
        <v>0</v>
      </c>
      <c r="AR241" s="273"/>
      <c r="AS241" s="209">
        <f t="shared" si="131"/>
        <v>0</v>
      </c>
      <c r="AT241" s="273"/>
      <c r="AU241" s="226">
        <f t="shared" si="132"/>
        <v>0</v>
      </c>
      <c r="AV241" s="273"/>
      <c r="AW241" s="209">
        <f t="shared" si="133"/>
        <v>0</v>
      </c>
      <c r="AX241" s="273"/>
      <c r="AY241" s="209">
        <f t="shared" si="134"/>
        <v>0</v>
      </c>
      <c r="AZ241" s="273"/>
      <c r="BA241" s="179">
        <f t="shared" si="135"/>
        <v>0</v>
      </c>
      <c r="BB241"/>
      <c r="BC241"/>
      <c r="BD241"/>
    </row>
    <row r="242" spans="1:56" s="34" customFormat="1" hidden="1" x14ac:dyDescent="0.25">
      <c r="A242" s="87"/>
      <c r="B242" s="42"/>
      <c r="C242" s="41"/>
      <c r="D242" s="41"/>
      <c r="E242" s="40"/>
      <c r="F242" s="40"/>
      <c r="G242" s="40"/>
      <c r="H242" s="40"/>
      <c r="I242" s="160"/>
      <c r="J242" s="41"/>
      <c r="K242" s="41"/>
      <c r="L242" s="41"/>
      <c r="M242" s="41"/>
      <c r="N242" s="41"/>
      <c r="O242" s="41"/>
      <c r="P242" s="188"/>
      <c r="Q242" s="221"/>
      <c r="R242" s="253"/>
      <c r="S242" s="179">
        <f t="shared" si="118"/>
        <v>3898.2066402109976</v>
      </c>
      <c r="T242" s="259"/>
      <c r="U242" s="179">
        <f t="shared" si="119"/>
        <v>79</v>
      </c>
      <c r="V242" s="259"/>
      <c r="W242" s="179">
        <f t="shared" si="120"/>
        <v>0</v>
      </c>
      <c r="X242" s="259"/>
      <c r="Y242" s="179">
        <f t="shared" si="121"/>
        <v>1099.9999518559998</v>
      </c>
      <c r="Z242" s="259"/>
      <c r="AA242" s="179">
        <f t="shared" si="122"/>
        <v>412.42479377000001</v>
      </c>
      <c r="AB242" s="259"/>
      <c r="AC242" s="179">
        <f t="shared" si="123"/>
        <v>0</v>
      </c>
      <c r="AD242" s="189">
        <f t="shared" si="117"/>
        <v>0</v>
      </c>
      <c r="AE242" s="179">
        <f t="shared" si="124"/>
        <v>1512.424745626</v>
      </c>
      <c r="AF242" s="264"/>
      <c r="AG242" s="179">
        <f t="shared" si="125"/>
        <v>999.99995185600005</v>
      </c>
      <c r="AH242" s="268"/>
      <c r="AI242" s="179">
        <f t="shared" si="126"/>
        <v>0</v>
      </c>
      <c r="AJ242" s="268"/>
      <c r="AK242" s="179">
        <f t="shared" si="127"/>
        <v>100</v>
      </c>
      <c r="AL242" s="268"/>
      <c r="AM242" s="179">
        <f t="shared" si="128"/>
        <v>0</v>
      </c>
      <c r="AN242" s="268"/>
      <c r="AO242" s="179">
        <f t="shared" si="129"/>
        <v>0</v>
      </c>
      <c r="AP242" s="268"/>
      <c r="AQ242" s="179">
        <f t="shared" si="130"/>
        <v>0</v>
      </c>
      <c r="AR242" s="273"/>
      <c r="AS242" s="209">
        <f t="shared" si="131"/>
        <v>0</v>
      </c>
      <c r="AT242" s="273"/>
      <c r="AU242" s="226">
        <f t="shared" si="132"/>
        <v>0</v>
      </c>
      <c r="AV242" s="273"/>
      <c r="AW242" s="209">
        <f t="shared" si="133"/>
        <v>0</v>
      </c>
      <c r="AX242" s="273"/>
      <c r="AY242" s="209">
        <f t="shared" si="134"/>
        <v>0</v>
      </c>
      <c r="AZ242" s="273"/>
      <c r="BA242" s="179">
        <f t="shared" si="135"/>
        <v>0</v>
      </c>
      <c r="BB242"/>
      <c r="BC242"/>
      <c r="BD242"/>
    </row>
    <row r="243" spans="1:56" s="34" customFormat="1" hidden="1" x14ac:dyDescent="0.25">
      <c r="A243" s="87"/>
      <c r="B243" s="42"/>
      <c r="C243" s="41"/>
      <c r="D243" s="41"/>
      <c r="E243" s="40"/>
      <c r="F243" s="40"/>
      <c r="G243" s="40"/>
      <c r="H243" s="40"/>
      <c r="I243" s="160"/>
      <c r="J243" s="41"/>
      <c r="K243" s="41"/>
      <c r="L243" s="41"/>
      <c r="M243" s="41"/>
      <c r="N243" s="41"/>
      <c r="O243" s="41"/>
      <c r="P243" s="188"/>
      <c r="Q243" s="221"/>
      <c r="R243" s="253"/>
      <c r="S243" s="179">
        <f t="shared" si="118"/>
        <v>3898.2066402109976</v>
      </c>
      <c r="T243" s="259"/>
      <c r="U243" s="179">
        <f t="shared" si="119"/>
        <v>79</v>
      </c>
      <c r="V243" s="259"/>
      <c r="W243" s="179">
        <f t="shared" si="120"/>
        <v>0</v>
      </c>
      <c r="X243" s="259"/>
      <c r="Y243" s="179">
        <f t="shared" si="121"/>
        <v>1099.9999518559998</v>
      </c>
      <c r="Z243" s="259"/>
      <c r="AA243" s="179">
        <f t="shared" si="122"/>
        <v>412.42479377000001</v>
      </c>
      <c r="AB243" s="259"/>
      <c r="AC243" s="179">
        <f t="shared" si="123"/>
        <v>0</v>
      </c>
      <c r="AD243" s="189">
        <f t="shared" si="117"/>
        <v>0</v>
      </c>
      <c r="AE243" s="179">
        <f t="shared" si="124"/>
        <v>1512.424745626</v>
      </c>
      <c r="AF243" s="264"/>
      <c r="AG243" s="179">
        <f t="shared" si="125"/>
        <v>999.99995185600005</v>
      </c>
      <c r="AH243" s="268"/>
      <c r="AI243" s="179">
        <f t="shared" si="126"/>
        <v>0</v>
      </c>
      <c r="AJ243" s="268"/>
      <c r="AK243" s="179">
        <f t="shared" si="127"/>
        <v>100</v>
      </c>
      <c r="AL243" s="268"/>
      <c r="AM243" s="179">
        <f t="shared" si="128"/>
        <v>0</v>
      </c>
      <c r="AN243" s="268"/>
      <c r="AO243" s="179">
        <f t="shared" si="129"/>
        <v>0</v>
      </c>
      <c r="AP243" s="268"/>
      <c r="AQ243" s="179">
        <f t="shared" si="130"/>
        <v>0</v>
      </c>
      <c r="AR243" s="273"/>
      <c r="AS243" s="209">
        <f t="shared" si="131"/>
        <v>0</v>
      </c>
      <c r="AT243" s="273"/>
      <c r="AU243" s="226">
        <f t="shared" si="132"/>
        <v>0</v>
      </c>
      <c r="AV243" s="273"/>
      <c r="AW243" s="209">
        <f t="shared" si="133"/>
        <v>0</v>
      </c>
      <c r="AX243" s="273"/>
      <c r="AY243" s="209">
        <f t="shared" si="134"/>
        <v>0</v>
      </c>
      <c r="AZ243" s="273"/>
      <c r="BA243" s="179">
        <f t="shared" si="135"/>
        <v>0</v>
      </c>
      <c r="BB243"/>
      <c r="BC243"/>
      <c r="BD243"/>
    </row>
    <row r="244" spans="1:56" s="34" customFormat="1" hidden="1" x14ac:dyDescent="0.25">
      <c r="A244" s="87"/>
      <c r="B244" s="42"/>
      <c r="C244" s="41"/>
      <c r="D244" s="41"/>
      <c r="E244" s="40"/>
      <c r="F244" s="40"/>
      <c r="G244" s="40"/>
      <c r="H244" s="40"/>
      <c r="I244" s="160"/>
      <c r="J244" s="41"/>
      <c r="K244" s="41"/>
      <c r="L244" s="41"/>
      <c r="M244" s="41"/>
      <c r="N244" s="41"/>
      <c r="O244" s="41"/>
      <c r="P244" s="188"/>
      <c r="Q244" s="221"/>
      <c r="R244" s="253"/>
      <c r="S244" s="179">
        <f t="shared" si="118"/>
        <v>3898.2066402109976</v>
      </c>
      <c r="T244" s="259"/>
      <c r="U244" s="179">
        <f t="shared" si="119"/>
        <v>79</v>
      </c>
      <c r="V244" s="259"/>
      <c r="W244" s="179">
        <f t="shared" si="120"/>
        <v>0</v>
      </c>
      <c r="X244" s="259"/>
      <c r="Y244" s="179">
        <f t="shared" si="121"/>
        <v>1099.9999518559998</v>
      </c>
      <c r="Z244" s="259"/>
      <c r="AA244" s="179">
        <f t="shared" si="122"/>
        <v>412.42479377000001</v>
      </c>
      <c r="AB244" s="259"/>
      <c r="AC244" s="179">
        <f t="shared" si="123"/>
        <v>0</v>
      </c>
      <c r="AD244" s="189">
        <f t="shared" si="117"/>
        <v>0</v>
      </c>
      <c r="AE244" s="179">
        <f t="shared" si="124"/>
        <v>1512.424745626</v>
      </c>
      <c r="AF244" s="264"/>
      <c r="AG244" s="179">
        <f t="shared" si="125"/>
        <v>999.99995185600005</v>
      </c>
      <c r="AH244" s="268"/>
      <c r="AI244" s="179">
        <f t="shared" si="126"/>
        <v>0</v>
      </c>
      <c r="AJ244" s="268"/>
      <c r="AK244" s="179">
        <f t="shared" si="127"/>
        <v>100</v>
      </c>
      <c r="AL244" s="268"/>
      <c r="AM244" s="179">
        <f t="shared" si="128"/>
        <v>0</v>
      </c>
      <c r="AN244" s="268"/>
      <c r="AO244" s="179">
        <f t="shared" si="129"/>
        <v>0</v>
      </c>
      <c r="AP244" s="268"/>
      <c r="AQ244" s="179">
        <f t="shared" si="130"/>
        <v>0</v>
      </c>
      <c r="AR244" s="273"/>
      <c r="AS244" s="209">
        <f t="shared" si="131"/>
        <v>0</v>
      </c>
      <c r="AT244" s="273"/>
      <c r="AU244" s="226">
        <f t="shared" si="132"/>
        <v>0</v>
      </c>
      <c r="AV244" s="273"/>
      <c r="AW244" s="209">
        <f t="shared" si="133"/>
        <v>0</v>
      </c>
      <c r="AX244" s="273"/>
      <c r="AY244" s="209">
        <f t="shared" si="134"/>
        <v>0</v>
      </c>
      <c r="AZ244" s="273"/>
      <c r="BA244" s="179">
        <f t="shared" si="135"/>
        <v>0</v>
      </c>
      <c r="BB244"/>
      <c r="BC244"/>
      <c r="BD244"/>
    </row>
    <row r="245" spans="1:56" s="34" customFormat="1" hidden="1" x14ac:dyDescent="0.25">
      <c r="A245" s="87"/>
      <c r="B245" s="42"/>
      <c r="C245" s="41"/>
      <c r="D245" s="41"/>
      <c r="E245" s="40"/>
      <c r="F245" s="40"/>
      <c r="G245" s="40"/>
      <c r="H245" s="40"/>
      <c r="I245" s="160"/>
      <c r="J245" s="41"/>
      <c r="K245" s="41"/>
      <c r="L245" s="41"/>
      <c r="M245" s="41"/>
      <c r="N245" s="41"/>
      <c r="O245" s="41"/>
      <c r="P245" s="188"/>
      <c r="Q245" s="221"/>
      <c r="R245" s="253"/>
      <c r="S245" s="179">
        <f t="shared" si="118"/>
        <v>3898.2066402109976</v>
      </c>
      <c r="T245" s="259"/>
      <c r="U245" s="179">
        <f t="shared" si="119"/>
        <v>79</v>
      </c>
      <c r="V245" s="259"/>
      <c r="W245" s="179">
        <f t="shared" si="120"/>
        <v>0</v>
      </c>
      <c r="X245" s="259"/>
      <c r="Y245" s="179">
        <f t="shared" si="121"/>
        <v>1099.9999518559998</v>
      </c>
      <c r="Z245" s="259"/>
      <c r="AA245" s="179">
        <f t="shared" si="122"/>
        <v>412.42479377000001</v>
      </c>
      <c r="AB245" s="259"/>
      <c r="AC245" s="179">
        <f t="shared" si="123"/>
        <v>0</v>
      </c>
      <c r="AD245" s="189">
        <f t="shared" si="117"/>
        <v>0</v>
      </c>
      <c r="AE245" s="179">
        <f t="shared" si="124"/>
        <v>1512.424745626</v>
      </c>
      <c r="AF245" s="264"/>
      <c r="AG245" s="179">
        <f t="shared" si="125"/>
        <v>999.99995185600005</v>
      </c>
      <c r="AH245" s="268"/>
      <c r="AI245" s="179">
        <f t="shared" si="126"/>
        <v>0</v>
      </c>
      <c r="AJ245" s="268"/>
      <c r="AK245" s="179">
        <f t="shared" si="127"/>
        <v>100</v>
      </c>
      <c r="AL245" s="268"/>
      <c r="AM245" s="179">
        <f t="shared" si="128"/>
        <v>0</v>
      </c>
      <c r="AN245" s="268"/>
      <c r="AO245" s="179">
        <f t="shared" si="129"/>
        <v>0</v>
      </c>
      <c r="AP245" s="268"/>
      <c r="AQ245" s="179">
        <f t="shared" si="130"/>
        <v>0</v>
      </c>
      <c r="AR245" s="273"/>
      <c r="AS245" s="209">
        <f t="shared" si="131"/>
        <v>0</v>
      </c>
      <c r="AT245" s="273"/>
      <c r="AU245" s="226">
        <f t="shared" si="132"/>
        <v>0</v>
      </c>
      <c r="AV245" s="273"/>
      <c r="AW245" s="209">
        <f t="shared" si="133"/>
        <v>0</v>
      </c>
      <c r="AX245" s="273"/>
      <c r="AY245" s="209">
        <f t="shared" si="134"/>
        <v>0</v>
      </c>
      <c r="AZ245" s="273"/>
      <c r="BA245" s="179">
        <f t="shared" si="135"/>
        <v>0</v>
      </c>
      <c r="BB245"/>
      <c r="BC245"/>
      <c r="BD245"/>
    </row>
    <row r="246" spans="1:56" s="34" customFormat="1" hidden="1" x14ac:dyDescent="0.25">
      <c r="A246" s="87"/>
      <c r="B246" s="42"/>
      <c r="C246" s="41"/>
      <c r="D246" s="41"/>
      <c r="E246" s="40"/>
      <c r="F246" s="40"/>
      <c r="G246" s="40"/>
      <c r="H246" s="40"/>
      <c r="I246" s="160"/>
      <c r="J246" s="41"/>
      <c r="K246" s="41"/>
      <c r="L246" s="41"/>
      <c r="M246" s="41"/>
      <c r="N246" s="41"/>
      <c r="O246" s="41"/>
      <c r="P246" s="188"/>
      <c r="Q246" s="221"/>
      <c r="R246" s="253"/>
      <c r="S246" s="179">
        <f t="shared" si="118"/>
        <v>3898.2066402109976</v>
      </c>
      <c r="T246" s="259"/>
      <c r="U246" s="179">
        <f t="shared" si="119"/>
        <v>79</v>
      </c>
      <c r="V246" s="259"/>
      <c r="W246" s="179">
        <f t="shared" si="120"/>
        <v>0</v>
      </c>
      <c r="X246" s="259"/>
      <c r="Y246" s="179">
        <f t="shared" si="121"/>
        <v>1099.9999518559998</v>
      </c>
      <c r="Z246" s="259"/>
      <c r="AA246" s="179">
        <f t="shared" si="122"/>
        <v>412.42479377000001</v>
      </c>
      <c r="AB246" s="259"/>
      <c r="AC246" s="179">
        <f t="shared" si="123"/>
        <v>0</v>
      </c>
      <c r="AD246" s="189">
        <f t="shared" si="117"/>
        <v>0</v>
      </c>
      <c r="AE246" s="179">
        <f t="shared" si="124"/>
        <v>1512.424745626</v>
      </c>
      <c r="AF246" s="264"/>
      <c r="AG246" s="179">
        <f t="shared" si="125"/>
        <v>999.99995185600005</v>
      </c>
      <c r="AH246" s="268"/>
      <c r="AI246" s="179">
        <f t="shared" si="126"/>
        <v>0</v>
      </c>
      <c r="AJ246" s="268"/>
      <c r="AK246" s="179">
        <f t="shared" si="127"/>
        <v>100</v>
      </c>
      <c r="AL246" s="268"/>
      <c r="AM246" s="179">
        <f t="shared" si="128"/>
        <v>0</v>
      </c>
      <c r="AN246" s="268"/>
      <c r="AO246" s="179">
        <f t="shared" si="129"/>
        <v>0</v>
      </c>
      <c r="AP246" s="268"/>
      <c r="AQ246" s="179">
        <f t="shared" si="130"/>
        <v>0</v>
      </c>
      <c r="AR246" s="273"/>
      <c r="AS246" s="209">
        <f t="shared" si="131"/>
        <v>0</v>
      </c>
      <c r="AT246" s="273"/>
      <c r="AU246" s="226">
        <f t="shared" si="132"/>
        <v>0</v>
      </c>
      <c r="AV246" s="273"/>
      <c r="AW246" s="209">
        <f t="shared" si="133"/>
        <v>0</v>
      </c>
      <c r="AX246" s="273"/>
      <c r="AY246" s="209">
        <f t="shared" si="134"/>
        <v>0</v>
      </c>
      <c r="AZ246" s="273"/>
      <c r="BA246" s="179">
        <f t="shared" si="135"/>
        <v>0</v>
      </c>
      <c r="BB246"/>
      <c r="BC246"/>
      <c r="BD246"/>
    </row>
    <row r="247" spans="1:56" s="34" customFormat="1" hidden="1" x14ac:dyDescent="0.25">
      <c r="A247" s="87"/>
      <c r="B247" s="42"/>
      <c r="C247" s="41"/>
      <c r="D247" s="41"/>
      <c r="E247" s="40"/>
      <c r="F247" s="40"/>
      <c r="G247" s="40"/>
      <c r="H247" s="40"/>
      <c r="I247" s="160"/>
      <c r="J247" s="41"/>
      <c r="K247" s="41"/>
      <c r="L247" s="41"/>
      <c r="M247" s="41"/>
      <c r="N247" s="41"/>
      <c r="O247" s="41"/>
      <c r="P247" s="188"/>
      <c r="Q247" s="221"/>
      <c r="R247" s="253"/>
      <c r="S247" s="179">
        <f t="shared" si="118"/>
        <v>3898.2066402109976</v>
      </c>
      <c r="T247" s="259"/>
      <c r="U247" s="179">
        <f t="shared" si="119"/>
        <v>79</v>
      </c>
      <c r="V247" s="259"/>
      <c r="W247" s="179">
        <f t="shared" si="120"/>
        <v>0</v>
      </c>
      <c r="X247" s="259"/>
      <c r="Y247" s="179">
        <f t="shared" si="121"/>
        <v>1099.9999518559998</v>
      </c>
      <c r="Z247" s="259"/>
      <c r="AA247" s="179">
        <f t="shared" si="122"/>
        <v>412.42479377000001</v>
      </c>
      <c r="AB247" s="259"/>
      <c r="AC247" s="179">
        <f t="shared" si="123"/>
        <v>0</v>
      </c>
      <c r="AD247" s="189">
        <f t="shared" si="117"/>
        <v>0</v>
      </c>
      <c r="AE247" s="179">
        <f t="shared" si="124"/>
        <v>1512.424745626</v>
      </c>
      <c r="AF247" s="264"/>
      <c r="AG247" s="179">
        <f t="shared" si="125"/>
        <v>999.99995185600005</v>
      </c>
      <c r="AH247" s="268"/>
      <c r="AI247" s="179">
        <f t="shared" si="126"/>
        <v>0</v>
      </c>
      <c r="AJ247" s="268"/>
      <c r="AK247" s="179">
        <f t="shared" si="127"/>
        <v>100</v>
      </c>
      <c r="AL247" s="268"/>
      <c r="AM247" s="179">
        <f t="shared" si="128"/>
        <v>0</v>
      </c>
      <c r="AN247" s="268"/>
      <c r="AO247" s="179">
        <f t="shared" si="129"/>
        <v>0</v>
      </c>
      <c r="AP247" s="268"/>
      <c r="AQ247" s="179">
        <f t="shared" si="130"/>
        <v>0</v>
      </c>
      <c r="AR247" s="273"/>
      <c r="AS247" s="209">
        <f t="shared" si="131"/>
        <v>0</v>
      </c>
      <c r="AT247" s="273"/>
      <c r="AU247" s="226">
        <f t="shared" si="132"/>
        <v>0</v>
      </c>
      <c r="AV247" s="273"/>
      <c r="AW247" s="209">
        <f t="shared" si="133"/>
        <v>0</v>
      </c>
      <c r="AX247" s="273"/>
      <c r="AY247" s="209">
        <f t="shared" si="134"/>
        <v>0</v>
      </c>
      <c r="AZ247" s="273"/>
      <c r="BA247" s="179">
        <f t="shared" si="135"/>
        <v>0</v>
      </c>
      <c r="BB247"/>
      <c r="BC247"/>
      <c r="BD247"/>
    </row>
    <row r="248" spans="1:56" s="34" customFormat="1" hidden="1" x14ac:dyDescent="0.25">
      <c r="A248" s="87"/>
      <c r="B248" s="42"/>
      <c r="C248" s="41"/>
      <c r="D248" s="41"/>
      <c r="E248" s="40"/>
      <c r="F248" s="40"/>
      <c r="G248" s="40"/>
      <c r="H248" s="40"/>
      <c r="I248" s="160"/>
      <c r="J248" s="41"/>
      <c r="K248" s="41"/>
      <c r="L248" s="41"/>
      <c r="M248" s="41"/>
      <c r="N248" s="41"/>
      <c r="O248" s="41"/>
      <c r="P248" s="188"/>
      <c r="Q248" s="221"/>
      <c r="R248" s="253"/>
      <c r="S248" s="179">
        <f t="shared" si="118"/>
        <v>3898.2066402109976</v>
      </c>
      <c r="T248" s="259"/>
      <c r="U248" s="179">
        <f t="shared" si="119"/>
        <v>79</v>
      </c>
      <c r="V248" s="259"/>
      <c r="W248" s="179">
        <f t="shared" si="120"/>
        <v>0</v>
      </c>
      <c r="X248" s="259"/>
      <c r="Y248" s="179">
        <f t="shared" si="121"/>
        <v>1099.9999518559998</v>
      </c>
      <c r="Z248" s="259"/>
      <c r="AA248" s="179">
        <f t="shared" si="122"/>
        <v>412.42479377000001</v>
      </c>
      <c r="AB248" s="259"/>
      <c r="AC248" s="179">
        <f t="shared" si="123"/>
        <v>0</v>
      </c>
      <c r="AD248" s="189">
        <f t="shared" si="117"/>
        <v>0</v>
      </c>
      <c r="AE248" s="179">
        <f t="shared" si="124"/>
        <v>1512.424745626</v>
      </c>
      <c r="AF248" s="264"/>
      <c r="AG248" s="179">
        <f t="shared" si="125"/>
        <v>999.99995185600005</v>
      </c>
      <c r="AH248" s="268"/>
      <c r="AI248" s="179">
        <f t="shared" si="126"/>
        <v>0</v>
      </c>
      <c r="AJ248" s="268"/>
      <c r="AK248" s="179">
        <f t="shared" si="127"/>
        <v>100</v>
      </c>
      <c r="AL248" s="268"/>
      <c r="AM248" s="179">
        <f t="shared" si="128"/>
        <v>0</v>
      </c>
      <c r="AN248" s="268"/>
      <c r="AO248" s="179">
        <f t="shared" si="129"/>
        <v>0</v>
      </c>
      <c r="AP248" s="268"/>
      <c r="AQ248" s="179">
        <f t="shared" si="130"/>
        <v>0</v>
      </c>
      <c r="AR248" s="273"/>
      <c r="AS248" s="209">
        <f t="shared" si="131"/>
        <v>0</v>
      </c>
      <c r="AT248" s="273"/>
      <c r="AU248" s="226">
        <f t="shared" si="132"/>
        <v>0</v>
      </c>
      <c r="AV248" s="273"/>
      <c r="AW248" s="209">
        <f t="shared" si="133"/>
        <v>0</v>
      </c>
      <c r="AX248" s="273"/>
      <c r="AY248" s="209">
        <f t="shared" si="134"/>
        <v>0</v>
      </c>
      <c r="AZ248" s="273"/>
      <c r="BA248" s="179">
        <f t="shared" si="135"/>
        <v>0</v>
      </c>
      <c r="BB248"/>
      <c r="BC248"/>
      <c r="BD248"/>
    </row>
    <row r="249" spans="1:56" s="34" customFormat="1" hidden="1" x14ac:dyDescent="0.25">
      <c r="A249" s="87"/>
      <c r="B249" s="42"/>
      <c r="C249" s="41"/>
      <c r="D249" s="41"/>
      <c r="E249" s="40"/>
      <c r="F249" s="40"/>
      <c r="G249" s="40"/>
      <c r="H249" s="40"/>
      <c r="I249" s="160"/>
      <c r="J249" s="41"/>
      <c r="K249" s="41"/>
      <c r="L249" s="41"/>
      <c r="M249" s="41"/>
      <c r="N249" s="41"/>
      <c r="O249" s="41"/>
      <c r="P249" s="188"/>
      <c r="Q249" s="221"/>
      <c r="R249" s="253"/>
      <c r="S249" s="179">
        <f t="shared" si="118"/>
        <v>3898.2066402109976</v>
      </c>
      <c r="T249" s="259"/>
      <c r="U249" s="179">
        <f t="shared" si="119"/>
        <v>79</v>
      </c>
      <c r="V249" s="259"/>
      <c r="W249" s="179">
        <f t="shared" si="120"/>
        <v>0</v>
      </c>
      <c r="X249" s="259"/>
      <c r="Y249" s="179">
        <f t="shared" si="121"/>
        <v>1099.9999518559998</v>
      </c>
      <c r="Z249" s="259"/>
      <c r="AA249" s="179">
        <f t="shared" si="122"/>
        <v>412.42479377000001</v>
      </c>
      <c r="AB249" s="259"/>
      <c r="AC249" s="179">
        <f t="shared" si="123"/>
        <v>0</v>
      </c>
      <c r="AD249" s="189">
        <f t="shared" si="117"/>
        <v>0</v>
      </c>
      <c r="AE249" s="179">
        <f t="shared" si="124"/>
        <v>1512.424745626</v>
      </c>
      <c r="AF249" s="264"/>
      <c r="AG249" s="179">
        <f t="shared" si="125"/>
        <v>999.99995185600005</v>
      </c>
      <c r="AH249" s="268"/>
      <c r="AI249" s="179">
        <f t="shared" si="126"/>
        <v>0</v>
      </c>
      <c r="AJ249" s="268"/>
      <c r="AK249" s="179">
        <f t="shared" si="127"/>
        <v>100</v>
      </c>
      <c r="AL249" s="268"/>
      <c r="AM249" s="179">
        <f t="shared" si="128"/>
        <v>0</v>
      </c>
      <c r="AN249" s="268"/>
      <c r="AO249" s="179">
        <f t="shared" si="129"/>
        <v>0</v>
      </c>
      <c r="AP249" s="268"/>
      <c r="AQ249" s="179">
        <f t="shared" si="130"/>
        <v>0</v>
      </c>
      <c r="AR249" s="273"/>
      <c r="AS249" s="209">
        <f t="shared" si="131"/>
        <v>0</v>
      </c>
      <c r="AT249" s="273"/>
      <c r="AU249" s="226">
        <f t="shared" si="132"/>
        <v>0</v>
      </c>
      <c r="AV249" s="273"/>
      <c r="AW249" s="209">
        <f t="shared" si="133"/>
        <v>0</v>
      </c>
      <c r="AX249" s="273"/>
      <c r="AY249" s="209">
        <f t="shared" si="134"/>
        <v>0</v>
      </c>
      <c r="AZ249" s="273"/>
      <c r="BA249" s="179">
        <f t="shared" si="135"/>
        <v>0</v>
      </c>
      <c r="BB249"/>
      <c r="BC249"/>
      <c r="BD249"/>
    </row>
    <row r="250" spans="1:56" s="34" customFormat="1" hidden="1" x14ac:dyDescent="0.25">
      <c r="A250" s="87"/>
      <c r="B250" s="42"/>
      <c r="C250" s="41"/>
      <c r="D250" s="41"/>
      <c r="E250" s="40"/>
      <c r="F250" s="40"/>
      <c r="G250" s="40"/>
      <c r="H250" s="40"/>
      <c r="I250" s="160"/>
      <c r="J250" s="41"/>
      <c r="K250" s="41"/>
      <c r="L250" s="41"/>
      <c r="M250" s="41"/>
      <c r="N250" s="41"/>
      <c r="O250" s="41"/>
      <c r="P250" s="188"/>
      <c r="Q250" s="221"/>
      <c r="R250" s="253"/>
      <c r="S250" s="179">
        <f t="shared" si="118"/>
        <v>3898.2066402109976</v>
      </c>
      <c r="T250" s="259"/>
      <c r="U250" s="179">
        <f t="shared" si="119"/>
        <v>79</v>
      </c>
      <c r="V250" s="259"/>
      <c r="W250" s="179">
        <f t="shared" si="120"/>
        <v>0</v>
      </c>
      <c r="X250" s="259"/>
      <c r="Y250" s="179">
        <f t="shared" si="121"/>
        <v>1099.9999518559998</v>
      </c>
      <c r="Z250" s="259"/>
      <c r="AA250" s="179">
        <f t="shared" si="122"/>
        <v>412.42479377000001</v>
      </c>
      <c r="AB250" s="259"/>
      <c r="AC250" s="179">
        <f t="shared" si="123"/>
        <v>0</v>
      </c>
      <c r="AD250" s="189">
        <f t="shared" si="117"/>
        <v>0</v>
      </c>
      <c r="AE250" s="179">
        <f t="shared" si="124"/>
        <v>1512.424745626</v>
      </c>
      <c r="AF250" s="264"/>
      <c r="AG250" s="179">
        <f t="shared" si="125"/>
        <v>999.99995185600005</v>
      </c>
      <c r="AH250" s="268"/>
      <c r="AI250" s="179">
        <f t="shared" si="126"/>
        <v>0</v>
      </c>
      <c r="AJ250" s="268"/>
      <c r="AK250" s="179">
        <f t="shared" si="127"/>
        <v>100</v>
      </c>
      <c r="AL250" s="268"/>
      <c r="AM250" s="179">
        <f t="shared" si="128"/>
        <v>0</v>
      </c>
      <c r="AN250" s="268"/>
      <c r="AO250" s="179">
        <f t="shared" si="129"/>
        <v>0</v>
      </c>
      <c r="AP250" s="268"/>
      <c r="AQ250" s="179">
        <f t="shared" si="130"/>
        <v>0</v>
      </c>
      <c r="AR250" s="273"/>
      <c r="AS250" s="209">
        <f t="shared" si="131"/>
        <v>0</v>
      </c>
      <c r="AT250" s="273"/>
      <c r="AU250" s="226">
        <f t="shared" si="132"/>
        <v>0</v>
      </c>
      <c r="AV250" s="273"/>
      <c r="AW250" s="209">
        <f t="shared" si="133"/>
        <v>0</v>
      </c>
      <c r="AX250" s="273"/>
      <c r="AY250" s="209">
        <f t="shared" si="134"/>
        <v>0</v>
      </c>
      <c r="AZ250" s="273"/>
      <c r="BA250" s="179">
        <f t="shared" si="135"/>
        <v>0</v>
      </c>
      <c r="BB250"/>
      <c r="BC250"/>
      <c r="BD250"/>
    </row>
    <row r="251" spans="1:56" s="34" customFormat="1" hidden="1" x14ac:dyDescent="0.25">
      <c r="A251" s="87"/>
      <c r="B251" s="42"/>
      <c r="C251" s="41"/>
      <c r="D251" s="41"/>
      <c r="E251" s="40"/>
      <c r="F251" s="40"/>
      <c r="G251" s="40"/>
      <c r="H251" s="40"/>
      <c r="I251" s="160"/>
      <c r="J251" s="41"/>
      <c r="K251" s="41"/>
      <c r="L251" s="41"/>
      <c r="M251" s="41"/>
      <c r="N251" s="41"/>
      <c r="O251" s="41"/>
      <c r="P251" s="188"/>
      <c r="Q251" s="221"/>
      <c r="R251" s="253"/>
      <c r="S251" s="179">
        <f t="shared" si="118"/>
        <v>3898.2066402109976</v>
      </c>
      <c r="T251" s="259"/>
      <c r="U251" s="179">
        <f t="shared" si="119"/>
        <v>79</v>
      </c>
      <c r="V251" s="259"/>
      <c r="W251" s="179">
        <f t="shared" si="120"/>
        <v>0</v>
      </c>
      <c r="X251" s="259"/>
      <c r="Y251" s="179">
        <f t="shared" si="121"/>
        <v>1099.9999518559998</v>
      </c>
      <c r="Z251" s="259"/>
      <c r="AA251" s="179">
        <f t="shared" si="122"/>
        <v>412.42479377000001</v>
      </c>
      <c r="AB251" s="259"/>
      <c r="AC251" s="179">
        <f t="shared" si="123"/>
        <v>0</v>
      </c>
      <c r="AD251" s="189">
        <f t="shared" si="117"/>
        <v>0</v>
      </c>
      <c r="AE251" s="179">
        <f t="shared" si="124"/>
        <v>1512.424745626</v>
      </c>
      <c r="AF251" s="264"/>
      <c r="AG251" s="179">
        <f t="shared" si="125"/>
        <v>999.99995185600005</v>
      </c>
      <c r="AH251" s="268"/>
      <c r="AI251" s="179">
        <f t="shared" si="126"/>
        <v>0</v>
      </c>
      <c r="AJ251" s="268"/>
      <c r="AK251" s="179">
        <f t="shared" si="127"/>
        <v>100</v>
      </c>
      <c r="AL251" s="268"/>
      <c r="AM251" s="179">
        <f t="shared" si="128"/>
        <v>0</v>
      </c>
      <c r="AN251" s="268"/>
      <c r="AO251" s="179">
        <f t="shared" si="129"/>
        <v>0</v>
      </c>
      <c r="AP251" s="268"/>
      <c r="AQ251" s="179">
        <f t="shared" si="130"/>
        <v>0</v>
      </c>
      <c r="AR251" s="273"/>
      <c r="AS251" s="209">
        <f t="shared" si="131"/>
        <v>0</v>
      </c>
      <c r="AT251" s="273"/>
      <c r="AU251" s="226">
        <f t="shared" si="132"/>
        <v>0</v>
      </c>
      <c r="AV251" s="273"/>
      <c r="AW251" s="209">
        <f t="shared" si="133"/>
        <v>0</v>
      </c>
      <c r="AX251" s="273"/>
      <c r="AY251" s="209">
        <f t="shared" si="134"/>
        <v>0</v>
      </c>
      <c r="AZ251" s="273"/>
      <c r="BA251" s="179">
        <f t="shared" si="135"/>
        <v>0</v>
      </c>
      <c r="BB251"/>
      <c r="BC251"/>
      <c r="BD251"/>
    </row>
    <row r="252" spans="1:56" s="34" customFormat="1" hidden="1" x14ac:dyDescent="0.25">
      <c r="A252" s="87"/>
      <c r="B252" s="42"/>
      <c r="C252" s="41"/>
      <c r="D252" s="41"/>
      <c r="E252" s="40"/>
      <c r="F252" s="40"/>
      <c r="G252" s="40"/>
      <c r="H252" s="40"/>
      <c r="I252" s="160"/>
      <c r="J252" s="41"/>
      <c r="K252" s="41"/>
      <c r="L252" s="41"/>
      <c r="M252" s="41"/>
      <c r="N252" s="41"/>
      <c r="O252" s="41"/>
      <c r="P252" s="188"/>
      <c r="Q252" s="221"/>
      <c r="R252" s="253"/>
      <c r="S252" s="179">
        <f t="shared" si="118"/>
        <v>3898.2066402109976</v>
      </c>
      <c r="T252" s="259"/>
      <c r="U252" s="179">
        <f t="shared" si="119"/>
        <v>79</v>
      </c>
      <c r="V252" s="259"/>
      <c r="W252" s="179">
        <f t="shared" si="120"/>
        <v>0</v>
      </c>
      <c r="X252" s="259"/>
      <c r="Y252" s="179">
        <f t="shared" si="121"/>
        <v>1099.9999518559998</v>
      </c>
      <c r="Z252" s="259"/>
      <c r="AA252" s="179">
        <f t="shared" si="122"/>
        <v>412.42479377000001</v>
      </c>
      <c r="AB252" s="259"/>
      <c r="AC252" s="179">
        <f t="shared" si="123"/>
        <v>0</v>
      </c>
      <c r="AD252" s="189">
        <f t="shared" si="117"/>
        <v>0</v>
      </c>
      <c r="AE252" s="179">
        <f t="shared" si="124"/>
        <v>1512.424745626</v>
      </c>
      <c r="AF252" s="264"/>
      <c r="AG252" s="179">
        <f t="shared" si="125"/>
        <v>999.99995185600005</v>
      </c>
      <c r="AH252" s="268"/>
      <c r="AI252" s="179">
        <f t="shared" si="126"/>
        <v>0</v>
      </c>
      <c r="AJ252" s="268"/>
      <c r="AK252" s="179">
        <f t="shared" si="127"/>
        <v>100</v>
      </c>
      <c r="AL252" s="268"/>
      <c r="AM252" s="179">
        <f t="shared" si="128"/>
        <v>0</v>
      </c>
      <c r="AN252" s="268"/>
      <c r="AO252" s="179">
        <f t="shared" si="129"/>
        <v>0</v>
      </c>
      <c r="AP252" s="268"/>
      <c r="AQ252" s="179">
        <f t="shared" si="130"/>
        <v>0</v>
      </c>
      <c r="AR252" s="273"/>
      <c r="AS252" s="209">
        <f t="shared" si="131"/>
        <v>0</v>
      </c>
      <c r="AT252" s="273"/>
      <c r="AU252" s="226">
        <f t="shared" si="132"/>
        <v>0</v>
      </c>
      <c r="AV252" s="273"/>
      <c r="AW252" s="209">
        <f t="shared" si="133"/>
        <v>0</v>
      </c>
      <c r="AX252" s="273"/>
      <c r="AY252" s="209">
        <f t="shared" si="134"/>
        <v>0</v>
      </c>
      <c r="AZ252" s="273"/>
      <c r="BA252" s="179">
        <f t="shared" si="135"/>
        <v>0</v>
      </c>
      <c r="BB252"/>
      <c r="BC252"/>
      <c r="BD252"/>
    </row>
    <row r="253" spans="1:56" s="34" customFormat="1" hidden="1" x14ac:dyDescent="0.25">
      <c r="A253" s="87"/>
      <c r="B253" s="42"/>
      <c r="C253" s="41"/>
      <c r="D253" s="41"/>
      <c r="E253" s="40"/>
      <c r="F253" s="40"/>
      <c r="G253" s="40"/>
      <c r="H253" s="40"/>
      <c r="I253" s="160"/>
      <c r="J253" s="41"/>
      <c r="K253" s="41"/>
      <c r="L253" s="41"/>
      <c r="M253" s="41"/>
      <c r="N253" s="41"/>
      <c r="O253" s="41"/>
      <c r="P253" s="188"/>
      <c r="Q253" s="221"/>
      <c r="R253" s="253"/>
      <c r="S253" s="179">
        <f t="shared" si="118"/>
        <v>3898.2066402109976</v>
      </c>
      <c r="T253" s="259"/>
      <c r="U253" s="179">
        <f t="shared" si="119"/>
        <v>79</v>
      </c>
      <c r="V253" s="259"/>
      <c r="W253" s="179">
        <f t="shared" si="120"/>
        <v>0</v>
      </c>
      <c r="X253" s="259"/>
      <c r="Y253" s="179">
        <f t="shared" si="121"/>
        <v>1099.9999518559998</v>
      </c>
      <c r="Z253" s="259"/>
      <c r="AA253" s="179">
        <f t="shared" si="122"/>
        <v>412.42479377000001</v>
      </c>
      <c r="AB253" s="259"/>
      <c r="AC253" s="179">
        <f t="shared" si="123"/>
        <v>0</v>
      </c>
      <c r="AD253" s="189">
        <f t="shared" si="117"/>
        <v>0</v>
      </c>
      <c r="AE253" s="179">
        <f t="shared" si="124"/>
        <v>1512.424745626</v>
      </c>
      <c r="AF253" s="264"/>
      <c r="AG253" s="179">
        <f t="shared" si="125"/>
        <v>999.99995185600005</v>
      </c>
      <c r="AH253" s="268"/>
      <c r="AI253" s="179">
        <f t="shared" si="126"/>
        <v>0</v>
      </c>
      <c r="AJ253" s="268"/>
      <c r="AK253" s="179">
        <f t="shared" si="127"/>
        <v>100</v>
      </c>
      <c r="AL253" s="268"/>
      <c r="AM253" s="179">
        <f t="shared" si="128"/>
        <v>0</v>
      </c>
      <c r="AN253" s="268"/>
      <c r="AO253" s="179">
        <f t="shared" si="129"/>
        <v>0</v>
      </c>
      <c r="AP253" s="268"/>
      <c r="AQ253" s="179">
        <f t="shared" si="130"/>
        <v>0</v>
      </c>
      <c r="AR253" s="273"/>
      <c r="AS253" s="209">
        <f t="shared" si="131"/>
        <v>0</v>
      </c>
      <c r="AT253" s="273"/>
      <c r="AU253" s="226">
        <f t="shared" si="132"/>
        <v>0</v>
      </c>
      <c r="AV253" s="273"/>
      <c r="AW253" s="209">
        <f t="shared" si="133"/>
        <v>0</v>
      </c>
      <c r="AX253" s="273"/>
      <c r="AY253" s="209">
        <f t="shared" si="134"/>
        <v>0</v>
      </c>
      <c r="AZ253" s="273"/>
      <c r="BA253" s="179">
        <f t="shared" si="135"/>
        <v>0</v>
      </c>
      <c r="BB253"/>
      <c r="BC253"/>
      <c r="BD253"/>
    </row>
    <row r="254" spans="1:56" s="34" customFormat="1" hidden="1" x14ac:dyDescent="0.25">
      <c r="A254" s="87"/>
      <c r="B254" s="42"/>
      <c r="C254" s="41"/>
      <c r="D254" s="41"/>
      <c r="E254" s="40"/>
      <c r="F254" s="40"/>
      <c r="G254" s="40"/>
      <c r="H254" s="40"/>
      <c r="I254" s="160"/>
      <c r="J254" s="41"/>
      <c r="K254" s="41"/>
      <c r="L254" s="41"/>
      <c r="M254" s="41"/>
      <c r="N254" s="41"/>
      <c r="O254" s="41"/>
      <c r="P254" s="188"/>
      <c r="Q254" s="221"/>
      <c r="R254" s="253"/>
      <c r="S254" s="179">
        <f t="shared" si="118"/>
        <v>3898.2066402109976</v>
      </c>
      <c r="T254" s="259"/>
      <c r="U254" s="179">
        <f t="shared" si="119"/>
        <v>79</v>
      </c>
      <c r="V254" s="259"/>
      <c r="W254" s="179">
        <f t="shared" si="120"/>
        <v>0</v>
      </c>
      <c r="X254" s="259"/>
      <c r="Y254" s="179">
        <f t="shared" si="121"/>
        <v>1099.9999518559998</v>
      </c>
      <c r="Z254" s="259"/>
      <c r="AA254" s="179">
        <f t="shared" si="122"/>
        <v>412.42479377000001</v>
      </c>
      <c r="AB254" s="259"/>
      <c r="AC254" s="179">
        <f t="shared" si="123"/>
        <v>0</v>
      </c>
      <c r="AD254" s="189">
        <f t="shared" si="117"/>
        <v>0</v>
      </c>
      <c r="AE254" s="179">
        <f t="shared" si="124"/>
        <v>1512.424745626</v>
      </c>
      <c r="AF254" s="264"/>
      <c r="AG254" s="179">
        <f t="shared" si="125"/>
        <v>999.99995185600005</v>
      </c>
      <c r="AH254" s="268"/>
      <c r="AI254" s="179">
        <f t="shared" si="126"/>
        <v>0</v>
      </c>
      <c r="AJ254" s="268"/>
      <c r="AK254" s="179">
        <f t="shared" si="127"/>
        <v>100</v>
      </c>
      <c r="AL254" s="268"/>
      <c r="AM254" s="179">
        <f t="shared" si="128"/>
        <v>0</v>
      </c>
      <c r="AN254" s="268"/>
      <c r="AO254" s="179">
        <f t="shared" si="129"/>
        <v>0</v>
      </c>
      <c r="AP254" s="268"/>
      <c r="AQ254" s="179">
        <f t="shared" si="130"/>
        <v>0</v>
      </c>
      <c r="AR254" s="273"/>
      <c r="AS254" s="209">
        <f t="shared" si="131"/>
        <v>0</v>
      </c>
      <c r="AT254" s="273"/>
      <c r="AU254" s="226">
        <f t="shared" si="132"/>
        <v>0</v>
      </c>
      <c r="AV254" s="273"/>
      <c r="AW254" s="209">
        <f t="shared" si="133"/>
        <v>0</v>
      </c>
      <c r="AX254" s="273"/>
      <c r="AY254" s="209">
        <f t="shared" si="134"/>
        <v>0</v>
      </c>
      <c r="AZ254" s="273"/>
      <c r="BA254" s="179">
        <f t="shared" si="135"/>
        <v>0</v>
      </c>
      <c r="BB254"/>
      <c r="BC254"/>
      <c r="BD254"/>
    </row>
    <row r="255" spans="1:56" s="34" customFormat="1" hidden="1" x14ac:dyDescent="0.25">
      <c r="A255" s="87"/>
      <c r="B255" s="42"/>
      <c r="C255" s="41"/>
      <c r="D255" s="41"/>
      <c r="E255" s="40"/>
      <c r="F255" s="40"/>
      <c r="G255" s="40"/>
      <c r="H255" s="40"/>
      <c r="I255" s="160"/>
      <c r="J255" s="41"/>
      <c r="K255" s="41"/>
      <c r="L255" s="41"/>
      <c r="M255" s="41"/>
      <c r="N255" s="41"/>
      <c r="O255" s="41"/>
      <c r="P255" s="188"/>
      <c r="Q255" s="221"/>
      <c r="R255" s="253"/>
      <c r="S255" s="179">
        <f t="shared" si="118"/>
        <v>3898.2066402109976</v>
      </c>
      <c r="T255" s="259"/>
      <c r="U255" s="179">
        <f t="shared" si="119"/>
        <v>79</v>
      </c>
      <c r="V255" s="259"/>
      <c r="W255" s="179">
        <f t="shared" si="120"/>
        <v>0</v>
      </c>
      <c r="X255" s="259"/>
      <c r="Y255" s="179">
        <f t="shared" si="121"/>
        <v>1099.9999518559998</v>
      </c>
      <c r="Z255" s="259"/>
      <c r="AA255" s="179">
        <f t="shared" si="122"/>
        <v>412.42479377000001</v>
      </c>
      <c r="AB255" s="259"/>
      <c r="AC255" s="179">
        <f t="shared" si="123"/>
        <v>0</v>
      </c>
      <c r="AD255" s="189">
        <f t="shared" si="117"/>
        <v>0</v>
      </c>
      <c r="AE255" s="179">
        <f t="shared" si="124"/>
        <v>1512.424745626</v>
      </c>
      <c r="AF255" s="264"/>
      <c r="AG255" s="179">
        <f t="shared" si="125"/>
        <v>999.99995185600005</v>
      </c>
      <c r="AH255" s="268"/>
      <c r="AI255" s="179">
        <f t="shared" si="126"/>
        <v>0</v>
      </c>
      <c r="AJ255" s="268"/>
      <c r="AK255" s="179">
        <f t="shared" si="127"/>
        <v>100</v>
      </c>
      <c r="AL255" s="268"/>
      <c r="AM255" s="179">
        <f t="shared" si="128"/>
        <v>0</v>
      </c>
      <c r="AN255" s="268"/>
      <c r="AO255" s="179">
        <f t="shared" si="129"/>
        <v>0</v>
      </c>
      <c r="AP255" s="268"/>
      <c r="AQ255" s="179">
        <f t="shared" si="130"/>
        <v>0</v>
      </c>
      <c r="AR255" s="273"/>
      <c r="AS255" s="209">
        <f t="shared" si="131"/>
        <v>0</v>
      </c>
      <c r="AT255" s="273"/>
      <c r="AU255" s="226">
        <f t="shared" si="132"/>
        <v>0</v>
      </c>
      <c r="AV255" s="273"/>
      <c r="AW255" s="209">
        <f t="shared" si="133"/>
        <v>0</v>
      </c>
      <c r="AX255" s="273"/>
      <c r="AY255" s="209">
        <f t="shared" si="134"/>
        <v>0</v>
      </c>
      <c r="AZ255" s="273"/>
      <c r="BA255" s="179">
        <f t="shared" si="135"/>
        <v>0</v>
      </c>
      <c r="BB255"/>
      <c r="BC255"/>
      <c r="BD255"/>
    </row>
    <row r="256" spans="1:56" s="34" customFormat="1" hidden="1" x14ac:dyDescent="0.25">
      <c r="A256" s="87"/>
      <c r="B256" s="42"/>
      <c r="C256" s="41"/>
      <c r="D256" s="41"/>
      <c r="E256" s="40"/>
      <c r="F256" s="40"/>
      <c r="G256" s="40"/>
      <c r="H256" s="40"/>
      <c r="I256" s="160"/>
      <c r="J256" s="41"/>
      <c r="K256" s="41"/>
      <c r="L256" s="41"/>
      <c r="M256" s="41"/>
      <c r="N256" s="41"/>
      <c r="O256" s="41"/>
      <c r="P256" s="188"/>
      <c r="Q256" s="221"/>
      <c r="R256" s="253"/>
      <c r="S256" s="179">
        <f t="shared" si="118"/>
        <v>3898.2066402109976</v>
      </c>
      <c r="T256" s="259"/>
      <c r="U256" s="179">
        <f t="shared" si="119"/>
        <v>79</v>
      </c>
      <c r="V256" s="259"/>
      <c r="W256" s="179">
        <f t="shared" si="120"/>
        <v>0</v>
      </c>
      <c r="X256" s="259"/>
      <c r="Y256" s="179">
        <f t="shared" si="121"/>
        <v>1099.9999518559998</v>
      </c>
      <c r="Z256" s="259"/>
      <c r="AA256" s="179">
        <f t="shared" si="122"/>
        <v>412.42479377000001</v>
      </c>
      <c r="AB256" s="259"/>
      <c r="AC256" s="179">
        <f t="shared" si="123"/>
        <v>0</v>
      </c>
      <c r="AD256" s="189">
        <f t="shared" si="117"/>
        <v>0</v>
      </c>
      <c r="AE256" s="179">
        <f t="shared" si="124"/>
        <v>1512.424745626</v>
      </c>
      <c r="AF256" s="264"/>
      <c r="AG256" s="179">
        <f t="shared" si="125"/>
        <v>999.99995185600005</v>
      </c>
      <c r="AH256" s="268"/>
      <c r="AI256" s="179">
        <f t="shared" si="126"/>
        <v>0</v>
      </c>
      <c r="AJ256" s="268"/>
      <c r="AK256" s="179">
        <f t="shared" si="127"/>
        <v>100</v>
      </c>
      <c r="AL256" s="268"/>
      <c r="AM256" s="179">
        <f t="shared" si="128"/>
        <v>0</v>
      </c>
      <c r="AN256" s="268"/>
      <c r="AO256" s="179">
        <f t="shared" si="129"/>
        <v>0</v>
      </c>
      <c r="AP256" s="268"/>
      <c r="AQ256" s="179">
        <f t="shared" si="130"/>
        <v>0</v>
      </c>
      <c r="AR256" s="273"/>
      <c r="AS256" s="209">
        <f t="shared" si="131"/>
        <v>0</v>
      </c>
      <c r="AT256" s="273"/>
      <c r="AU256" s="226">
        <f t="shared" si="132"/>
        <v>0</v>
      </c>
      <c r="AV256" s="273"/>
      <c r="AW256" s="209">
        <f t="shared" si="133"/>
        <v>0</v>
      </c>
      <c r="AX256" s="273"/>
      <c r="AY256" s="209">
        <f t="shared" si="134"/>
        <v>0</v>
      </c>
      <c r="AZ256" s="273"/>
      <c r="BA256" s="179">
        <f t="shared" si="135"/>
        <v>0</v>
      </c>
      <c r="BB256"/>
      <c r="BC256"/>
      <c r="BD256"/>
    </row>
    <row r="257" spans="1:56" s="34" customFormat="1" hidden="1" x14ac:dyDescent="0.25">
      <c r="A257" s="87"/>
      <c r="B257" s="42"/>
      <c r="C257" s="41"/>
      <c r="D257" s="41"/>
      <c r="E257" s="40"/>
      <c r="F257" s="40"/>
      <c r="G257" s="40"/>
      <c r="H257" s="40"/>
      <c r="I257" s="160"/>
      <c r="J257" s="41"/>
      <c r="K257" s="41"/>
      <c r="L257" s="41"/>
      <c r="M257" s="41"/>
      <c r="N257" s="41"/>
      <c r="O257" s="41"/>
      <c r="P257" s="188"/>
      <c r="Q257" s="221"/>
      <c r="R257" s="253"/>
      <c r="S257" s="179">
        <f t="shared" si="118"/>
        <v>3898.2066402109976</v>
      </c>
      <c r="T257" s="259"/>
      <c r="U257" s="179">
        <f t="shared" si="119"/>
        <v>79</v>
      </c>
      <c r="V257" s="259"/>
      <c r="W257" s="179">
        <f t="shared" si="120"/>
        <v>0</v>
      </c>
      <c r="X257" s="259"/>
      <c r="Y257" s="179">
        <f t="shared" si="121"/>
        <v>1099.9999518559998</v>
      </c>
      <c r="Z257" s="259"/>
      <c r="AA257" s="179">
        <f t="shared" si="122"/>
        <v>412.42479377000001</v>
      </c>
      <c r="AB257" s="259"/>
      <c r="AC257" s="179">
        <f t="shared" si="123"/>
        <v>0</v>
      </c>
      <c r="AD257" s="189">
        <f t="shared" si="117"/>
        <v>0</v>
      </c>
      <c r="AE257" s="179">
        <f t="shared" si="124"/>
        <v>1512.424745626</v>
      </c>
      <c r="AF257" s="264"/>
      <c r="AG257" s="179">
        <f t="shared" si="125"/>
        <v>999.99995185600005</v>
      </c>
      <c r="AH257" s="268"/>
      <c r="AI257" s="179">
        <f t="shared" si="126"/>
        <v>0</v>
      </c>
      <c r="AJ257" s="268"/>
      <c r="AK257" s="179">
        <f t="shared" si="127"/>
        <v>100</v>
      </c>
      <c r="AL257" s="268"/>
      <c r="AM257" s="179">
        <f t="shared" si="128"/>
        <v>0</v>
      </c>
      <c r="AN257" s="268"/>
      <c r="AO257" s="179">
        <f t="shared" si="129"/>
        <v>0</v>
      </c>
      <c r="AP257" s="268"/>
      <c r="AQ257" s="179">
        <f t="shared" si="130"/>
        <v>0</v>
      </c>
      <c r="AR257" s="273"/>
      <c r="AS257" s="209">
        <f t="shared" si="131"/>
        <v>0</v>
      </c>
      <c r="AT257" s="273"/>
      <c r="AU257" s="226">
        <f t="shared" si="132"/>
        <v>0</v>
      </c>
      <c r="AV257" s="273"/>
      <c r="AW257" s="209">
        <f t="shared" si="133"/>
        <v>0</v>
      </c>
      <c r="AX257" s="273"/>
      <c r="AY257" s="209">
        <f t="shared" si="134"/>
        <v>0</v>
      </c>
      <c r="AZ257" s="273"/>
      <c r="BA257" s="179">
        <f t="shared" si="135"/>
        <v>0</v>
      </c>
      <c r="BB257"/>
      <c r="BC257"/>
      <c r="BD257"/>
    </row>
    <row r="258" spans="1:56" s="34" customFormat="1" hidden="1" x14ac:dyDescent="0.25">
      <c r="A258" s="87"/>
      <c r="B258" s="42"/>
      <c r="C258" s="41"/>
      <c r="D258" s="41"/>
      <c r="E258" s="40"/>
      <c r="F258" s="40"/>
      <c r="G258" s="40"/>
      <c r="H258" s="40"/>
      <c r="I258" s="160"/>
      <c r="J258" s="41"/>
      <c r="K258" s="41"/>
      <c r="L258" s="41"/>
      <c r="M258" s="41"/>
      <c r="N258" s="41"/>
      <c r="O258" s="41"/>
      <c r="P258" s="188"/>
      <c r="Q258" s="221"/>
      <c r="R258" s="253"/>
      <c r="S258" s="179">
        <f t="shared" si="118"/>
        <v>3898.2066402109976</v>
      </c>
      <c r="T258" s="259"/>
      <c r="U258" s="179">
        <f t="shared" si="119"/>
        <v>79</v>
      </c>
      <c r="V258" s="259"/>
      <c r="W258" s="179">
        <f t="shared" si="120"/>
        <v>0</v>
      </c>
      <c r="X258" s="259"/>
      <c r="Y258" s="179">
        <f t="shared" si="121"/>
        <v>1099.9999518559998</v>
      </c>
      <c r="Z258" s="259"/>
      <c r="AA258" s="179">
        <f t="shared" si="122"/>
        <v>412.42479377000001</v>
      </c>
      <c r="AB258" s="259"/>
      <c r="AC258" s="179">
        <f t="shared" si="123"/>
        <v>0</v>
      </c>
      <c r="AD258" s="189">
        <f t="shared" si="117"/>
        <v>0</v>
      </c>
      <c r="AE258" s="179">
        <f t="shared" si="124"/>
        <v>1512.424745626</v>
      </c>
      <c r="AF258" s="264"/>
      <c r="AG258" s="179">
        <f t="shared" si="125"/>
        <v>999.99995185600005</v>
      </c>
      <c r="AH258" s="268"/>
      <c r="AI258" s="179">
        <f t="shared" si="126"/>
        <v>0</v>
      </c>
      <c r="AJ258" s="268"/>
      <c r="AK258" s="179">
        <f t="shared" si="127"/>
        <v>100</v>
      </c>
      <c r="AL258" s="268"/>
      <c r="AM258" s="179">
        <f t="shared" si="128"/>
        <v>0</v>
      </c>
      <c r="AN258" s="268"/>
      <c r="AO258" s="179">
        <f t="shared" si="129"/>
        <v>0</v>
      </c>
      <c r="AP258" s="268"/>
      <c r="AQ258" s="179">
        <f t="shared" si="130"/>
        <v>0</v>
      </c>
      <c r="AR258" s="273"/>
      <c r="AS258" s="209">
        <f t="shared" si="131"/>
        <v>0</v>
      </c>
      <c r="AT258" s="273"/>
      <c r="AU258" s="226">
        <f t="shared" si="132"/>
        <v>0</v>
      </c>
      <c r="AV258" s="273"/>
      <c r="AW258" s="209">
        <f t="shared" si="133"/>
        <v>0</v>
      </c>
      <c r="AX258" s="273"/>
      <c r="AY258" s="209">
        <f t="shared" si="134"/>
        <v>0</v>
      </c>
      <c r="AZ258" s="273"/>
      <c r="BA258" s="179">
        <f t="shared" si="135"/>
        <v>0</v>
      </c>
      <c r="BB258"/>
      <c r="BC258"/>
      <c r="BD258"/>
    </row>
    <row r="259" spans="1:56" s="34" customFormat="1" hidden="1" x14ac:dyDescent="0.25">
      <c r="A259" s="87"/>
      <c r="B259" s="42"/>
      <c r="C259" s="41"/>
      <c r="D259" s="41"/>
      <c r="E259" s="40"/>
      <c r="F259" s="40"/>
      <c r="G259" s="40"/>
      <c r="H259" s="40"/>
      <c r="I259" s="160"/>
      <c r="J259" s="41"/>
      <c r="K259" s="41"/>
      <c r="L259" s="41"/>
      <c r="M259" s="41"/>
      <c r="N259" s="41"/>
      <c r="O259" s="41"/>
      <c r="P259" s="188"/>
      <c r="Q259" s="221"/>
      <c r="R259" s="253"/>
      <c r="S259" s="179">
        <f t="shared" si="118"/>
        <v>3898.2066402109976</v>
      </c>
      <c r="T259" s="259"/>
      <c r="U259" s="179">
        <f t="shared" si="119"/>
        <v>79</v>
      </c>
      <c r="V259" s="259"/>
      <c r="W259" s="179">
        <f t="shared" si="120"/>
        <v>0</v>
      </c>
      <c r="X259" s="259"/>
      <c r="Y259" s="179">
        <f t="shared" si="121"/>
        <v>1099.9999518559998</v>
      </c>
      <c r="Z259" s="259"/>
      <c r="AA259" s="179">
        <f t="shared" si="122"/>
        <v>412.42479377000001</v>
      </c>
      <c r="AB259" s="259"/>
      <c r="AC259" s="179">
        <f t="shared" si="123"/>
        <v>0</v>
      </c>
      <c r="AD259" s="189">
        <f t="shared" ref="AD259:AD322" si="136">Dia_Col_Deduct+Dia_Col_Copay+Dia_Col_Coinsur</f>
        <v>0</v>
      </c>
      <c r="AE259" s="179">
        <f t="shared" si="124"/>
        <v>1512.424745626</v>
      </c>
      <c r="AF259" s="264"/>
      <c r="AG259" s="179">
        <f t="shared" si="125"/>
        <v>999.99995185600005</v>
      </c>
      <c r="AH259" s="268"/>
      <c r="AI259" s="179">
        <f t="shared" si="126"/>
        <v>0</v>
      </c>
      <c r="AJ259" s="268"/>
      <c r="AK259" s="179">
        <f t="shared" si="127"/>
        <v>100</v>
      </c>
      <c r="AL259" s="268"/>
      <c r="AM259" s="179">
        <f t="shared" si="128"/>
        <v>0</v>
      </c>
      <c r="AN259" s="268"/>
      <c r="AO259" s="179">
        <f t="shared" si="129"/>
        <v>0</v>
      </c>
      <c r="AP259" s="268"/>
      <c r="AQ259" s="179">
        <f t="shared" si="130"/>
        <v>0</v>
      </c>
      <c r="AR259" s="273"/>
      <c r="AS259" s="209">
        <f t="shared" si="131"/>
        <v>0</v>
      </c>
      <c r="AT259" s="273"/>
      <c r="AU259" s="226">
        <f t="shared" si="132"/>
        <v>0</v>
      </c>
      <c r="AV259" s="273"/>
      <c r="AW259" s="209">
        <f t="shared" si="133"/>
        <v>0</v>
      </c>
      <c r="AX259" s="273"/>
      <c r="AY259" s="209">
        <f t="shared" si="134"/>
        <v>0</v>
      </c>
      <c r="AZ259" s="273"/>
      <c r="BA259" s="179">
        <f t="shared" si="135"/>
        <v>0</v>
      </c>
      <c r="BB259"/>
      <c r="BC259"/>
      <c r="BD259"/>
    </row>
    <row r="260" spans="1:56" s="34" customFormat="1" hidden="1" x14ac:dyDescent="0.25">
      <c r="A260" s="87"/>
      <c r="B260" s="42"/>
      <c r="C260" s="41"/>
      <c r="D260" s="41"/>
      <c r="E260" s="40"/>
      <c r="F260" s="40"/>
      <c r="G260" s="40"/>
      <c r="H260" s="40"/>
      <c r="I260" s="160"/>
      <c r="J260" s="41"/>
      <c r="K260" s="41"/>
      <c r="L260" s="41"/>
      <c r="M260" s="41"/>
      <c r="N260" s="41"/>
      <c r="O260" s="41"/>
      <c r="P260" s="188"/>
      <c r="Q260" s="221"/>
      <c r="R260" s="253"/>
      <c r="S260" s="179">
        <f t="shared" si="118"/>
        <v>3898.2066402109976</v>
      </c>
      <c r="T260" s="259"/>
      <c r="U260" s="179">
        <f t="shared" si="119"/>
        <v>79</v>
      </c>
      <c r="V260" s="259"/>
      <c r="W260" s="179">
        <f t="shared" si="120"/>
        <v>0</v>
      </c>
      <c r="X260" s="259"/>
      <c r="Y260" s="179">
        <f t="shared" si="121"/>
        <v>1099.9999518559998</v>
      </c>
      <c r="Z260" s="259"/>
      <c r="AA260" s="179">
        <f t="shared" si="122"/>
        <v>412.42479377000001</v>
      </c>
      <c r="AB260" s="259"/>
      <c r="AC260" s="179">
        <f t="shared" si="123"/>
        <v>0</v>
      </c>
      <c r="AD260" s="189">
        <f t="shared" si="136"/>
        <v>0</v>
      </c>
      <c r="AE260" s="179">
        <f t="shared" si="124"/>
        <v>1512.424745626</v>
      </c>
      <c r="AF260" s="264"/>
      <c r="AG260" s="179">
        <f t="shared" si="125"/>
        <v>999.99995185600005</v>
      </c>
      <c r="AH260" s="268"/>
      <c r="AI260" s="179">
        <f t="shared" si="126"/>
        <v>0</v>
      </c>
      <c r="AJ260" s="268"/>
      <c r="AK260" s="179">
        <f t="shared" si="127"/>
        <v>100</v>
      </c>
      <c r="AL260" s="268"/>
      <c r="AM260" s="179">
        <f t="shared" si="128"/>
        <v>0</v>
      </c>
      <c r="AN260" s="268"/>
      <c r="AO260" s="179">
        <f t="shared" si="129"/>
        <v>0</v>
      </c>
      <c r="AP260" s="268"/>
      <c r="AQ260" s="179">
        <f t="shared" si="130"/>
        <v>0</v>
      </c>
      <c r="AR260" s="273"/>
      <c r="AS260" s="209">
        <f t="shared" si="131"/>
        <v>0</v>
      </c>
      <c r="AT260" s="273"/>
      <c r="AU260" s="226">
        <f t="shared" si="132"/>
        <v>0</v>
      </c>
      <c r="AV260" s="273"/>
      <c r="AW260" s="209">
        <f t="shared" si="133"/>
        <v>0</v>
      </c>
      <c r="AX260" s="273"/>
      <c r="AY260" s="209">
        <f t="shared" si="134"/>
        <v>0</v>
      </c>
      <c r="AZ260" s="273"/>
      <c r="BA260" s="179">
        <f t="shared" si="135"/>
        <v>0</v>
      </c>
      <c r="BB260"/>
      <c r="BC260"/>
      <c r="BD260"/>
    </row>
    <row r="261" spans="1:56" s="34" customFormat="1" hidden="1" x14ac:dyDescent="0.25">
      <c r="A261" s="87"/>
      <c r="B261" s="42"/>
      <c r="C261" s="41"/>
      <c r="D261" s="41"/>
      <c r="E261" s="40"/>
      <c r="F261" s="40"/>
      <c r="G261" s="40"/>
      <c r="H261" s="40"/>
      <c r="I261" s="160"/>
      <c r="J261" s="41"/>
      <c r="K261" s="41"/>
      <c r="L261" s="41"/>
      <c r="M261" s="41"/>
      <c r="N261" s="41"/>
      <c r="O261" s="41"/>
      <c r="P261" s="188"/>
      <c r="Q261" s="221"/>
      <c r="R261" s="253"/>
      <c r="S261" s="179">
        <f t="shared" ref="S261:S324" si="137">R261+S260</f>
        <v>3898.2066402109976</v>
      </c>
      <c r="T261" s="259"/>
      <c r="U261" s="179">
        <f t="shared" ref="U261:U324" si="138">T261+U260</f>
        <v>79</v>
      </c>
      <c r="V261" s="259"/>
      <c r="W261" s="179">
        <f t="shared" ref="W261:W324" si="139">V261+W260</f>
        <v>0</v>
      </c>
      <c r="X261" s="259"/>
      <c r="Y261" s="179">
        <f t="shared" ref="Y261:Y324" si="140">X261+Y260</f>
        <v>1099.9999518559998</v>
      </c>
      <c r="Z261" s="259"/>
      <c r="AA261" s="179">
        <f t="shared" ref="AA261:AA324" si="141">Z261+AA260</f>
        <v>412.42479377000001</v>
      </c>
      <c r="AB261" s="259"/>
      <c r="AC261" s="179">
        <f t="shared" ref="AC261:AC324" si="142">AB261+AC260</f>
        <v>0</v>
      </c>
      <c r="AD261" s="189">
        <f t="shared" si="136"/>
        <v>0</v>
      </c>
      <c r="AE261" s="179">
        <f t="shared" ref="AE261:AE324" si="143">AD261+AE260</f>
        <v>1512.424745626</v>
      </c>
      <c r="AF261" s="264"/>
      <c r="AG261" s="179">
        <f t="shared" ref="AG261:AG324" si="144">AF261+AG260</f>
        <v>999.99995185600005</v>
      </c>
      <c r="AH261" s="268"/>
      <c r="AI261" s="179">
        <f t="shared" ref="AI261:AI324" si="145">AH261+AI260</f>
        <v>0</v>
      </c>
      <c r="AJ261" s="268"/>
      <c r="AK261" s="179">
        <f t="shared" ref="AK261:AK324" si="146">AJ261+AK260</f>
        <v>100</v>
      </c>
      <c r="AL261" s="268"/>
      <c r="AM261" s="179">
        <f t="shared" ref="AM261:AM324" si="147">AL261+AM260</f>
        <v>0</v>
      </c>
      <c r="AN261" s="268"/>
      <c r="AO261" s="179">
        <f t="shared" ref="AO261:AO324" si="148">AN261+AO260</f>
        <v>0</v>
      </c>
      <c r="AP261" s="268"/>
      <c r="AQ261" s="179">
        <f t="shared" ref="AQ261:AQ324" si="149">AP261+AQ260</f>
        <v>0</v>
      </c>
      <c r="AR261" s="273"/>
      <c r="AS261" s="209">
        <f t="shared" ref="AS261:AS324" si="150">AR261+AS260</f>
        <v>0</v>
      </c>
      <c r="AT261" s="273"/>
      <c r="AU261" s="226">
        <f t="shared" ref="AU261:AU324" si="151">AT261+AU260</f>
        <v>0</v>
      </c>
      <c r="AV261" s="273"/>
      <c r="AW261" s="209">
        <f t="shared" ref="AW261:AW324" si="152">AV261+AW260</f>
        <v>0</v>
      </c>
      <c r="AX261" s="273"/>
      <c r="AY261" s="209">
        <f t="shared" ref="AY261:AY324" si="153">AX261+AY260</f>
        <v>0</v>
      </c>
      <c r="AZ261" s="273"/>
      <c r="BA261" s="179">
        <f t="shared" ref="BA261:BA324" si="154">AZ261+BA260</f>
        <v>0</v>
      </c>
      <c r="BB261"/>
      <c r="BC261"/>
      <c r="BD261"/>
    </row>
    <row r="262" spans="1:56" s="34" customFormat="1" hidden="1" x14ac:dyDescent="0.25">
      <c r="A262" s="87"/>
      <c r="B262" s="42"/>
      <c r="C262" s="41"/>
      <c r="D262" s="41"/>
      <c r="E262" s="40"/>
      <c r="F262" s="40"/>
      <c r="G262" s="40"/>
      <c r="H262" s="40"/>
      <c r="I262" s="160"/>
      <c r="J262" s="41"/>
      <c r="K262" s="41"/>
      <c r="L262" s="41"/>
      <c r="M262" s="41"/>
      <c r="N262" s="41"/>
      <c r="O262" s="41"/>
      <c r="P262" s="188"/>
      <c r="Q262" s="221"/>
      <c r="R262" s="253"/>
      <c r="S262" s="179">
        <f t="shared" si="137"/>
        <v>3898.2066402109976</v>
      </c>
      <c r="T262" s="259"/>
      <c r="U262" s="179">
        <f t="shared" si="138"/>
        <v>79</v>
      </c>
      <c r="V262" s="259"/>
      <c r="W262" s="179">
        <f t="shared" si="139"/>
        <v>0</v>
      </c>
      <c r="X262" s="259"/>
      <c r="Y262" s="179">
        <f t="shared" si="140"/>
        <v>1099.9999518559998</v>
      </c>
      <c r="Z262" s="259"/>
      <c r="AA262" s="179">
        <f t="shared" si="141"/>
        <v>412.42479377000001</v>
      </c>
      <c r="AB262" s="259"/>
      <c r="AC262" s="179">
        <f t="shared" si="142"/>
        <v>0</v>
      </c>
      <c r="AD262" s="189">
        <f t="shared" si="136"/>
        <v>0</v>
      </c>
      <c r="AE262" s="179">
        <f t="shared" si="143"/>
        <v>1512.424745626</v>
      </c>
      <c r="AF262" s="264"/>
      <c r="AG262" s="179">
        <f t="shared" si="144"/>
        <v>999.99995185600005</v>
      </c>
      <c r="AH262" s="268"/>
      <c r="AI262" s="179">
        <f t="shared" si="145"/>
        <v>0</v>
      </c>
      <c r="AJ262" s="268"/>
      <c r="AK262" s="179">
        <f t="shared" si="146"/>
        <v>100</v>
      </c>
      <c r="AL262" s="268"/>
      <c r="AM262" s="179">
        <f t="shared" si="147"/>
        <v>0</v>
      </c>
      <c r="AN262" s="268"/>
      <c r="AO262" s="179">
        <f t="shared" si="148"/>
        <v>0</v>
      </c>
      <c r="AP262" s="268"/>
      <c r="AQ262" s="179">
        <f t="shared" si="149"/>
        <v>0</v>
      </c>
      <c r="AR262" s="273"/>
      <c r="AS262" s="209">
        <f t="shared" si="150"/>
        <v>0</v>
      </c>
      <c r="AT262" s="273"/>
      <c r="AU262" s="226">
        <f t="shared" si="151"/>
        <v>0</v>
      </c>
      <c r="AV262" s="273"/>
      <c r="AW262" s="209">
        <f t="shared" si="152"/>
        <v>0</v>
      </c>
      <c r="AX262" s="273"/>
      <c r="AY262" s="209">
        <f t="shared" si="153"/>
        <v>0</v>
      </c>
      <c r="AZ262" s="273"/>
      <c r="BA262" s="179">
        <f t="shared" si="154"/>
        <v>0</v>
      </c>
      <c r="BB262"/>
      <c r="BC262"/>
      <c r="BD262"/>
    </row>
    <row r="263" spans="1:56" s="34" customFormat="1" hidden="1" x14ac:dyDescent="0.25">
      <c r="A263" s="87"/>
      <c r="B263" s="42"/>
      <c r="C263" s="41"/>
      <c r="D263" s="41"/>
      <c r="E263" s="40"/>
      <c r="F263" s="40"/>
      <c r="G263" s="40"/>
      <c r="H263" s="40"/>
      <c r="I263" s="160"/>
      <c r="J263" s="41"/>
      <c r="K263" s="41"/>
      <c r="L263" s="41"/>
      <c r="M263" s="41"/>
      <c r="N263" s="41"/>
      <c r="O263" s="41"/>
      <c r="P263" s="188"/>
      <c r="Q263" s="221"/>
      <c r="R263" s="253"/>
      <c r="S263" s="179">
        <f t="shared" si="137"/>
        <v>3898.2066402109976</v>
      </c>
      <c r="T263" s="259"/>
      <c r="U263" s="179">
        <f t="shared" si="138"/>
        <v>79</v>
      </c>
      <c r="V263" s="259"/>
      <c r="W263" s="179">
        <f t="shared" si="139"/>
        <v>0</v>
      </c>
      <c r="X263" s="259"/>
      <c r="Y263" s="179">
        <f t="shared" si="140"/>
        <v>1099.9999518559998</v>
      </c>
      <c r="Z263" s="259"/>
      <c r="AA263" s="179">
        <f t="shared" si="141"/>
        <v>412.42479377000001</v>
      </c>
      <c r="AB263" s="259"/>
      <c r="AC263" s="179">
        <f t="shared" si="142"/>
        <v>0</v>
      </c>
      <c r="AD263" s="189">
        <f t="shared" si="136"/>
        <v>0</v>
      </c>
      <c r="AE263" s="179">
        <f t="shared" si="143"/>
        <v>1512.424745626</v>
      </c>
      <c r="AF263" s="264"/>
      <c r="AG263" s="179">
        <f t="shared" si="144"/>
        <v>999.99995185600005</v>
      </c>
      <c r="AH263" s="268"/>
      <c r="AI263" s="179">
        <f t="shared" si="145"/>
        <v>0</v>
      </c>
      <c r="AJ263" s="268"/>
      <c r="AK263" s="179">
        <f t="shared" si="146"/>
        <v>100</v>
      </c>
      <c r="AL263" s="268"/>
      <c r="AM263" s="179">
        <f t="shared" si="147"/>
        <v>0</v>
      </c>
      <c r="AN263" s="268"/>
      <c r="AO263" s="179">
        <f t="shared" si="148"/>
        <v>0</v>
      </c>
      <c r="AP263" s="268"/>
      <c r="AQ263" s="179">
        <f t="shared" si="149"/>
        <v>0</v>
      </c>
      <c r="AR263" s="273"/>
      <c r="AS263" s="209">
        <f t="shared" si="150"/>
        <v>0</v>
      </c>
      <c r="AT263" s="273"/>
      <c r="AU263" s="226">
        <f t="shared" si="151"/>
        <v>0</v>
      </c>
      <c r="AV263" s="273"/>
      <c r="AW263" s="209">
        <f t="shared" si="152"/>
        <v>0</v>
      </c>
      <c r="AX263" s="273"/>
      <c r="AY263" s="209">
        <f t="shared" si="153"/>
        <v>0</v>
      </c>
      <c r="AZ263" s="273"/>
      <c r="BA263" s="179">
        <f t="shared" si="154"/>
        <v>0</v>
      </c>
      <c r="BB263"/>
      <c r="BC263"/>
      <c r="BD263"/>
    </row>
    <row r="264" spans="1:56" s="34" customFormat="1" hidden="1" x14ac:dyDescent="0.25">
      <c r="A264" s="87"/>
      <c r="B264" s="42"/>
      <c r="C264" s="41"/>
      <c r="D264" s="41"/>
      <c r="E264" s="40"/>
      <c r="F264" s="40"/>
      <c r="G264" s="40"/>
      <c r="H264" s="40"/>
      <c r="I264" s="160"/>
      <c r="J264" s="41"/>
      <c r="K264" s="41"/>
      <c r="L264" s="41"/>
      <c r="M264" s="41"/>
      <c r="N264" s="41"/>
      <c r="O264" s="41"/>
      <c r="P264" s="188"/>
      <c r="Q264" s="221"/>
      <c r="R264" s="253"/>
      <c r="S264" s="179">
        <f t="shared" si="137"/>
        <v>3898.2066402109976</v>
      </c>
      <c r="T264" s="259"/>
      <c r="U264" s="179">
        <f t="shared" si="138"/>
        <v>79</v>
      </c>
      <c r="V264" s="259"/>
      <c r="W264" s="179">
        <f t="shared" si="139"/>
        <v>0</v>
      </c>
      <c r="X264" s="259"/>
      <c r="Y264" s="179">
        <f t="shared" si="140"/>
        <v>1099.9999518559998</v>
      </c>
      <c r="Z264" s="259"/>
      <c r="AA264" s="179">
        <f t="shared" si="141"/>
        <v>412.42479377000001</v>
      </c>
      <c r="AB264" s="259"/>
      <c r="AC264" s="179">
        <f t="shared" si="142"/>
        <v>0</v>
      </c>
      <c r="AD264" s="189">
        <f t="shared" si="136"/>
        <v>0</v>
      </c>
      <c r="AE264" s="179">
        <f t="shared" si="143"/>
        <v>1512.424745626</v>
      </c>
      <c r="AF264" s="264"/>
      <c r="AG264" s="179">
        <f t="shared" si="144"/>
        <v>999.99995185600005</v>
      </c>
      <c r="AH264" s="268"/>
      <c r="AI264" s="179">
        <f t="shared" si="145"/>
        <v>0</v>
      </c>
      <c r="AJ264" s="268"/>
      <c r="AK264" s="179">
        <f t="shared" si="146"/>
        <v>100</v>
      </c>
      <c r="AL264" s="268"/>
      <c r="AM264" s="179">
        <f t="shared" si="147"/>
        <v>0</v>
      </c>
      <c r="AN264" s="268"/>
      <c r="AO264" s="179">
        <f t="shared" si="148"/>
        <v>0</v>
      </c>
      <c r="AP264" s="268"/>
      <c r="AQ264" s="179">
        <f t="shared" si="149"/>
        <v>0</v>
      </c>
      <c r="AR264" s="273"/>
      <c r="AS264" s="209">
        <f t="shared" si="150"/>
        <v>0</v>
      </c>
      <c r="AT264" s="273"/>
      <c r="AU264" s="226">
        <f t="shared" si="151"/>
        <v>0</v>
      </c>
      <c r="AV264" s="273"/>
      <c r="AW264" s="209">
        <f t="shared" si="152"/>
        <v>0</v>
      </c>
      <c r="AX264" s="273"/>
      <c r="AY264" s="209">
        <f t="shared" si="153"/>
        <v>0</v>
      </c>
      <c r="AZ264" s="273"/>
      <c r="BA264" s="179">
        <f t="shared" si="154"/>
        <v>0</v>
      </c>
      <c r="BB264"/>
      <c r="BC264"/>
      <c r="BD264"/>
    </row>
    <row r="265" spans="1:56" s="34" customFormat="1" hidden="1" x14ac:dyDescent="0.25">
      <c r="A265" s="87"/>
      <c r="B265" s="42"/>
      <c r="C265" s="41"/>
      <c r="D265" s="41"/>
      <c r="E265" s="40"/>
      <c r="F265" s="40"/>
      <c r="G265" s="40"/>
      <c r="H265" s="40"/>
      <c r="I265" s="160"/>
      <c r="J265" s="41"/>
      <c r="K265" s="41"/>
      <c r="L265" s="41"/>
      <c r="M265" s="41"/>
      <c r="N265" s="41"/>
      <c r="O265" s="41"/>
      <c r="P265" s="188"/>
      <c r="Q265" s="221"/>
      <c r="R265" s="253"/>
      <c r="S265" s="179">
        <f t="shared" si="137"/>
        <v>3898.2066402109976</v>
      </c>
      <c r="T265" s="259"/>
      <c r="U265" s="179">
        <f t="shared" si="138"/>
        <v>79</v>
      </c>
      <c r="V265" s="259"/>
      <c r="W265" s="179">
        <f t="shared" si="139"/>
        <v>0</v>
      </c>
      <c r="X265" s="259"/>
      <c r="Y265" s="179">
        <f t="shared" si="140"/>
        <v>1099.9999518559998</v>
      </c>
      <c r="Z265" s="259"/>
      <c r="AA265" s="179">
        <f t="shared" si="141"/>
        <v>412.42479377000001</v>
      </c>
      <c r="AB265" s="259"/>
      <c r="AC265" s="179">
        <f t="shared" si="142"/>
        <v>0</v>
      </c>
      <c r="AD265" s="189">
        <f t="shared" si="136"/>
        <v>0</v>
      </c>
      <c r="AE265" s="179">
        <f t="shared" si="143"/>
        <v>1512.424745626</v>
      </c>
      <c r="AF265" s="264"/>
      <c r="AG265" s="179">
        <f t="shared" si="144"/>
        <v>999.99995185600005</v>
      </c>
      <c r="AH265" s="268"/>
      <c r="AI265" s="179">
        <f t="shared" si="145"/>
        <v>0</v>
      </c>
      <c r="AJ265" s="268"/>
      <c r="AK265" s="179">
        <f t="shared" si="146"/>
        <v>100</v>
      </c>
      <c r="AL265" s="268"/>
      <c r="AM265" s="179">
        <f t="shared" si="147"/>
        <v>0</v>
      </c>
      <c r="AN265" s="268"/>
      <c r="AO265" s="179">
        <f t="shared" si="148"/>
        <v>0</v>
      </c>
      <c r="AP265" s="268"/>
      <c r="AQ265" s="179">
        <f t="shared" si="149"/>
        <v>0</v>
      </c>
      <c r="AR265" s="273"/>
      <c r="AS265" s="209">
        <f t="shared" si="150"/>
        <v>0</v>
      </c>
      <c r="AT265" s="273"/>
      <c r="AU265" s="226">
        <f t="shared" si="151"/>
        <v>0</v>
      </c>
      <c r="AV265" s="273"/>
      <c r="AW265" s="209">
        <f t="shared" si="152"/>
        <v>0</v>
      </c>
      <c r="AX265" s="273"/>
      <c r="AY265" s="209">
        <f t="shared" si="153"/>
        <v>0</v>
      </c>
      <c r="AZ265" s="273"/>
      <c r="BA265" s="179">
        <f t="shared" si="154"/>
        <v>0</v>
      </c>
      <c r="BB265"/>
      <c r="BC265"/>
      <c r="BD265"/>
    </row>
    <row r="266" spans="1:56" s="34" customFormat="1" hidden="1" x14ac:dyDescent="0.25">
      <c r="A266" s="87"/>
      <c r="B266" s="42"/>
      <c r="C266" s="41"/>
      <c r="D266" s="41"/>
      <c r="E266" s="40"/>
      <c r="F266" s="40"/>
      <c r="G266" s="40"/>
      <c r="H266" s="40"/>
      <c r="I266" s="160"/>
      <c r="J266" s="41"/>
      <c r="K266" s="41"/>
      <c r="L266" s="41"/>
      <c r="M266" s="41"/>
      <c r="N266" s="41"/>
      <c r="O266" s="41"/>
      <c r="P266" s="188"/>
      <c r="Q266" s="221"/>
      <c r="R266" s="253"/>
      <c r="S266" s="179">
        <f t="shared" si="137"/>
        <v>3898.2066402109976</v>
      </c>
      <c r="T266" s="259"/>
      <c r="U266" s="179">
        <f t="shared" si="138"/>
        <v>79</v>
      </c>
      <c r="V266" s="259"/>
      <c r="W266" s="179">
        <f t="shared" si="139"/>
        <v>0</v>
      </c>
      <c r="X266" s="259"/>
      <c r="Y266" s="179">
        <f t="shared" si="140"/>
        <v>1099.9999518559998</v>
      </c>
      <c r="Z266" s="259"/>
      <c r="AA266" s="179">
        <f t="shared" si="141"/>
        <v>412.42479377000001</v>
      </c>
      <c r="AB266" s="259"/>
      <c r="AC266" s="179">
        <f t="shared" si="142"/>
        <v>0</v>
      </c>
      <c r="AD266" s="189">
        <f t="shared" si="136"/>
        <v>0</v>
      </c>
      <c r="AE266" s="179">
        <f t="shared" si="143"/>
        <v>1512.424745626</v>
      </c>
      <c r="AF266" s="264"/>
      <c r="AG266" s="179">
        <f t="shared" si="144"/>
        <v>999.99995185600005</v>
      </c>
      <c r="AH266" s="268"/>
      <c r="AI266" s="179">
        <f t="shared" si="145"/>
        <v>0</v>
      </c>
      <c r="AJ266" s="268"/>
      <c r="AK266" s="179">
        <f t="shared" si="146"/>
        <v>100</v>
      </c>
      <c r="AL266" s="268"/>
      <c r="AM266" s="179">
        <f t="shared" si="147"/>
        <v>0</v>
      </c>
      <c r="AN266" s="268"/>
      <c r="AO266" s="179">
        <f t="shared" si="148"/>
        <v>0</v>
      </c>
      <c r="AP266" s="268"/>
      <c r="AQ266" s="179">
        <f t="shared" si="149"/>
        <v>0</v>
      </c>
      <c r="AR266" s="273"/>
      <c r="AS266" s="209">
        <f t="shared" si="150"/>
        <v>0</v>
      </c>
      <c r="AT266" s="273"/>
      <c r="AU266" s="226">
        <f t="shared" si="151"/>
        <v>0</v>
      </c>
      <c r="AV266" s="273"/>
      <c r="AW266" s="209">
        <f t="shared" si="152"/>
        <v>0</v>
      </c>
      <c r="AX266" s="273"/>
      <c r="AY266" s="209">
        <f t="shared" si="153"/>
        <v>0</v>
      </c>
      <c r="AZ266" s="273"/>
      <c r="BA266" s="179">
        <f t="shared" si="154"/>
        <v>0</v>
      </c>
      <c r="BB266"/>
      <c r="BC266"/>
      <c r="BD266"/>
    </row>
    <row r="267" spans="1:56" s="34" customFormat="1" hidden="1" x14ac:dyDescent="0.25">
      <c r="A267" s="87"/>
      <c r="B267" s="42"/>
      <c r="C267" s="41"/>
      <c r="D267" s="41"/>
      <c r="E267" s="40"/>
      <c r="F267" s="40"/>
      <c r="G267" s="40"/>
      <c r="H267" s="40"/>
      <c r="I267" s="160"/>
      <c r="J267" s="41"/>
      <c r="K267" s="41"/>
      <c r="L267" s="41"/>
      <c r="M267" s="41"/>
      <c r="N267" s="41"/>
      <c r="O267" s="41"/>
      <c r="P267" s="188"/>
      <c r="Q267" s="221"/>
      <c r="R267" s="253"/>
      <c r="S267" s="179">
        <f t="shared" si="137"/>
        <v>3898.2066402109976</v>
      </c>
      <c r="T267" s="259"/>
      <c r="U267" s="179">
        <f t="shared" si="138"/>
        <v>79</v>
      </c>
      <c r="V267" s="259"/>
      <c r="W267" s="179">
        <f t="shared" si="139"/>
        <v>0</v>
      </c>
      <c r="X267" s="259"/>
      <c r="Y267" s="179">
        <f t="shared" si="140"/>
        <v>1099.9999518559998</v>
      </c>
      <c r="Z267" s="259"/>
      <c r="AA267" s="179">
        <f t="shared" si="141"/>
        <v>412.42479377000001</v>
      </c>
      <c r="AB267" s="259"/>
      <c r="AC267" s="179">
        <f t="shared" si="142"/>
        <v>0</v>
      </c>
      <c r="AD267" s="189">
        <f t="shared" si="136"/>
        <v>0</v>
      </c>
      <c r="AE267" s="179">
        <f t="shared" si="143"/>
        <v>1512.424745626</v>
      </c>
      <c r="AF267" s="264"/>
      <c r="AG267" s="179">
        <f t="shared" si="144"/>
        <v>999.99995185600005</v>
      </c>
      <c r="AH267" s="268"/>
      <c r="AI267" s="179">
        <f t="shared" si="145"/>
        <v>0</v>
      </c>
      <c r="AJ267" s="268"/>
      <c r="AK267" s="179">
        <f t="shared" si="146"/>
        <v>100</v>
      </c>
      <c r="AL267" s="268"/>
      <c r="AM267" s="179">
        <f t="shared" si="147"/>
        <v>0</v>
      </c>
      <c r="AN267" s="268"/>
      <c r="AO267" s="179">
        <f t="shared" si="148"/>
        <v>0</v>
      </c>
      <c r="AP267" s="268"/>
      <c r="AQ267" s="179">
        <f t="shared" si="149"/>
        <v>0</v>
      </c>
      <c r="AR267" s="273"/>
      <c r="AS267" s="209">
        <f t="shared" si="150"/>
        <v>0</v>
      </c>
      <c r="AT267" s="273"/>
      <c r="AU267" s="226">
        <f t="shared" si="151"/>
        <v>0</v>
      </c>
      <c r="AV267" s="273"/>
      <c r="AW267" s="209">
        <f t="shared" si="152"/>
        <v>0</v>
      </c>
      <c r="AX267" s="273"/>
      <c r="AY267" s="209">
        <f t="shared" si="153"/>
        <v>0</v>
      </c>
      <c r="AZ267" s="273"/>
      <c r="BA267" s="179">
        <f t="shared" si="154"/>
        <v>0</v>
      </c>
      <c r="BB267"/>
      <c r="BC267"/>
      <c r="BD267"/>
    </row>
    <row r="268" spans="1:56" s="34" customFormat="1" hidden="1" x14ac:dyDescent="0.25">
      <c r="A268" s="87"/>
      <c r="B268" s="42"/>
      <c r="C268" s="41"/>
      <c r="D268" s="41"/>
      <c r="E268" s="40"/>
      <c r="F268" s="40"/>
      <c r="G268" s="40"/>
      <c r="H268" s="40"/>
      <c r="I268" s="160"/>
      <c r="J268" s="41"/>
      <c r="K268" s="41"/>
      <c r="L268" s="41"/>
      <c r="M268" s="41"/>
      <c r="N268" s="41"/>
      <c r="O268" s="41"/>
      <c r="P268" s="188"/>
      <c r="Q268" s="221"/>
      <c r="R268" s="253"/>
      <c r="S268" s="179">
        <f t="shared" si="137"/>
        <v>3898.2066402109976</v>
      </c>
      <c r="T268" s="259"/>
      <c r="U268" s="179">
        <f t="shared" si="138"/>
        <v>79</v>
      </c>
      <c r="V268" s="259"/>
      <c r="W268" s="179">
        <f t="shared" si="139"/>
        <v>0</v>
      </c>
      <c r="X268" s="259"/>
      <c r="Y268" s="179">
        <f t="shared" si="140"/>
        <v>1099.9999518559998</v>
      </c>
      <c r="Z268" s="259"/>
      <c r="AA268" s="179">
        <f t="shared" si="141"/>
        <v>412.42479377000001</v>
      </c>
      <c r="AB268" s="259"/>
      <c r="AC268" s="179">
        <f t="shared" si="142"/>
        <v>0</v>
      </c>
      <c r="AD268" s="189">
        <f t="shared" si="136"/>
        <v>0</v>
      </c>
      <c r="AE268" s="179">
        <f t="shared" si="143"/>
        <v>1512.424745626</v>
      </c>
      <c r="AF268" s="264"/>
      <c r="AG268" s="179">
        <f t="shared" si="144"/>
        <v>999.99995185600005</v>
      </c>
      <c r="AH268" s="268"/>
      <c r="AI268" s="179">
        <f t="shared" si="145"/>
        <v>0</v>
      </c>
      <c r="AJ268" s="268"/>
      <c r="AK268" s="179">
        <f t="shared" si="146"/>
        <v>100</v>
      </c>
      <c r="AL268" s="268"/>
      <c r="AM268" s="179">
        <f t="shared" si="147"/>
        <v>0</v>
      </c>
      <c r="AN268" s="268"/>
      <c r="AO268" s="179">
        <f t="shared" si="148"/>
        <v>0</v>
      </c>
      <c r="AP268" s="268"/>
      <c r="AQ268" s="179">
        <f t="shared" si="149"/>
        <v>0</v>
      </c>
      <c r="AR268" s="273"/>
      <c r="AS268" s="209">
        <f t="shared" si="150"/>
        <v>0</v>
      </c>
      <c r="AT268" s="273"/>
      <c r="AU268" s="226">
        <f t="shared" si="151"/>
        <v>0</v>
      </c>
      <c r="AV268" s="273"/>
      <c r="AW268" s="209">
        <f t="shared" si="152"/>
        <v>0</v>
      </c>
      <c r="AX268" s="273"/>
      <c r="AY268" s="209">
        <f t="shared" si="153"/>
        <v>0</v>
      </c>
      <c r="AZ268" s="273"/>
      <c r="BA268" s="179">
        <f t="shared" si="154"/>
        <v>0</v>
      </c>
      <c r="BB268"/>
      <c r="BC268"/>
      <c r="BD268"/>
    </row>
    <row r="269" spans="1:56" s="34" customFormat="1" hidden="1" x14ac:dyDescent="0.25">
      <c r="A269" s="87"/>
      <c r="B269" s="42"/>
      <c r="C269" s="41"/>
      <c r="D269" s="41"/>
      <c r="E269" s="40"/>
      <c r="F269" s="40"/>
      <c r="G269" s="40"/>
      <c r="H269" s="40"/>
      <c r="I269" s="160"/>
      <c r="J269" s="41"/>
      <c r="K269" s="41"/>
      <c r="L269" s="41"/>
      <c r="M269" s="41"/>
      <c r="N269" s="41"/>
      <c r="O269" s="41"/>
      <c r="P269" s="188"/>
      <c r="Q269" s="221"/>
      <c r="R269" s="253"/>
      <c r="S269" s="179">
        <f t="shared" si="137"/>
        <v>3898.2066402109976</v>
      </c>
      <c r="T269" s="259"/>
      <c r="U269" s="179">
        <f t="shared" si="138"/>
        <v>79</v>
      </c>
      <c r="V269" s="259"/>
      <c r="W269" s="179">
        <f t="shared" si="139"/>
        <v>0</v>
      </c>
      <c r="X269" s="259"/>
      <c r="Y269" s="179">
        <f t="shared" si="140"/>
        <v>1099.9999518559998</v>
      </c>
      <c r="Z269" s="259"/>
      <c r="AA269" s="179">
        <f t="shared" si="141"/>
        <v>412.42479377000001</v>
      </c>
      <c r="AB269" s="259"/>
      <c r="AC269" s="179">
        <f t="shared" si="142"/>
        <v>0</v>
      </c>
      <c r="AD269" s="189">
        <f t="shared" si="136"/>
        <v>0</v>
      </c>
      <c r="AE269" s="179">
        <f t="shared" si="143"/>
        <v>1512.424745626</v>
      </c>
      <c r="AF269" s="264"/>
      <c r="AG269" s="179">
        <f t="shared" si="144"/>
        <v>999.99995185600005</v>
      </c>
      <c r="AH269" s="268"/>
      <c r="AI269" s="179">
        <f t="shared" si="145"/>
        <v>0</v>
      </c>
      <c r="AJ269" s="268"/>
      <c r="AK269" s="179">
        <f t="shared" si="146"/>
        <v>100</v>
      </c>
      <c r="AL269" s="268"/>
      <c r="AM269" s="179">
        <f t="shared" si="147"/>
        <v>0</v>
      </c>
      <c r="AN269" s="268"/>
      <c r="AO269" s="179">
        <f t="shared" si="148"/>
        <v>0</v>
      </c>
      <c r="AP269" s="268"/>
      <c r="AQ269" s="179">
        <f t="shared" si="149"/>
        <v>0</v>
      </c>
      <c r="AR269" s="273"/>
      <c r="AS269" s="209">
        <f t="shared" si="150"/>
        <v>0</v>
      </c>
      <c r="AT269" s="273"/>
      <c r="AU269" s="226">
        <f t="shared" si="151"/>
        <v>0</v>
      </c>
      <c r="AV269" s="273"/>
      <c r="AW269" s="209">
        <f t="shared" si="152"/>
        <v>0</v>
      </c>
      <c r="AX269" s="273"/>
      <c r="AY269" s="209">
        <f t="shared" si="153"/>
        <v>0</v>
      </c>
      <c r="AZ269" s="273"/>
      <c r="BA269" s="179">
        <f t="shared" si="154"/>
        <v>0</v>
      </c>
      <c r="BB269"/>
      <c r="BC269"/>
      <c r="BD269"/>
    </row>
    <row r="270" spans="1:56" s="34" customFormat="1" hidden="1" x14ac:dyDescent="0.25">
      <c r="A270" s="87"/>
      <c r="B270" s="42"/>
      <c r="C270" s="41"/>
      <c r="D270" s="41"/>
      <c r="E270" s="40"/>
      <c r="F270" s="40"/>
      <c r="G270" s="40"/>
      <c r="H270" s="40"/>
      <c r="I270" s="160"/>
      <c r="J270" s="41"/>
      <c r="K270" s="41"/>
      <c r="L270" s="41"/>
      <c r="M270" s="41"/>
      <c r="N270" s="41"/>
      <c r="O270" s="41"/>
      <c r="P270" s="188"/>
      <c r="Q270" s="221"/>
      <c r="R270" s="253"/>
      <c r="S270" s="179">
        <f t="shared" si="137"/>
        <v>3898.2066402109976</v>
      </c>
      <c r="T270" s="259"/>
      <c r="U270" s="179">
        <f t="shared" si="138"/>
        <v>79</v>
      </c>
      <c r="V270" s="259"/>
      <c r="W270" s="179">
        <f t="shared" si="139"/>
        <v>0</v>
      </c>
      <c r="X270" s="259"/>
      <c r="Y270" s="179">
        <f t="shared" si="140"/>
        <v>1099.9999518559998</v>
      </c>
      <c r="Z270" s="259"/>
      <c r="AA270" s="179">
        <f t="shared" si="141"/>
        <v>412.42479377000001</v>
      </c>
      <c r="AB270" s="259"/>
      <c r="AC270" s="179">
        <f t="shared" si="142"/>
        <v>0</v>
      </c>
      <c r="AD270" s="189">
        <f t="shared" si="136"/>
        <v>0</v>
      </c>
      <c r="AE270" s="179">
        <f t="shared" si="143"/>
        <v>1512.424745626</v>
      </c>
      <c r="AF270" s="264"/>
      <c r="AG270" s="179">
        <f t="shared" si="144"/>
        <v>999.99995185600005</v>
      </c>
      <c r="AH270" s="268"/>
      <c r="AI270" s="179">
        <f t="shared" si="145"/>
        <v>0</v>
      </c>
      <c r="AJ270" s="268"/>
      <c r="AK270" s="179">
        <f t="shared" si="146"/>
        <v>100</v>
      </c>
      <c r="AL270" s="268"/>
      <c r="AM270" s="179">
        <f t="shared" si="147"/>
        <v>0</v>
      </c>
      <c r="AN270" s="268"/>
      <c r="AO270" s="179">
        <f t="shared" si="148"/>
        <v>0</v>
      </c>
      <c r="AP270" s="268"/>
      <c r="AQ270" s="179">
        <f t="shared" si="149"/>
        <v>0</v>
      </c>
      <c r="AR270" s="273"/>
      <c r="AS270" s="209">
        <f t="shared" si="150"/>
        <v>0</v>
      </c>
      <c r="AT270" s="273"/>
      <c r="AU270" s="226">
        <f t="shared" si="151"/>
        <v>0</v>
      </c>
      <c r="AV270" s="273"/>
      <c r="AW270" s="209">
        <f t="shared" si="152"/>
        <v>0</v>
      </c>
      <c r="AX270" s="273"/>
      <c r="AY270" s="209">
        <f t="shared" si="153"/>
        <v>0</v>
      </c>
      <c r="AZ270" s="273"/>
      <c r="BA270" s="179">
        <f t="shared" si="154"/>
        <v>0</v>
      </c>
      <c r="BB270"/>
      <c r="BC270"/>
      <c r="BD270"/>
    </row>
    <row r="271" spans="1:56" s="34" customFormat="1" hidden="1" x14ac:dyDescent="0.25">
      <c r="A271" s="87"/>
      <c r="B271" s="42"/>
      <c r="C271" s="41"/>
      <c r="D271" s="41"/>
      <c r="E271" s="40"/>
      <c r="F271" s="40"/>
      <c r="G271" s="40"/>
      <c r="H271" s="40"/>
      <c r="I271" s="160"/>
      <c r="J271" s="41"/>
      <c r="K271" s="41"/>
      <c r="L271" s="41"/>
      <c r="M271" s="41"/>
      <c r="N271" s="41"/>
      <c r="O271" s="41"/>
      <c r="P271" s="188"/>
      <c r="Q271" s="221"/>
      <c r="R271" s="253"/>
      <c r="S271" s="179">
        <f t="shared" si="137"/>
        <v>3898.2066402109976</v>
      </c>
      <c r="T271" s="259"/>
      <c r="U271" s="179">
        <f t="shared" si="138"/>
        <v>79</v>
      </c>
      <c r="V271" s="259"/>
      <c r="W271" s="179">
        <f t="shared" si="139"/>
        <v>0</v>
      </c>
      <c r="X271" s="259"/>
      <c r="Y271" s="179">
        <f t="shared" si="140"/>
        <v>1099.9999518559998</v>
      </c>
      <c r="Z271" s="259"/>
      <c r="AA271" s="179">
        <f t="shared" si="141"/>
        <v>412.42479377000001</v>
      </c>
      <c r="AB271" s="259"/>
      <c r="AC271" s="179">
        <f t="shared" si="142"/>
        <v>0</v>
      </c>
      <c r="AD271" s="189">
        <f t="shared" si="136"/>
        <v>0</v>
      </c>
      <c r="AE271" s="179">
        <f t="shared" si="143"/>
        <v>1512.424745626</v>
      </c>
      <c r="AF271" s="264"/>
      <c r="AG271" s="179">
        <f t="shared" si="144"/>
        <v>999.99995185600005</v>
      </c>
      <c r="AH271" s="268"/>
      <c r="AI271" s="179">
        <f t="shared" si="145"/>
        <v>0</v>
      </c>
      <c r="AJ271" s="268"/>
      <c r="AK271" s="179">
        <f t="shared" si="146"/>
        <v>100</v>
      </c>
      <c r="AL271" s="268"/>
      <c r="AM271" s="179">
        <f t="shared" si="147"/>
        <v>0</v>
      </c>
      <c r="AN271" s="268"/>
      <c r="AO271" s="179">
        <f t="shared" si="148"/>
        <v>0</v>
      </c>
      <c r="AP271" s="268"/>
      <c r="AQ271" s="179">
        <f t="shared" si="149"/>
        <v>0</v>
      </c>
      <c r="AR271" s="273"/>
      <c r="AS271" s="209">
        <f t="shared" si="150"/>
        <v>0</v>
      </c>
      <c r="AT271" s="273"/>
      <c r="AU271" s="226">
        <f t="shared" si="151"/>
        <v>0</v>
      </c>
      <c r="AV271" s="273"/>
      <c r="AW271" s="209">
        <f t="shared" si="152"/>
        <v>0</v>
      </c>
      <c r="AX271" s="273"/>
      <c r="AY271" s="209">
        <f t="shared" si="153"/>
        <v>0</v>
      </c>
      <c r="AZ271" s="273"/>
      <c r="BA271" s="179">
        <f t="shared" si="154"/>
        <v>0</v>
      </c>
      <c r="BB271"/>
      <c r="BC271"/>
      <c r="BD271"/>
    </row>
    <row r="272" spans="1:56" s="34" customFormat="1" hidden="1" x14ac:dyDescent="0.25">
      <c r="A272" s="87"/>
      <c r="B272" s="42"/>
      <c r="C272" s="41"/>
      <c r="D272" s="41"/>
      <c r="E272" s="40"/>
      <c r="F272" s="40"/>
      <c r="G272" s="40"/>
      <c r="H272" s="40"/>
      <c r="I272" s="160"/>
      <c r="J272" s="41"/>
      <c r="K272" s="41"/>
      <c r="L272" s="41"/>
      <c r="M272" s="41"/>
      <c r="N272" s="41"/>
      <c r="O272" s="41"/>
      <c r="P272" s="188"/>
      <c r="Q272" s="221"/>
      <c r="R272" s="253"/>
      <c r="S272" s="179">
        <f t="shared" si="137"/>
        <v>3898.2066402109976</v>
      </c>
      <c r="T272" s="259"/>
      <c r="U272" s="179">
        <f t="shared" si="138"/>
        <v>79</v>
      </c>
      <c r="V272" s="259"/>
      <c r="W272" s="179">
        <f t="shared" si="139"/>
        <v>0</v>
      </c>
      <c r="X272" s="259"/>
      <c r="Y272" s="179">
        <f t="shared" si="140"/>
        <v>1099.9999518559998</v>
      </c>
      <c r="Z272" s="259"/>
      <c r="AA272" s="179">
        <f t="shared" si="141"/>
        <v>412.42479377000001</v>
      </c>
      <c r="AB272" s="259"/>
      <c r="AC272" s="179">
        <f t="shared" si="142"/>
        <v>0</v>
      </c>
      <c r="AD272" s="189">
        <f t="shared" si="136"/>
        <v>0</v>
      </c>
      <c r="AE272" s="179">
        <f t="shared" si="143"/>
        <v>1512.424745626</v>
      </c>
      <c r="AF272" s="264"/>
      <c r="AG272" s="179">
        <f t="shared" si="144"/>
        <v>999.99995185600005</v>
      </c>
      <c r="AH272" s="268"/>
      <c r="AI272" s="179">
        <f t="shared" si="145"/>
        <v>0</v>
      </c>
      <c r="AJ272" s="268"/>
      <c r="AK272" s="179">
        <f t="shared" si="146"/>
        <v>100</v>
      </c>
      <c r="AL272" s="268"/>
      <c r="AM272" s="179">
        <f t="shared" si="147"/>
        <v>0</v>
      </c>
      <c r="AN272" s="268"/>
      <c r="AO272" s="179">
        <f t="shared" si="148"/>
        <v>0</v>
      </c>
      <c r="AP272" s="268"/>
      <c r="AQ272" s="179">
        <f t="shared" si="149"/>
        <v>0</v>
      </c>
      <c r="AR272" s="273"/>
      <c r="AS272" s="209">
        <f t="shared" si="150"/>
        <v>0</v>
      </c>
      <c r="AT272" s="273"/>
      <c r="AU272" s="226">
        <f t="shared" si="151"/>
        <v>0</v>
      </c>
      <c r="AV272" s="273"/>
      <c r="AW272" s="209">
        <f t="shared" si="152"/>
        <v>0</v>
      </c>
      <c r="AX272" s="273"/>
      <c r="AY272" s="209">
        <f t="shared" si="153"/>
        <v>0</v>
      </c>
      <c r="AZ272" s="273"/>
      <c r="BA272" s="179">
        <f t="shared" si="154"/>
        <v>0</v>
      </c>
      <c r="BB272"/>
      <c r="BC272"/>
      <c r="BD272"/>
    </row>
    <row r="273" spans="1:56" s="34" customFormat="1" hidden="1" x14ac:dyDescent="0.25">
      <c r="A273" s="87"/>
      <c r="B273" s="42"/>
      <c r="C273" s="41"/>
      <c r="D273" s="41"/>
      <c r="E273" s="40"/>
      <c r="F273" s="40"/>
      <c r="G273" s="40"/>
      <c r="H273" s="40"/>
      <c r="I273" s="160"/>
      <c r="J273" s="41"/>
      <c r="K273" s="41"/>
      <c r="L273" s="41"/>
      <c r="M273" s="41"/>
      <c r="N273" s="41"/>
      <c r="O273" s="41"/>
      <c r="P273" s="188"/>
      <c r="Q273" s="221"/>
      <c r="R273" s="253"/>
      <c r="S273" s="179">
        <f t="shared" si="137"/>
        <v>3898.2066402109976</v>
      </c>
      <c r="T273" s="259"/>
      <c r="U273" s="179">
        <f t="shared" si="138"/>
        <v>79</v>
      </c>
      <c r="V273" s="259"/>
      <c r="W273" s="179">
        <f t="shared" si="139"/>
        <v>0</v>
      </c>
      <c r="X273" s="259"/>
      <c r="Y273" s="179">
        <f t="shared" si="140"/>
        <v>1099.9999518559998</v>
      </c>
      <c r="Z273" s="259"/>
      <c r="AA273" s="179">
        <f t="shared" si="141"/>
        <v>412.42479377000001</v>
      </c>
      <c r="AB273" s="259"/>
      <c r="AC273" s="179">
        <f t="shared" si="142"/>
        <v>0</v>
      </c>
      <c r="AD273" s="189">
        <f t="shared" si="136"/>
        <v>0</v>
      </c>
      <c r="AE273" s="179">
        <f t="shared" si="143"/>
        <v>1512.424745626</v>
      </c>
      <c r="AF273" s="264"/>
      <c r="AG273" s="179">
        <f t="shared" si="144"/>
        <v>999.99995185600005</v>
      </c>
      <c r="AH273" s="268"/>
      <c r="AI273" s="179">
        <f t="shared" si="145"/>
        <v>0</v>
      </c>
      <c r="AJ273" s="268"/>
      <c r="AK273" s="179">
        <f t="shared" si="146"/>
        <v>100</v>
      </c>
      <c r="AL273" s="268"/>
      <c r="AM273" s="179">
        <f t="shared" si="147"/>
        <v>0</v>
      </c>
      <c r="AN273" s="268"/>
      <c r="AO273" s="179">
        <f t="shared" si="148"/>
        <v>0</v>
      </c>
      <c r="AP273" s="268"/>
      <c r="AQ273" s="179">
        <f t="shared" si="149"/>
        <v>0</v>
      </c>
      <c r="AR273" s="273"/>
      <c r="AS273" s="209">
        <f t="shared" si="150"/>
        <v>0</v>
      </c>
      <c r="AT273" s="273"/>
      <c r="AU273" s="226">
        <f t="shared" si="151"/>
        <v>0</v>
      </c>
      <c r="AV273" s="273"/>
      <c r="AW273" s="209">
        <f t="shared" si="152"/>
        <v>0</v>
      </c>
      <c r="AX273" s="273"/>
      <c r="AY273" s="209">
        <f t="shared" si="153"/>
        <v>0</v>
      </c>
      <c r="AZ273" s="273"/>
      <c r="BA273" s="179">
        <f t="shared" si="154"/>
        <v>0</v>
      </c>
      <c r="BB273"/>
      <c r="BC273"/>
      <c r="BD273"/>
    </row>
    <row r="274" spans="1:56" s="34" customFormat="1" hidden="1" x14ac:dyDescent="0.25">
      <c r="A274" s="87"/>
      <c r="B274" s="42"/>
      <c r="C274" s="41"/>
      <c r="D274" s="41"/>
      <c r="E274" s="40"/>
      <c r="F274" s="40"/>
      <c r="G274" s="40"/>
      <c r="H274" s="40"/>
      <c r="I274" s="160"/>
      <c r="J274" s="41"/>
      <c r="K274" s="41"/>
      <c r="L274" s="41"/>
      <c r="M274" s="41"/>
      <c r="N274" s="41"/>
      <c r="O274" s="41"/>
      <c r="P274" s="188"/>
      <c r="Q274" s="221"/>
      <c r="R274" s="253"/>
      <c r="S274" s="179">
        <f t="shared" si="137"/>
        <v>3898.2066402109976</v>
      </c>
      <c r="T274" s="259"/>
      <c r="U274" s="179">
        <f t="shared" si="138"/>
        <v>79</v>
      </c>
      <c r="V274" s="259"/>
      <c r="W274" s="179">
        <f t="shared" si="139"/>
        <v>0</v>
      </c>
      <c r="X274" s="259"/>
      <c r="Y274" s="179">
        <f t="shared" si="140"/>
        <v>1099.9999518559998</v>
      </c>
      <c r="Z274" s="259"/>
      <c r="AA274" s="179">
        <f t="shared" si="141"/>
        <v>412.42479377000001</v>
      </c>
      <c r="AB274" s="259"/>
      <c r="AC274" s="179">
        <f t="shared" si="142"/>
        <v>0</v>
      </c>
      <c r="AD274" s="189">
        <f t="shared" si="136"/>
        <v>0</v>
      </c>
      <c r="AE274" s="179">
        <f t="shared" si="143"/>
        <v>1512.424745626</v>
      </c>
      <c r="AF274" s="264"/>
      <c r="AG274" s="179">
        <f t="shared" si="144"/>
        <v>999.99995185600005</v>
      </c>
      <c r="AH274" s="268"/>
      <c r="AI274" s="179">
        <f t="shared" si="145"/>
        <v>0</v>
      </c>
      <c r="AJ274" s="268"/>
      <c r="AK274" s="179">
        <f t="shared" si="146"/>
        <v>100</v>
      </c>
      <c r="AL274" s="268"/>
      <c r="AM274" s="179">
        <f t="shared" si="147"/>
        <v>0</v>
      </c>
      <c r="AN274" s="268"/>
      <c r="AO274" s="179">
        <f t="shared" si="148"/>
        <v>0</v>
      </c>
      <c r="AP274" s="268"/>
      <c r="AQ274" s="179">
        <f t="shared" si="149"/>
        <v>0</v>
      </c>
      <c r="AR274" s="273"/>
      <c r="AS274" s="209">
        <f t="shared" si="150"/>
        <v>0</v>
      </c>
      <c r="AT274" s="273"/>
      <c r="AU274" s="226">
        <f t="shared" si="151"/>
        <v>0</v>
      </c>
      <c r="AV274" s="273"/>
      <c r="AW274" s="209">
        <f t="shared" si="152"/>
        <v>0</v>
      </c>
      <c r="AX274" s="273"/>
      <c r="AY274" s="209">
        <f t="shared" si="153"/>
        <v>0</v>
      </c>
      <c r="AZ274" s="273"/>
      <c r="BA274" s="179">
        <f t="shared" si="154"/>
        <v>0</v>
      </c>
      <c r="BB274"/>
      <c r="BC274"/>
      <c r="BD274"/>
    </row>
    <row r="275" spans="1:56" s="34" customFormat="1" hidden="1" x14ac:dyDescent="0.25">
      <c r="A275" s="87"/>
      <c r="B275" s="42"/>
      <c r="C275" s="41"/>
      <c r="D275" s="41"/>
      <c r="E275" s="40"/>
      <c r="F275" s="40"/>
      <c r="G275" s="40"/>
      <c r="H275" s="40"/>
      <c r="I275" s="160"/>
      <c r="J275" s="41"/>
      <c r="K275" s="41"/>
      <c r="L275" s="41"/>
      <c r="M275" s="41"/>
      <c r="N275" s="41"/>
      <c r="O275" s="41"/>
      <c r="P275" s="188"/>
      <c r="Q275" s="221"/>
      <c r="R275" s="253"/>
      <c r="S275" s="179">
        <f t="shared" si="137"/>
        <v>3898.2066402109976</v>
      </c>
      <c r="T275" s="259"/>
      <c r="U275" s="179">
        <f t="shared" si="138"/>
        <v>79</v>
      </c>
      <c r="V275" s="259"/>
      <c r="W275" s="179">
        <f t="shared" si="139"/>
        <v>0</v>
      </c>
      <c r="X275" s="259"/>
      <c r="Y275" s="179">
        <f t="shared" si="140"/>
        <v>1099.9999518559998</v>
      </c>
      <c r="Z275" s="259"/>
      <c r="AA275" s="179">
        <f t="shared" si="141"/>
        <v>412.42479377000001</v>
      </c>
      <c r="AB275" s="259"/>
      <c r="AC275" s="179">
        <f t="shared" si="142"/>
        <v>0</v>
      </c>
      <c r="AD275" s="189">
        <f t="shared" si="136"/>
        <v>0</v>
      </c>
      <c r="AE275" s="179">
        <f t="shared" si="143"/>
        <v>1512.424745626</v>
      </c>
      <c r="AF275" s="264"/>
      <c r="AG275" s="179">
        <f t="shared" si="144"/>
        <v>999.99995185600005</v>
      </c>
      <c r="AH275" s="268"/>
      <c r="AI275" s="179">
        <f t="shared" si="145"/>
        <v>0</v>
      </c>
      <c r="AJ275" s="268"/>
      <c r="AK275" s="179">
        <f t="shared" si="146"/>
        <v>100</v>
      </c>
      <c r="AL275" s="268"/>
      <c r="AM275" s="179">
        <f t="shared" si="147"/>
        <v>0</v>
      </c>
      <c r="AN275" s="268"/>
      <c r="AO275" s="179">
        <f t="shared" si="148"/>
        <v>0</v>
      </c>
      <c r="AP275" s="268"/>
      <c r="AQ275" s="179">
        <f t="shared" si="149"/>
        <v>0</v>
      </c>
      <c r="AR275" s="273"/>
      <c r="AS275" s="209">
        <f t="shared" si="150"/>
        <v>0</v>
      </c>
      <c r="AT275" s="273"/>
      <c r="AU275" s="226">
        <f t="shared" si="151"/>
        <v>0</v>
      </c>
      <c r="AV275" s="273"/>
      <c r="AW275" s="209">
        <f t="shared" si="152"/>
        <v>0</v>
      </c>
      <c r="AX275" s="273"/>
      <c r="AY275" s="209">
        <f t="shared" si="153"/>
        <v>0</v>
      </c>
      <c r="AZ275" s="273"/>
      <c r="BA275" s="179">
        <f t="shared" si="154"/>
        <v>0</v>
      </c>
      <c r="BB275"/>
      <c r="BC275"/>
      <c r="BD275"/>
    </row>
    <row r="276" spans="1:56" s="34" customFormat="1" hidden="1" x14ac:dyDescent="0.25">
      <c r="A276" s="87"/>
      <c r="B276" s="42"/>
      <c r="C276" s="41"/>
      <c r="D276" s="41"/>
      <c r="E276" s="40"/>
      <c r="F276" s="40"/>
      <c r="G276" s="40"/>
      <c r="H276" s="40"/>
      <c r="I276" s="160"/>
      <c r="J276" s="41"/>
      <c r="K276" s="41"/>
      <c r="L276" s="41"/>
      <c r="M276" s="41"/>
      <c r="N276" s="41"/>
      <c r="O276" s="41"/>
      <c r="P276" s="188"/>
      <c r="Q276" s="221"/>
      <c r="R276" s="253"/>
      <c r="S276" s="179">
        <f t="shared" si="137"/>
        <v>3898.2066402109976</v>
      </c>
      <c r="T276" s="259"/>
      <c r="U276" s="179">
        <f t="shared" si="138"/>
        <v>79</v>
      </c>
      <c r="V276" s="259"/>
      <c r="W276" s="179">
        <f t="shared" si="139"/>
        <v>0</v>
      </c>
      <c r="X276" s="259"/>
      <c r="Y276" s="179">
        <f t="shared" si="140"/>
        <v>1099.9999518559998</v>
      </c>
      <c r="Z276" s="259"/>
      <c r="AA276" s="179">
        <f t="shared" si="141"/>
        <v>412.42479377000001</v>
      </c>
      <c r="AB276" s="259"/>
      <c r="AC276" s="179">
        <f t="shared" si="142"/>
        <v>0</v>
      </c>
      <c r="AD276" s="189">
        <f t="shared" si="136"/>
        <v>0</v>
      </c>
      <c r="AE276" s="179">
        <f t="shared" si="143"/>
        <v>1512.424745626</v>
      </c>
      <c r="AF276" s="264"/>
      <c r="AG276" s="179">
        <f t="shared" si="144"/>
        <v>999.99995185600005</v>
      </c>
      <c r="AH276" s="268"/>
      <c r="AI276" s="179">
        <f t="shared" si="145"/>
        <v>0</v>
      </c>
      <c r="AJ276" s="268"/>
      <c r="AK276" s="179">
        <f t="shared" si="146"/>
        <v>100</v>
      </c>
      <c r="AL276" s="268"/>
      <c r="AM276" s="179">
        <f t="shared" si="147"/>
        <v>0</v>
      </c>
      <c r="AN276" s="268"/>
      <c r="AO276" s="179">
        <f t="shared" si="148"/>
        <v>0</v>
      </c>
      <c r="AP276" s="268"/>
      <c r="AQ276" s="179">
        <f t="shared" si="149"/>
        <v>0</v>
      </c>
      <c r="AR276" s="273"/>
      <c r="AS276" s="209">
        <f t="shared" si="150"/>
        <v>0</v>
      </c>
      <c r="AT276" s="273"/>
      <c r="AU276" s="226">
        <f t="shared" si="151"/>
        <v>0</v>
      </c>
      <c r="AV276" s="273"/>
      <c r="AW276" s="209">
        <f t="shared" si="152"/>
        <v>0</v>
      </c>
      <c r="AX276" s="273"/>
      <c r="AY276" s="209">
        <f t="shared" si="153"/>
        <v>0</v>
      </c>
      <c r="AZ276" s="273"/>
      <c r="BA276" s="179">
        <f t="shared" si="154"/>
        <v>0</v>
      </c>
      <c r="BB276"/>
      <c r="BC276"/>
      <c r="BD276"/>
    </row>
    <row r="277" spans="1:56" s="34" customFormat="1" hidden="1" x14ac:dyDescent="0.25">
      <c r="A277" s="87"/>
      <c r="B277" s="42"/>
      <c r="C277" s="41"/>
      <c r="D277" s="41"/>
      <c r="E277" s="40"/>
      <c r="F277" s="40"/>
      <c r="G277" s="40"/>
      <c r="H277" s="40"/>
      <c r="I277" s="160"/>
      <c r="J277" s="41"/>
      <c r="K277" s="41"/>
      <c r="L277" s="41"/>
      <c r="M277" s="41"/>
      <c r="N277" s="41"/>
      <c r="O277" s="41"/>
      <c r="P277" s="188"/>
      <c r="Q277" s="221"/>
      <c r="R277" s="253"/>
      <c r="S277" s="179">
        <f t="shared" si="137"/>
        <v>3898.2066402109976</v>
      </c>
      <c r="T277" s="259"/>
      <c r="U277" s="179">
        <f t="shared" si="138"/>
        <v>79</v>
      </c>
      <c r="V277" s="259"/>
      <c r="W277" s="179">
        <f t="shared" si="139"/>
        <v>0</v>
      </c>
      <c r="X277" s="259"/>
      <c r="Y277" s="179">
        <f t="shared" si="140"/>
        <v>1099.9999518559998</v>
      </c>
      <c r="Z277" s="259"/>
      <c r="AA277" s="179">
        <f t="shared" si="141"/>
        <v>412.42479377000001</v>
      </c>
      <c r="AB277" s="259"/>
      <c r="AC277" s="179">
        <f t="shared" si="142"/>
        <v>0</v>
      </c>
      <c r="AD277" s="189">
        <f t="shared" si="136"/>
        <v>0</v>
      </c>
      <c r="AE277" s="179">
        <f t="shared" si="143"/>
        <v>1512.424745626</v>
      </c>
      <c r="AF277" s="264"/>
      <c r="AG277" s="179">
        <f t="shared" si="144"/>
        <v>999.99995185600005</v>
      </c>
      <c r="AH277" s="268"/>
      <c r="AI277" s="179">
        <f t="shared" si="145"/>
        <v>0</v>
      </c>
      <c r="AJ277" s="268"/>
      <c r="AK277" s="179">
        <f t="shared" si="146"/>
        <v>100</v>
      </c>
      <c r="AL277" s="268"/>
      <c r="AM277" s="179">
        <f t="shared" si="147"/>
        <v>0</v>
      </c>
      <c r="AN277" s="268"/>
      <c r="AO277" s="179">
        <f t="shared" si="148"/>
        <v>0</v>
      </c>
      <c r="AP277" s="268"/>
      <c r="AQ277" s="179">
        <f t="shared" si="149"/>
        <v>0</v>
      </c>
      <c r="AR277" s="273"/>
      <c r="AS277" s="209">
        <f t="shared" si="150"/>
        <v>0</v>
      </c>
      <c r="AT277" s="273"/>
      <c r="AU277" s="226">
        <f t="shared" si="151"/>
        <v>0</v>
      </c>
      <c r="AV277" s="273"/>
      <c r="AW277" s="209">
        <f t="shared" si="152"/>
        <v>0</v>
      </c>
      <c r="AX277" s="273"/>
      <c r="AY277" s="209">
        <f t="shared" si="153"/>
        <v>0</v>
      </c>
      <c r="AZ277" s="273"/>
      <c r="BA277" s="179">
        <f t="shared" si="154"/>
        <v>0</v>
      </c>
      <c r="BB277"/>
      <c r="BC277"/>
      <c r="BD277"/>
    </row>
    <row r="278" spans="1:56" s="34" customFormat="1" hidden="1" x14ac:dyDescent="0.25">
      <c r="A278" s="87"/>
      <c r="B278" s="42"/>
      <c r="C278" s="41"/>
      <c r="D278" s="41"/>
      <c r="E278" s="40"/>
      <c r="F278" s="40"/>
      <c r="G278" s="40"/>
      <c r="H278" s="40"/>
      <c r="I278" s="160"/>
      <c r="J278" s="41"/>
      <c r="K278" s="41"/>
      <c r="L278" s="41"/>
      <c r="M278" s="41"/>
      <c r="N278" s="41"/>
      <c r="O278" s="41"/>
      <c r="P278" s="188"/>
      <c r="Q278" s="221"/>
      <c r="R278" s="253"/>
      <c r="S278" s="179">
        <f t="shared" si="137"/>
        <v>3898.2066402109976</v>
      </c>
      <c r="T278" s="259"/>
      <c r="U278" s="179">
        <f t="shared" si="138"/>
        <v>79</v>
      </c>
      <c r="V278" s="259"/>
      <c r="W278" s="179">
        <f t="shared" si="139"/>
        <v>0</v>
      </c>
      <c r="X278" s="259"/>
      <c r="Y278" s="179">
        <f t="shared" si="140"/>
        <v>1099.9999518559998</v>
      </c>
      <c r="Z278" s="259"/>
      <c r="AA278" s="179">
        <f t="shared" si="141"/>
        <v>412.42479377000001</v>
      </c>
      <c r="AB278" s="259"/>
      <c r="AC278" s="179">
        <f t="shared" si="142"/>
        <v>0</v>
      </c>
      <c r="AD278" s="189">
        <f t="shared" si="136"/>
        <v>0</v>
      </c>
      <c r="AE278" s="179">
        <f t="shared" si="143"/>
        <v>1512.424745626</v>
      </c>
      <c r="AF278" s="264"/>
      <c r="AG278" s="179">
        <f t="shared" si="144"/>
        <v>999.99995185600005</v>
      </c>
      <c r="AH278" s="268"/>
      <c r="AI278" s="179">
        <f t="shared" si="145"/>
        <v>0</v>
      </c>
      <c r="AJ278" s="268"/>
      <c r="AK278" s="179">
        <f t="shared" si="146"/>
        <v>100</v>
      </c>
      <c r="AL278" s="268"/>
      <c r="AM278" s="179">
        <f t="shared" si="147"/>
        <v>0</v>
      </c>
      <c r="AN278" s="268"/>
      <c r="AO278" s="179">
        <f t="shared" si="148"/>
        <v>0</v>
      </c>
      <c r="AP278" s="268"/>
      <c r="AQ278" s="179">
        <f t="shared" si="149"/>
        <v>0</v>
      </c>
      <c r="AR278" s="273"/>
      <c r="AS278" s="209">
        <f t="shared" si="150"/>
        <v>0</v>
      </c>
      <c r="AT278" s="273"/>
      <c r="AU278" s="226">
        <f t="shared" si="151"/>
        <v>0</v>
      </c>
      <c r="AV278" s="273"/>
      <c r="AW278" s="209">
        <f t="shared" si="152"/>
        <v>0</v>
      </c>
      <c r="AX278" s="273"/>
      <c r="AY278" s="209">
        <f t="shared" si="153"/>
        <v>0</v>
      </c>
      <c r="AZ278" s="273"/>
      <c r="BA278" s="179">
        <f t="shared" si="154"/>
        <v>0</v>
      </c>
      <c r="BB278"/>
      <c r="BC278"/>
      <c r="BD278"/>
    </row>
    <row r="279" spans="1:56" s="34" customFormat="1" hidden="1" x14ac:dyDescent="0.25">
      <c r="A279" s="87"/>
      <c r="B279" s="42"/>
      <c r="C279" s="41"/>
      <c r="D279" s="41"/>
      <c r="E279" s="40"/>
      <c r="F279" s="40"/>
      <c r="G279" s="40"/>
      <c r="H279" s="40"/>
      <c r="I279" s="160"/>
      <c r="J279" s="41"/>
      <c r="K279" s="41"/>
      <c r="L279" s="41"/>
      <c r="M279" s="41"/>
      <c r="N279" s="41"/>
      <c r="O279" s="41"/>
      <c r="P279" s="188"/>
      <c r="Q279" s="221"/>
      <c r="R279" s="253"/>
      <c r="S279" s="179">
        <f t="shared" si="137"/>
        <v>3898.2066402109976</v>
      </c>
      <c r="T279" s="259"/>
      <c r="U279" s="179">
        <f t="shared" si="138"/>
        <v>79</v>
      </c>
      <c r="V279" s="259"/>
      <c r="W279" s="179">
        <f t="shared" si="139"/>
        <v>0</v>
      </c>
      <c r="X279" s="259"/>
      <c r="Y279" s="179">
        <f t="shared" si="140"/>
        <v>1099.9999518559998</v>
      </c>
      <c r="Z279" s="259"/>
      <c r="AA279" s="179">
        <f t="shared" si="141"/>
        <v>412.42479377000001</v>
      </c>
      <c r="AB279" s="259"/>
      <c r="AC279" s="179">
        <f t="shared" si="142"/>
        <v>0</v>
      </c>
      <c r="AD279" s="189">
        <f t="shared" si="136"/>
        <v>0</v>
      </c>
      <c r="AE279" s="179">
        <f t="shared" si="143"/>
        <v>1512.424745626</v>
      </c>
      <c r="AF279" s="264"/>
      <c r="AG279" s="179">
        <f t="shared" si="144"/>
        <v>999.99995185600005</v>
      </c>
      <c r="AH279" s="268"/>
      <c r="AI279" s="179">
        <f t="shared" si="145"/>
        <v>0</v>
      </c>
      <c r="AJ279" s="268"/>
      <c r="AK279" s="179">
        <f t="shared" si="146"/>
        <v>100</v>
      </c>
      <c r="AL279" s="268"/>
      <c r="AM279" s="179">
        <f t="shared" si="147"/>
        <v>0</v>
      </c>
      <c r="AN279" s="268"/>
      <c r="AO279" s="179">
        <f t="shared" si="148"/>
        <v>0</v>
      </c>
      <c r="AP279" s="268"/>
      <c r="AQ279" s="179">
        <f t="shared" si="149"/>
        <v>0</v>
      </c>
      <c r="AR279" s="273"/>
      <c r="AS279" s="209">
        <f t="shared" si="150"/>
        <v>0</v>
      </c>
      <c r="AT279" s="273"/>
      <c r="AU279" s="226">
        <f t="shared" si="151"/>
        <v>0</v>
      </c>
      <c r="AV279" s="273"/>
      <c r="AW279" s="209">
        <f t="shared" si="152"/>
        <v>0</v>
      </c>
      <c r="AX279" s="273"/>
      <c r="AY279" s="209">
        <f t="shared" si="153"/>
        <v>0</v>
      </c>
      <c r="AZ279" s="273"/>
      <c r="BA279" s="179">
        <f t="shared" si="154"/>
        <v>0</v>
      </c>
      <c r="BB279"/>
      <c r="BC279"/>
      <c r="BD279"/>
    </row>
    <row r="280" spans="1:56" s="34" customFormat="1" hidden="1" x14ac:dyDescent="0.25">
      <c r="A280" s="87"/>
      <c r="B280" s="42"/>
      <c r="C280" s="41"/>
      <c r="D280" s="41"/>
      <c r="E280" s="40"/>
      <c r="F280" s="40"/>
      <c r="G280" s="40"/>
      <c r="H280" s="40"/>
      <c r="I280" s="160"/>
      <c r="J280" s="41"/>
      <c r="K280" s="41"/>
      <c r="L280" s="41"/>
      <c r="M280" s="41"/>
      <c r="N280" s="41"/>
      <c r="O280" s="41"/>
      <c r="P280" s="188"/>
      <c r="Q280" s="221"/>
      <c r="R280" s="253"/>
      <c r="S280" s="179">
        <f t="shared" si="137"/>
        <v>3898.2066402109976</v>
      </c>
      <c r="T280" s="259"/>
      <c r="U280" s="179">
        <f t="shared" si="138"/>
        <v>79</v>
      </c>
      <c r="V280" s="259"/>
      <c r="W280" s="179">
        <f t="shared" si="139"/>
        <v>0</v>
      </c>
      <c r="X280" s="259"/>
      <c r="Y280" s="179">
        <f t="shared" si="140"/>
        <v>1099.9999518559998</v>
      </c>
      <c r="Z280" s="259"/>
      <c r="AA280" s="179">
        <f t="shared" si="141"/>
        <v>412.42479377000001</v>
      </c>
      <c r="AB280" s="259"/>
      <c r="AC280" s="179">
        <f t="shared" si="142"/>
        <v>0</v>
      </c>
      <c r="AD280" s="189">
        <f t="shared" si="136"/>
        <v>0</v>
      </c>
      <c r="AE280" s="179">
        <f t="shared" si="143"/>
        <v>1512.424745626</v>
      </c>
      <c r="AF280" s="264"/>
      <c r="AG280" s="179">
        <f t="shared" si="144"/>
        <v>999.99995185600005</v>
      </c>
      <c r="AH280" s="268"/>
      <c r="AI280" s="179">
        <f t="shared" si="145"/>
        <v>0</v>
      </c>
      <c r="AJ280" s="268"/>
      <c r="AK280" s="179">
        <f t="shared" si="146"/>
        <v>100</v>
      </c>
      <c r="AL280" s="268"/>
      <c r="AM280" s="179">
        <f t="shared" si="147"/>
        <v>0</v>
      </c>
      <c r="AN280" s="268"/>
      <c r="AO280" s="179">
        <f t="shared" si="148"/>
        <v>0</v>
      </c>
      <c r="AP280" s="268"/>
      <c r="AQ280" s="179">
        <f t="shared" si="149"/>
        <v>0</v>
      </c>
      <c r="AR280" s="273"/>
      <c r="AS280" s="209">
        <f t="shared" si="150"/>
        <v>0</v>
      </c>
      <c r="AT280" s="273"/>
      <c r="AU280" s="226">
        <f t="shared" si="151"/>
        <v>0</v>
      </c>
      <c r="AV280" s="273"/>
      <c r="AW280" s="209">
        <f t="shared" si="152"/>
        <v>0</v>
      </c>
      <c r="AX280" s="273"/>
      <c r="AY280" s="209">
        <f t="shared" si="153"/>
        <v>0</v>
      </c>
      <c r="AZ280" s="273"/>
      <c r="BA280" s="179">
        <f t="shared" si="154"/>
        <v>0</v>
      </c>
      <c r="BB280"/>
      <c r="BC280"/>
      <c r="BD280"/>
    </row>
    <row r="281" spans="1:56" s="34" customFormat="1" hidden="1" x14ac:dyDescent="0.25">
      <c r="A281" s="87"/>
      <c r="B281" s="42"/>
      <c r="C281" s="41"/>
      <c r="D281" s="41"/>
      <c r="E281" s="40"/>
      <c r="F281" s="40"/>
      <c r="G281" s="40"/>
      <c r="H281" s="40"/>
      <c r="I281" s="160"/>
      <c r="J281" s="41"/>
      <c r="K281" s="41"/>
      <c r="L281" s="41"/>
      <c r="M281" s="41"/>
      <c r="N281" s="41"/>
      <c r="O281" s="41"/>
      <c r="P281" s="188"/>
      <c r="Q281" s="221"/>
      <c r="R281" s="253"/>
      <c r="S281" s="179">
        <f t="shared" si="137"/>
        <v>3898.2066402109976</v>
      </c>
      <c r="T281" s="259"/>
      <c r="U281" s="179">
        <f t="shared" si="138"/>
        <v>79</v>
      </c>
      <c r="V281" s="259"/>
      <c r="W281" s="179">
        <f t="shared" si="139"/>
        <v>0</v>
      </c>
      <c r="X281" s="259"/>
      <c r="Y281" s="179">
        <f t="shared" si="140"/>
        <v>1099.9999518559998</v>
      </c>
      <c r="Z281" s="259"/>
      <c r="AA281" s="179">
        <f t="shared" si="141"/>
        <v>412.42479377000001</v>
      </c>
      <c r="AB281" s="259"/>
      <c r="AC281" s="179">
        <f t="shared" si="142"/>
        <v>0</v>
      </c>
      <c r="AD281" s="189">
        <f t="shared" si="136"/>
        <v>0</v>
      </c>
      <c r="AE281" s="179">
        <f t="shared" si="143"/>
        <v>1512.424745626</v>
      </c>
      <c r="AF281" s="264"/>
      <c r="AG281" s="179">
        <f t="shared" si="144"/>
        <v>999.99995185600005</v>
      </c>
      <c r="AH281" s="268"/>
      <c r="AI281" s="179">
        <f t="shared" si="145"/>
        <v>0</v>
      </c>
      <c r="AJ281" s="268"/>
      <c r="AK281" s="179">
        <f t="shared" si="146"/>
        <v>100</v>
      </c>
      <c r="AL281" s="268"/>
      <c r="AM281" s="179">
        <f t="shared" si="147"/>
        <v>0</v>
      </c>
      <c r="AN281" s="268"/>
      <c r="AO281" s="179">
        <f t="shared" si="148"/>
        <v>0</v>
      </c>
      <c r="AP281" s="268"/>
      <c r="AQ281" s="179">
        <f t="shared" si="149"/>
        <v>0</v>
      </c>
      <c r="AR281" s="273"/>
      <c r="AS281" s="209">
        <f t="shared" si="150"/>
        <v>0</v>
      </c>
      <c r="AT281" s="273"/>
      <c r="AU281" s="226">
        <f t="shared" si="151"/>
        <v>0</v>
      </c>
      <c r="AV281" s="273"/>
      <c r="AW281" s="209">
        <f t="shared" si="152"/>
        <v>0</v>
      </c>
      <c r="AX281" s="273"/>
      <c r="AY281" s="209">
        <f t="shared" si="153"/>
        <v>0</v>
      </c>
      <c r="AZ281" s="273"/>
      <c r="BA281" s="179">
        <f t="shared" si="154"/>
        <v>0</v>
      </c>
      <c r="BB281"/>
      <c r="BC281"/>
      <c r="BD281"/>
    </row>
    <row r="282" spans="1:56" s="34" customFormat="1" hidden="1" x14ac:dyDescent="0.25">
      <c r="A282" s="87"/>
      <c r="B282" s="42"/>
      <c r="C282" s="41"/>
      <c r="D282" s="41"/>
      <c r="E282" s="40"/>
      <c r="F282" s="40"/>
      <c r="G282" s="40"/>
      <c r="H282" s="40"/>
      <c r="I282" s="160"/>
      <c r="J282" s="41"/>
      <c r="K282" s="41"/>
      <c r="L282" s="41"/>
      <c r="M282" s="41"/>
      <c r="N282" s="41"/>
      <c r="O282" s="41"/>
      <c r="P282" s="188"/>
      <c r="Q282" s="221"/>
      <c r="R282" s="253"/>
      <c r="S282" s="179">
        <f t="shared" si="137"/>
        <v>3898.2066402109976</v>
      </c>
      <c r="T282" s="259"/>
      <c r="U282" s="179">
        <f t="shared" si="138"/>
        <v>79</v>
      </c>
      <c r="V282" s="259"/>
      <c r="W282" s="179">
        <f t="shared" si="139"/>
        <v>0</v>
      </c>
      <c r="X282" s="259"/>
      <c r="Y282" s="179">
        <f t="shared" si="140"/>
        <v>1099.9999518559998</v>
      </c>
      <c r="Z282" s="259"/>
      <c r="AA282" s="179">
        <f t="shared" si="141"/>
        <v>412.42479377000001</v>
      </c>
      <c r="AB282" s="259"/>
      <c r="AC282" s="179">
        <f t="shared" si="142"/>
        <v>0</v>
      </c>
      <c r="AD282" s="189">
        <f t="shared" si="136"/>
        <v>0</v>
      </c>
      <c r="AE282" s="179">
        <f t="shared" si="143"/>
        <v>1512.424745626</v>
      </c>
      <c r="AF282" s="264"/>
      <c r="AG282" s="179">
        <f t="shared" si="144"/>
        <v>999.99995185600005</v>
      </c>
      <c r="AH282" s="268"/>
      <c r="AI282" s="179">
        <f t="shared" si="145"/>
        <v>0</v>
      </c>
      <c r="AJ282" s="268"/>
      <c r="AK282" s="179">
        <f t="shared" si="146"/>
        <v>100</v>
      </c>
      <c r="AL282" s="268"/>
      <c r="AM282" s="179">
        <f t="shared" si="147"/>
        <v>0</v>
      </c>
      <c r="AN282" s="268"/>
      <c r="AO282" s="179">
        <f t="shared" si="148"/>
        <v>0</v>
      </c>
      <c r="AP282" s="268"/>
      <c r="AQ282" s="179">
        <f t="shared" si="149"/>
        <v>0</v>
      </c>
      <c r="AR282" s="273"/>
      <c r="AS282" s="209">
        <f t="shared" si="150"/>
        <v>0</v>
      </c>
      <c r="AT282" s="273"/>
      <c r="AU282" s="226">
        <f t="shared" si="151"/>
        <v>0</v>
      </c>
      <c r="AV282" s="273"/>
      <c r="AW282" s="209">
        <f t="shared" si="152"/>
        <v>0</v>
      </c>
      <c r="AX282" s="273"/>
      <c r="AY282" s="209">
        <f t="shared" si="153"/>
        <v>0</v>
      </c>
      <c r="AZ282" s="273"/>
      <c r="BA282" s="179">
        <f t="shared" si="154"/>
        <v>0</v>
      </c>
      <c r="BB282"/>
      <c r="BC282"/>
      <c r="BD282"/>
    </row>
    <row r="283" spans="1:56" s="34" customFormat="1" hidden="1" x14ac:dyDescent="0.25">
      <c r="A283" s="87"/>
      <c r="B283" s="42"/>
      <c r="C283" s="41"/>
      <c r="D283" s="41"/>
      <c r="E283" s="40"/>
      <c r="F283" s="40"/>
      <c r="G283" s="40"/>
      <c r="H283" s="40"/>
      <c r="I283" s="160"/>
      <c r="J283" s="41"/>
      <c r="K283" s="41"/>
      <c r="L283" s="41"/>
      <c r="M283" s="41"/>
      <c r="N283" s="41"/>
      <c r="O283" s="41"/>
      <c r="P283" s="188"/>
      <c r="Q283" s="221"/>
      <c r="R283" s="253"/>
      <c r="S283" s="179">
        <f t="shared" si="137"/>
        <v>3898.2066402109976</v>
      </c>
      <c r="T283" s="259"/>
      <c r="U283" s="179">
        <f t="shared" si="138"/>
        <v>79</v>
      </c>
      <c r="V283" s="259"/>
      <c r="W283" s="179">
        <f t="shared" si="139"/>
        <v>0</v>
      </c>
      <c r="X283" s="259"/>
      <c r="Y283" s="179">
        <f t="shared" si="140"/>
        <v>1099.9999518559998</v>
      </c>
      <c r="Z283" s="259"/>
      <c r="AA283" s="179">
        <f t="shared" si="141"/>
        <v>412.42479377000001</v>
      </c>
      <c r="AB283" s="259"/>
      <c r="AC283" s="179">
        <f t="shared" si="142"/>
        <v>0</v>
      </c>
      <c r="AD283" s="189">
        <f t="shared" si="136"/>
        <v>0</v>
      </c>
      <c r="AE283" s="179">
        <f t="shared" si="143"/>
        <v>1512.424745626</v>
      </c>
      <c r="AF283" s="264"/>
      <c r="AG283" s="179">
        <f t="shared" si="144"/>
        <v>999.99995185600005</v>
      </c>
      <c r="AH283" s="268"/>
      <c r="AI283" s="179">
        <f t="shared" si="145"/>
        <v>0</v>
      </c>
      <c r="AJ283" s="268"/>
      <c r="AK283" s="179">
        <f t="shared" si="146"/>
        <v>100</v>
      </c>
      <c r="AL283" s="268"/>
      <c r="AM283" s="179">
        <f t="shared" si="147"/>
        <v>0</v>
      </c>
      <c r="AN283" s="268"/>
      <c r="AO283" s="179">
        <f t="shared" si="148"/>
        <v>0</v>
      </c>
      <c r="AP283" s="268"/>
      <c r="AQ283" s="179">
        <f t="shared" si="149"/>
        <v>0</v>
      </c>
      <c r="AR283" s="273"/>
      <c r="AS283" s="209">
        <f t="shared" si="150"/>
        <v>0</v>
      </c>
      <c r="AT283" s="273"/>
      <c r="AU283" s="226">
        <f t="shared" si="151"/>
        <v>0</v>
      </c>
      <c r="AV283" s="273"/>
      <c r="AW283" s="209">
        <f t="shared" si="152"/>
        <v>0</v>
      </c>
      <c r="AX283" s="273"/>
      <c r="AY283" s="209">
        <f t="shared" si="153"/>
        <v>0</v>
      </c>
      <c r="AZ283" s="273"/>
      <c r="BA283" s="179">
        <f t="shared" si="154"/>
        <v>0</v>
      </c>
      <c r="BB283"/>
      <c r="BC283"/>
      <c r="BD283"/>
    </row>
    <row r="284" spans="1:56" s="34" customFormat="1" hidden="1" x14ac:dyDescent="0.25">
      <c r="A284" s="87"/>
      <c r="B284" s="42"/>
      <c r="C284" s="41"/>
      <c r="D284" s="41"/>
      <c r="E284" s="40"/>
      <c r="F284" s="40"/>
      <c r="G284" s="40"/>
      <c r="H284" s="40"/>
      <c r="I284" s="160"/>
      <c r="J284" s="41"/>
      <c r="K284" s="41"/>
      <c r="L284" s="41"/>
      <c r="M284" s="41"/>
      <c r="N284" s="41"/>
      <c r="O284" s="41"/>
      <c r="P284" s="188"/>
      <c r="Q284" s="221"/>
      <c r="R284" s="253"/>
      <c r="S284" s="179">
        <f t="shared" si="137"/>
        <v>3898.2066402109976</v>
      </c>
      <c r="T284" s="259"/>
      <c r="U284" s="179">
        <f t="shared" si="138"/>
        <v>79</v>
      </c>
      <c r="V284" s="259"/>
      <c r="W284" s="179">
        <f t="shared" si="139"/>
        <v>0</v>
      </c>
      <c r="X284" s="259"/>
      <c r="Y284" s="179">
        <f t="shared" si="140"/>
        <v>1099.9999518559998</v>
      </c>
      <c r="Z284" s="259"/>
      <c r="AA284" s="179">
        <f t="shared" si="141"/>
        <v>412.42479377000001</v>
      </c>
      <c r="AB284" s="259"/>
      <c r="AC284" s="179">
        <f t="shared" si="142"/>
        <v>0</v>
      </c>
      <c r="AD284" s="189">
        <f t="shared" si="136"/>
        <v>0</v>
      </c>
      <c r="AE284" s="179">
        <f t="shared" si="143"/>
        <v>1512.424745626</v>
      </c>
      <c r="AF284" s="264"/>
      <c r="AG284" s="179">
        <f t="shared" si="144"/>
        <v>999.99995185600005</v>
      </c>
      <c r="AH284" s="268"/>
      <c r="AI284" s="179">
        <f t="shared" si="145"/>
        <v>0</v>
      </c>
      <c r="AJ284" s="268"/>
      <c r="AK284" s="179">
        <f t="shared" si="146"/>
        <v>100</v>
      </c>
      <c r="AL284" s="268"/>
      <c r="AM284" s="179">
        <f t="shared" si="147"/>
        <v>0</v>
      </c>
      <c r="AN284" s="268"/>
      <c r="AO284" s="179">
        <f t="shared" si="148"/>
        <v>0</v>
      </c>
      <c r="AP284" s="268"/>
      <c r="AQ284" s="179">
        <f t="shared" si="149"/>
        <v>0</v>
      </c>
      <c r="AR284" s="273"/>
      <c r="AS284" s="209">
        <f t="shared" si="150"/>
        <v>0</v>
      </c>
      <c r="AT284" s="273"/>
      <c r="AU284" s="226">
        <f t="shared" si="151"/>
        <v>0</v>
      </c>
      <c r="AV284" s="273"/>
      <c r="AW284" s="209">
        <f t="shared" si="152"/>
        <v>0</v>
      </c>
      <c r="AX284" s="273"/>
      <c r="AY284" s="209">
        <f t="shared" si="153"/>
        <v>0</v>
      </c>
      <c r="AZ284" s="273"/>
      <c r="BA284" s="179">
        <f t="shared" si="154"/>
        <v>0</v>
      </c>
      <c r="BB284"/>
      <c r="BC284"/>
      <c r="BD284"/>
    </row>
    <row r="285" spans="1:56" s="34" customFormat="1" hidden="1" x14ac:dyDescent="0.25">
      <c r="A285" s="87"/>
      <c r="B285" s="42"/>
      <c r="C285" s="41"/>
      <c r="D285" s="41"/>
      <c r="E285" s="40"/>
      <c r="F285" s="40"/>
      <c r="G285" s="40"/>
      <c r="H285" s="40"/>
      <c r="I285" s="160"/>
      <c r="J285" s="41"/>
      <c r="K285" s="41"/>
      <c r="L285" s="41"/>
      <c r="M285" s="41"/>
      <c r="N285" s="41"/>
      <c r="O285" s="41"/>
      <c r="P285" s="188"/>
      <c r="Q285" s="221"/>
      <c r="R285" s="253"/>
      <c r="S285" s="179">
        <f t="shared" si="137"/>
        <v>3898.2066402109976</v>
      </c>
      <c r="T285" s="259"/>
      <c r="U285" s="179">
        <f t="shared" si="138"/>
        <v>79</v>
      </c>
      <c r="V285" s="259"/>
      <c r="W285" s="179">
        <f t="shared" si="139"/>
        <v>0</v>
      </c>
      <c r="X285" s="259"/>
      <c r="Y285" s="179">
        <f t="shared" si="140"/>
        <v>1099.9999518559998</v>
      </c>
      <c r="Z285" s="259"/>
      <c r="AA285" s="179">
        <f t="shared" si="141"/>
        <v>412.42479377000001</v>
      </c>
      <c r="AB285" s="259"/>
      <c r="AC285" s="179">
        <f t="shared" si="142"/>
        <v>0</v>
      </c>
      <c r="AD285" s="189">
        <f t="shared" si="136"/>
        <v>0</v>
      </c>
      <c r="AE285" s="179">
        <f t="shared" si="143"/>
        <v>1512.424745626</v>
      </c>
      <c r="AF285" s="264"/>
      <c r="AG285" s="179">
        <f t="shared" si="144"/>
        <v>999.99995185600005</v>
      </c>
      <c r="AH285" s="268"/>
      <c r="AI285" s="179">
        <f t="shared" si="145"/>
        <v>0</v>
      </c>
      <c r="AJ285" s="268"/>
      <c r="AK285" s="179">
        <f t="shared" si="146"/>
        <v>100</v>
      </c>
      <c r="AL285" s="268"/>
      <c r="AM285" s="179">
        <f t="shared" si="147"/>
        <v>0</v>
      </c>
      <c r="AN285" s="268"/>
      <c r="AO285" s="179">
        <f t="shared" si="148"/>
        <v>0</v>
      </c>
      <c r="AP285" s="268"/>
      <c r="AQ285" s="179">
        <f t="shared" si="149"/>
        <v>0</v>
      </c>
      <c r="AR285" s="273"/>
      <c r="AS285" s="209">
        <f t="shared" si="150"/>
        <v>0</v>
      </c>
      <c r="AT285" s="273"/>
      <c r="AU285" s="226">
        <f t="shared" si="151"/>
        <v>0</v>
      </c>
      <c r="AV285" s="273"/>
      <c r="AW285" s="209">
        <f t="shared" si="152"/>
        <v>0</v>
      </c>
      <c r="AX285" s="273"/>
      <c r="AY285" s="209">
        <f t="shared" si="153"/>
        <v>0</v>
      </c>
      <c r="AZ285" s="273"/>
      <c r="BA285" s="179">
        <f t="shared" si="154"/>
        <v>0</v>
      </c>
      <c r="BB285"/>
      <c r="BC285"/>
      <c r="BD285"/>
    </row>
    <row r="286" spans="1:56" s="34" customFormat="1" hidden="1" x14ac:dyDescent="0.25">
      <c r="A286" s="87"/>
      <c r="B286" s="42"/>
      <c r="C286" s="41"/>
      <c r="D286" s="41"/>
      <c r="E286" s="40"/>
      <c r="F286" s="40"/>
      <c r="G286" s="40"/>
      <c r="H286" s="40"/>
      <c r="I286" s="160"/>
      <c r="J286" s="41"/>
      <c r="K286" s="41"/>
      <c r="L286" s="41"/>
      <c r="M286" s="41"/>
      <c r="N286" s="41"/>
      <c r="O286" s="41"/>
      <c r="P286" s="188"/>
      <c r="Q286" s="221"/>
      <c r="R286" s="253"/>
      <c r="S286" s="179">
        <f t="shared" si="137"/>
        <v>3898.2066402109976</v>
      </c>
      <c r="T286" s="259"/>
      <c r="U286" s="179">
        <f t="shared" si="138"/>
        <v>79</v>
      </c>
      <c r="V286" s="259"/>
      <c r="W286" s="179">
        <f t="shared" si="139"/>
        <v>0</v>
      </c>
      <c r="X286" s="259"/>
      <c r="Y286" s="179">
        <f t="shared" si="140"/>
        <v>1099.9999518559998</v>
      </c>
      <c r="Z286" s="259"/>
      <c r="AA286" s="179">
        <f t="shared" si="141"/>
        <v>412.42479377000001</v>
      </c>
      <c r="AB286" s="259"/>
      <c r="AC286" s="179">
        <f t="shared" si="142"/>
        <v>0</v>
      </c>
      <c r="AD286" s="189">
        <f t="shared" si="136"/>
        <v>0</v>
      </c>
      <c r="AE286" s="179">
        <f t="shared" si="143"/>
        <v>1512.424745626</v>
      </c>
      <c r="AF286" s="264"/>
      <c r="AG286" s="179">
        <f t="shared" si="144"/>
        <v>999.99995185600005</v>
      </c>
      <c r="AH286" s="268"/>
      <c r="AI286" s="179">
        <f t="shared" si="145"/>
        <v>0</v>
      </c>
      <c r="AJ286" s="268"/>
      <c r="AK286" s="179">
        <f t="shared" si="146"/>
        <v>100</v>
      </c>
      <c r="AL286" s="268"/>
      <c r="AM286" s="179">
        <f t="shared" si="147"/>
        <v>0</v>
      </c>
      <c r="AN286" s="268"/>
      <c r="AO286" s="179">
        <f t="shared" si="148"/>
        <v>0</v>
      </c>
      <c r="AP286" s="268"/>
      <c r="AQ286" s="179">
        <f t="shared" si="149"/>
        <v>0</v>
      </c>
      <c r="AR286" s="273"/>
      <c r="AS286" s="209">
        <f t="shared" si="150"/>
        <v>0</v>
      </c>
      <c r="AT286" s="273"/>
      <c r="AU286" s="226">
        <f t="shared" si="151"/>
        <v>0</v>
      </c>
      <c r="AV286" s="273"/>
      <c r="AW286" s="209">
        <f t="shared" si="152"/>
        <v>0</v>
      </c>
      <c r="AX286" s="273"/>
      <c r="AY286" s="209">
        <f t="shared" si="153"/>
        <v>0</v>
      </c>
      <c r="AZ286" s="273"/>
      <c r="BA286" s="179">
        <f t="shared" si="154"/>
        <v>0</v>
      </c>
      <c r="BB286"/>
      <c r="BC286"/>
      <c r="BD286"/>
    </row>
    <row r="287" spans="1:56" s="34" customFormat="1" hidden="1" x14ac:dyDescent="0.25">
      <c r="A287" s="87"/>
      <c r="B287" s="42"/>
      <c r="C287" s="41"/>
      <c r="D287" s="41"/>
      <c r="E287" s="40"/>
      <c r="F287" s="40"/>
      <c r="G287" s="40"/>
      <c r="H287" s="40"/>
      <c r="I287" s="160"/>
      <c r="J287" s="41"/>
      <c r="K287" s="41"/>
      <c r="L287" s="41"/>
      <c r="M287" s="41"/>
      <c r="N287" s="41"/>
      <c r="O287" s="41"/>
      <c r="P287" s="188"/>
      <c r="Q287" s="221"/>
      <c r="R287" s="253"/>
      <c r="S287" s="179">
        <f t="shared" si="137"/>
        <v>3898.2066402109976</v>
      </c>
      <c r="T287" s="259"/>
      <c r="U287" s="179">
        <f t="shared" si="138"/>
        <v>79</v>
      </c>
      <c r="V287" s="259"/>
      <c r="W287" s="179">
        <f t="shared" si="139"/>
        <v>0</v>
      </c>
      <c r="X287" s="259"/>
      <c r="Y287" s="179">
        <f t="shared" si="140"/>
        <v>1099.9999518559998</v>
      </c>
      <c r="Z287" s="259"/>
      <c r="AA287" s="179">
        <f t="shared" si="141"/>
        <v>412.42479377000001</v>
      </c>
      <c r="AB287" s="259"/>
      <c r="AC287" s="179">
        <f t="shared" si="142"/>
        <v>0</v>
      </c>
      <c r="AD287" s="189">
        <f t="shared" si="136"/>
        <v>0</v>
      </c>
      <c r="AE287" s="179">
        <f t="shared" si="143"/>
        <v>1512.424745626</v>
      </c>
      <c r="AF287" s="264"/>
      <c r="AG287" s="179">
        <f t="shared" si="144"/>
        <v>999.99995185600005</v>
      </c>
      <c r="AH287" s="268"/>
      <c r="AI287" s="179">
        <f t="shared" si="145"/>
        <v>0</v>
      </c>
      <c r="AJ287" s="268"/>
      <c r="AK287" s="179">
        <f t="shared" si="146"/>
        <v>100</v>
      </c>
      <c r="AL287" s="268"/>
      <c r="AM287" s="179">
        <f t="shared" si="147"/>
        <v>0</v>
      </c>
      <c r="AN287" s="268"/>
      <c r="AO287" s="179">
        <f t="shared" si="148"/>
        <v>0</v>
      </c>
      <c r="AP287" s="268"/>
      <c r="AQ287" s="179">
        <f t="shared" si="149"/>
        <v>0</v>
      </c>
      <c r="AR287" s="273"/>
      <c r="AS287" s="209">
        <f t="shared" si="150"/>
        <v>0</v>
      </c>
      <c r="AT287" s="273"/>
      <c r="AU287" s="226">
        <f t="shared" si="151"/>
        <v>0</v>
      </c>
      <c r="AV287" s="273"/>
      <c r="AW287" s="209">
        <f t="shared" si="152"/>
        <v>0</v>
      </c>
      <c r="AX287" s="273"/>
      <c r="AY287" s="209">
        <f t="shared" si="153"/>
        <v>0</v>
      </c>
      <c r="AZ287" s="273"/>
      <c r="BA287" s="179">
        <f t="shared" si="154"/>
        <v>0</v>
      </c>
      <c r="BB287"/>
      <c r="BC287"/>
      <c r="BD287"/>
    </row>
    <row r="288" spans="1:56" s="34" customFormat="1" hidden="1" x14ac:dyDescent="0.25">
      <c r="A288" s="87"/>
      <c r="B288" s="42"/>
      <c r="C288" s="41"/>
      <c r="D288" s="41"/>
      <c r="E288" s="40"/>
      <c r="F288" s="40"/>
      <c r="G288" s="40"/>
      <c r="H288" s="40"/>
      <c r="I288" s="160"/>
      <c r="J288" s="41"/>
      <c r="K288" s="41"/>
      <c r="L288" s="41"/>
      <c r="M288" s="41"/>
      <c r="N288" s="41"/>
      <c r="O288" s="41"/>
      <c r="P288" s="188"/>
      <c r="Q288" s="221"/>
      <c r="R288" s="253"/>
      <c r="S288" s="179">
        <f t="shared" si="137"/>
        <v>3898.2066402109976</v>
      </c>
      <c r="T288" s="259"/>
      <c r="U288" s="179">
        <f t="shared" si="138"/>
        <v>79</v>
      </c>
      <c r="V288" s="259"/>
      <c r="W288" s="179">
        <f t="shared" si="139"/>
        <v>0</v>
      </c>
      <c r="X288" s="259"/>
      <c r="Y288" s="179">
        <f t="shared" si="140"/>
        <v>1099.9999518559998</v>
      </c>
      <c r="Z288" s="259"/>
      <c r="AA288" s="179">
        <f t="shared" si="141"/>
        <v>412.42479377000001</v>
      </c>
      <c r="AB288" s="259"/>
      <c r="AC288" s="179">
        <f t="shared" si="142"/>
        <v>0</v>
      </c>
      <c r="AD288" s="189">
        <f t="shared" si="136"/>
        <v>0</v>
      </c>
      <c r="AE288" s="179">
        <f t="shared" si="143"/>
        <v>1512.424745626</v>
      </c>
      <c r="AF288" s="264"/>
      <c r="AG288" s="179">
        <f t="shared" si="144"/>
        <v>999.99995185600005</v>
      </c>
      <c r="AH288" s="268"/>
      <c r="AI288" s="179">
        <f t="shared" si="145"/>
        <v>0</v>
      </c>
      <c r="AJ288" s="268"/>
      <c r="AK288" s="179">
        <f t="shared" si="146"/>
        <v>100</v>
      </c>
      <c r="AL288" s="268"/>
      <c r="AM288" s="179">
        <f t="shared" si="147"/>
        <v>0</v>
      </c>
      <c r="AN288" s="268"/>
      <c r="AO288" s="179">
        <f t="shared" si="148"/>
        <v>0</v>
      </c>
      <c r="AP288" s="268"/>
      <c r="AQ288" s="179">
        <f t="shared" si="149"/>
        <v>0</v>
      </c>
      <c r="AR288" s="273"/>
      <c r="AS288" s="209">
        <f t="shared" si="150"/>
        <v>0</v>
      </c>
      <c r="AT288" s="273"/>
      <c r="AU288" s="226">
        <f t="shared" si="151"/>
        <v>0</v>
      </c>
      <c r="AV288" s="273"/>
      <c r="AW288" s="209">
        <f t="shared" si="152"/>
        <v>0</v>
      </c>
      <c r="AX288" s="273"/>
      <c r="AY288" s="209">
        <f t="shared" si="153"/>
        <v>0</v>
      </c>
      <c r="AZ288" s="273"/>
      <c r="BA288" s="179">
        <f t="shared" si="154"/>
        <v>0</v>
      </c>
      <c r="BB288"/>
      <c r="BC288"/>
      <c r="BD288"/>
    </row>
    <row r="289" spans="1:56" s="34" customFormat="1" hidden="1" x14ac:dyDescent="0.25">
      <c r="A289" s="87"/>
      <c r="B289" s="42"/>
      <c r="C289" s="41"/>
      <c r="D289" s="41"/>
      <c r="E289" s="40"/>
      <c r="F289" s="40"/>
      <c r="G289" s="40"/>
      <c r="H289" s="40"/>
      <c r="I289" s="160"/>
      <c r="J289" s="41"/>
      <c r="K289" s="41"/>
      <c r="L289" s="41"/>
      <c r="M289" s="41"/>
      <c r="N289" s="41"/>
      <c r="O289" s="41"/>
      <c r="P289" s="188"/>
      <c r="Q289" s="221"/>
      <c r="R289" s="253"/>
      <c r="S289" s="179">
        <f t="shared" si="137"/>
        <v>3898.2066402109976</v>
      </c>
      <c r="T289" s="259"/>
      <c r="U289" s="179">
        <f t="shared" si="138"/>
        <v>79</v>
      </c>
      <c r="V289" s="259"/>
      <c r="W289" s="179">
        <f t="shared" si="139"/>
        <v>0</v>
      </c>
      <c r="X289" s="259"/>
      <c r="Y289" s="179">
        <f t="shared" si="140"/>
        <v>1099.9999518559998</v>
      </c>
      <c r="Z289" s="259"/>
      <c r="AA289" s="179">
        <f t="shared" si="141"/>
        <v>412.42479377000001</v>
      </c>
      <c r="AB289" s="259"/>
      <c r="AC289" s="179">
        <f t="shared" si="142"/>
        <v>0</v>
      </c>
      <c r="AD289" s="189">
        <f t="shared" si="136"/>
        <v>0</v>
      </c>
      <c r="AE289" s="179">
        <f t="shared" si="143"/>
        <v>1512.424745626</v>
      </c>
      <c r="AF289" s="264"/>
      <c r="AG289" s="179">
        <f t="shared" si="144"/>
        <v>999.99995185600005</v>
      </c>
      <c r="AH289" s="268"/>
      <c r="AI289" s="179">
        <f t="shared" si="145"/>
        <v>0</v>
      </c>
      <c r="AJ289" s="268"/>
      <c r="AK289" s="179">
        <f t="shared" si="146"/>
        <v>100</v>
      </c>
      <c r="AL289" s="268"/>
      <c r="AM289" s="179">
        <f t="shared" si="147"/>
        <v>0</v>
      </c>
      <c r="AN289" s="268"/>
      <c r="AO289" s="179">
        <f t="shared" si="148"/>
        <v>0</v>
      </c>
      <c r="AP289" s="268"/>
      <c r="AQ289" s="179">
        <f t="shared" si="149"/>
        <v>0</v>
      </c>
      <c r="AR289" s="273"/>
      <c r="AS289" s="209">
        <f t="shared" si="150"/>
        <v>0</v>
      </c>
      <c r="AT289" s="273"/>
      <c r="AU289" s="226">
        <f t="shared" si="151"/>
        <v>0</v>
      </c>
      <c r="AV289" s="273"/>
      <c r="AW289" s="209">
        <f t="shared" si="152"/>
        <v>0</v>
      </c>
      <c r="AX289" s="273"/>
      <c r="AY289" s="209">
        <f t="shared" si="153"/>
        <v>0</v>
      </c>
      <c r="AZ289" s="273"/>
      <c r="BA289" s="179">
        <f t="shared" si="154"/>
        <v>0</v>
      </c>
      <c r="BB289"/>
      <c r="BC289"/>
      <c r="BD289"/>
    </row>
    <row r="290" spans="1:56" s="34" customFormat="1" hidden="1" x14ac:dyDescent="0.25">
      <c r="A290" s="87"/>
      <c r="B290" s="42"/>
      <c r="C290" s="41"/>
      <c r="D290" s="41"/>
      <c r="E290" s="40"/>
      <c r="F290" s="40"/>
      <c r="G290" s="40"/>
      <c r="H290" s="40"/>
      <c r="I290" s="160"/>
      <c r="J290" s="41"/>
      <c r="K290" s="41"/>
      <c r="L290" s="41"/>
      <c r="M290" s="41"/>
      <c r="N290" s="41"/>
      <c r="O290" s="41"/>
      <c r="P290" s="188"/>
      <c r="Q290" s="221"/>
      <c r="R290" s="253"/>
      <c r="S290" s="179">
        <f t="shared" si="137"/>
        <v>3898.2066402109976</v>
      </c>
      <c r="T290" s="259"/>
      <c r="U290" s="179">
        <f t="shared" si="138"/>
        <v>79</v>
      </c>
      <c r="V290" s="259"/>
      <c r="W290" s="179">
        <f t="shared" si="139"/>
        <v>0</v>
      </c>
      <c r="X290" s="259"/>
      <c r="Y290" s="179">
        <f t="shared" si="140"/>
        <v>1099.9999518559998</v>
      </c>
      <c r="Z290" s="259"/>
      <c r="AA290" s="179">
        <f t="shared" si="141"/>
        <v>412.42479377000001</v>
      </c>
      <c r="AB290" s="259"/>
      <c r="AC290" s="179">
        <f t="shared" si="142"/>
        <v>0</v>
      </c>
      <c r="AD290" s="189">
        <f t="shared" si="136"/>
        <v>0</v>
      </c>
      <c r="AE290" s="179">
        <f t="shared" si="143"/>
        <v>1512.424745626</v>
      </c>
      <c r="AF290" s="264"/>
      <c r="AG290" s="179">
        <f t="shared" si="144"/>
        <v>999.99995185600005</v>
      </c>
      <c r="AH290" s="268"/>
      <c r="AI290" s="179">
        <f t="shared" si="145"/>
        <v>0</v>
      </c>
      <c r="AJ290" s="268"/>
      <c r="AK290" s="179">
        <f t="shared" si="146"/>
        <v>100</v>
      </c>
      <c r="AL290" s="268"/>
      <c r="AM290" s="179">
        <f t="shared" si="147"/>
        <v>0</v>
      </c>
      <c r="AN290" s="268"/>
      <c r="AO290" s="179">
        <f t="shared" si="148"/>
        <v>0</v>
      </c>
      <c r="AP290" s="268"/>
      <c r="AQ290" s="179">
        <f t="shared" si="149"/>
        <v>0</v>
      </c>
      <c r="AR290" s="273"/>
      <c r="AS290" s="209">
        <f t="shared" si="150"/>
        <v>0</v>
      </c>
      <c r="AT290" s="273"/>
      <c r="AU290" s="226">
        <f t="shared" si="151"/>
        <v>0</v>
      </c>
      <c r="AV290" s="273"/>
      <c r="AW290" s="209">
        <f t="shared" si="152"/>
        <v>0</v>
      </c>
      <c r="AX290" s="273"/>
      <c r="AY290" s="209">
        <f t="shared" si="153"/>
        <v>0</v>
      </c>
      <c r="AZ290" s="273"/>
      <c r="BA290" s="179">
        <f t="shared" si="154"/>
        <v>0</v>
      </c>
      <c r="BB290"/>
      <c r="BC290"/>
      <c r="BD290"/>
    </row>
    <row r="291" spans="1:56" s="34" customFormat="1" hidden="1" x14ac:dyDescent="0.25">
      <c r="A291" s="87"/>
      <c r="B291" s="42"/>
      <c r="C291" s="41"/>
      <c r="D291" s="41"/>
      <c r="E291" s="40"/>
      <c r="F291" s="40"/>
      <c r="G291" s="40"/>
      <c r="H291" s="40"/>
      <c r="I291" s="160"/>
      <c r="J291" s="41"/>
      <c r="K291" s="41"/>
      <c r="L291" s="41"/>
      <c r="M291" s="41"/>
      <c r="N291" s="41"/>
      <c r="O291" s="41"/>
      <c r="P291" s="188"/>
      <c r="Q291" s="221"/>
      <c r="R291" s="253"/>
      <c r="S291" s="179">
        <f t="shared" si="137"/>
        <v>3898.2066402109976</v>
      </c>
      <c r="T291" s="259"/>
      <c r="U291" s="179">
        <f t="shared" si="138"/>
        <v>79</v>
      </c>
      <c r="V291" s="259"/>
      <c r="W291" s="179">
        <f t="shared" si="139"/>
        <v>0</v>
      </c>
      <c r="X291" s="259"/>
      <c r="Y291" s="179">
        <f t="shared" si="140"/>
        <v>1099.9999518559998</v>
      </c>
      <c r="Z291" s="259"/>
      <c r="AA291" s="179">
        <f t="shared" si="141"/>
        <v>412.42479377000001</v>
      </c>
      <c r="AB291" s="259"/>
      <c r="AC291" s="179">
        <f t="shared" si="142"/>
        <v>0</v>
      </c>
      <c r="AD291" s="189">
        <f t="shared" si="136"/>
        <v>0</v>
      </c>
      <c r="AE291" s="179">
        <f t="shared" si="143"/>
        <v>1512.424745626</v>
      </c>
      <c r="AF291" s="264"/>
      <c r="AG291" s="179">
        <f t="shared" si="144"/>
        <v>999.99995185600005</v>
      </c>
      <c r="AH291" s="268"/>
      <c r="AI291" s="179">
        <f t="shared" si="145"/>
        <v>0</v>
      </c>
      <c r="AJ291" s="268"/>
      <c r="AK291" s="179">
        <f t="shared" si="146"/>
        <v>100</v>
      </c>
      <c r="AL291" s="268"/>
      <c r="AM291" s="179">
        <f t="shared" si="147"/>
        <v>0</v>
      </c>
      <c r="AN291" s="268"/>
      <c r="AO291" s="179">
        <f t="shared" si="148"/>
        <v>0</v>
      </c>
      <c r="AP291" s="268"/>
      <c r="AQ291" s="179">
        <f t="shared" si="149"/>
        <v>0</v>
      </c>
      <c r="AR291" s="273"/>
      <c r="AS291" s="209">
        <f t="shared" si="150"/>
        <v>0</v>
      </c>
      <c r="AT291" s="273"/>
      <c r="AU291" s="226">
        <f t="shared" si="151"/>
        <v>0</v>
      </c>
      <c r="AV291" s="273"/>
      <c r="AW291" s="209">
        <f t="shared" si="152"/>
        <v>0</v>
      </c>
      <c r="AX291" s="273"/>
      <c r="AY291" s="209">
        <f t="shared" si="153"/>
        <v>0</v>
      </c>
      <c r="AZ291" s="273"/>
      <c r="BA291" s="179">
        <f t="shared" si="154"/>
        <v>0</v>
      </c>
      <c r="BB291"/>
      <c r="BC291"/>
      <c r="BD291"/>
    </row>
    <row r="292" spans="1:56" s="34" customFormat="1" hidden="1" x14ac:dyDescent="0.25">
      <c r="A292" s="87"/>
      <c r="B292" s="42"/>
      <c r="C292" s="41"/>
      <c r="D292" s="41"/>
      <c r="E292" s="40"/>
      <c r="F292" s="40"/>
      <c r="G292" s="40"/>
      <c r="H292" s="40"/>
      <c r="I292" s="160"/>
      <c r="J292" s="41"/>
      <c r="K292" s="41"/>
      <c r="L292" s="41"/>
      <c r="M292" s="41"/>
      <c r="N292" s="41"/>
      <c r="O292" s="41"/>
      <c r="P292" s="188"/>
      <c r="Q292" s="221"/>
      <c r="R292" s="253"/>
      <c r="S292" s="179">
        <f t="shared" si="137"/>
        <v>3898.2066402109976</v>
      </c>
      <c r="T292" s="259"/>
      <c r="U292" s="179">
        <f t="shared" si="138"/>
        <v>79</v>
      </c>
      <c r="V292" s="259"/>
      <c r="W292" s="179">
        <f t="shared" si="139"/>
        <v>0</v>
      </c>
      <c r="X292" s="259"/>
      <c r="Y292" s="179">
        <f t="shared" si="140"/>
        <v>1099.9999518559998</v>
      </c>
      <c r="Z292" s="259"/>
      <c r="AA292" s="179">
        <f t="shared" si="141"/>
        <v>412.42479377000001</v>
      </c>
      <c r="AB292" s="259"/>
      <c r="AC292" s="179">
        <f t="shared" si="142"/>
        <v>0</v>
      </c>
      <c r="AD292" s="189">
        <f t="shared" si="136"/>
        <v>0</v>
      </c>
      <c r="AE292" s="179">
        <f t="shared" si="143"/>
        <v>1512.424745626</v>
      </c>
      <c r="AF292" s="264"/>
      <c r="AG292" s="179">
        <f t="shared" si="144"/>
        <v>999.99995185600005</v>
      </c>
      <c r="AH292" s="268"/>
      <c r="AI292" s="179">
        <f t="shared" si="145"/>
        <v>0</v>
      </c>
      <c r="AJ292" s="268"/>
      <c r="AK292" s="179">
        <f t="shared" si="146"/>
        <v>100</v>
      </c>
      <c r="AL292" s="268"/>
      <c r="AM292" s="179">
        <f t="shared" si="147"/>
        <v>0</v>
      </c>
      <c r="AN292" s="268"/>
      <c r="AO292" s="179">
        <f t="shared" si="148"/>
        <v>0</v>
      </c>
      <c r="AP292" s="268"/>
      <c r="AQ292" s="179">
        <f t="shared" si="149"/>
        <v>0</v>
      </c>
      <c r="AR292" s="273"/>
      <c r="AS292" s="209">
        <f t="shared" si="150"/>
        <v>0</v>
      </c>
      <c r="AT292" s="273"/>
      <c r="AU292" s="226">
        <f t="shared" si="151"/>
        <v>0</v>
      </c>
      <c r="AV292" s="273"/>
      <c r="AW292" s="209">
        <f t="shared" si="152"/>
        <v>0</v>
      </c>
      <c r="AX292" s="273"/>
      <c r="AY292" s="209">
        <f t="shared" si="153"/>
        <v>0</v>
      </c>
      <c r="AZ292" s="273"/>
      <c r="BA292" s="179">
        <f t="shared" si="154"/>
        <v>0</v>
      </c>
      <c r="BB292"/>
      <c r="BC292"/>
      <c r="BD292"/>
    </row>
    <row r="293" spans="1:56" s="34" customFormat="1" hidden="1" x14ac:dyDescent="0.25">
      <c r="A293" s="87"/>
      <c r="B293" s="42"/>
      <c r="C293" s="41"/>
      <c r="D293" s="41"/>
      <c r="E293" s="40"/>
      <c r="F293" s="40"/>
      <c r="G293" s="40"/>
      <c r="H293" s="40"/>
      <c r="I293" s="160"/>
      <c r="J293" s="41"/>
      <c r="K293" s="41"/>
      <c r="L293" s="41"/>
      <c r="M293" s="41"/>
      <c r="N293" s="41"/>
      <c r="O293" s="41"/>
      <c r="P293" s="188"/>
      <c r="Q293" s="221"/>
      <c r="R293" s="253"/>
      <c r="S293" s="179">
        <f t="shared" si="137"/>
        <v>3898.2066402109976</v>
      </c>
      <c r="T293" s="259"/>
      <c r="U293" s="179">
        <f t="shared" si="138"/>
        <v>79</v>
      </c>
      <c r="V293" s="259"/>
      <c r="W293" s="179">
        <f t="shared" si="139"/>
        <v>0</v>
      </c>
      <c r="X293" s="259"/>
      <c r="Y293" s="179">
        <f t="shared" si="140"/>
        <v>1099.9999518559998</v>
      </c>
      <c r="Z293" s="259"/>
      <c r="AA293" s="179">
        <f t="shared" si="141"/>
        <v>412.42479377000001</v>
      </c>
      <c r="AB293" s="259"/>
      <c r="AC293" s="179">
        <f t="shared" si="142"/>
        <v>0</v>
      </c>
      <c r="AD293" s="189">
        <f t="shared" si="136"/>
        <v>0</v>
      </c>
      <c r="AE293" s="179">
        <f t="shared" si="143"/>
        <v>1512.424745626</v>
      </c>
      <c r="AF293" s="264"/>
      <c r="AG293" s="179">
        <f t="shared" si="144"/>
        <v>999.99995185600005</v>
      </c>
      <c r="AH293" s="268"/>
      <c r="AI293" s="179">
        <f t="shared" si="145"/>
        <v>0</v>
      </c>
      <c r="AJ293" s="268"/>
      <c r="AK293" s="179">
        <f t="shared" si="146"/>
        <v>100</v>
      </c>
      <c r="AL293" s="268"/>
      <c r="AM293" s="179">
        <f t="shared" si="147"/>
        <v>0</v>
      </c>
      <c r="AN293" s="268"/>
      <c r="AO293" s="179">
        <f t="shared" si="148"/>
        <v>0</v>
      </c>
      <c r="AP293" s="268"/>
      <c r="AQ293" s="179">
        <f t="shared" si="149"/>
        <v>0</v>
      </c>
      <c r="AR293" s="273"/>
      <c r="AS293" s="209">
        <f t="shared" si="150"/>
        <v>0</v>
      </c>
      <c r="AT293" s="273"/>
      <c r="AU293" s="226">
        <f t="shared" si="151"/>
        <v>0</v>
      </c>
      <c r="AV293" s="273"/>
      <c r="AW293" s="209">
        <f t="shared" si="152"/>
        <v>0</v>
      </c>
      <c r="AX293" s="273"/>
      <c r="AY293" s="209">
        <f t="shared" si="153"/>
        <v>0</v>
      </c>
      <c r="AZ293" s="273"/>
      <c r="BA293" s="179">
        <f t="shared" si="154"/>
        <v>0</v>
      </c>
      <c r="BB293"/>
      <c r="BC293"/>
      <c r="BD293"/>
    </row>
    <row r="294" spans="1:56" s="34" customFormat="1" hidden="1" x14ac:dyDescent="0.25">
      <c r="A294" s="87"/>
      <c r="B294" s="42"/>
      <c r="C294" s="41"/>
      <c r="D294" s="41"/>
      <c r="E294" s="40"/>
      <c r="F294" s="40"/>
      <c r="G294" s="40"/>
      <c r="H294" s="40"/>
      <c r="I294" s="160"/>
      <c r="J294" s="41"/>
      <c r="K294" s="41"/>
      <c r="L294" s="41"/>
      <c r="M294" s="41"/>
      <c r="N294" s="41"/>
      <c r="O294" s="41"/>
      <c r="P294" s="188"/>
      <c r="Q294" s="221"/>
      <c r="R294" s="253"/>
      <c r="S294" s="179">
        <f t="shared" si="137"/>
        <v>3898.2066402109976</v>
      </c>
      <c r="T294" s="259"/>
      <c r="U294" s="179">
        <f t="shared" si="138"/>
        <v>79</v>
      </c>
      <c r="V294" s="259"/>
      <c r="W294" s="179">
        <f t="shared" si="139"/>
        <v>0</v>
      </c>
      <c r="X294" s="259"/>
      <c r="Y294" s="179">
        <f t="shared" si="140"/>
        <v>1099.9999518559998</v>
      </c>
      <c r="Z294" s="259"/>
      <c r="AA294" s="179">
        <f t="shared" si="141"/>
        <v>412.42479377000001</v>
      </c>
      <c r="AB294" s="259"/>
      <c r="AC294" s="179">
        <f t="shared" si="142"/>
        <v>0</v>
      </c>
      <c r="AD294" s="189">
        <f t="shared" si="136"/>
        <v>0</v>
      </c>
      <c r="AE294" s="179">
        <f t="shared" si="143"/>
        <v>1512.424745626</v>
      </c>
      <c r="AF294" s="264"/>
      <c r="AG294" s="179">
        <f t="shared" si="144"/>
        <v>999.99995185600005</v>
      </c>
      <c r="AH294" s="268"/>
      <c r="AI294" s="179">
        <f t="shared" si="145"/>
        <v>0</v>
      </c>
      <c r="AJ294" s="268"/>
      <c r="AK294" s="179">
        <f t="shared" si="146"/>
        <v>100</v>
      </c>
      <c r="AL294" s="268"/>
      <c r="AM294" s="179">
        <f t="shared" si="147"/>
        <v>0</v>
      </c>
      <c r="AN294" s="268"/>
      <c r="AO294" s="179">
        <f t="shared" si="148"/>
        <v>0</v>
      </c>
      <c r="AP294" s="268"/>
      <c r="AQ294" s="179">
        <f t="shared" si="149"/>
        <v>0</v>
      </c>
      <c r="AR294" s="273"/>
      <c r="AS294" s="209">
        <f t="shared" si="150"/>
        <v>0</v>
      </c>
      <c r="AT294" s="273"/>
      <c r="AU294" s="226">
        <f t="shared" si="151"/>
        <v>0</v>
      </c>
      <c r="AV294" s="273"/>
      <c r="AW294" s="209">
        <f t="shared" si="152"/>
        <v>0</v>
      </c>
      <c r="AX294" s="273"/>
      <c r="AY294" s="209">
        <f t="shared" si="153"/>
        <v>0</v>
      </c>
      <c r="AZ294" s="273"/>
      <c r="BA294" s="179">
        <f t="shared" si="154"/>
        <v>0</v>
      </c>
      <c r="BB294"/>
      <c r="BC294"/>
      <c r="BD294"/>
    </row>
    <row r="295" spans="1:56" s="34" customFormat="1" hidden="1" x14ac:dyDescent="0.25">
      <c r="A295" s="87"/>
      <c r="B295" s="42"/>
      <c r="C295" s="41"/>
      <c r="D295" s="41"/>
      <c r="E295" s="40"/>
      <c r="F295" s="40"/>
      <c r="G295" s="40"/>
      <c r="H295" s="40"/>
      <c r="I295" s="160"/>
      <c r="J295" s="41"/>
      <c r="K295" s="41"/>
      <c r="L295" s="41"/>
      <c r="M295" s="41"/>
      <c r="N295" s="41"/>
      <c r="O295" s="41"/>
      <c r="P295" s="188"/>
      <c r="Q295" s="221"/>
      <c r="R295" s="253"/>
      <c r="S295" s="179">
        <f t="shared" si="137"/>
        <v>3898.2066402109976</v>
      </c>
      <c r="T295" s="259"/>
      <c r="U295" s="179">
        <f t="shared" si="138"/>
        <v>79</v>
      </c>
      <c r="V295" s="259"/>
      <c r="W295" s="179">
        <f t="shared" si="139"/>
        <v>0</v>
      </c>
      <c r="X295" s="259"/>
      <c r="Y295" s="179">
        <f t="shared" si="140"/>
        <v>1099.9999518559998</v>
      </c>
      <c r="Z295" s="259"/>
      <c r="AA295" s="179">
        <f t="shared" si="141"/>
        <v>412.42479377000001</v>
      </c>
      <c r="AB295" s="259"/>
      <c r="AC295" s="179">
        <f t="shared" si="142"/>
        <v>0</v>
      </c>
      <c r="AD295" s="189">
        <f t="shared" si="136"/>
        <v>0</v>
      </c>
      <c r="AE295" s="179">
        <f t="shared" si="143"/>
        <v>1512.424745626</v>
      </c>
      <c r="AF295" s="264"/>
      <c r="AG295" s="179">
        <f t="shared" si="144"/>
        <v>999.99995185600005</v>
      </c>
      <c r="AH295" s="268"/>
      <c r="AI295" s="179">
        <f t="shared" si="145"/>
        <v>0</v>
      </c>
      <c r="AJ295" s="268"/>
      <c r="AK295" s="179">
        <f t="shared" si="146"/>
        <v>100</v>
      </c>
      <c r="AL295" s="268"/>
      <c r="AM295" s="179">
        <f t="shared" si="147"/>
        <v>0</v>
      </c>
      <c r="AN295" s="268"/>
      <c r="AO295" s="179">
        <f t="shared" si="148"/>
        <v>0</v>
      </c>
      <c r="AP295" s="268"/>
      <c r="AQ295" s="179">
        <f t="shared" si="149"/>
        <v>0</v>
      </c>
      <c r="AR295" s="273"/>
      <c r="AS295" s="209">
        <f t="shared" si="150"/>
        <v>0</v>
      </c>
      <c r="AT295" s="273"/>
      <c r="AU295" s="226">
        <f t="shared" si="151"/>
        <v>0</v>
      </c>
      <c r="AV295" s="273"/>
      <c r="AW295" s="209">
        <f t="shared" si="152"/>
        <v>0</v>
      </c>
      <c r="AX295" s="273"/>
      <c r="AY295" s="209">
        <f t="shared" si="153"/>
        <v>0</v>
      </c>
      <c r="AZ295" s="273"/>
      <c r="BA295" s="179">
        <f t="shared" si="154"/>
        <v>0</v>
      </c>
      <c r="BB295"/>
      <c r="BC295"/>
      <c r="BD295"/>
    </row>
    <row r="296" spans="1:56" s="34" customFormat="1" hidden="1" x14ac:dyDescent="0.25">
      <c r="A296" s="87"/>
      <c r="B296" s="42"/>
      <c r="C296" s="41"/>
      <c r="D296" s="41"/>
      <c r="E296" s="40"/>
      <c r="F296" s="40"/>
      <c r="G296" s="40"/>
      <c r="H296" s="40"/>
      <c r="I296" s="160"/>
      <c r="J296" s="41"/>
      <c r="K296" s="41"/>
      <c r="L296" s="41"/>
      <c r="M296" s="41"/>
      <c r="N296" s="41"/>
      <c r="O296" s="41"/>
      <c r="P296" s="188"/>
      <c r="Q296" s="221"/>
      <c r="R296" s="253"/>
      <c r="S296" s="179">
        <f t="shared" si="137"/>
        <v>3898.2066402109976</v>
      </c>
      <c r="T296" s="259"/>
      <c r="U296" s="179">
        <f t="shared" si="138"/>
        <v>79</v>
      </c>
      <c r="V296" s="259"/>
      <c r="W296" s="179">
        <f t="shared" si="139"/>
        <v>0</v>
      </c>
      <c r="X296" s="259"/>
      <c r="Y296" s="179">
        <f t="shared" si="140"/>
        <v>1099.9999518559998</v>
      </c>
      <c r="Z296" s="259"/>
      <c r="AA296" s="179">
        <f t="shared" si="141"/>
        <v>412.42479377000001</v>
      </c>
      <c r="AB296" s="259"/>
      <c r="AC296" s="179">
        <f t="shared" si="142"/>
        <v>0</v>
      </c>
      <c r="AD296" s="189">
        <f t="shared" si="136"/>
        <v>0</v>
      </c>
      <c r="AE296" s="179">
        <f t="shared" si="143"/>
        <v>1512.424745626</v>
      </c>
      <c r="AF296" s="264"/>
      <c r="AG296" s="179">
        <f t="shared" si="144"/>
        <v>999.99995185600005</v>
      </c>
      <c r="AH296" s="268"/>
      <c r="AI296" s="179">
        <f t="shared" si="145"/>
        <v>0</v>
      </c>
      <c r="AJ296" s="268"/>
      <c r="AK296" s="179">
        <f t="shared" si="146"/>
        <v>100</v>
      </c>
      <c r="AL296" s="268"/>
      <c r="AM296" s="179">
        <f t="shared" si="147"/>
        <v>0</v>
      </c>
      <c r="AN296" s="268"/>
      <c r="AO296" s="179">
        <f t="shared" si="148"/>
        <v>0</v>
      </c>
      <c r="AP296" s="268"/>
      <c r="AQ296" s="179">
        <f t="shared" si="149"/>
        <v>0</v>
      </c>
      <c r="AR296" s="273"/>
      <c r="AS296" s="209">
        <f t="shared" si="150"/>
        <v>0</v>
      </c>
      <c r="AT296" s="273"/>
      <c r="AU296" s="226">
        <f t="shared" si="151"/>
        <v>0</v>
      </c>
      <c r="AV296" s="273"/>
      <c r="AW296" s="209">
        <f t="shared" si="152"/>
        <v>0</v>
      </c>
      <c r="AX296" s="273"/>
      <c r="AY296" s="209">
        <f t="shared" si="153"/>
        <v>0</v>
      </c>
      <c r="AZ296" s="273"/>
      <c r="BA296" s="179">
        <f t="shared" si="154"/>
        <v>0</v>
      </c>
      <c r="BB296"/>
      <c r="BC296"/>
      <c r="BD296"/>
    </row>
    <row r="297" spans="1:56" s="34" customFormat="1" hidden="1" x14ac:dyDescent="0.25">
      <c r="A297" s="87"/>
      <c r="B297" s="42"/>
      <c r="C297" s="41"/>
      <c r="D297" s="41"/>
      <c r="E297" s="40"/>
      <c r="F297" s="40"/>
      <c r="G297" s="40"/>
      <c r="H297" s="40"/>
      <c r="I297" s="160"/>
      <c r="J297" s="41"/>
      <c r="K297" s="41"/>
      <c r="L297" s="41"/>
      <c r="M297" s="41"/>
      <c r="N297" s="41"/>
      <c r="O297" s="41"/>
      <c r="P297" s="188"/>
      <c r="Q297" s="221"/>
      <c r="R297" s="253"/>
      <c r="S297" s="179">
        <f t="shared" si="137"/>
        <v>3898.2066402109976</v>
      </c>
      <c r="T297" s="259"/>
      <c r="U297" s="179">
        <f t="shared" si="138"/>
        <v>79</v>
      </c>
      <c r="V297" s="259"/>
      <c r="W297" s="179">
        <f t="shared" si="139"/>
        <v>0</v>
      </c>
      <c r="X297" s="259"/>
      <c r="Y297" s="179">
        <f t="shared" si="140"/>
        <v>1099.9999518559998</v>
      </c>
      <c r="Z297" s="259"/>
      <c r="AA297" s="179">
        <f t="shared" si="141"/>
        <v>412.42479377000001</v>
      </c>
      <c r="AB297" s="259"/>
      <c r="AC297" s="179">
        <f t="shared" si="142"/>
        <v>0</v>
      </c>
      <c r="AD297" s="189">
        <f t="shared" si="136"/>
        <v>0</v>
      </c>
      <c r="AE297" s="179">
        <f t="shared" si="143"/>
        <v>1512.424745626</v>
      </c>
      <c r="AF297" s="264"/>
      <c r="AG297" s="179">
        <f t="shared" si="144"/>
        <v>999.99995185600005</v>
      </c>
      <c r="AH297" s="268"/>
      <c r="AI297" s="179">
        <f t="shared" si="145"/>
        <v>0</v>
      </c>
      <c r="AJ297" s="268"/>
      <c r="AK297" s="179">
        <f t="shared" si="146"/>
        <v>100</v>
      </c>
      <c r="AL297" s="268"/>
      <c r="AM297" s="179">
        <f t="shared" si="147"/>
        <v>0</v>
      </c>
      <c r="AN297" s="268"/>
      <c r="AO297" s="179">
        <f t="shared" si="148"/>
        <v>0</v>
      </c>
      <c r="AP297" s="268"/>
      <c r="AQ297" s="179">
        <f t="shared" si="149"/>
        <v>0</v>
      </c>
      <c r="AR297" s="273"/>
      <c r="AS297" s="209">
        <f t="shared" si="150"/>
        <v>0</v>
      </c>
      <c r="AT297" s="273"/>
      <c r="AU297" s="226">
        <f t="shared" si="151"/>
        <v>0</v>
      </c>
      <c r="AV297" s="273"/>
      <c r="AW297" s="209">
        <f t="shared" si="152"/>
        <v>0</v>
      </c>
      <c r="AX297" s="273"/>
      <c r="AY297" s="209">
        <f t="shared" si="153"/>
        <v>0</v>
      </c>
      <c r="AZ297" s="273"/>
      <c r="BA297" s="179">
        <f t="shared" si="154"/>
        <v>0</v>
      </c>
      <c r="BB297"/>
      <c r="BC297"/>
      <c r="BD297"/>
    </row>
    <row r="298" spans="1:56" s="34" customFormat="1" hidden="1" x14ac:dyDescent="0.25">
      <c r="A298" s="87"/>
      <c r="B298" s="42"/>
      <c r="C298" s="41"/>
      <c r="D298" s="41"/>
      <c r="E298" s="40"/>
      <c r="F298" s="40"/>
      <c r="G298" s="40"/>
      <c r="H298" s="40"/>
      <c r="I298" s="160"/>
      <c r="J298" s="41"/>
      <c r="K298" s="41"/>
      <c r="L298" s="41"/>
      <c r="M298" s="41"/>
      <c r="N298" s="41"/>
      <c r="O298" s="41"/>
      <c r="P298" s="188"/>
      <c r="Q298" s="221"/>
      <c r="R298" s="253"/>
      <c r="S298" s="179">
        <f t="shared" si="137"/>
        <v>3898.2066402109976</v>
      </c>
      <c r="T298" s="259"/>
      <c r="U298" s="179">
        <f t="shared" si="138"/>
        <v>79</v>
      </c>
      <c r="V298" s="259"/>
      <c r="W298" s="179">
        <f t="shared" si="139"/>
        <v>0</v>
      </c>
      <c r="X298" s="259"/>
      <c r="Y298" s="179">
        <f t="shared" si="140"/>
        <v>1099.9999518559998</v>
      </c>
      <c r="Z298" s="259"/>
      <c r="AA298" s="179">
        <f t="shared" si="141"/>
        <v>412.42479377000001</v>
      </c>
      <c r="AB298" s="259"/>
      <c r="AC298" s="179">
        <f t="shared" si="142"/>
        <v>0</v>
      </c>
      <c r="AD298" s="189">
        <f t="shared" si="136"/>
        <v>0</v>
      </c>
      <c r="AE298" s="179">
        <f t="shared" si="143"/>
        <v>1512.424745626</v>
      </c>
      <c r="AF298" s="264"/>
      <c r="AG298" s="179">
        <f t="shared" si="144"/>
        <v>999.99995185600005</v>
      </c>
      <c r="AH298" s="268"/>
      <c r="AI298" s="179">
        <f t="shared" si="145"/>
        <v>0</v>
      </c>
      <c r="AJ298" s="268"/>
      <c r="AK298" s="179">
        <f t="shared" si="146"/>
        <v>100</v>
      </c>
      <c r="AL298" s="268"/>
      <c r="AM298" s="179">
        <f t="shared" si="147"/>
        <v>0</v>
      </c>
      <c r="AN298" s="268"/>
      <c r="AO298" s="179">
        <f t="shared" si="148"/>
        <v>0</v>
      </c>
      <c r="AP298" s="268"/>
      <c r="AQ298" s="179">
        <f t="shared" si="149"/>
        <v>0</v>
      </c>
      <c r="AR298" s="273"/>
      <c r="AS298" s="209">
        <f t="shared" si="150"/>
        <v>0</v>
      </c>
      <c r="AT298" s="273"/>
      <c r="AU298" s="226">
        <f t="shared" si="151"/>
        <v>0</v>
      </c>
      <c r="AV298" s="273"/>
      <c r="AW298" s="209">
        <f t="shared" si="152"/>
        <v>0</v>
      </c>
      <c r="AX298" s="273"/>
      <c r="AY298" s="209">
        <f t="shared" si="153"/>
        <v>0</v>
      </c>
      <c r="AZ298" s="273"/>
      <c r="BA298" s="179">
        <f t="shared" si="154"/>
        <v>0</v>
      </c>
      <c r="BB298"/>
      <c r="BC298"/>
      <c r="BD298"/>
    </row>
    <row r="299" spans="1:56" s="34" customFormat="1" hidden="1" x14ac:dyDescent="0.25">
      <c r="A299" s="87"/>
      <c r="B299" s="42"/>
      <c r="C299" s="41"/>
      <c r="D299" s="41"/>
      <c r="E299" s="40"/>
      <c r="F299" s="40"/>
      <c r="G299" s="40"/>
      <c r="H299" s="40"/>
      <c r="I299" s="160"/>
      <c r="J299" s="41"/>
      <c r="K299" s="41"/>
      <c r="L299" s="41"/>
      <c r="M299" s="41"/>
      <c r="N299" s="41"/>
      <c r="O299" s="41"/>
      <c r="P299" s="188"/>
      <c r="Q299" s="221"/>
      <c r="R299" s="253"/>
      <c r="S299" s="179">
        <f t="shared" si="137"/>
        <v>3898.2066402109976</v>
      </c>
      <c r="T299" s="259"/>
      <c r="U299" s="179">
        <f t="shared" si="138"/>
        <v>79</v>
      </c>
      <c r="V299" s="259"/>
      <c r="W299" s="179">
        <f t="shared" si="139"/>
        <v>0</v>
      </c>
      <c r="X299" s="259"/>
      <c r="Y299" s="179">
        <f t="shared" si="140"/>
        <v>1099.9999518559998</v>
      </c>
      <c r="Z299" s="259"/>
      <c r="AA299" s="179">
        <f t="shared" si="141"/>
        <v>412.42479377000001</v>
      </c>
      <c r="AB299" s="259"/>
      <c r="AC299" s="179">
        <f t="shared" si="142"/>
        <v>0</v>
      </c>
      <c r="AD299" s="189">
        <f t="shared" si="136"/>
        <v>0</v>
      </c>
      <c r="AE299" s="179">
        <f t="shared" si="143"/>
        <v>1512.424745626</v>
      </c>
      <c r="AF299" s="264"/>
      <c r="AG299" s="179">
        <f t="shared" si="144"/>
        <v>999.99995185600005</v>
      </c>
      <c r="AH299" s="268"/>
      <c r="AI299" s="179">
        <f t="shared" si="145"/>
        <v>0</v>
      </c>
      <c r="AJ299" s="268"/>
      <c r="AK299" s="179">
        <f t="shared" si="146"/>
        <v>100</v>
      </c>
      <c r="AL299" s="268"/>
      <c r="AM299" s="179">
        <f t="shared" si="147"/>
        <v>0</v>
      </c>
      <c r="AN299" s="268"/>
      <c r="AO299" s="179">
        <f t="shared" si="148"/>
        <v>0</v>
      </c>
      <c r="AP299" s="268"/>
      <c r="AQ299" s="179">
        <f t="shared" si="149"/>
        <v>0</v>
      </c>
      <c r="AR299" s="273"/>
      <c r="AS299" s="209">
        <f t="shared" si="150"/>
        <v>0</v>
      </c>
      <c r="AT299" s="273"/>
      <c r="AU299" s="226">
        <f t="shared" si="151"/>
        <v>0</v>
      </c>
      <c r="AV299" s="273"/>
      <c r="AW299" s="209">
        <f t="shared" si="152"/>
        <v>0</v>
      </c>
      <c r="AX299" s="273"/>
      <c r="AY299" s="209">
        <f t="shared" si="153"/>
        <v>0</v>
      </c>
      <c r="AZ299" s="273"/>
      <c r="BA299" s="179">
        <f t="shared" si="154"/>
        <v>0</v>
      </c>
      <c r="BB299"/>
      <c r="BC299"/>
      <c r="BD299"/>
    </row>
    <row r="300" spans="1:56" s="34" customFormat="1" hidden="1" x14ac:dyDescent="0.25">
      <c r="A300" s="87"/>
      <c r="B300" s="42"/>
      <c r="C300" s="41"/>
      <c r="D300" s="41"/>
      <c r="E300" s="40"/>
      <c r="F300" s="40"/>
      <c r="G300" s="40"/>
      <c r="H300" s="40"/>
      <c r="I300" s="160"/>
      <c r="J300" s="41"/>
      <c r="K300" s="41"/>
      <c r="L300" s="41"/>
      <c r="M300" s="41"/>
      <c r="N300" s="41"/>
      <c r="O300" s="41"/>
      <c r="P300" s="188"/>
      <c r="Q300" s="221"/>
      <c r="R300" s="253"/>
      <c r="S300" s="179">
        <f t="shared" si="137"/>
        <v>3898.2066402109976</v>
      </c>
      <c r="T300" s="259"/>
      <c r="U300" s="179">
        <f t="shared" si="138"/>
        <v>79</v>
      </c>
      <c r="V300" s="259"/>
      <c r="W300" s="179">
        <f t="shared" si="139"/>
        <v>0</v>
      </c>
      <c r="X300" s="259"/>
      <c r="Y300" s="179">
        <f t="shared" si="140"/>
        <v>1099.9999518559998</v>
      </c>
      <c r="Z300" s="259"/>
      <c r="AA300" s="179">
        <f t="shared" si="141"/>
        <v>412.42479377000001</v>
      </c>
      <c r="AB300" s="259"/>
      <c r="AC300" s="179">
        <f t="shared" si="142"/>
        <v>0</v>
      </c>
      <c r="AD300" s="189">
        <f t="shared" si="136"/>
        <v>0</v>
      </c>
      <c r="AE300" s="179">
        <f t="shared" si="143"/>
        <v>1512.424745626</v>
      </c>
      <c r="AF300" s="264"/>
      <c r="AG300" s="179">
        <f t="shared" si="144"/>
        <v>999.99995185600005</v>
      </c>
      <c r="AH300" s="268"/>
      <c r="AI300" s="179">
        <f t="shared" si="145"/>
        <v>0</v>
      </c>
      <c r="AJ300" s="268"/>
      <c r="AK300" s="179">
        <f t="shared" si="146"/>
        <v>100</v>
      </c>
      <c r="AL300" s="268"/>
      <c r="AM300" s="179">
        <f t="shared" si="147"/>
        <v>0</v>
      </c>
      <c r="AN300" s="268"/>
      <c r="AO300" s="179">
        <f t="shared" si="148"/>
        <v>0</v>
      </c>
      <c r="AP300" s="268"/>
      <c r="AQ300" s="179">
        <f t="shared" si="149"/>
        <v>0</v>
      </c>
      <c r="AR300" s="273"/>
      <c r="AS300" s="209">
        <f t="shared" si="150"/>
        <v>0</v>
      </c>
      <c r="AT300" s="273"/>
      <c r="AU300" s="226">
        <f t="shared" si="151"/>
        <v>0</v>
      </c>
      <c r="AV300" s="273"/>
      <c r="AW300" s="209">
        <f t="shared" si="152"/>
        <v>0</v>
      </c>
      <c r="AX300" s="273"/>
      <c r="AY300" s="209">
        <f t="shared" si="153"/>
        <v>0</v>
      </c>
      <c r="AZ300" s="273"/>
      <c r="BA300" s="179">
        <f t="shared" si="154"/>
        <v>0</v>
      </c>
      <c r="BB300"/>
      <c r="BC300"/>
      <c r="BD300"/>
    </row>
    <row r="301" spans="1:56" s="34" customFormat="1" hidden="1" x14ac:dyDescent="0.25">
      <c r="A301" s="87"/>
      <c r="B301" s="42"/>
      <c r="C301" s="41"/>
      <c r="D301" s="41"/>
      <c r="E301" s="40"/>
      <c r="F301" s="40"/>
      <c r="G301" s="40"/>
      <c r="H301" s="40"/>
      <c r="I301" s="160"/>
      <c r="J301" s="41"/>
      <c r="K301" s="41"/>
      <c r="L301" s="41"/>
      <c r="M301" s="41"/>
      <c r="N301" s="41"/>
      <c r="O301" s="41"/>
      <c r="P301" s="188"/>
      <c r="Q301" s="221"/>
      <c r="R301" s="253"/>
      <c r="S301" s="179">
        <f t="shared" si="137"/>
        <v>3898.2066402109976</v>
      </c>
      <c r="T301" s="259"/>
      <c r="U301" s="179">
        <f t="shared" si="138"/>
        <v>79</v>
      </c>
      <c r="V301" s="259"/>
      <c r="W301" s="179">
        <f t="shared" si="139"/>
        <v>0</v>
      </c>
      <c r="X301" s="259"/>
      <c r="Y301" s="179">
        <f t="shared" si="140"/>
        <v>1099.9999518559998</v>
      </c>
      <c r="Z301" s="259"/>
      <c r="AA301" s="179">
        <f t="shared" si="141"/>
        <v>412.42479377000001</v>
      </c>
      <c r="AB301" s="259"/>
      <c r="AC301" s="179">
        <f t="shared" si="142"/>
        <v>0</v>
      </c>
      <c r="AD301" s="189">
        <f t="shared" si="136"/>
        <v>0</v>
      </c>
      <c r="AE301" s="179">
        <f t="shared" si="143"/>
        <v>1512.424745626</v>
      </c>
      <c r="AF301" s="264"/>
      <c r="AG301" s="179">
        <f t="shared" si="144"/>
        <v>999.99995185600005</v>
      </c>
      <c r="AH301" s="268"/>
      <c r="AI301" s="179">
        <f t="shared" si="145"/>
        <v>0</v>
      </c>
      <c r="AJ301" s="268"/>
      <c r="AK301" s="179">
        <f t="shared" si="146"/>
        <v>100</v>
      </c>
      <c r="AL301" s="268"/>
      <c r="AM301" s="179">
        <f t="shared" si="147"/>
        <v>0</v>
      </c>
      <c r="AN301" s="268"/>
      <c r="AO301" s="179">
        <f t="shared" si="148"/>
        <v>0</v>
      </c>
      <c r="AP301" s="268"/>
      <c r="AQ301" s="179">
        <f t="shared" si="149"/>
        <v>0</v>
      </c>
      <c r="AR301" s="273"/>
      <c r="AS301" s="209">
        <f t="shared" si="150"/>
        <v>0</v>
      </c>
      <c r="AT301" s="273"/>
      <c r="AU301" s="226">
        <f t="shared" si="151"/>
        <v>0</v>
      </c>
      <c r="AV301" s="273"/>
      <c r="AW301" s="209">
        <f t="shared" si="152"/>
        <v>0</v>
      </c>
      <c r="AX301" s="273"/>
      <c r="AY301" s="209">
        <f t="shared" si="153"/>
        <v>0</v>
      </c>
      <c r="AZ301" s="273"/>
      <c r="BA301" s="179">
        <f t="shared" si="154"/>
        <v>0</v>
      </c>
      <c r="BB301"/>
      <c r="BC301"/>
      <c r="BD301"/>
    </row>
    <row r="302" spans="1:56" s="34" customFormat="1" hidden="1" x14ac:dyDescent="0.25">
      <c r="A302" s="87"/>
      <c r="B302" s="42"/>
      <c r="C302" s="41"/>
      <c r="D302" s="41"/>
      <c r="E302" s="40"/>
      <c r="F302" s="40"/>
      <c r="G302" s="40"/>
      <c r="H302" s="40"/>
      <c r="I302" s="160"/>
      <c r="J302" s="41"/>
      <c r="K302" s="41"/>
      <c r="L302" s="41"/>
      <c r="M302" s="41"/>
      <c r="N302" s="41"/>
      <c r="O302" s="41"/>
      <c r="P302" s="188"/>
      <c r="Q302" s="221"/>
      <c r="R302" s="253"/>
      <c r="S302" s="179">
        <f t="shared" si="137"/>
        <v>3898.2066402109976</v>
      </c>
      <c r="T302" s="259"/>
      <c r="U302" s="179">
        <f t="shared" si="138"/>
        <v>79</v>
      </c>
      <c r="V302" s="259"/>
      <c r="W302" s="179">
        <f t="shared" si="139"/>
        <v>0</v>
      </c>
      <c r="X302" s="259"/>
      <c r="Y302" s="179">
        <f t="shared" si="140"/>
        <v>1099.9999518559998</v>
      </c>
      <c r="Z302" s="259"/>
      <c r="AA302" s="179">
        <f t="shared" si="141"/>
        <v>412.42479377000001</v>
      </c>
      <c r="AB302" s="259"/>
      <c r="AC302" s="179">
        <f t="shared" si="142"/>
        <v>0</v>
      </c>
      <c r="AD302" s="189">
        <f t="shared" si="136"/>
        <v>0</v>
      </c>
      <c r="AE302" s="179">
        <f t="shared" si="143"/>
        <v>1512.424745626</v>
      </c>
      <c r="AF302" s="264"/>
      <c r="AG302" s="179">
        <f t="shared" si="144"/>
        <v>999.99995185600005</v>
      </c>
      <c r="AH302" s="268"/>
      <c r="AI302" s="179">
        <f t="shared" si="145"/>
        <v>0</v>
      </c>
      <c r="AJ302" s="268"/>
      <c r="AK302" s="179">
        <f t="shared" si="146"/>
        <v>100</v>
      </c>
      <c r="AL302" s="268"/>
      <c r="AM302" s="179">
        <f t="shared" si="147"/>
        <v>0</v>
      </c>
      <c r="AN302" s="268"/>
      <c r="AO302" s="179">
        <f t="shared" si="148"/>
        <v>0</v>
      </c>
      <c r="AP302" s="268"/>
      <c r="AQ302" s="179">
        <f t="shared" si="149"/>
        <v>0</v>
      </c>
      <c r="AR302" s="273"/>
      <c r="AS302" s="209">
        <f t="shared" si="150"/>
        <v>0</v>
      </c>
      <c r="AT302" s="273"/>
      <c r="AU302" s="226">
        <f t="shared" si="151"/>
        <v>0</v>
      </c>
      <c r="AV302" s="273"/>
      <c r="AW302" s="209">
        <f t="shared" si="152"/>
        <v>0</v>
      </c>
      <c r="AX302" s="273"/>
      <c r="AY302" s="209">
        <f t="shared" si="153"/>
        <v>0</v>
      </c>
      <c r="AZ302" s="273"/>
      <c r="BA302" s="179">
        <f t="shared" si="154"/>
        <v>0</v>
      </c>
      <c r="BB302"/>
      <c r="BC302"/>
      <c r="BD302"/>
    </row>
    <row r="303" spans="1:56" s="34" customFormat="1" hidden="1" x14ac:dyDescent="0.25">
      <c r="A303" s="87"/>
      <c r="B303" s="42"/>
      <c r="C303" s="41"/>
      <c r="D303" s="41"/>
      <c r="E303" s="40"/>
      <c r="F303" s="40"/>
      <c r="G303" s="40"/>
      <c r="H303" s="40"/>
      <c r="I303" s="160"/>
      <c r="J303" s="41"/>
      <c r="K303" s="41"/>
      <c r="L303" s="41"/>
      <c r="M303" s="41"/>
      <c r="N303" s="41"/>
      <c r="O303" s="41"/>
      <c r="P303" s="188"/>
      <c r="Q303" s="221"/>
      <c r="R303" s="253"/>
      <c r="S303" s="179">
        <f t="shared" si="137"/>
        <v>3898.2066402109976</v>
      </c>
      <c r="T303" s="259"/>
      <c r="U303" s="179">
        <f t="shared" si="138"/>
        <v>79</v>
      </c>
      <c r="V303" s="259"/>
      <c r="W303" s="179">
        <f t="shared" si="139"/>
        <v>0</v>
      </c>
      <c r="X303" s="259"/>
      <c r="Y303" s="179">
        <f t="shared" si="140"/>
        <v>1099.9999518559998</v>
      </c>
      <c r="Z303" s="259"/>
      <c r="AA303" s="179">
        <f t="shared" si="141"/>
        <v>412.42479377000001</v>
      </c>
      <c r="AB303" s="259"/>
      <c r="AC303" s="179">
        <f t="shared" si="142"/>
        <v>0</v>
      </c>
      <c r="AD303" s="189">
        <f t="shared" si="136"/>
        <v>0</v>
      </c>
      <c r="AE303" s="179">
        <f t="shared" si="143"/>
        <v>1512.424745626</v>
      </c>
      <c r="AF303" s="264"/>
      <c r="AG303" s="179">
        <f t="shared" si="144"/>
        <v>999.99995185600005</v>
      </c>
      <c r="AH303" s="268"/>
      <c r="AI303" s="179">
        <f t="shared" si="145"/>
        <v>0</v>
      </c>
      <c r="AJ303" s="268"/>
      <c r="AK303" s="179">
        <f t="shared" si="146"/>
        <v>100</v>
      </c>
      <c r="AL303" s="268"/>
      <c r="AM303" s="179">
        <f t="shared" si="147"/>
        <v>0</v>
      </c>
      <c r="AN303" s="268"/>
      <c r="AO303" s="179">
        <f t="shared" si="148"/>
        <v>0</v>
      </c>
      <c r="AP303" s="268"/>
      <c r="AQ303" s="179">
        <f t="shared" si="149"/>
        <v>0</v>
      </c>
      <c r="AR303" s="273"/>
      <c r="AS303" s="209">
        <f t="shared" si="150"/>
        <v>0</v>
      </c>
      <c r="AT303" s="273"/>
      <c r="AU303" s="226">
        <f t="shared" si="151"/>
        <v>0</v>
      </c>
      <c r="AV303" s="273"/>
      <c r="AW303" s="209">
        <f t="shared" si="152"/>
        <v>0</v>
      </c>
      <c r="AX303" s="273"/>
      <c r="AY303" s="209">
        <f t="shared" si="153"/>
        <v>0</v>
      </c>
      <c r="AZ303" s="273"/>
      <c r="BA303" s="179">
        <f t="shared" si="154"/>
        <v>0</v>
      </c>
      <c r="BB303"/>
      <c r="BC303"/>
      <c r="BD303"/>
    </row>
    <row r="304" spans="1:56" s="34" customFormat="1" hidden="1" x14ac:dyDescent="0.25">
      <c r="A304" s="87"/>
      <c r="B304" s="42"/>
      <c r="C304" s="41"/>
      <c r="D304" s="41"/>
      <c r="E304" s="40"/>
      <c r="F304" s="40"/>
      <c r="G304" s="40"/>
      <c r="H304" s="40"/>
      <c r="I304" s="160"/>
      <c r="J304" s="41"/>
      <c r="K304" s="41"/>
      <c r="L304" s="41"/>
      <c r="M304" s="41"/>
      <c r="N304" s="41"/>
      <c r="O304" s="41"/>
      <c r="P304" s="188"/>
      <c r="Q304" s="221"/>
      <c r="R304" s="253"/>
      <c r="S304" s="179">
        <f t="shared" si="137"/>
        <v>3898.2066402109976</v>
      </c>
      <c r="T304" s="259"/>
      <c r="U304" s="179">
        <f t="shared" si="138"/>
        <v>79</v>
      </c>
      <c r="V304" s="259"/>
      <c r="W304" s="179">
        <f t="shared" si="139"/>
        <v>0</v>
      </c>
      <c r="X304" s="259"/>
      <c r="Y304" s="179">
        <f t="shared" si="140"/>
        <v>1099.9999518559998</v>
      </c>
      <c r="Z304" s="259"/>
      <c r="AA304" s="179">
        <f t="shared" si="141"/>
        <v>412.42479377000001</v>
      </c>
      <c r="AB304" s="259"/>
      <c r="AC304" s="179">
        <f t="shared" si="142"/>
        <v>0</v>
      </c>
      <c r="AD304" s="189">
        <f t="shared" si="136"/>
        <v>0</v>
      </c>
      <c r="AE304" s="179">
        <f t="shared" si="143"/>
        <v>1512.424745626</v>
      </c>
      <c r="AF304" s="264"/>
      <c r="AG304" s="179">
        <f t="shared" si="144"/>
        <v>999.99995185600005</v>
      </c>
      <c r="AH304" s="268"/>
      <c r="AI304" s="179">
        <f t="shared" si="145"/>
        <v>0</v>
      </c>
      <c r="AJ304" s="268"/>
      <c r="AK304" s="179">
        <f t="shared" si="146"/>
        <v>100</v>
      </c>
      <c r="AL304" s="268"/>
      <c r="AM304" s="179">
        <f t="shared" si="147"/>
        <v>0</v>
      </c>
      <c r="AN304" s="268"/>
      <c r="AO304" s="179">
        <f t="shared" si="148"/>
        <v>0</v>
      </c>
      <c r="AP304" s="268"/>
      <c r="AQ304" s="179">
        <f t="shared" si="149"/>
        <v>0</v>
      </c>
      <c r="AR304" s="273"/>
      <c r="AS304" s="209">
        <f t="shared" si="150"/>
        <v>0</v>
      </c>
      <c r="AT304" s="273"/>
      <c r="AU304" s="226">
        <f t="shared" si="151"/>
        <v>0</v>
      </c>
      <c r="AV304" s="273"/>
      <c r="AW304" s="209">
        <f t="shared" si="152"/>
        <v>0</v>
      </c>
      <c r="AX304" s="273"/>
      <c r="AY304" s="209">
        <f t="shared" si="153"/>
        <v>0</v>
      </c>
      <c r="AZ304" s="273"/>
      <c r="BA304" s="179">
        <f t="shared" si="154"/>
        <v>0</v>
      </c>
      <c r="BB304"/>
      <c r="BC304"/>
      <c r="BD304"/>
    </row>
    <row r="305" spans="1:56" s="34" customFormat="1" hidden="1" x14ac:dyDescent="0.25">
      <c r="A305" s="87"/>
      <c r="B305" s="42"/>
      <c r="C305" s="41"/>
      <c r="D305" s="41"/>
      <c r="E305" s="40"/>
      <c r="F305" s="40"/>
      <c r="G305" s="40"/>
      <c r="H305" s="40"/>
      <c r="I305" s="160"/>
      <c r="J305" s="41"/>
      <c r="K305" s="41"/>
      <c r="L305" s="41"/>
      <c r="M305" s="41"/>
      <c r="N305" s="41"/>
      <c r="O305" s="41"/>
      <c r="P305" s="188"/>
      <c r="Q305" s="221"/>
      <c r="R305" s="253"/>
      <c r="S305" s="179">
        <f t="shared" si="137"/>
        <v>3898.2066402109976</v>
      </c>
      <c r="T305" s="259"/>
      <c r="U305" s="179">
        <f t="shared" si="138"/>
        <v>79</v>
      </c>
      <c r="V305" s="259"/>
      <c r="W305" s="179">
        <f t="shared" si="139"/>
        <v>0</v>
      </c>
      <c r="X305" s="259"/>
      <c r="Y305" s="179">
        <f t="shared" si="140"/>
        <v>1099.9999518559998</v>
      </c>
      <c r="Z305" s="259"/>
      <c r="AA305" s="179">
        <f t="shared" si="141"/>
        <v>412.42479377000001</v>
      </c>
      <c r="AB305" s="259"/>
      <c r="AC305" s="179">
        <f t="shared" si="142"/>
        <v>0</v>
      </c>
      <c r="AD305" s="189">
        <f t="shared" si="136"/>
        <v>0</v>
      </c>
      <c r="AE305" s="179">
        <f t="shared" si="143"/>
        <v>1512.424745626</v>
      </c>
      <c r="AF305" s="264"/>
      <c r="AG305" s="179">
        <f t="shared" si="144"/>
        <v>999.99995185600005</v>
      </c>
      <c r="AH305" s="268"/>
      <c r="AI305" s="179">
        <f t="shared" si="145"/>
        <v>0</v>
      </c>
      <c r="AJ305" s="268"/>
      <c r="AK305" s="179">
        <f t="shared" si="146"/>
        <v>100</v>
      </c>
      <c r="AL305" s="268"/>
      <c r="AM305" s="179">
        <f t="shared" si="147"/>
        <v>0</v>
      </c>
      <c r="AN305" s="268"/>
      <c r="AO305" s="179">
        <f t="shared" si="148"/>
        <v>0</v>
      </c>
      <c r="AP305" s="268"/>
      <c r="AQ305" s="179">
        <f t="shared" si="149"/>
        <v>0</v>
      </c>
      <c r="AR305" s="273"/>
      <c r="AS305" s="209">
        <f t="shared" si="150"/>
        <v>0</v>
      </c>
      <c r="AT305" s="273"/>
      <c r="AU305" s="226">
        <f t="shared" si="151"/>
        <v>0</v>
      </c>
      <c r="AV305" s="273"/>
      <c r="AW305" s="209">
        <f t="shared" si="152"/>
        <v>0</v>
      </c>
      <c r="AX305" s="273"/>
      <c r="AY305" s="209">
        <f t="shared" si="153"/>
        <v>0</v>
      </c>
      <c r="AZ305" s="273"/>
      <c r="BA305" s="179">
        <f t="shared" si="154"/>
        <v>0</v>
      </c>
      <c r="BB305"/>
      <c r="BC305"/>
      <c r="BD305"/>
    </row>
    <row r="306" spans="1:56" s="34" customFormat="1" hidden="1" x14ac:dyDescent="0.25">
      <c r="A306" s="87"/>
      <c r="B306" s="42"/>
      <c r="C306" s="41"/>
      <c r="D306" s="41"/>
      <c r="E306" s="40"/>
      <c r="F306" s="40"/>
      <c r="G306" s="40"/>
      <c r="H306" s="40"/>
      <c r="I306" s="160"/>
      <c r="J306" s="41"/>
      <c r="K306" s="41"/>
      <c r="L306" s="41"/>
      <c r="M306" s="41"/>
      <c r="N306" s="41"/>
      <c r="O306" s="41"/>
      <c r="P306" s="188"/>
      <c r="Q306" s="221"/>
      <c r="R306" s="253"/>
      <c r="S306" s="179">
        <f t="shared" si="137"/>
        <v>3898.2066402109976</v>
      </c>
      <c r="T306" s="259"/>
      <c r="U306" s="179">
        <f t="shared" si="138"/>
        <v>79</v>
      </c>
      <c r="V306" s="259"/>
      <c r="W306" s="179">
        <f t="shared" si="139"/>
        <v>0</v>
      </c>
      <c r="X306" s="259"/>
      <c r="Y306" s="179">
        <f t="shared" si="140"/>
        <v>1099.9999518559998</v>
      </c>
      <c r="Z306" s="259"/>
      <c r="AA306" s="179">
        <f t="shared" si="141"/>
        <v>412.42479377000001</v>
      </c>
      <c r="AB306" s="259"/>
      <c r="AC306" s="179">
        <f t="shared" si="142"/>
        <v>0</v>
      </c>
      <c r="AD306" s="189">
        <f t="shared" si="136"/>
        <v>0</v>
      </c>
      <c r="AE306" s="179">
        <f t="shared" si="143"/>
        <v>1512.424745626</v>
      </c>
      <c r="AF306" s="264"/>
      <c r="AG306" s="179">
        <f t="shared" si="144"/>
        <v>999.99995185600005</v>
      </c>
      <c r="AH306" s="268"/>
      <c r="AI306" s="179">
        <f t="shared" si="145"/>
        <v>0</v>
      </c>
      <c r="AJ306" s="268"/>
      <c r="AK306" s="179">
        <f t="shared" si="146"/>
        <v>100</v>
      </c>
      <c r="AL306" s="268"/>
      <c r="AM306" s="179">
        <f t="shared" si="147"/>
        <v>0</v>
      </c>
      <c r="AN306" s="268"/>
      <c r="AO306" s="179">
        <f t="shared" si="148"/>
        <v>0</v>
      </c>
      <c r="AP306" s="268"/>
      <c r="AQ306" s="179">
        <f t="shared" si="149"/>
        <v>0</v>
      </c>
      <c r="AR306" s="273"/>
      <c r="AS306" s="209">
        <f t="shared" si="150"/>
        <v>0</v>
      </c>
      <c r="AT306" s="273"/>
      <c r="AU306" s="226">
        <f t="shared" si="151"/>
        <v>0</v>
      </c>
      <c r="AV306" s="273"/>
      <c r="AW306" s="209">
        <f t="shared" si="152"/>
        <v>0</v>
      </c>
      <c r="AX306" s="273"/>
      <c r="AY306" s="209">
        <f t="shared" si="153"/>
        <v>0</v>
      </c>
      <c r="AZ306" s="273"/>
      <c r="BA306" s="179">
        <f t="shared" si="154"/>
        <v>0</v>
      </c>
      <c r="BB306"/>
      <c r="BC306"/>
      <c r="BD306"/>
    </row>
    <row r="307" spans="1:56" s="34" customFormat="1" hidden="1" x14ac:dyDescent="0.25">
      <c r="A307" s="87"/>
      <c r="B307" s="42"/>
      <c r="C307" s="41"/>
      <c r="D307" s="41"/>
      <c r="E307" s="40"/>
      <c r="F307" s="40"/>
      <c r="G307" s="40"/>
      <c r="H307" s="40"/>
      <c r="I307" s="160"/>
      <c r="J307" s="41"/>
      <c r="K307" s="41"/>
      <c r="L307" s="41"/>
      <c r="M307" s="41"/>
      <c r="N307" s="41"/>
      <c r="O307" s="41"/>
      <c r="P307" s="188"/>
      <c r="Q307" s="221"/>
      <c r="R307" s="253"/>
      <c r="S307" s="179">
        <f t="shared" si="137"/>
        <v>3898.2066402109976</v>
      </c>
      <c r="T307" s="259"/>
      <c r="U307" s="179">
        <f t="shared" si="138"/>
        <v>79</v>
      </c>
      <c r="V307" s="259"/>
      <c r="W307" s="179">
        <f t="shared" si="139"/>
        <v>0</v>
      </c>
      <c r="X307" s="259"/>
      <c r="Y307" s="179">
        <f t="shared" si="140"/>
        <v>1099.9999518559998</v>
      </c>
      <c r="Z307" s="259"/>
      <c r="AA307" s="179">
        <f t="shared" si="141"/>
        <v>412.42479377000001</v>
      </c>
      <c r="AB307" s="259"/>
      <c r="AC307" s="179">
        <f t="shared" si="142"/>
        <v>0</v>
      </c>
      <c r="AD307" s="189">
        <f t="shared" si="136"/>
        <v>0</v>
      </c>
      <c r="AE307" s="179">
        <f t="shared" si="143"/>
        <v>1512.424745626</v>
      </c>
      <c r="AF307" s="264"/>
      <c r="AG307" s="179">
        <f t="shared" si="144"/>
        <v>999.99995185600005</v>
      </c>
      <c r="AH307" s="268"/>
      <c r="AI307" s="179">
        <f t="shared" si="145"/>
        <v>0</v>
      </c>
      <c r="AJ307" s="268"/>
      <c r="AK307" s="179">
        <f t="shared" si="146"/>
        <v>100</v>
      </c>
      <c r="AL307" s="268"/>
      <c r="AM307" s="179">
        <f t="shared" si="147"/>
        <v>0</v>
      </c>
      <c r="AN307" s="268"/>
      <c r="AO307" s="179">
        <f t="shared" si="148"/>
        <v>0</v>
      </c>
      <c r="AP307" s="268"/>
      <c r="AQ307" s="179">
        <f t="shared" si="149"/>
        <v>0</v>
      </c>
      <c r="AR307" s="273"/>
      <c r="AS307" s="209">
        <f t="shared" si="150"/>
        <v>0</v>
      </c>
      <c r="AT307" s="273"/>
      <c r="AU307" s="226">
        <f t="shared" si="151"/>
        <v>0</v>
      </c>
      <c r="AV307" s="273"/>
      <c r="AW307" s="209">
        <f t="shared" si="152"/>
        <v>0</v>
      </c>
      <c r="AX307" s="273"/>
      <c r="AY307" s="209">
        <f t="shared" si="153"/>
        <v>0</v>
      </c>
      <c r="AZ307" s="273"/>
      <c r="BA307" s="179">
        <f t="shared" si="154"/>
        <v>0</v>
      </c>
      <c r="BB307"/>
      <c r="BC307"/>
      <c r="BD307"/>
    </row>
    <row r="308" spans="1:56" s="34" customFormat="1" hidden="1" x14ac:dyDescent="0.25">
      <c r="A308" s="87"/>
      <c r="B308" s="42"/>
      <c r="C308" s="41"/>
      <c r="D308" s="41"/>
      <c r="E308" s="40"/>
      <c r="F308" s="40"/>
      <c r="G308" s="40"/>
      <c r="H308" s="40"/>
      <c r="I308" s="160"/>
      <c r="J308" s="41"/>
      <c r="K308" s="41"/>
      <c r="L308" s="41"/>
      <c r="M308" s="41"/>
      <c r="N308" s="41"/>
      <c r="O308" s="41"/>
      <c r="P308" s="188"/>
      <c r="Q308" s="221"/>
      <c r="R308" s="253"/>
      <c r="S308" s="179">
        <f t="shared" si="137"/>
        <v>3898.2066402109976</v>
      </c>
      <c r="T308" s="259"/>
      <c r="U308" s="179">
        <f t="shared" si="138"/>
        <v>79</v>
      </c>
      <c r="V308" s="259"/>
      <c r="W308" s="179">
        <f t="shared" si="139"/>
        <v>0</v>
      </c>
      <c r="X308" s="259"/>
      <c r="Y308" s="179">
        <f t="shared" si="140"/>
        <v>1099.9999518559998</v>
      </c>
      <c r="Z308" s="259"/>
      <c r="AA308" s="179">
        <f t="shared" si="141"/>
        <v>412.42479377000001</v>
      </c>
      <c r="AB308" s="259"/>
      <c r="AC308" s="179">
        <f t="shared" si="142"/>
        <v>0</v>
      </c>
      <c r="AD308" s="189">
        <f t="shared" si="136"/>
        <v>0</v>
      </c>
      <c r="AE308" s="179">
        <f t="shared" si="143"/>
        <v>1512.424745626</v>
      </c>
      <c r="AF308" s="264"/>
      <c r="AG308" s="179">
        <f t="shared" si="144"/>
        <v>999.99995185600005</v>
      </c>
      <c r="AH308" s="268"/>
      <c r="AI308" s="179">
        <f t="shared" si="145"/>
        <v>0</v>
      </c>
      <c r="AJ308" s="268"/>
      <c r="AK308" s="179">
        <f t="shared" si="146"/>
        <v>100</v>
      </c>
      <c r="AL308" s="268"/>
      <c r="AM308" s="179">
        <f t="shared" si="147"/>
        <v>0</v>
      </c>
      <c r="AN308" s="268"/>
      <c r="AO308" s="179">
        <f t="shared" si="148"/>
        <v>0</v>
      </c>
      <c r="AP308" s="268"/>
      <c r="AQ308" s="179">
        <f t="shared" si="149"/>
        <v>0</v>
      </c>
      <c r="AR308" s="273"/>
      <c r="AS308" s="209">
        <f t="shared" si="150"/>
        <v>0</v>
      </c>
      <c r="AT308" s="273"/>
      <c r="AU308" s="226">
        <f t="shared" si="151"/>
        <v>0</v>
      </c>
      <c r="AV308" s="273"/>
      <c r="AW308" s="209">
        <f t="shared" si="152"/>
        <v>0</v>
      </c>
      <c r="AX308" s="273"/>
      <c r="AY308" s="209">
        <f t="shared" si="153"/>
        <v>0</v>
      </c>
      <c r="AZ308" s="273"/>
      <c r="BA308" s="179">
        <f t="shared" si="154"/>
        <v>0</v>
      </c>
      <c r="BB308"/>
      <c r="BC308"/>
      <c r="BD308"/>
    </row>
    <row r="309" spans="1:56" s="34" customFormat="1" hidden="1" x14ac:dyDescent="0.25">
      <c r="A309" s="87"/>
      <c r="B309" s="42"/>
      <c r="C309" s="41"/>
      <c r="D309" s="41"/>
      <c r="E309" s="40"/>
      <c r="F309" s="40"/>
      <c r="G309" s="40"/>
      <c r="H309" s="40"/>
      <c r="I309" s="160"/>
      <c r="J309" s="41"/>
      <c r="K309" s="41"/>
      <c r="L309" s="41"/>
      <c r="M309" s="41"/>
      <c r="N309" s="41"/>
      <c r="O309" s="41"/>
      <c r="P309" s="188"/>
      <c r="Q309" s="221"/>
      <c r="R309" s="253"/>
      <c r="S309" s="179">
        <f t="shared" si="137"/>
        <v>3898.2066402109976</v>
      </c>
      <c r="T309" s="259"/>
      <c r="U309" s="179">
        <f t="shared" si="138"/>
        <v>79</v>
      </c>
      <c r="V309" s="259"/>
      <c r="W309" s="179">
        <f t="shared" si="139"/>
        <v>0</v>
      </c>
      <c r="X309" s="259"/>
      <c r="Y309" s="179">
        <f t="shared" si="140"/>
        <v>1099.9999518559998</v>
      </c>
      <c r="Z309" s="259"/>
      <c r="AA309" s="179">
        <f t="shared" si="141"/>
        <v>412.42479377000001</v>
      </c>
      <c r="AB309" s="259"/>
      <c r="AC309" s="179">
        <f t="shared" si="142"/>
        <v>0</v>
      </c>
      <c r="AD309" s="189">
        <f t="shared" si="136"/>
        <v>0</v>
      </c>
      <c r="AE309" s="179">
        <f t="shared" si="143"/>
        <v>1512.424745626</v>
      </c>
      <c r="AF309" s="264"/>
      <c r="AG309" s="179">
        <f t="shared" si="144"/>
        <v>999.99995185600005</v>
      </c>
      <c r="AH309" s="268"/>
      <c r="AI309" s="179">
        <f t="shared" si="145"/>
        <v>0</v>
      </c>
      <c r="AJ309" s="268"/>
      <c r="AK309" s="179">
        <f t="shared" si="146"/>
        <v>100</v>
      </c>
      <c r="AL309" s="268"/>
      <c r="AM309" s="179">
        <f t="shared" si="147"/>
        <v>0</v>
      </c>
      <c r="AN309" s="268"/>
      <c r="AO309" s="179">
        <f t="shared" si="148"/>
        <v>0</v>
      </c>
      <c r="AP309" s="268"/>
      <c r="AQ309" s="179">
        <f t="shared" si="149"/>
        <v>0</v>
      </c>
      <c r="AR309" s="273"/>
      <c r="AS309" s="209">
        <f t="shared" si="150"/>
        <v>0</v>
      </c>
      <c r="AT309" s="273"/>
      <c r="AU309" s="226">
        <f t="shared" si="151"/>
        <v>0</v>
      </c>
      <c r="AV309" s="273"/>
      <c r="AW309" s="209">
        <f t="shared" si="152"/>
        <v>0</v>
      </c>
      <c r="AX309" s="273"/>
      <c r="AY309" s="209">
        <f t="shared" si="153"/>
        <v>0</v>
      </c>
      <c r="AZ309" s="273"/>
      <c r="BA309" s="179">
        <f t="shared" si="154"/>
        <v>0</v>
      </c>
      <c r="BB309"/>
      <c r="BC309"/>
      <c r="BD309"/>
    </row>
    <row r="310" spans="1:56" s="34" customFormat="1" hidden="1" x14ac:dyDescent="0.25">
      <c r="A310" s="87"/>
      <c r="B310" s="42"/>
      <c r="C310" s="41"/>
      <c r="D310" s="41"/>
      <c r="E310" s="40"/>
      <c r="F310" s="40"/>
      <c r="G310" s="40"/>
      <c r="H310" s="40"/>
      <c r="I310" s="160"/>
      <c r="J310" s="41"/>
      <c r="K310" s="41"/>
      <c r="L310" s="41"/>
      <c r="M310" s="41"/>
      <c r="N310" s="41"/>
      <c r="O310" s="41"/>
      <c r="P310" s="188"/>
      <c r="Q310" s="221"/>
      <c r="R310" s="253"/>
      <c r="S310" s="179">
        <f t="shared" si="137"/>
        <v>3898.2066402109976</v>
      </c>
      <c r="T310" s="259"/>
      <c r="U310" s="179">
        <f t="shared" si="138"/>
        <v>79</v>
      </c>
      <c r="V310" s="259"/>
      <c r="W310" s="179">
        <f t="shared" si="139"/>
        <v>0</v>
      </c>
      <c r="X310" s="259"/>
      <c r="Y310" s="179">
        <f t="shared" si="140"/>
        <v>1099.9999518559998</v>
      </c>
      <c r="Z310" s="259"/>
      <c r="AA310" s="179">
        <f t="shared" si="141"/>
        <v>412.42479377000001</v>
      </c>
      <c r="AB310" s="259"/>
      <c r="AC310" s="179">
        <f t="shared" si="142"/>
        <v>0</v>
      </c>
      <c r="AD310" s="189">
        <f t="shared" si="136"/>
        <v>0</v>
      </c>
      <c r="AE310" s="179">
        <f t="shared" si="143"/>
        <v>1512.424745626</v>
      </c>
      <c r="AF310" s="264"/>
      <c r="AG310" s="179">
        <f t="shared" si="144"/>
        <v>999.99995185600005</v>
      </c>
      <c r="AH310" s="268"/>
      <c r="AI310" s="179">
        <f t="shared" si="145"/>
        <v>0</v>
      </c>
      <c r="AJ310" s="268"/>
      <c r="AK310" s="179">
        <f t="shared" si="146"/>
        <v>100</v>
      </c>
      <c r="AL310" s="268"/>
      <c r="AM310" s="179">
        <f t="shared" si="147"/>
        <v>0</v>
      </c>
      <c r="AN310" s="268"/>
      <c r="AO310" s="179">
        <f t="shared" si="148"/>
        <v>0</v>
      </c>
      <c r="AP310" s="268"/>
      <c r="AQ310" s="179">
        <f t="shared" si="149"/>
        <v>0</v>
      </c>
      <c r="AR310" s="273"/>
      <c r="AS310" s="209">
        <f t="shared" si="150"/>
        <v>0</v>
      </c>
      <c r="AT310" s="273"/>
      <c r="AU310" s="226">
        <f t="shared" si="151"/>
        <v>0</v>
      </c>
      <c r="AV310" s="273"/>
      <c r="AW310" s="209">
        <f t="shared" si="152"/>
        <v>0</v>
      </c>
      <c r="AX310" s="273"/>
      <c r="AY310" s="209">
        <f t="shared" si="153"/>
        <v>0</v>
      </c>
      <c r="AZ310" s="273"/>
      <c r="BA310" s="179">
        <f t="shared" si="154"/>
        <v>0</v>
      </c>
      <c r="BB310"/>
      <c r="BC310"/>
      <c r="BD310"/>
    </row>
    <row r="311" spans="1:56" s="34" customFormat="1" hidden="1" x14ac:dyDescent="0.25">
      <c r="A311" s="87"/>
      <c r="B311" s="42"/>
      <c r="C311" s="41"/>
      <c r="D311" s="41"/>
      <c r="E311" s="40"/>
      <c r="F311" s="40"/>
      <c r="G311" s="40"/>
      <c r="H311" s="40"/>
      <c r="I311" s="160"/>
      <c r="J311" s="41"/>
      <c r="K311" s="41"/>
      <c r="L311" s="41"/>
      <c r="M311" s="41"/>
      <c r="N311" s="41"/>
      <c r="O311" s="41"/>
      <c r="P311" s="188"/>
      <c r="Q311" s="221"/>
      <c r="R311" s="253"/>
      <c r="S311" s="179">
        <f t="shared" si="137"/>
        <v>3898.2066402109976</v>
      </c>
      <c r="T311" s="259"/>
      <c r="U311" s="179">
        <f t="shared" si="138"/>
        <v>79</v>
      </c>
      <c r="V311" s="259"/>
      <c r="W311" s="179">
        <f t="shared" si="139"/>
        <v>0</v>
      </c>
      <c r="X311" s="259"/>
      <c r="Y311" s="179">
        <f t="shared" si="140"/>
        <v>1099.9999518559998</v>
      </c>
      <c r="Z311" s="259"/>
      <c r="AA311" s="179">
        <f t="shared" si="141"/>
        <v>412.42479377000001</v>
      </c>
      <c r="AB311" s="259"/>
      <c r="AC311" s="179">
        <f t="shared" si="142"/>
        <v>0</v>
      </c>
      <c r="AD311" s="189">
        <f t="shared" si="136"/>
        <v>0</v>
      </c>
      <c r="AE311" s="179">
        <f t="shared" si="143"/>
        <v>1512.424745626</v>
      </c>
      <c r="AF311" s="264"/>
      <c r="AG311" s="179">
        <f t="shared" si="144"/>
        <v>999.99995185600005</v>
      </c>
      <c r="AH311" s="268"/>
      <c r="AI311" s="179">
        <f t="shared" si="145"/>
        <v>0</v>
      </c>
      <c r="AJ311" s="268"/>
      <c r="AK311" s="179">
        <f t="shared" si="146"/>
        <v>100</v>
      </c>
      <c r="AL311" s="268"/>
      <c r="AM311" s="179">
        <f t="shared" si="147"/>
        <v>0</v>
      </c>
      <c r="AN311" s="268"/>
      <c r="AO311" s="179">
        <f t="shared" si="148"/>
        <v>0</v>
      </c>
      <c r="AP311" s="268"/>
      <c r="AQ311" s="179">
        <f t="shared" si="149"/>
        <v>0</v>
      </c>
      <c r="AR311" s="273"/>
      <c r="AS311" s="209">
        <f t="shared" si="150"/>
        <v>0</v>
      </c>
      <c r="AT311" s="273"/>
      <c r="AU311" s="226">
        <f t="shared" si="151"/>
        <v>0</v>
      </c>
      <c r="AV311" s="273"/>
      <c r="AW311" s="209">
        <f t="shared" si="152"/>
        <v>0</v>
      </c>
      <c r="AX311" s="273"/>
      <c r="AY311" s="209">
        <f t="shared" si="153"/>
        <v>0</v>
      </c>
      <c r="AZ311" s="273"/>
      <c r="BA311" s="179">
        <f t="shared" si="154"/>
        <v>0</v>
      </c>
      <c r="BB311"/>
      <c r="BC311"/>
      <c r="BD311"/>
    </row>
    <row r="312" spans="1:56" s="34" customFormat="1" hidden="1" x14ac:dyDescent="0.25">
      <c r="A312" s="87"/>
      <c r="B312" s="42"/>
      <c r="C312" s="41"/>
      <c r="D312" s="41"/>
      <c r="E312" s="40"/>
      <c r="F312" s="40"/>
      <c r="G312" s="40"/>
      <c r="H312" s="40"/>
      <c r="I312" s="160"/>
      <c r="J312" s="41"/>
      <c r="K312" s="41"/>
      <c r="L312" s="41"/>
      <c r="M312" s="41"/>
      <c r="N312" s="41"/>
      <c r="O312" s="41"/>
      <c r="P312" s="188"/>
      <c r="Q312" s="221"/>
      <c r="R312" s="253"/>
      <c r="S312" s="179">
        <f t="shared" si="137"/>
        <v>3898.2066402109976</v>
      </c>
      <c r="T312" s="259"/>
      <c r="U312" s="179">
        <f t="shared" si="138"/>
        <v>79</v>
      </c>
      <c r="V312" s="259"/>
      <c r="W312" s="179">
        <f t="shared" si="139"/>
        <v>0</v>
      </c>
      <c r="X312" s="259"/>
      <c r="Y312" s="179">
        <f t="shared" si="140"/>
        <v>1099.9999518559998</v>
      </c>
      <c r="Z312" s="259"/>
      <c r="AA312" s="179">
        <f t="shared" si="141"/>
        <v>412.42479377000001</v>
      </c>
      <c r="AB312" s="259"/>
      <c r="AC312" s="179">
        <f t="shared" si="142"/>
        <v>0</v>
      </c>
      <c r="AD312" s="189">
        <f t="shared" si="136"/>
        <v>0</v>
      </c>
      <c r="AE312" s="179">
        <f t="shared" si="143"/>
        <v>1512.424745626</v>
      </c>
      <c r="AF312" s="264"/>
      <c r="AG312" s="179">
        <f t="shared" si="144"/>
        <v>999.99995185600005</v>
      </c>
      <c r="AH312" s="268"/>
      <c r="AI312" s="179">
        <f t="shared" si="145"/>
        <v>0</v>
      </c>
      <c r="AJ312" s="268"/>
      <c r="AK312" s="179">
        <f t="shared" si="146"/>
        <v>100</v>
      </c>
      <c r="AL312" s="268"/>
      <c r="AM312" s="179">
        <f t="shared" si="147"/>
        <v>0</v>
      </c>
      <c r="AN312" s="268"/>
      <c r="AO312" s="179">
        <f t="shared" si="148"/>
        <v>0</v>
      </c>
      <c r="AP312" s="268"/>
      <c r="AQ312" s="179">
        <f t="shared" si="149"/>
        <v>0</v>
      </c>
      <c r="AR312" s="273"/>
      <c r="AS312" s="209">
        <f t="shared" si="150"/>
        <v>0</v>
      </c>
      <c r="AT312" s="273"/>
      <c r="AU312" s="226">
        <f t="shared" si="151"/>
        <v>0</v>
      </c>
      <c r="AV312" s="273"/>
      <c r="AW312" s="209">
        <f t="shared" si="152"/>
        <v>0</v>
      </c>
      <c r="AX312" s="273"/>
      <c r="AY312" s="209">
        <f t="shared" si="153"/>
        <v>0</v>
      </c>
      <c r="AZ312" s="273"/>
      <c r="BA312" s="179">
        <f t="shared" si="154"/>
        <v>0</v>
      </c>
      <c r="BB312"/>
      <c r="BC312"/>
      <c r="BD312"/>
    </row>
    <row r="313" spans="1:56" s="34" customFormat="1" hidden="1" x14ac:dyDescent="0.25">
      <c r="A313" s="87"/>
      <c r="B313" s="42"/>
      <c r="C313" s="41"/>
      <c r="D313" s="41"/>
      <c r="E313" s="40"/>
      <c r="F313" s="40"/>
      <c r="G313" s="40"/>
      <c r="H313" s="40"/>
      <c r="I313" s="160"/>
      <c r="J313" s="41"/>
      <c r="K313" s="41"/>
      <c r="L313" s="41"/>
      <c r="M313" s="41"/>
      <c r="N313" s="41"/>
      <c r="O313" s="41"/>
      <c r="P313" s="188"/>
      <c r="Q313" s="221"/>
      <c r="R313" s="253"/>
      <c r="S313" s="179">
        <f t="shared" si="137"/>
        <v>3898.2066402109976</v>
      </c>
      <c r="T313" s="259"/>
      <c r="U313" s="179">
        <f t="shared" si="138"/>
        <v>79</v>
      </c>
      <c r="V313" s="259"/>
      <c r="W313" s="179">
        <f t="shared" si="139"/>
        <v>0</v>
      </c>
      <c r="X313" s="259"/>
      <c r="Y313" s="179">
        <f t="shared" si="140"/>
        <v>1099.9999518559998</v>
      </c>
      <c r="Z313" s="259"/>
      <c r="AA313" s="179">
        <f t="shared" si="141"/>
        <v>412.42479377000001</v>
      </c>
      <c r="AB313" s="259"/>
      <c r="AC313" s="179">
        <f t="shared" si="142"/>
        <v>0</v>
      </c>
      <c r="AD313" s="189">
        <f t="shared" si="136"/>
        <v>0</v>
      </c>
      <c r="AE313" s="179">
        <f t="shared" si="143"/>
        <v>1512.424745626</v>
      </c>
      <c r="AF313" s="264"/>
      <c r="AG313" s="179">
        <f t="shared" si="144"/>
        <v>999.99995185600005</v>
      </c>
      <c r="AH313" s="268"/>
      <c r="AI313" s="179">
        <f t="shared" si="145"/>
        <v>0</v>
      </c>
      <c r="AJ313" s="268"/>
      <c r="AK313" s="179">
        <f t="shared" si="146"/>
        <v>100</v>
      </c>
      <c r="AL313" s="268"/>
      <c r="AM313" s="179">
        <f t="shared" si="147"/>
        <v>0</v>
      </c>
      <c r="AN313" s="268"/>
      <c r="AO313" s="179">
        <f t="shared" si="148"/>
        <v>0</v>
      </c>
      <c r="AP313" s="268"/>
      <c r="AQ313" s="179">
        <f t="shared" si="149"/>
        <v>0</v>
      </c>
      <c r="AR313" s="273"/>
      <c r="AS313" s="209">
        <f t="shared" si="150"/>
        <v>0</v>
      </c>
      <c r="AT313" s="273"/>
      <c r="AU313" s="226">
        <f t="shared" si="151"/>
        <v>0</v>
      </c>
      <c r="AV313" s="273"/>
      <c r="AW313" s="209">
        <f t="shared" si="152"/>
        <v>0</v>
      </c>
      <c r="AX313" s="273"/>
      <c r="AY313" s="209">
        <f t="shared" si="153"/>
        <v>0</v>
      </c>
      <c r="AZ313" s="273"/>
      <c r="BA313" s="179">
        <f t="shared" si="154"/>
        <v>0</v>
      </c>
      <c r="BB313"/>
      <c r="BC313"/>
      <c r="BD313"/>
    </row>
    <row r="314" spans="1:56" s="34" customFormat="1" hidden="1" x14ac:dyDescent="0.25">
      <c r="A314" s="87"/>
      <c r="B314" s="42"/>
      <c r="C314" s="41"/>
      <c r="D314" s="41"/>
      <c r="E314" s="40"/>
      <c r="F314" s="40"/>
      <c r="G314" s="40"/>
      <c r="H314" s="40"/>
      <c r="I314" s="160"/>
      <c r="J314" s="41"/>
      <c r="K314" s="41"/>
      <c r="L314" s="41"/>
      <c r="M314" s="41"/>
      <c r="N314" s="41"/>
      <c r="O314" s="41"/>
      <c r="P314" s="188"/>
      <c r="Q314" s="221"/>
      <c r="R314" s="253"/>
      <c r="S314" s="179">
        <f t="shared" si="137"/>
        <v>3898.2066402109976</v>
      </c>
      <c r="T314" s="259"/>
      <c r="U314" s="179">
        <f t="shared" si="138"/>
        <v>79</v>
      </c>
      <c r="V314" s="259"/>
      <c r="W314" s="179">
        <f t="shared" si="139"/>
        <v>0</v>
      </c>
      <c r="X314" s="259"/>
      <c r="Y314" s="179">
        <f t="shared" si="140"/>
        <v>1099.9999518559998</v>
      </c>
      <c r="Z314" s="259"/>
      <c r="AA314" s="179">
        <f t="shared" si="141"/>
        <v>412.42479377000001</v>
      </c>
      <c r="AB314" s="259"/>
      <c r="AC314" s="179">
        <f t="shared" si="142"/>
        <v>0</v>
      </c>
      <c r="AD314" s="189">
        <f t="shared" si="136"/>
        <v>0</v>
      </c>
      <c r="AE314" s="179">
        <f t="shared" si="143"/>
        <v>1512.424745626</v>
      </c>
      <c r="AF314" s="264"/>
      <c r="AG314" s="179">
        <f t="shared" si="144"/>
        <v>999.99995185600005</v>
      </c>
      <c r="AH314" s="268"/>
      <c r="AI314" s="179">
        <f t="shared" si="145"/>
        <v>0</v>
      </c>
      <c r="AJ314" s="268"/>
      <c r="AK314" s="179">
        <f t="shared" si="146"/>
        <v>100</v>
      </c>
      <c r="AL314" s="268"/>
      <c r="AM314" s="179">
        <f t="shared" si="147"/>
        <v>0</v>
      </c>
      <c r="AN314" s="268"/>
      <c r="AO314" s="179">
        <f t="shared" si="148"/>
        <v>0</v>
      </c>
      <c r="AP314" s="268"/>
      <c r="AQ314" s="179">
        <f t="shared" si="149"/>
        <v>0</v>
      </c>
      <c r="AR314" s="273"/>
      <c r="AS314" s="209">
        <f t="shared" si="150"/>
        <v>0</v>
      </c>
      <c r="AT314" s="273"/>
      <c r="AU314" s="226">
        <f t="shared" si="151"/>
        <v>0</v>
      </c>
      <c r="AV314" s="273"/>
      <c r="AW314" s="209">
        <f t="shared" si="152"/>
        <v>0</v>
      </c>
      <c r="AX314" s="273"/>
      <c r="AY314" s="209">
        <f t="shared" si="153"/>
        <v>0</v>
      </c>
      <c r="AZ314" s="273"/>
      <c r="BA314" s="179">
        <f t="shared" si="154"/>
        <v>0</v>
      </c>
      <c r="BB314"/>
      <c r="BC314"/>
      <c r="BD314"/>
    </row>
    <row r="315" spans="1:56" s="34" customFormat="1" hidden="1" x14ac:dyDescent="0.25">
      <c r="A315" s="87"/>
      <c r="B315" s="42"/>
      <c r="C315" s="41"/>
      <c r="D315" s="41"/>
      <c r="E315" s="40"/>
      <c r="F315" s="40"/>
      <c r="G315" s="40"/>
      <c r="H315" s="40"/>
      <c r="I315" s="160"/>
      <c r="J315" s="41"/>
      <c r="K315" s="41"/>
      <c r="L315" s="41"/>
      <c r="M315" s="41"/>
      <c r="N315" s="41"/>
      <c r="O315" s="41"/>
      <c r="P315" s="188"/>
      <c r="Q315" s="221"/>
      <c r="R315" s="253"/>
      <c r="S315" s="179">
        <f t="shared" si="137"/>
        <v>3898.2066402109976</v>
      </c>
      <c r="T315" s="259"/>
      <c r="U315" s="179">
        <f t="shared" si="138"/>
        <v>79</v>
      </c>
      <c r="V315" s="259"/>
      <c r="W315" s="179">
        <f t="shared" si="139"/>
        <v>0</v>
      </c>
      <c r="X315" s="259"/>
      <c r="Y315" s="179">
        <f t="shared" si="140"/>
        <v>1099.9999518559998</v>
      </c>
      <c r="Z315" s="259"/>
      <c r="AA315" s="179">
        <f t="shared" si="141"/>
        <v>412.42479377000001</v>
      </c>
      <c r="AB315" s="259"/>
      <c r="AC315" s="179">
        <f t="shared" si="142"/>
        <v>0</v>
      </c>
      <c r="AD315" s="189">
        <f t="shared" si="136"/>
        <v>0</v>
      </c>
      <c r="AE315" s="179">
        <f t="shared" si="143"/>
        <v>1512.424745626</v>
      </c>
      <c r="AF315" s="264"/>
      <c r="AG315" s="179">
        <f t="shared" si="144"/>
        <v>999.99995185600005</v>
      </c>
      <c r="AH315" s="268"/>
      <c r="AI315" s="179">
        <f t="shared" si="145"/>
        <v>0</v>
      </c>
      <c r="AJ315" s="268"/>
      <c r="AK315" s="179">
        <f t="shared" si="146"/>
        <v>100</v>
      </c>
      <c r="AL315" s="268"/>
      <c r="AM315" s="179">
        <f t="shared" si="147"/>
        <v>0</v>
      </c>
      <c r="AN315" s="268"/>
      <c r="AO315" s="179">
        <f t="shared" si="148"/>
        <v>0</v>
      </c>
      <c r="AP315" s="268"/>
      <c r="AQ315" s="179">
        <f t="shared" si="149"/>
        <v>0</v>
      </c>
      <c r="AR315" s="273"/>
      <c r="AS315" s="209">
        <f t="shared" si="150"/>
        <v>0</v>
      </c>
      <c r="AT315" s="273"/>
      <c r="AU315" s="226">
        <f t="shared" si="151"/>
        <v>0</v>
      </c>
      <c r="AV315" s="273"/>
      <c r="AW315" s="209">
        <f t="shared" si="152"/>
        <v>0</v>
      </c>
      <c r="AX315" s="273"/>
      <c r="AY315" s="209">
        <f t="shared" si="153"/>
        <v>0</v>
      </c>
      <c r="AZ315" s="273"/>
      <c r="BA315" s="179">
        <f t="shared" si="154"/>
        <v>0</v>
      </c>
      <c r="BB315"/>
      <c r="BC315"/>
      <c r="BD315"/>
    </row>
    <row r="316" spans="1:56" s="34" customFormat="1" hidden="1" x14ac:dyDescent="0.25">
      <c r="A316" s="87"/>
      <c r="B316" s="42"/>
      <c r="C316" s="41"/>
      <c r="D316" s="41"/>
      <c r="E316" s="40"/>
      <c r="F316" s="40"/>
      <c r="G316" s="40"/>
      <c r="H316" s="40"/>
      <c r="I316" s="160"/>
      <c r="J316" s="41"/>
      <c r="K316" s="41"/>
      <c r="L316" s="41"/>
      <c r="M316" s="41"/>
      <c r="N316" s="41"/>
      <c r="O316" s="41"/>
      <c r="P316" s="188"/>
      <c r="Q316" s="221"/>
      <c r="R316" s="253"/>
      <c r="S316" s="179">
        <f t="shared" si="137"/>
        <v>3898.2066402109976</v>
      </c>
      <c r="T316" s="259"/>
      <c r="U316" s="179">
        <f t="shared" si="138"/>
        <v>79</v>
      </c>
      <c r="V316" s="259"/>
      <c r="W316" s="179">
        <f t="shared" si="139"/>
        <v>0</v>
      </c>
      <c r="X316" s="259"/>
      <c r="Y316" s="179">
        <f t="shared" si="140"/>
        <v>1099.9999518559998</v>
      </c>
      <c r="Z316" s="259"/>
      <c r="AA316" s="179">
        <f t="shared" si="141"/>
        <v>412.42479377000001</v>
      </c>
      <c r="AB316" s="259"/>
      <c r="AC316" s="179">
        <f t="shared" si="142"/>
        <v>0</v>
      </c>
      <c r="AD316" s="189">
        <f t="shared" si="136"/>
        <v>0</v>
      </c>
      <c r="AE316" s="179">
        <f t="shared" si="143"/>
        <v>1512.424745626</v>
      </c>
      <c r="AF316" s="264"/>
      <c r="AG316" s="179">
        <f t="shared" si="144"/>
        <v>999.99995185600005</v>
      </c>
      <c r="AH316" s="268"/>
      <c r="AI316" s="179">
        <f t="shared" si="145"/>
        <v>0</v>
      </c>
      <c r="AJ316" s="268"/>
      <c r="AK316" s="179">
        <f t="shared" si="146"/>
        <v>100</v>
      </c>
      <c r="AL316" s="268"/>
      <c r="AM316" s="179">
        <f t="shared" si="147"/>
        <v>0</v>
      </c>
      <c r="AN316" s="268"/>
      <c r="AO316" s="179">
        <f t="shared" si="148"/>
        <v>0</v>
      </c>
      <c r="AP316" s="268"/>
      <c r="AQ316" s="179">
        <f t="shared" si="149"/>
        <v>0</v>
      </c>
      <c r="AR316" s="273"/>
      <c r="AS316" s="209">
        <f t="shared" si="150"/>
        <v>0</v>
      </c>
      <c r="AT316" s="273"/>
      <c r="AU316" s="226">
        <f t="shared" si="151"/>
        <v>0</v>
      </c>
      <c r="AV316" s="273"/>
      <c r="AW316" s="209">
        <f t="shared" si="152"/>
        <v>0</v>
      </c>
      <c r="AX316" s="273"/>
      <c r="AY316" s="209">
        <f t="shared" si="153"/>
        <v>0</v>
      </c>
      <c r="AZ316" s="273"/>
      <c r="BA316" s="179">
        <f t="shared" si="154"/>
        <v>0</v>
      </c>
      <c r="BB316"/>
      <c r="BC316"/>
      <c r="BD316"/>
    </row>
    <row r="317" spans="1:56" s="34" customFormat="1" hidden="1" x14ac:dyDescent="0.25">
      <c r="A317" s="87"/>
      <c r="B317" s="42"/>
      <c r="C317" s="41"/>
      <c r="D317" s="41"/>
      <c r="E317" s="40"/>
      <c r="F317" s="40"/>
      <c r="G317" s="40"/>
      <c r="H317" s="40"/>
      <c r="I317" s="160"/>
      <c r="J317" s="41"/>
      <c r="K317" s="41"/>
      <c r="L317" s="41"/>
      <c r="M317" s="41"/>
      <c r="N317" s="41"/>
      <c r="O317" s="41"/>
      <c r="P317" s="188"/>
      <c r="Q317" s="221"/>
      <c r="R317" s="253"/>
      <c r="S317" s="179">
        <f t="shared" si="137"/>
        <v>3898.2066402109976</v>
      </c>
      <c r="T317" s="259"/>
      <c r="U317" s="179">
        <f t="shared" si="138"/>
        <v>79</v>
      </c>
      <c r="V317" s="259"/>
      <c r="W317" s="179">
        <f t="shared" si="139"/>
        <v>0</v>
      </c>
      <c r="X317" s="259"/>
      <c r="Y317" s="179">
        <f t="shared" si="140"/>
        <v>1099.9999518559998</v>
      </c>
      <c r="Z317" s="259"/>
      <c r="AA317" s="179">
        <f t="shared" si="141"/>
        <v>412.42479377000001</v>
      </c>
      <c r="AB317" s="259"/>
      <c r="AC317" s="179">
        <f t="shared" si="142"/>
        <v>0</v>
      </c>
      <c r="AD317" s="189">
        <f t="shared" si="136"/>
        <v>0</v>
      </c>
      <c r="AE317" s="179">
        <f t="shared" si="143"/>
        <v>1512.424745626</v>
      </c>
      <c r="AF317" s="264"/>
      <c r="AG317" s="179">
        <f t="shared" si="144"/>
        <v>999.99995185600005</v>
      </c>
      <c r="AH317" s="268"/>
      <c r="AI317" s="179">
        <f t="shared" si="145"/>
        <v>0</v>
      </c>
      <c r="AJ317" s="268"/>
      <c r="AK317" s="179">
        <f t="shared" si="146"/>
        <v>100</v>
      </c>
      <c r="AL317" s="268"/>
      <c r="AM317" s="179">
        <f t="shared" si="147"/>
        <v>0</v>
      </c>
      <c r="AN317" s="268"/>
      <c r="AO317" s="179">
        <f t="shared" si="148"/>
        <v>0</v>
      </c>
      <c r="AP317" s="268"/>
      <c r="AQ317" s="179">
        <f t="shared" si="149"/>
        <v>0</v>
      </c>
      <c r="AR317" s="273"/>
      <c r="AS317" s="209">
        <f t="shared" si="150"/>
        <v>0</v>
      </c>
      <c r="AT317" s="273"/>
      <c r="AU317" s="226">
        <f t="shared" si="151"/>
        <v>0</v>
      </c>
      <c r="AV317" s="273"/>
      <c r="AW317" s="209">
        <f t="shared" si="152"/>
        <v>0</v>
      </c>
      <c r="AX317" s="273"/>
      <c r="AY317" s="209">
        <f t="shared" si="153"/>
        <v>0</v>
      </c>
      <c r="AZ317" s="273"/>
      <c r="BA317" s="179">
        <f t="shared" si="154"/>
        <v>0</v>
      </c>
      <c r="BB317"/>
      <c r="BC317"/>
      <c r="BD317"/>
    </row>
    <row r="318" spans="1:56" s="34" customFormat="1" hidden="1" x14ac:dyDescent="0.25">
      <c r="A318" s="87"/>
      <c r="B318" s="42"/>
      <c r="C318" s="41"/>
      <c r="D318" s="41"/>
      <c r="E318" s="40"/>
      <c r="F318" s="40"/>
      <c r="G318" s="40"/>
      <c r="H318" s="40"/>
      <c r="I318" s="160"/>
      <c r="J318" s="41"/>
      <c r="K318" s="41"/>
      <c r="L318" s="41"/>
      <c r="M318" s="41"/>
      <c r="N318" s="41"/>
      <c r="O318" s="41"/>
      <c r="P318" s="188"/>
      <c r="Q318" s="221"/>
      <c r="R318" s="253"/>
      <c r="S318" s="179">
        <f t="shared" si="137"/>
        <v>3898.2066402109976</v>
      </c>
      <c r="T318" s="259"/>
      <c r="U318" s="179">
        <f t="shared" si="138"/>
        <v>79</v>
      </c>
      <c r="V318" s="259"/>
      <c r="W318" s="179">
        <f t="shared" si="139"/>
        <v>0</v>
      </c>
      <c r="X318" s="259"/>
      <c r="Y318" s="179">
        <f t="shared" si="140"/>
        <v>1099.9999518559998</v>
      </c>
      <c r="Z318" s="259"/>
      <c r="AA318" s="179">
        <f t="shared" si="141"/>
        <v>412.42479377000001</v>
      </c>
      <c r="AB318" s="259"/>
      <c r="AC318" s="179">
        <f t="shared" si="142"/>
        <v>0</v>
      </c>
      <c r="AD318" s="189">
        <f t="shared" si="136"/>
        <v>0</v>
      </c>
      <c r="AE318" s="179">
        <f t="shared" si="143"/>
        <v>1512.424745626</v>
      </c>
      <c r="AF318" s="264"/>
      <c r="AG318" s="179">
        <f t="shared" si="144"/>
        <v>999.99995185600005</v>
      </c>
      <c r="AH318" s="268"/>
      <c r="AI318" s="179">
        <f t="shared" si="145"/>
        <v>0</v>
      </c>
      <c r="AJ318" s="268"/>
      <c r="AK318" s="179">
        <f t="shared" si="146"/>
        <v>100</v>
      </c>
      <c r="AL318" s="268"/>
      <c r="AM318" s="179">
        <f t="shared" si="147"/>
        <v>0</v>
      </c>
      <c r="AN318" s="268"/>
      <c r="AO318" s="179">
        <f t="shared" si="148"/>
        <v>0</v>
      </c>
      <c r="AP318" s="268"/>
      <c r="AQ318" s="179">
        <f t="shared" si="149"/>
        <v>0</v>
      </c>
      <c r="AR318" s="273"/>
      <c r="AS318" s="209">
        <f t="shared" si="150"/>
        <v>0</v>
      </c>
      <c r="AT318" s="273"/>
      <c r="AU318" s="226">
        <f t="shared" si="151"/>
        <v>0</v>
      </c>
      <c r="AV318" s="273"/>
      <c r="AW318" s="209">
        <f t="shared" si="152"/>
        <v>0</v>
      </c>
      <c r="AX318" s="273"/>
      <c r="AY318" s="209">
        <f t="shared" si="153"/>
        <v>0</v>
      </c>
      <c r="AZ318" s="273"/>
      <c r="BA318" s="179">
        <f t="shared" si="154"/>
        <v>0</v>
      </c>
      <c r="BB318"/>
      <c r="BC318"/>
      <c r="BD318"/>
    </row>
    <row r="319" spans="1:56" s="34" customFormat="1" hidden="1" x14ac:dyDescent="0.25">
      <c r="A319" s="87"/>
      <c r="B319" s="42"/>
      <c r="C319" s="41"/>
      <c r="D319" s="41"/>
      <c r="E319" s="40"/>
      <c r="F319" s="40"/>
      <c r="G319" s="40"/>
      <c r="H319" s="40"/>
      <c r="I319" s="160"/>
      <c r="J319" s="41"/>
      <c r="K319" s="41"/>
      <c r="L319" s="41"/>
      <c r="M319" s="41"/>
      <c r="N319" s="41"/>
      <c r="O319" s="41"/>
      <c r="P319" s="188"/>
      <c r="Q319" s="221"/>
      <c r="R319" s="253"/>
      <c r="S319" s="179">
        <f t="shared" si="137"/>
        <v>3898.2066402109976</v>
      </c>
      <c r="T319" s="259"/>
      <c r="U319" s="179">
        <f t="shared" si="138"/>
        <v>79</v>
      </c>
      <c r="V319" s="259"/>
      <c r="W319" s="179">
        <f t="shared" si="139"/>
        <v>0</v>
      </c>
      <c r="X319" s="259"/>
      <c r="Y319" s="179">
        <f t="shared" si="140"/>
        <v>1099.9999518559998</v>
      </c>
      <c r="Z319" s="259"/>
      <c r="AA319" s="179">
        <f t="shared" si="141"/>
        <v>412.42479377000001</v>
      </c>
      <c r="AB319" s="259"/>
      <c r="AC319" s="179">
        <f t="shared" si="142"/>
        <v>0</v>
      </c>
      <c r="AD319" s="189">
        <f t="shared" si="136"/>
        <v>0</v>
      </c>
      <c r="AE319" s="179">
        <f t="shared" si="143"/>
        <v>1512.424745626</v>
      </c>
      <c r="AF319" s="264"/>
      <c r="AG319" s="179">
        <f t="shared" si="144"/>
        <v>999.99995185600005</v>
      </c>
      <c r="AH319" s="268"/>
      <c r="AI319" s="179">
        <f t="shared" si="145"/>
        <v>0</v>
      </c>
      <c r="AJ319" s="268"/>
      <c r="AK319" s="179">
        <f t="shared" si="146"/>
        <v>100</v>
      </c>
      <c r="AL319" s="268"/>
      <c r="AM319" s="179">
        <f t="shared" si="147"/>
        <v>0</v>
      </c>
      <c r="AN319" s="268"/>
      <c r="AO319" s="179">
        <f t="shared" si="148"/>
        <v>0</v>
      </c>
      <c r="AP319" s="268"/>
      <c r="AQ319" s="179">
        <f t="shared" si="149"/>
        <v>0</v>
      </c>
      <c r="AR319" s="273"/>
      <c r="AS319" s="209">
        <f t="shared" si="150"/>
        <v>0</v>
      </c>
      <c r="AT319" s="273"/>
      <c r="AU319" s="226">
        <f t="shared" si="151"/>
        <v>0</v>
      </c>
      <c r="AV319" s="273"/>
      <c r="AW319" s="209">
        <f t="shared" si="152"/>
        <v>0</v>
      </c>
      <c r="AX319" s="273"/>
      <c r="AY319" s="209">
        <f t="shared" si="153"/>
        <v>0</v>
      </c>
      <c r="AZ319" s="273"/>
      <c r="BA319" s="179">
        <f t="shared" si="154"/>
        <v>0</v>
      </c>
      <c r="BB319"/>
      <c r="BC319"/>
      <c r="BD319"/>
    </row>
    <row r="320" spans="1:56" s="34" customFormat="1" hidden="1" x14ac:dyDescent="0.25">
      <c r="A320" s="87"/>
      <c r="B320" s="42"/>
      <c r="C320" s="41"/>
      <c r="D320" s="41"/>
      <c r="E320" s="40"/>
      <c r="F320" s="40"/>
      <c r="G320" s="40"/>
      <c r="H320" s="40"/>
      <c r="I320" s="160"/>
      <c r="J320" s="41"/>
      <c r="K320" s="41"/>
      <c r="L320" s="41"/>
      <c r="M320" s="41"/>
      <c r="N320" s="41"/>
      <c r="O320" s="41"/>
      <c r="P320" s="188"/>
      <c r="Q320" s="221"/>
      <c r="R320" s="253"/>
      <c r="S320" s="179">
        <f t="shared" si="137"/>
        <v>3898.2066402109976</v>
      </c>
      <c r="T320" s="259"/>
      <c r="U320" s="179">
        <f t="shared" si="138"/>
        <v>79</v>
      </c>
      <c r="V320" s="259"/>
      <c r="W320" s="179">
        <f t="shared" si="139"/>
        <v>0</v>
      </c>
      <c r="X320" s="259"/>
      <c r="Y320" s="179">
        <f t="shared" si="140"/>
        <v>1099.9999518559998</v>
      </c>
      <c r="Z320" s="259"/>
      <c r="AA320" s="179">
        <f t="shared" si="141"/>
        <v>412.42479377000001</v>
      </c>
      <c r="AB320" s="259"/>
      <c r="AC320" s="179">
        <f t="shared" si="142"/>
        <v>0</v>
      </c>
      <c r="AD320" s="189">
        <f t="shared" si="136"/>
        <v>0</v>
      </c>
      <c r="AE320" s="179">
        <f t="shared" si="143"/>
        <v>1512.424745626</v>
      </c>
      <c r="AF320" s="264"/>
      <c r="AG320" s="179">
        <f t="shared" si="144"/>
        <v>999.99995185600005</v>
      </c>
      <c r="AH320" s="268"/>
      <c r="AI320" s="179">
        <f t="shared" si="145"/>
        <v>0</v>
      </c>
      <c r="AJ320" s="268"/>
      <c r="AK320" s="179">
        <f t="shared" si="146"/>
        <v>100</v>
      </c>
      <c r="AL320" s="268"/>
      <c r="AM320" s="179">
        <f t="shared" si="147"/>
        <v>0</v>
      </c>
      <c r="AN320" s="268"/>
      <c r="AO320" s="179">
        <f t="shared" si="148"/>
        <v>0</v>
      </c>
      <c r="AP320" s="268"/>
      <c r="AQ320" s="179">
        <f t="shared" si="149"/>
        <v>0</v>
      </c>
      <c r="AR320" s="273"/>
      <c r="AS320" s="209">
        <f t="shared" si="150"/>
        <v>0</v>
      </c>
      <c r="AT320" s="273"/>
      <c r="AU320" s="226">
        <f t="shared" si="151"/>
        <v>0</v>
      </c>
      <c r="AV320" s="273"/>
      <c r="AW320" s="209">
        <f t="shared" si="152"/>
        <v>0</v>
      </c>
      <c r="AX320" s="273"/>
      <c r="AY320" s="209">
        <f t="shared" si="153"/>
        <v>0</v>
      </c>
      <c r="AZ320" s="273"/>
      <c r="BA320" s="179">
        <f t="shared" si="154"/>
        <v>0</v>
      </c>
      <c r="BB320"/>
      <c r="BC320"/>
      <c r="BD320"/>
    </row>
    <row r="321" spans="1:56" s="34" customFormat="1" hidden="1" x14ac:dyDescent="0.25">
      <c r="A321" s="87"/>
      <c r="B321" s="42"/>
      <c r="C321" s="41"/>
      <c r="D321" s="41"/>
      <c r="E321" s="40"/>
      <c r="F321" s="40"/>
      <c r="G321" s="40"/>
      <c r="H321" s="40"/>
      <c r="I321" s="160"/>
      <c r="J321" s="41"/>
      <c r="K321" s="41"/>
      <c r="L321" s="41"/>
      <c r="M321" s="41"/>
      <c r="N321" s="41"/>
      <c r="O321" s="41"/>
      <c r="P321" s="188"/>
      <c r="Q321" s="221"/>
      <c r="R321" s="253"/>
      <c r="S321" s="179">
        <f t="shared" si="137"/>
        <v>3898.2066402109976</v>
      </c>
      <c r="T321" s="259"/>
      <c r="U321" s="179">
        <f t="shared" si="138"/>
        <v>79</v>
      </c>
      <c r="V321" s="259"/>
      <c r="W321" s="179">
        <f t="shared" si="139"/>
        <v>0</v>
      </c>
      <c r="X321" s="259"/>
      <c r="Y321" s="179">
        <f t="shared" si="140"/>
        <v>1099.9999518559998</v>
      </c>
      <c r="Z321" s="259"/>
      <c r="AA321" s="179">
        <f t="shared" si="141"/>
        <v>412.42479377000001</v>
      </c>
      <c r="AB321" s="259"/>
      <c r="AC321" s="179">
        <f t="shared" si="142"/>
        <v>0</v>
      </c>
      <c r="AD321" s="189">
        <f t="shared" si="136"/>
        <v>0</v>
      </c>
      <c r="AE321" s="179">
        <f t="shared" si="143"/>
        <v>1512.424745626</v>
      </c>
      <c r="AF321" s="264"/>
      <c r="AG321" s="179">
        <f t="shared" si="144"/>
        <v>999.99995185600005</v>
      </c>
      <c r="AH321" s="268"/>
      <c r="AI321" s="179">
        <f t="shared" si="145"/>
        <v>0</v>
      </c>
      <c r="AJ321" s="268"/>
      <c r="AK321" s="179">
        <f t="shared" si="146"/>
        <v>100</v>
      </c>
      <c r="AL321" s="268"/>
      <c r="AM321" s="179">
        <f t="shared" si="147"/>
        <v>0</v>
      </c>
      <c r="AN321" s="268"/>
      <c r="AO321" s="179">
        <f t="shared" si="148"/>
        <v>0</v>
      </c>
      <c r="AP321" s="268"/>
      <c r="AQ321" s="179">
        <f t="shared" si="149"/>
        <v>0</v>
      </c>
      <c r="AR321" s="273"/>
      <c r="AS321" s="209">
        <f t="shared" si="150"/>
        <v>0</v>
      </c>
      <c r="AT321" s="273"/>
      <c r="AU321" s="226">
        <f t="shared" si="151"/>
        <v>0</v>
      </c>
      <c r="AV321" s="273"/>
      <c r="AW321" s="209">
        <f t="shared" si="152"/>
        <v>0</v>
      </c>
      <c r="AX321" s="273"/>
      <c r="AY321" s="209">
        <f t="shared" si="153"/>
        <v>0</v>
      </c>
      <c r="AZ321" s="273"/>
      <c r="BA321" s="179">
        <f t="shared" si="154"/>
        <v>0</v>
      </c>
      <c r="BB321"/>
      <c r="BC321"/>
      <c r="BD321"/>
    </row>
    <row r="322" spans="1:56" s="34" customFormat="1" hidden="1" x14ac:dyDescent="0.25">
      <c r="A322" s="87"/>
      <c r="B322" s="42"/>
      <c r="C322" s="41"/>
      <c r="D322" s="41"/>
      <c r="E322" s="40"/>
      <c r="F322" s="40"/>
      <c r="G322" s="40"/>
      <c r="H322" s="40"/>
      <c r="I322" s="160"/>
      <c r="J322" s="41"/>
      <c r="K322" s="41"/>
      <c r="L322" s="41"/>
      <c r="M322" s="41"/>
      <c r="N322" s="41"/>
      <c r="O322" s="41"/>
      <c r="P322" s="188"/>
      <c r="Q322" s="221"/>
      <c r="R322" s="253"/>
      <c r="S322" s="179">
        <f t="shared" si="137"/>
        <v>3898.2066402109976</v>
      </c>
      <c r="T322" s="259"/>
      <c r="U322" s="179">
        <f t="shared" si="138"/>
        <v>79</v>
      </c>
      <c r="V322" s="259"/>
      <c r="W322" s="179">
        <f t="shared" si="139"/>
        <v>0</v>
      </c>
      <c r="X322" s="259"/>
      <c r="Y322" s="179">
        <f t="shared" si="140"/>
        <v>1099.9999518559998</v>
      </c>
      <c r="Z322" s="259"/>
      <c r="AA322" s="179">
        <f t="shared" si="141"/>
        <v>412.42479377000001</v>
      </c>
      <c r="AB322" s="259"/>
      <c r="AC322" s="179">
        <f t="shared" si="142"/>
        <v>0</v>
      </c>
      <c r="AD322" s="189">
        <f t="shared" si="136"/>
        <v>0</v>
      </c>
      <c r="AE322" s="179">
        <f t="shared" si="143"/>
        <v>1512.424745626</v>
      </c>
      <c r="AF322" s="264"/>
      <c r="AG322" s="179">
        <f t="shared" si="144"/>
        <v>999.99995185600005</v>
      </c>
      <c r="AH322" s="268"/>
      <c r="AI322" s="179">
        <f t="shared" si="145"/>
        <v>0</v>
      </c>
      <c r="AJ322" s="268"/>
      <c r="AK322" s="179">
        <f t="shared" si="146"/>
        <v>100</v>
      </c>
      <c r="AL322" s="268"/>
      <c r="AM322" s="179">
        <f t="shared" si="147"/>
        <v>0</v>
      </c>
      <c r="AN322" s="268"/>
      <c r="AO322" s="179">
        <f t="shared" si="148"/>
        <v>0</v>
      </c>
      <c r="AP322" s="268"/>
      <c r="AQ322" s="179">
        <f t="shared" si="149"/>
        <v>0</v>
      </c>
      <c r="AR322" s="273"/>
      <c r="AS322" s="209">
        <f t="shared" si="150"/>
        <v>0</v>
      </c>
      <c r="AT322" s="273"/>
      <c r="AU322" s="226">
        <f t="shared" si="151"/>
        <v>0</v>
      </c>
      <c r="AV322" s="273"/>
      <c r="AW322" s="209">
        <f t="shared" si="152"/>
        <v>0</v>
      </c>
      <c r="AX322" s="273"/>
      <c r="AY322" s="209">
        <f t="shared" si="153"/>
        <v>0</v>
      </c>
      <c r="AZ322" s="273"/>
      <c r="BA322" s="179">
        <f t="shared" si="154"/>
        <v>0</v>
      </c>
      <c r="BB322"/>
      <c r="BC322"/>
      <c r="BD322"/>
    </row>
    <row r="323" spans="1:56" s="34" customFormat="1" hidden="1" x14ac:dyDescent="0.25">
      <c r="A323" s="87"/>
      <c r="B323" s="42"/>
      <c r="C323" s="41"/>
      <c r="D323" s="41"/>
      <c r="E323" s="40"/>
      <c r="F323" s="40"/>
      <c r="G323" s="40"/>
      <c r="H323" s="40"/>
      <c r="I323" s="160"/>
      <c r="J323" s="41"/>
      <c r="K323" s="41"/>
      <c r="L323" s="41"/>
      <c r="M323" s="41"/>
      <c r="N323" s="41"/>
      <c r="O323" s="41"/>
      <c r="P323" s="188"/>
      <c r="Q323" s="221"/>
      <c r="R323" s="253"/>
      <c r="S323" s="179">
        <f t="shared" si="137"/>
        <v>3898.2066402109976</v>
      </c>
      <c r="T323" s="259"/>
      <c r="U323" s="179">
        <f t="shared" si="138"/>
        <v>79</v>
      </c>
      <c r="V323" s="259"/>
      <c r="W323" s="179">
        <f t="shared" si="139"/>
        <v>0</v>
      </c>
      <c r="X323" s="259"/>
      <c r="Y323" s="179">
        <f t="shared" si="140"/>
        <v>1099.9999518559998</v>
      </c>
      <c r="Z323" s="259"/>
      <c r="AA323" s="179">
        <f t="shared" si="141"/>
        <v>412.42479377000001</v>
      </c>
      <c r="AB323" s="259"/>
      <c r="AC323" s="179">
        <f t="shared" si="142"/>
        <v>0</v>
      </c>
      <c r="AD323" s="189">
        <f t="shared" ref="AD323:AD386" si="155">Dia_Col_Deduct+Dia_Col_Copay+Dia_Col_Coinsur</f>
        <v>0</v>
      </c>
      <c r="AE323" s="179">
        <f t="shared" si="143"/>
        <v>1512.424745626</v>
      </c>
      <c r="AF323" s="264"/>
      <c r="AG323" s="179">
        <f t="shared" si="144"/>
        <v>999.99995185600005</v>
      </c>
      <c r="AH323" s="268"/>
      <c r="AI323" s="179">
        <f t="shared" si="145"/>
        <v>0</v>
      </c>
      <c r="AJ323" s="268"/>
      <c r="AK323" s="179">
        <f t="shared" si="146"/>
        <v>100</v>
      </c>
      <c r="AL323" s="268"/>
      <c r="AM323" s="179">
        <f t="shared" si="147"/>
        <v>0</v>
      </c>
      <c r="AN323" s="268"/>
      <c r="AO323" s="179">
        <f t="shared" si="148"/>
        <v>0</v>
      </c>
      <c r="AP323" s="268"/>
      <c r="AQ323" s="179">
        <f t="shared" si="149"/>
        <v>0</v>
      </c>
      <c r="AR323" s="273"/>
      <c r="AS323" s="209">
        <f t="shared" si="150"/>
        <v>0</v>
      </c>
      <c r="AT323" s="273"/>
      <c r="AU323" s="226">
        <f t="shared" si="151"/>
        <v>0</v>
      </c>
      <c r="AV323" s="273"/>
      <c r="AW323" s="209">
        <f t="shared" si="152"/>
        <v>0</v>
      </c>
      <c r="AX323" s="273"/>
      <c r="AY323" s="209">
        <f t="shared" si="153"/>
        <v>0</v>
      </c>
      <c r="AZ323" s="273"/>
      <c r="BA323" s="179">
        <f t="shared" si="154"/>
        <v>0</v>
      </c>
      <c r="BB323"/>
      <c r="BC323"/>
      <c r="BD323"/>
    </row>
    <row r="324" spans="1:56" s="34" customFormat="1" hidden="1" x14ac:dyDescent="0.25">
      <c r="A324" s="87"/>
      <c r="B324" s="42"/>
      <c r="C324" s="41"/>
      <c r="D324" s="41"/>
      <c r="E324" s="40"/>
      <c r="F324" s="40"/>
      <c r="G324" s="40"/>
      <c r="H324" s="40"/>
      <c r="I324" s="160"/>
      <c r="J324" s="41"/>
      <c r="K324" s="41"/>
      <c r="L324" s="41"/>
      <c r="M324" s="41"/>
      <c r="N324" s="41"/>
      <c r="O324" s="41"/>
      <c r="P324" s="188"/>
      <c r="Q324" s="221"/>
      <c r="R324" s="253"/>
      <c r="S324" s="179">
        <f t="shared" si="137"/>
        <v>3898.2066402109976</v>
      </c>
      <c r="T324" s="259"/>
      <c r="U324" s="179">
        <f t="shared" si="138"/>
        <v>79</v>
      </c>
      <c r="V324" s="259"/>
      <c r="W324" s="179">
        <f t="shared" si="139"/>
        <v>0</v>
      </c>
      <c r="X324" s="259"/>
      <c r="Y324" s="179">
        <f t="shared" si="140"/>
        <v>1099.9999518559998</v>
      </c>
      <c r="Z324" s="259"/>
      <c r="AA324" s="179">
        <f t="shared" si="141"/>
        <v>412.42479377000001</v>
      </c>
      <c r="AB324" s="259"/>
      <c r="AC324" s="179">
        <f t="shared" si="142"/>
        <v>0</v>
      </c>
      <c r="AD324" s="189">
        <f t="shared" si="155"/>
        <v>0</v>
      </c>
      <c r="AE324" s="179">
        <f t="shared" si="143"/>
        <v>1512.424745626</v>
      </c>
      <c r="AF324" s="264"/>
      <c r="AG324" s="179">
        <f t="shared" si="144"/>
        <v>999.99995185600005</v>
      </c>
      <c r="AH324" s="268"/>
      <c r="AI324" s="179">
        <f t="shared" si="145"/>
        <v>0</v>
      </c>
      <c r="AJ324" s="268"/>
      <c r="AK324" s="179">
        <f t="shared" si="146"/>
        <v>100</v>
      </c>
      <c r="AL324" s="268"/>
      <c r="AM324" s="179">
        <f t="shared" si="147"/>
        <v>0</v>
      </c>
      <c r="AN324" s="268"/>
      <c r="AO324" s="179">
        <f t="shared" si="148"/>
        <v>0</v>
      </c>
      <c r="AP324" s="268"/>
      <c r="AQ324" s="179">
        <f t="shared" si="149"/>
        <v>0</v>
      </c>
      <c r="AR324" s="273"/>
      <c r="AS324" s="209">
        <f t="shared" si="150"/>
        <v>0</v>
      </c>
      <c r="AT324" s="273"/>
      <c r="AU324" s="226">
        <f t="shared" si="151"/>
        <v>0</v>
      </c>
      <c r="AV324" s="273"/>
      <c r="AW324" s="209">
        <f t="shared" si="152"/>
        <v>0</v>
      </c>
      <c r="AX324" s="273"/>
      <c r="AY324" s="209">
        <f t="shared" si="153"/>
        <v>0</v>
      </c>
      <c r="AZ324" s="273"/>
      <c r="BA324" s="179">
        <f t="shared" si="154"/>
        <v>0</v>
      </c>
      <c r="BB324"/>
      <c r="BC324"/>
      <c r="BD324"/>
    </row>
    <row r="325" spans="1:56" s="34" customFormat="1" hidden="1" x14ac:dyDescent="0.25">
      <c r="A325" s="87"/>
      <c r="B325" s="42"/>
      <c r="C325" s="41"/>
      <c r="D325" s="41"/>
      <c r="E325" s="40"/>
      <c r="F325" s="40"/>
      <c r="G325" s="40"/>
      <c r="H325" s="40"/>
      <c r="I325" s="160"/>
      <c r="J325" s="41"/>
      <c r="K325" s="41"/>
      <c r="L325" s="41"/>
      <c r="M325" s="41"/>
      <c r="N325" s="41"/>
      <c r="O325" s="41"/>
      <c r="P325" s="188"/>
      <c r="Q325" s="221"/>
      <c r="R325" s="253"/>
      <c r="S325" s="179">
        <f t="shared" ref="S325:S388" si="156">R325+S324</f>
        <v>3898.2066402109976</v>
      </c>
      <c r="T325" s="259"/>
      <c r="U325" s="179">
        <f t="shared" ref="U325:U388" si="157">T325+U324</f>
        <v>79</v>
      </c>
      <c r="V325" s="259"/>
      <c r="W325" s="179">
        <f t="shared" ref="W325:W388" si="158">V325+W324</f>
        <v>0</v>
      </c>
      <c r="X325" s="259"/>
      <c r="Y325" s="179">
        <f t="shared" ref="Y325:Y388" si="159">X325+Y324</f>
        <v>1099.9999518559998</v>
      </c>
      <c r="Z325" s="259"/>
      <c r="AA325" s="179">
        <f t="shared" ref="AA325:AA388" si="160">Z325+AA324</f>
        <v>412.42479377000001</v>
      </c>
      <c r="AB325" s="259"/>
      <c r="AC325" s="179">
        <f t="shared" ref="AC325:AC388" si="161">AB325+AC324</f>
        <v>0</v>
      </c>
      <c r="AD325" s="189">
        <f t="shared" si="155"/>
        <v>0</v>
      </c>
      <c r="AE325" s="179">
        <f t="shared" ref="AE325:AE388" si="162">AD325+AE324</f>
        <v>1512.424745626</v>
      </c>
      <c r="AF325" s="264"/>
      <c r="AG325" s="179">
        <f t="shared" ref="AG325:AG388" si="163">AF325+AG324</f>
        <v>999.99995185600005</v>
      </c>
      <c r="AH325" s="268"/>
      <c r="AI325" s="179">
        <f t="shared" ref="AI325:AI388" si="164">AH325+AI324</f>
        <v>0</v>
      </c>
      <c r="AJ325" s="268"/>
      <c r="AK325" s="179">
        <f t="shared" ref="AK325:AK388" si="165">AJ325+AK324</f>
        <v>100</v>
      </c>
      <c r="AL325" s="268"/>
      <c r="AM325" s="179">
        <f t="shared" ref="AM325:AM388" si="166">AL325+AM324</f>
        <v>0</v>
      </c>
      <c r="AN325" s="268"/>
      <c r="AO325" s="179">
        <f t="shared" ref="AO325:AO388" si="167">AN325+AO324</f>
        <v>0</v>
      </c>
      <c r="AP325" s="268"/>
      <c r="AQ325" s="179">
        <f t="shared" ref="AQ325:AQ388" si="168">AP325+AQ324</f>
        <v>0</v>
      </c>
      <c r="AR325" s="273"/>
      <c r="AS325" s="209">
        <f t="shared" ref="AS325:AS388" si="169">AR325+AS324</f>
        <v>0</v>
      </c>
      <c r="AT325" s="273"/>
      <c r="AU325" s="226">
        <f t="shared" ref="AU325:AU388" si="170">AT325+AU324</f>
        <v>0</v>
      </c>
      <c r="AV325" s="273"/>
      <c r="AW325" s="209">
        <f t="shared" ref="AW325:AW388" si="171">AV325+AW324</f>
        <v>0</v>
      </c>
      <c r="AX325" s="273"/>
      <c r="AY325" s="209">
        <f t="shared" ref="AY325:AY388" si="172">AX325+AY324</f>
        <v>0</v>
      </c>
      <c r="AZ325" s="273"/>
      <c r="BA325" s="179">
        <f t="shared" ref="BA325:BA388" si="173">AZ325+BA324</f>
        <v>0</v>
      </c>
      <c r="BB325"/>
      <c r="BC325"/>
      <c r="BD325"/>
    </row>
    <row r="326" spans="1:56" s="34" customFormat="1" hidden="1" x14ac:dyDescent="0.25">
      <c r="A326" s="87"/>
      <c r="B326" s="42"/>
      <c r="C326" s="41"/>
      <c r="D326" s="41"/>
      <c r="E326" s="40"/>
      <c r="F326" s="40"/>
      <c r="G326" s="40"/>
      <c r="H326" s="40"/>
      <c r="I326" s="160"/>
      <c r="J326" s="41"/>
      <c r="K326" s="41"/>
      <c r="L326" s="41"/>
      <c r="M326" s="41"/>
      <c r="N326" s="41"/>
      <c r="O326" s="41"/>
      <c r="P326" s="188"/>
      <c r="Q326" s="221"/>
      <c r="R326" s="253"/>
      <c r="S326" s="179">
        <f t="shared" si="156"/>
        <v>3898.2066402109976</v>
      </c>
      <c r="T326" s="259"/>
      <c r="U326" s="179">
        <f t="shared" si="157"/>
        <v>79</v>
      </c>
      <c r="V326" s="259"/>
      <c r="W326" s="179">
        <f t="shared" si="158"/>
        <v>0</v>
      </c>
      <c r="X326" s="259"/>
      <c r="Y326" s="179">
        <f t="shared" si="159"/>
        <v>1099.9999518559998</v>
      </c>
      <c r="Z326" s="259"/>
      <c r="AA326" s="179">
        <f t="shared" si="160"/>
        <v>412.42479377000001</v>
      </c>
      <c r="AB326" s="259"/>
      <c r="AC326" s="179">
        <f t="shared" si="161"/>
        <v>0</v>
      </c>
      <c r="AD326" s="189">
        <f t="shared" si="155"/>
        <v>0</v>
      </c>
      <c r="AE326" s="179">
        <f t="shared" si="162"/>
        <v>1512.424745626</v>
      </c>
      <c r="AF326" s="264"/>
      <c r="AG326" s="179">
        <f t="shared" si="163"/>
        <v>999.99995185600005</v>
      </c>
      <c r="AH326" s="268"/>
      <c r="AI326" s="179">
        <f t="shared" si="164"/>
        <v>0</v>
      </c>
      <c r="AJ326" s="268"/>
      <c r="AK326" s="179">
        <f t="shared" si="165"/>
        <v>100</v>
      </c>
      <c r="AL326" s="268"/>
      <c r="AM326" s="179">
        <f t="shared" si="166"/>
        <v>0</v>
      </c>
      <c r="AN326" s="268"/>
      <c r="AO326" s="179">
        <f t="shared" si="167"/>
        <v>0</v>
      </c>
      <c r="AP326" s="268"/>
      <c r="AQ326" s="179">
        <f t="shared" si="168"/>
        <v>0</v>
      </c>
      <c r="AR326" s="273"/>
      <c r="AS326" s="209">
        <f t="shared" si="169"/>
        <v>0</v>
      </c>
      <c r="AT326" s="273"/>
      <c r="AU326" s="226">
        <f t="shared" si="170"/>
        <v>0</v>
      </c>
      <c r="AV326" s="273"/>
      <c r="AW326" s="209">
        <f t="shared" si="171"/>
        <v>0</v>
      </c>
      <c r="AX326" s="273"/>
      <c r="AY326" s="209">
        <f t="shared" si="172"/>
        <v>0</v>
      </c>
      <c r="AZ326" s="273"/>
      <c r="BA326" s="179">
        <f t="shared" si="173"/>
        <v>0</v>
      </c>
      <c r="BB326"/>
      <c r="BC326"/>
      <c r="BD326"/>
    </row>
    <row r="327" spans="1:56" s="34" customFormat="1" hidden="1" x14ac:dyDescent="0.25">
      <c r="A327" s="87"/>
      <c r="B327" s="42"/>
      <c r="C327" s="41"/>
      <c r="D327" s="41"/>
      <c r="E327" s="40"/>
      <c r="F327" s="40"/>
      <c r="G327" s="40"/>
      <c r="H327" s="40"/>
      <c r="I327" s="160"/>
      <c r="J327" s="41"/>
      <c r="K327" s="41"/>
      <c r="L327" s="41"/>
      <c r="M327" s="41"/>
      <c r="N327" s="41"/>
      <c r="O327" s="41"/>
      <c r="P327" s="188"/>
      <c r="Q327" s="221"/>
      <c r="R327" s="253"/>
      <c r="S327" s="179">
        <f t="shared" si="156"/>
        <v>3898.2066402109976</v>
      </c>
      <c r="T327" s="259"/>
      <c r="U327" s="179">
        <f t="shared" si="157"/>
        <v>79</v>
      </c>
      <c r="V327" s="259"/>
      <c r="W327" s="179">
        <f t="shared" si="158"/>
        <v>0</v>
      </c>
      <c r="X327" s="259"/>
      <c r="Y327" s="179">
        <f t="shared" si="159"/>
        <v>1099.9999518559998</v>
      </c>
      <c r="Z327" s="259"/>
      <c r="AA327" s="179">
        <f t="shared" si="160"/>
        <v>412.42479377000001</v>
      </c>
      <c r="AB327" s="259"/>
      <c r="AC327" s="179">
        <f t="shared" si="161"/>
        <v>0</v>
      </c>
      <c r="AD327" s="189">
        <f t="shared" si="155"/>
        <v>0</v>
      </c>
      <c r="AE327" s="179">
        <f t="shared" si="162"/>
        <v>1512.424745626</v>
      </c>
      <c r="AF327" s="264"/>
      <c r="AG327" s="179">
        <f t="shared" si="163"/>
        <v>999.99995185600005</v>
      </c>
      <c r="AH327" s="268"/>
      <c r="AI327" s="179">
        <f t="shared" si="164"/>
        <v>0</v>
      </c>
      <c r="AJ327" s="268"/>
      <c r="AK327" s="179">
        <f t="shared" si="165"/>
        <v>100</v>
      </c>
      <c r="AL327" s="268"/>
      <c r="AM327" s="179">
        <f t="shared" si="166"/>
        <v>0</v>
      </c>
      <c r="AN327" s="268"/>
      <c r="AO327" s="179">
        <f t="shared" si="167"/>
        <v>0</v>
      </c>
      <c r="AP327" s="268"/>
      <c r="AQ327" s="179">
        <f t="shared" si="168"/>
        <v>0</v>
      </c>
      <c r="AR327" s="273"/>
      <c r="AS327" s="209">
        <f t="shared" si="169"/>
        <v>0</v>
      </c>
      <c r="AT327" s="273"/>
      <c r="AU327" s="226">
        <f t="shared" si="170"/>
        <v>0</v>
      </c>
      <c r="AV327" s="273"/>
      <c r="AW327" s="209">
        <f t="shared" si="171"/>
        <v>0</v>
      </c>
      <c r="AX327" s="273"/>
      <c r="AY327" s="209">
        <f t="shared" si="172"/>
        <v>0</v>
      </c>
      <c r="AZ327" s="273"/>
      <c r="BA327" s="179">
        <f t="shared" si="173"/>
        <v>0</v>
      </c>
      <c r="BB327"/>
      <c r="BC327"/>
      <c r="BD327"/>
    </row>
    <row r="328" spans="1:56" s="34" customFormat="1" hidden="1" x14ac:dyDescent="0.25">
      <c r="A328" s="87"/>
      <c r="B328" s="42"/>
      <c r="C328" s="41"/>
      <c r="D328" s="41"/>
      <c r="E328" s="40"/>
      <c r="F328" s="40"/>
      <c r="G328" s="40"/>
      <c r="H328" s="40"/>
      <c r="I328" s="160"/>
      <c r="J328" s="41"/>
      <c r="K328" s="41"/>
      <c r="L328" s="41"/>
      <c r="M328" s="41"/>
      <c r="N328" s="41"/>
      <c r="O328" s="41"/>
      <c r="P328" s="188"/>
      <c r="Q328" s="221"/>
      <c r="R328" s="253"/>
      <c r="S328" s="179">
        <f t="shared" si="156"/>
        <v>3898.2066402109976</v>
      </c>
      <c r="T328" s="259"/>
      <c r="U328" s="179">
        <f t="shared" si="157"/>
        <v>79</v>
      </c>
      <c r="V328" s="259"/>
      <c r="W328" s="179">
        <f t="shared" si="158"/>
        <v>0</v>
      </c>
      <c r="X328" s="259"/>
      <c r="Y328" s="179">
        <f t="shared" si="159"/>
        <v>1099.9999518559998</v>
      </c>
      <c r="Z328" s="259"/>
      <c r="AA328" s="179">
        <f t="shared" si="160"/>
        <v>412.42479377000001</v>
      </c>
      <c r="AB328" s="259"/>
      <c r="AC328" s="179">
        <f t="shared" si="161"/>
        <v>0</v>
      </c>
      <c r="AD328" s="189">
        <f t="shared" si="155"/>
        <v>0</v>
      </c>
      <c r="AE328" s="179">
        <f t="shared" si="162"/>
        <v>1512.424745626</v>
      </c>
      <c r="AF328" s="264"/>
      <c r="AG328" s="179">
        <f t="shared" si="163"/>
        <v>999.99995185600005</v>
      </c>
      <c r="AH328" s="268"/>
      <c r="AI328" s="179">
        <f t="shared" si="164"/>
        <v>0</v>
      </c>
      <c r="AJ328" s="268"/>
      <c r="AK328" s="179">
        <f t="shared" si="165"/>
        <v>100</v>
      </c>
      <c r="AL328" s="268"/>
      <c r="AM328" s="179">
        <f t="shared" si="166"/>
        <v>0</v>
      </c>
      <c r="AN328" s="268"/>
      <c r="AO328" s="179">
        <f t="shared" si="167"/>
        <v>0</v>
      </c>
      <c r="AP328" s="268"/>
      <c r="AQ328" s="179">
        <f t="shared" si="168"/>
        <v>0</v>
      </c>
      <c r="AR328" s="273"/>
      <c r="AS328" s="209">
        <f t="shared" si="169"/>
        <v>0</v>
      </c>
      <c r="AT328" s="273"/>
      <c r="AU328" s="226">
        <f t="shared" si="170"/>
        <v>0</v>
      </c>
      <c r="AV328" s="273"/>
      <c r="AW328" s="209">
        <f t="shared" si="171"/>
        <v>0</v>
      </c>
      <c r="AX328" s="273"/>
      <c r="AY328" s="209">
        <f t="shared" si="172"/>
        <v>0</v>
      </c>
      <c r="AZ328" s="273"/>
      <c r="BA328" s="179">
        <f t="shared" si="173"/>
        <v>0</v>
      </c>
      <c r="BB328"/>
      <c r="BC328"/>
      <c r="BD328"/>
    </row>
    <row r="329" spans="1:56" s="34" customFormat="1" hidden="1" x14ac:dyDescent="0.25">
      <c r="A329" s="87"/>
      <c r="B329" s="42"/>
      <c r="C329" s="41"/>
      <c r="D329" s="41"/>
      <c r="E329" s="40"/>
      <c r="F329" s="40"/>
      <c r="G329" s="40"/>
      <c r="H329" s="40"/>
      <c r="I329" s="160"/>
      <c r="J329" s="41"/>
      <c r="K329" s="41"/>
      <c r="L329" s="41"/>
      <c r="M329" s="41"/>
      <c r="N329" s="41"/>
      <c r="O329" s="41"/>
      <c r="P329" s="188"/>
      <c r="Q329" s="221"/>
      <c r="R329" s="253"/>
      <c r="S329" s="179">
        <f t="shared" si="156"/>
        <v>3898.2066402109976</v>
      </c>
      <c r="T329" s="259"/>
      <c r="U329" s="179">
        <f t="shared" si="157"/>
        <v>79</v>
      </c>
      <c r="V329" s="259"/>
      <c r="W329" s="179">
        <f t="shared" si="158"/>
        <v>0</v>
      </c>
      <c r="X329" s="259"/>
      <c r="Y329" s="179">
        <f t="shared" si="159"/>
        <v>1099.9999518559998</v>
      </c>
      <c r="Z329" s="259"/>
      <c r="AA329" s="179">
        <f t="shared" si="160"/>
        <v>412.42479377000001</v>
      </c>
      <c r="AB329" s="259"/>
      <c r="AC329" s="179">
        <f t="shared" si="161"/>
        <v>0</v>
      </c>
      <c r="AD329" s="189">
        <f t="shared" si="155"/>
        <v>0</v>
      </c>
      <c r="AE329" s="179">
        <f t="shared" si="162"/>
        <v>1512.424745626</v>
      </c>
      <c r="AF329" s="264"/>
      <c r="AG329" s="179">
        <f t="shared" si="163"/>
        <v>999.99995185600005</v>
      </c>
      <c r="AH329" s="268"/>
      <c r="AI329" s="179">
        <f t="shared" si="164"/>
        <v>0</v>
      </c>
      <c r="AJ329" s="268"/>
      <c r="AK329" s="179">
        <f t="shared" si="165"/>
        <v>100</v>
      </c>
      <c r="AL329" s="268"/>
      <c r="AM329" s="179">
        <f t="shared" si="166"/>
        <v>0</v>
      </c>
      <c r="AN329" s="268"/>
      <c r="AO329" s="179">
        <f t="shared" si="167"/>
        <v>0</v>
      </c>
      <c r="AP329" s="268"/>
      <c r="AQ329" s="179">
        <f t="shared" si="168"/>
        <v>0</v>
      </c>
      <c r="AR329" s="273"/>
      <c r="AS329" s="209">
        <f t="shared" si="169"/>
        <v>0</v>
      </c>
      <c r="AT329" s="273"/>
      <c r="AU329" s="226">
        <f t="shared" si="170"/>
        <v>0</v>
      </c>
      <c r="AV329" s="273"/>
      <c r="AW329" s="209">
        <f t="shared" si="171"/>
        <v>0</v>
      </c>
      <c r="AX329" s="273"/>
      <c r="AY329" s="209">
        <f t="shared" si="172"/>
        <v>0</v>
      </c>
      <c r="AZ329" s="273"/>
      <c r="BA329" s="179">
        <f t="shared" si="173"/>
        <v>0</v>
      </c>
      <c r="BB329"/>
      <c r="BC329"/>
      <c r="BD329"/>
    </row>
    <row r="330" spans="1:56" s="34" customFormat="1" hidden="1" x14ac:dyDescent="0.25">
      <c r="A330" s="87"/>
      <c r="B330" s="42"/>
      <c r="C330" s="41"/>
      <c r="D330" s="41"/>
      <c r="E330" s="40"/>
      <c r="F330" s="40"/>
      <c r="G330" s="40"/>
      <c r="H330" s="40"/>
      <c r="I330" s="160"/>
      <c r="J330" s="41"/>
      <c r="K330" s="41"/>
      <c r="L330" s="41"/>
      <c r="M330" s="41"/>
      <c r="N330" s="41"/>
      <c r="O330" s="41"/>
      <c r="P330" s="188"/>
      <c r="Q330" s="221"/>
      <c r="R330" s="253"/>
      <c r="S330" s="179">
        <f t="shared" si="156"/>
        <v>3898.2066402109976</v>
      </c>
      <c r="T330" s="259"/>
      <c r="U330" s="179">
        <f t="shared" si="157"/>
        <v>79</v>
      </c>
      <c r="V330" s="259"/>
      <c r="W330" s="179">
        <f t="shared" si="158"/>
        <v>0</v>
      </c>
      <c r="X330" s="259"/>
      <c r="Y330" s="179">
        <f t="shared" si="159"/>
        <v>1099.9999518559998</v>
      </c>
      <c r="Z330" s="259"/>
      <c r="AA330" s="179">
        <f t="shared" si="160"/>
        <v>412.42479377000001</v>
      </c>
      <c r="AB330" s="259"/>
      <c r="AC330" s="179">
        <f t="shared" si="161"/>
        <v>0</v>
      </c>
      <c r="AD330" s="189">
        <f t="shared" si="155"/>
        <v>0</v>
      </c>
      <c r="AE330" s="179">
        <f t="shared" si="162"/>
        <v>1512.424745626</v>
      </c>
      <c r="AF330" s="264"/>
      <c r="AG330" s="179">
        <f t="shared" si="163"/>
        <v>999.99995185600005</v>
      </c>
      <c r="AH330" s="268"/>
      <c r="AI330" s="179">
        <f t="shared" si="164"/>
        <v>0</v>
      </c>
      <c r="AJ330" s="268"/>
      <c r="AK330" s="179">
        <f t="shared" si="165"/>
        <v>100</v>
      </c>
      <c r="AL330" s="268"/>
      <c r="AM330" s="179">
        <f t="shared" si="166"/>
        <v>0</v>
      </c>
      <c r="AN330" s="268"/>
      <c r="AO330" s="179">
        <f t="shared" si="167"/>
        <v>0</v>
      </c>
      <c r="AP330" s="268"/>
      <c r="AQ330" s="179">
        <f t="shared" si="168"/>
        <v>0</v>
      </c>
      <c r="AR330" s="273"/>
      <c r="AS330" s="209">
        <f t="shared" si="169"/>
        <v>0</v>
      </c>
      <c r="AT330" s="273"/>
      <c r="AU330" s="226">
        <f t="shared" si="170"/>
        <v>0</v>
      </c>
      <c r="AV330" s="273"/>
      <c r="AW330" s="209">
        <f t="shared" si="171"/>
        <v>0</v>
      </c>
      <c r="AX330" s="273"/>
      <c r="AY330" s="209">
        <f t="shared" si="172"/>
        <v>0</v>
      </c>
      <c r="AZ330" s="273"/>
      <c r="BA330" s="179">
        <f t="shared" si="173"/>
        <v>0</v>
      </c>
      <c r="BB330"/>
      <c r="BC330"/>
      <c r="BD330"/>
    </row>
    <row r="331" spans="1:56" s="34" customFormat="1" hidden="1" x14ac:dyDescent="0.25">
      <c r="A331" s="87"/>
      <c r="B331" s="42"/>
      <c r="C331" s="41"/>
      <c r="D331" s="41"/>
      <c r="E331" s="40"/>
      <c r="F331" s="40"/>
      <c r="G331" s="40"/>
      <c r="H331" s="40"/>
      <c r="I331" s="160"/>
      <c r="J331" s="41"/>
      <c r="K331" s="41"/>
      <c r="L331" s="41"/>
      <c r="M331" s="41"/>
      <c r="N331" s="41"/>
      <c r="O331" s="41"/>
      <c r="P331" s="188"/>
      <c r="Q331" s="221"/>
      <c r="R331" s="253"/>
      <c r="S331" s="179">
        <f t="shared" si="156"/>
        <v>3898.2066402109976</v>
      </c>
      <c r="T331" s="259"/>
      <c r="U331" s="179">
        <f t="shared" si="157"/>
        <v>79</v>
      </c>
      <c r="V331" s="259"/>
      <c r="W331" s="179">
        <f t="shared" si="158"/>
        <v>0</v>
      </c>
      <c r="X331" s="259"/>
      <c r="Y331" s="179">
        <f t="shared" si="159"/>
        <v>1099.9999518559998</v>
      </c>
      <c r="Z331" s="259"/>
      <c r="AA331" s="179">
        <f t="shared" si="160"/>
        <v>412.42479377000001</v>
      </c>
      <c r="AB331" s="259"/>
      <c r="AC331" s="179">
        <f t="shared" si="161"/>
        <v>0</v>
      </c>
      <c r="AD331" s="189">
        <f t="shared" si="155"/>
        <v>0</v>
      </c>
      <c r="AE331" s="179">
        <f t="shared" si="162"/>
        <v>1512.424745626</v>
      </c>
      <c r="AF331" s="264"/>
      <c r="AG331" s="179">
        <f t="shared" si="163"/>
        <v>999.99995185600005</v>
      </c>
      <c r="AH331" s="268"/>
      <c r="AI331" s="179">
        <f t="shared" si="164"/>
        <v>0</v>
      </c>
      <c r="AJ331" s="268"/>
      <c r="AK331" s="179">
        <f t="shared" si="165"/>
        <v>100</v>
      </c>
      <c r="AL331" s="268"/>
      <c r="AM331" s="179">
        <f t="shared" si="166"/>
        <v>0</v>
      </c>
      <c r="AN331" s="268"/>
      <c r="AO331" s="179">
        <f t="shared" si="167"/>
        <v>0</v>
      </c>
      <c r="AP331" s="268"/>
      <c r="AQ331" s="179">
        <f t="shared" si="168"/>
        <v>0</v>
      </c>
      <c r="AR331" s="273"/>
      <c r="AS331" s="209">
        <f t="shared" si="169"/>
        <v>0</v>
      </c>
      <c r="AT331" s="273"/>
      <c r="AU331" s="226">
        <f t="shared" si="170"/>
        <v>0</v>
      </c>
      <c r="AV331" s="273"/>
      <c r="AW331" s="209">
        <f t="shared" si="171"/>
        <v>0</v>
      </c>
      <c r="AX331" s="273"/>
      <c r="AY331" s="209">
        <f t="shared" si="172"/>
        <v>0</v>
      </c>
      <c r="AZ331" s="273"/>
      <c r="BA331" s="179">
        <f t="shared" si="173"/>
        <v>0</v>
      </c>
      <c r="BB331"/>
      <c r="BC331"/>
      <c r="BD331"/>
    </row>
    <row r="332" spans="1:56" s="34" customFormat="1" hidden="1" x14ac:dyDescent="0.25">
      <c r="A332" s="87"/>
      <c r="B332" s="42"/>
      <c r="C332" s="41"/>
      <c r="D332" s="41"/>
      <c r="E332" s="40"/>
      <c r="F332" s="40"/>
      <c r="G332" s="40"/>
      <c r="H332" s="40"/>
      <c r="I332" s="160"/>
      <c r="J332" s="41"/>
      <c r="K332" s="41"/>
      <c r="L332" s="41"/>
      <c r="M332" s="41"/>
      <c r="N332" s="41"/>
      <c r="O332" s="41"/>
      <c r="P332" s="188"/>
      <c r="Q332" s="221"/>
      <c r="R332" s="253"/>
      <c r="S332" s="179">
        <f t="shared" si="156"/>
        <v>3898.2066402109976</v>
      </c>
      <c r="T332" s="259"/>
      <c r="U332" s="179">
        <f t="shared" si="157"/>
        <v>79</v>
      </c>
      <c r="V332" s="259"/>
      <c r="W332" s="179">
        <f t="shared" si="158"/>
        <v>0</v>
      </c>
      <c r="X332" s="259"/>
      <c r="Y332" s="179">
        <f t="shared" si="159"/>
        <v>1099.9999518559998</v>
      </c>
      <c r="Z332" s="259"/>
      <c r="AA332" s="179">
        <f t="shared" si="160"/>
        <v>412.42479377000001</v>
      </c>
      <c r="AB332" s="259"/>
      <c r="AC332" s="179">
        <f t="shared" si="161"/>
        <v>0</v>
      </c>
      <c r="AD332" s="189">
        <f t="shared" si="155"/>
        <v>0</v>
      </c>
      <c r="AE332" s="179">
        <f t="shared" si="162"/>
        <v>1512.424745626</v>
      </c>
      <c r="AF332" s="264"/>
      <c r="AG332" s="179">
        <f t="shared" si="163"/>
        <v>999.99995185600005</v>
      </c>
      <c r="AH332" s="268"/>
      <c r="AI332" s="179">
        <f t="shared" si="164"/>
        <v>0</v>
      </c>
      <c r="AJ332" s="268"/>
      <c r="AK332" s="179">
        <f t="shared" si="165"/>
        <v>100</v>
      </c>
      <c r="AL332" s="268"/>
      <c r="AM332" s="179">
        <f t="shared" si="166"/>
        <v>0</v>
      </c>
      <c r="AN332" s="268"/>
      <c r="AO332" s="179">
        <f t="shared" si="167"/>
        <v>0</v>
      </c>
      <c r="AP332" s="268"/>
      <c r="AQ332" s="179">
        <f t="shared" si="168"/>
        <v>0</v>
      </c>
      <c r="AR332" s="273"/>
      <c r="AS332" s="209">
        <f t="shared" si="169"/>
        <v>0</v>
      </c>
      <c r="AT332" s="273"/>
      <c r="AU332" s="226">
        <f t="shared" si="170"/>
        <v>0</v>
      </c>
      <c r="AV332" s="273"/>
      <c r="AW332" s="209">
        <f t="shared" si="171"/>
        <v>0</v>
      </c>
      <c r="AX332" s="273"/>
      <c r="AY332" s="209">
        <f t="shared" si="172"/>
        <v>0</v>
      </c>
      <c r="AZ332" s="273"/>
      <c r="BA332" s="179">
        <f t="shared" si="173"/>
        <v>0</v>
      </c>
      <c r="BB332"/>
      <c r="BC332"/>
      <c r="BD332"/>
    </row>
    <row r="333" spans="1:56" s="34" customFormat="1" hidden="1" x14ac:dyDescent="0.25">
      <c r="A333" s="87"/>
      <c r="B333" s="42"/>
      <c r="C333" s="41"/>
      <c r="D333" s="41"/>
      <c r="E333" s="40"/>
      <c r="F333" s="40"/>
      <c r="G333" s="40"/>
      <c r="H333" s="40"/>
      <c r="I333" s="160"/>
      <c r="J333" s="41"/>
      <c r="K333" s="41"/>
      <c r="L333" s="41"/>
      <c r="M333" s="41"/>
      <c r="N333" s="41"/>
      <c r="O333" s="41"/>
      <c r="P333" s="188"/>
      <c r="Q333" s="221"/>
      <c r="R333" s="253"/>
      <c r="S333" s="179">
        <f t="shared" si="156"/>
        <v>3898.2066402109976</v>
      </c>
      <c r="T333" s="259"/>
      <c r="U333" s="179">
        <f t="shared" si="157"/>
        <v>79</v>
      </c>
      <c r="V333" s="259"/>
      <c r="W333" s="179">
        <f t="shared" si="158"/>
        <v>0</v>
      </c>
      <c r="X333" s="259"/>
      <c r="Y333" s="179">
        <f t="shared" si="159"/>
        <v>1099.9999518559998</v>
      </c>
      <c r="Z333" s="259"/>
      <c r="AA333" s="179">
        <f t="shared" si="160"/>
        <v>412.42479377000001</v>
      </c>
      <c r="AB333" s="259"/>
      <c r="AC333" s="179">
        <f t="shared" si="161"/>
        <v>0</v>
      </c>
      <c r="AD333" s="189">
        <f t="shared" si="155"/>
        <v>0</v>
      </c>
      <c r="AE333" s="179">
        <f t="shared" si="162"/>
        <v>1512.424745626</v>
      </c>
      <c r="AF333" s="264"/>
      <c r="AG333" s="179">
        <f t="shared" si="163"/>
        <v>999.99995185600005</v>
      </c>
      <c r="AH333" s="268"/>
      <c r="AI333" s="179">
        <f t="shared" si="164"/>
        <v>0</v>
      </c>
      <c r="AJ333" s="268"/>
      <c r="AK333" s="179">
        <f t="shared" si="165"/>
        <v>100</v>
      </c>
      <c r="AL333" s="268"/>
      <c r="AM333" s="179">
        <f t="shared" si="166"/>
        <v>0</v>
      </c>
      <c r="AN333" s="268"/>
      <c r="AO333" s="179">
        <f t="shared" si="167"/>
        <v>0</v>
      </c>
      <c r="AP333" s="268"/>
      <c r="AQ333" s="179">
        <f t="shared" si="168"/>
        <v>0</v>
      </c>
      <c r="AR333" s="273"/>
      <c r="AS333" s="209">
        <f t="shared" si="169"/>
        <v>0</v>
      </c>
      <c r="AT333" s="273"/>
      <c r="AU333" s="226">
        <f t="shared" si="170"/>
        <v>0</v>
      </c>
      <c r="AV333" s="273"/>
      <c r="AW333" s="209">
        <f t="shared" si="171"/>
        <v>0</v>
      </c>
      <c r="AX333" s="273"/>
      <c r="AY333" s="209">
        <f t="shared" si="172"/>
        <v>0</v>
      </c>
      <c r="AZ333" s="273"/>
      <c r="BA333" s="179">
        <f t="shared" si="173"/>
        <v>0</v>
      </c>
      <c r="BB333"/>
      <c r="BC333"/>
      <c r="BD333"/>
    </row>
    <row r="334" spans="1:56" s="34" customFormat="1" hidden="1" x14ac:dyDescent="0.25">
      <c r="A334" s="87"/>
      <c r="B334" s="42"/>
      <c r="C334" s="41"/>
      <c r="D334" s="41"/>
      <c r="E334" s="40"/>
      <c r="F334" s="40"/>
      <c r="G334" s="40"/>
      <c r="H334" s="40"/>
      <c r="I334" s="160"/>
      <c r="J334" s="41"/>
      <c r="K334" s="41"/>
      <c r="L334" s="41"/>
      <c r="M334" s="41"/>
      <c r="N334" s="41"/>
      <c r="O334" s="41"/>
      <c r="P334" s="188"/>
      <c r="Q334" s="221"/>
      <c r="R334" s="253"/>
      <c r="S334" s="179">
        <f t="shared" si="156"/>
        <v>3898.2066402109976</v>
      </c>
      <c r="T334" s="259"/>
      <c r="U334" s="179">
        <f t="shared" si="157"/>
        <v>79</v>
      </c>
      <c r="V334" s="259"/>
      <c r="W334" s="179">
        <f t="shared" si="158"/>
        <v>0</v>
      </c>
      <c r="X334" s="259"/>
      <c r="Y334" s="179">
        <f t="shared" si="159"/>
        <v>1099.9999518559998</v>
      </c>
      <c r="Z334" s="259"/>
      <c r="AA334" s="179">
        <f t="shared" si="160"/>
        <v>412.42479377000001</v>
      </c>
      <c r="AB334" s="259"/>
      <c r="AC334" s="179">
        <f t="shared" si="161"/>
        <v>0</v>
      </c>
      <c r="AD334" s="189">
        <f t="shared" si="155"/>
        <v>0</v>
      </c>
      <c r="AE334" s="179">
        <f t="shared" si="162"/>
        <v>1512.424745626</v>
      </c>
      <c r="AF334" s="264"/>
      <c r="AG334" s="179">
        <f t="shared" si="163"/>
        <v>999.99995185600005</v>
      </c>
      <c r="AH334" s="268"/>
      <c r="AI334" s="179">
        <f t="shared" si="164"/>
        <v>0</v>
      </c>
      <c r="AJ334" s="268"/>
      <c r="AK334" s="179">
        <f t="shared" si="165"/>
        <v>100</v>
      </c>
      <c r="AL334" s="268"/>
      <c r="AM334" s="179">
        <f t="shared" si="166"/>
        <v>0</v>
      </c>
      <c r="AN334" s="268"/>
      <c r="AO334" s="179">
        <f t="shared" si="167"/>
        <v>0</v>
      </c>
      <c r="AP334" s="268"/>
      <c r="AQ334" s="179">
        <f t="shared" si="168"/>
        <v>0</v>
      </c>
      <c r="AR334" s="273"/>
      <c r="AS334" s="209">
        <f t="shared" si="169"/>
        <v>0</v>
      </c>
      <c r="AT334" s="273"/>
      <c r="AU334" s="226">
        <f t="shared" si="170"/>
        <v>0</v>
      </c>
      <c r="AV334" s="273"/>
      <c r="AW334" s="209">
        <f t="shared" si="171"/>
        <v>0</v>
      </c>
      <c r="AX334" s="273"/>
      <c r="AY334" s="209">
        <f t="shared" si="172"/>
        <v>0</v>
      </c>
      <c r="AZ334" s="273"/>
      <c r="BA334" s="179">
        <f t="shared" si="173"/>
        <v>0</v>
      </c>
      <c r="BB334"/>
      <c r="BC334"/>
      <c r="BD334"/>
    </row>
    <row r="335" spans="1:56" s="34" customFormat="1" hidden="1" x14ac:dyDescent="0.25">
      <c r="A335" s="87"/>
      <c r="B335" s="42"/>
      <c r="C335" s="41"/>
      <c r="D335" s="41"/>
      <c r="E335" s="40"/>
      <c r="F335" s="40"/>
      <c r="G335" s="40"/>
      <c r="H335" s="40"/>
      <c r="I335" s="160"/>
      <c r="J335" s="41"/>
      <c r="K335" s="41"/>
      <c r="L335" s="41"/>
      <c r="M335" s="41"/>
      <c r="N335" s="41"/>
      <c r="O335" s="41"/>
      <c r="P335" s="188"/>
      <c r="Q335" s="221"/>
      <c r="R335" s="253"/>
      <c r="S335" s="179">
        <f t="shared" si="156"/>
        <v>3898.2066402109976</v>
      </c>
      <c r="T335" s="259"/>
      <c r="U335" s="179">
        <f t="shared" si="157"/>
        <v>79</v>
      </c>
      <c r="V335" s="259"/>
      <c r="W335" s="179">
        <f t="shared" si="158"/>
        <v>0</v>
      </c>
      <c r="X335" s="259"/>
      <c r="Y335" s="179">
        <f t="shared" si="159"/>
        <v>1099.9999518559998</v>
      </c>
      <c r="Z335" s="259"/>
      <c r="AA335" s="179">
        <f t="shared" si="160"/>
        <v>412.42479377000001</v>
      </c>
      <c r="AB335" s="259"/>
      <c r="AC335" s="179">
        <f t="shared" si="161"/>
        <v>0</v>
      </c>
      <c r="AD335" s="189">
        <f t="shared" si="155"/>
        <v>0</v>
      </c>
      <c r="AE335" s="179">
        <f t="shared" si="162"/>
        <v>1512.424745626</v>
      </c>
      <c r="AF335" s="264"/>
      <c r="AG335" s="179">
        <f t="shared" si="163"/>
        <v>999.99995185600005</v>
      </c>
      <c r="AH335" s="268"/>
      <c r="AI335" s="179">
        <f t="shared" si="164"/>
        <v>0</v>
      </c>
      <c r="AJ335" s="268"/>
      <c r="AK335" s="179">
        <f t="shared" si="165"/>
        <v>100</v>
      </c>
      <c r="AL335" s="268"/>
      <c r="AM335" s="179">
        <f t="shared" si="166"/>
        <v>0</v>
      </c>
      <c r="AN335" s="268"/>
      <c r="AO335" s="179">
        <f t="shared" si="167"/>
        <v>0</v>
      </c>
      <c r="AP335" s="268"/>
      <c r="AQ335" s="179">
        <f t="shared" si="168"/>
        <v>0</v>
      </c>
      <c r="AR335" s="273"/>
      <c r="AS335" s="209">
        <f t="shared" si="169"/>
        <v>0</v>
      </c>
      <c r="AT335" s="273"/>
      <c r="AU335" s="226">
        <f t="shared" si="170"/>
        <v>0</v>
      </c>
      <c r="AV335" s="273"/>
      <c r="AW335" s="209">
        <f t="shared" si="171"/>
        <v>0</v>
      </c>
      <c r="AX335" s="273"/>
      <c r="AY335" s="209">
        <f t="shared" si="172"/>
        <v>0</v>
      </c>
      <c r="AZ335" s="273"/>
      <c r="BA335" s="179">
        <f t="shared" si="173"/>
        <v>0</v>
      </c>
      <c r="BB335"/>
      <c r="BC335"/>
      <c r="BD335"/>
    </row>
    <row r="336" spans="1:56" s="34" customFormat="1" hidden="1" x14ac:dyDescent="0.25">
      <c r="A336" s="87"/>
      <c r="B336" s="42"/>
      <c r="C336" s="41"/>
      <c r="D336" s="41"/>
      <c r="E336" s="40"/>
      <c r="F336" s="40"/>
      <c r="G336" s="40"/>
      <c r="H336" s="40"/>
      <c r="I336" s="160"/>
      <c r="J336" s="41"/>
      <c r="K336" s="41"/>
      <c r="L336" s="41"/>
      <c r="M336" s="41"/>
      <c r="N336" s="41"/>
      <c r="O336" s="41"/>
      <c r="P336" s="188"/>
      <c r="Q336" s="221"/>
      <c r="R336" s="253"/>
      <c r="S336" s="179">
        <f t="shared" si="156"/>
        <v>3898.2066402109976</v>
      </c>
      <c r="T336" s="259"/>
      <c r="U336" s="179">
        <f t="shared" si="157"/>
        <v>79</v>
      </c>
      <c r="V336" s="259"/>
      <c r="W336" s="179">
        <f t="shared" si="158"/>
        <v>0</v>
      </c>
      <c r="X336" s="259"/>
      <c r="Y336" s="179">
        <f t="shared" si="159"/>
        <v>1099.9999518559998</v>
      </c>
      <c r="Z336" s="259"/>
      <c r="AA336" s="179">
        <f t="shared" si="160"/>
        <v>412.42479377000001</v>
      </c>
      <c r="AB336" s="259"/>
      <c r="AC336" s="179">
        <f t="shared" si="161"/>
        <v>0</v>
      </c>
      <c r="AD336" s="189">
        <f t="shared" si="155"/>
        <v>0</v>
      </c>
      <c r="AE336" s="179">
        <f t="shared" si="162"/>
        <v>1512.424745626</v>
      </c>
      <c r="AF336" s="264"/>
      <c r="AG336" s="179">
        <f t="shared" si="163"/>
        <v>999.99995185600005</v>
      </c>
      <c r="AH336" s="268"/>
      <c r="AI336" s="179">
        <f t="shared" si="164"/>
        <v>0</v>
      </c>
      <c r="AJ336" s="268"/>
      <c r="AK336" s="179">
        <f t="shared" si="165"/>
        <v>100</v>
      </c>
      <c r="AL336" s="268"/>
      <c r="AM336" s="179">
        <f t="shared" si="166"/>
        <v>0</v>
      </c>
      <c r="AN336" s="268"/>
      <c r="AO336" s="179">
        <f t="shared" si="167"/>
        <v>0</v>
      </c>
      <c r="AP336" s="268"/>
      <c r="AQ336" s="179">
        <f t="shared" si="168"/>
        <v>0</v>
      </c>
      <c r="AR336" s="273"/>
      <c r="AS336" s="209">
        <f t="shared" si="169"/>
        <v>0</v>
      </c>
      <c r="AT336" s="273"/>
      <c r="AU336" s="226">
        <f t="shared" si="170"/>
        <v>0</v>
      </c>
      <c r="AV336" s="273"/>
      <c r="AW336" s="209">
        <f t="shared" si="171"/>
        <v>0</v>
      </c>
      <c r="AX336" s="273"/>
      <c r="AY336" s="209">
        <f t="shared" si="172"/>
        <v>0</v>
      </c>
      <c r="AZ336" s="273"/>
      <c r="BA336" s="179">
        <f t="shared" si="173"/>
        <v>0</v>
      </c>
      <c r="BB336"/>
      <c r="BC336"/>
      <c r="BD336"/>
    </row>
    <row r="337" spans="1:56" s="34" customFormat="1" hidden="1" x14ac:dyDescent="0.25">
      <c r="A337" s="87"/>
      <c r="B337" s="42"/>
      <c r="C337" s="41"/>
      <c r="D337" s="41"/>
      <c r="E337" s="40"/>
      <c r="F337" s="40"/>
      <c r="G337" s="40"/>
      <c r="H337" s="40"/>
      <c r="I337" s="160"/>
      <c r="J337" s="41"/>
      <c r="K337" s="41"/>
      <c r="L337" s="41"/>
      <c r="M337" s="41"/>
      <c r="N337" s="41"/>
      <c r="O337" s="41"/>
      <c r="P337" s="188"/>
      <c r="Q337" s="221"/>
      <c r="R337" s="253"/>
      <c r="S337" s="179">
        <f t="shared" si="156"/>
        <v>3898.2066402109976</v>
      </c>
      <c r="T337" s="259"/>
      <c r="U337" s="179">
        <f t="shared" si="157"/>
        <v>79</v>
      </c>
      <c r="V337" s="259"/>
      <c r="W337" s="179">
        <f t="shared" si="158"/>
        <v>0</v>
      </c>
      <c r="X337" s="259"/>
      <c r="Y337" s="179">
        <f t="shared" si="159"/>
        <v>1099.9999518559998</v>
      </c>
      <c r="Z337" s="259"/>
      <c r="AA337" s="179">
        <f t="shared" si="160"/>
        <v>412.42479377000001</v>
      </c>
      <c r="AB337" s="259"/>
      <c r="AC337" s="179">
        <f t="shared" si="161"/>
        <v>0</v>
      </c>
      <c r="AD337" s="189">
        <f t="shared" si="155"/>
        <v>0</v>
      </c>
      <c r="AE337" s="179">
        <f t="shared" si="162"/>
        <v>1512.424745626</v>
      </c>
      <c r="AF337" s="264"/>
      <c r="AG337" s="179">
        <f t="shared" si="163"/>
        <v>999.99995185600005</v>
      </c>
      <c r="AH337" s="268"/>
      <c r="AI337" s="179">
        <f t="shared" si="164"/>
        <v>0</v>
      </c>
      <c r="AJ337" s="268"/>
      <c r="AK337" s="179">
        <f t="shared" si="165"/>
        <v>100</v>
      </c>
      <c r="AL337" s="268"/>
      <c r="AM337" s="179">
        <f t="shared" si="166"/>
        <v>0</v>
      </c>
      <c r="AN337" s="268"/>
      <c r="AO337" s="179">
        <f t="shared" si="167"/>
        <v>0</v>
      </c>
      <c r="AP337" s="268"/>
      <c r="AQ337" s="179">
        <f t="shared" si="168"/>
        <v>0</v>
      </c>
      <c r="AR337" s="273"/>
      <c r="AS337" s="209">
        <f t="shared" si="169"/>
        <v>0</v>
      </c>
      <c r="AT337" s="273"/>
      <c r="AU337" s="226">
        <f t="shared" si="170"/>
        <v>0</v>
      </c>
      <c r="AV337" s="273"/>
      <c r="AW337" s="209">
        <f t="shared" si="171"/>
        <v>0</v>
      </c>
      <c r="AX337" s="273"/>
      <c r="AY337" s="209">
        <f t="shared" si="172"/>
        <v>0</v>
      </c>
      <c r="AZ337" s="273"/>
      <c r="BA337" s="179">
        <f t="shared" si="173"/>
        <v>0</v>
      </c>
      <c r="BB337"/>
      <c r="BC337"/>
      <c r="BD337"/>
    </row>
    <row r="338" spans="1:56" s="34" customFormat="1" hidden="1" x14ac:dyDescent="0.25">
      <c r="A338" s="87"/>
      <c r="B338" s="42"/>
      <c r="C338" s="41"/>
      <c r="D338" s="41"/>
      <c r="E338" s="40"/>
      <c r="F338" s="40"/>
      <c r="G338" s="40"/>
      <c r="H338" s="40"/>
      <c r="I338" s="160"/>
      <c r="J338" s="41"/>
      <c r="K338" s="41"/>
      <c r="L338" s="41"/>
      <c r="M338" s="41"/>
      <c r="N338" s="41"/>
      <c r="O338" s="41"/>
      <c r="P338" s="188"/>
      <c r="Q338" s="221"/>
      <c r="R338" s="253"/>
      <c r="S338" s="179">
        <f t="shared" si="156"/>
        <v>3898.2066402109976</v>
      </c>
      <c r="T338" s="259"/>
      <c r="U338" s="179">
        <f t="shared" si="157"/>
        <v>79</v>
      </c>
      <c r="V338" s="259"/>
      <c r="W338" s="179">
        <f t="shared" si="158"/>
        <v>0</v>
      </c>
      <c r="X338" s="259"/>
      <c r="Y338" s="179">
        <f t="shared" si="159"/>
        <v>1099.9999518559998</v>
      </c>
      <c r="Z338" s="259"/>
      <c r="AA338" s="179">
        <f t="shared" si="160"/>
        <v>412.42479377000001</v>
      </c>
      <c r="AB338" s="259"/>
      <c r="AC338" s="179">
        <f t="shared" si="161"/>
        <v>0</v>
      </c>
      <c r="AD338" s="189">
        <f t="shared" si="155"/>
        <v>0</v>
      </c>
      <c r="AE338" s="179">
        <f t="shared" si="162"/>
        <v>1512.424745626</v>
      </c>
      <c r="AF338" s="264"/>
      <c r="AG338" s="179">
        <f t="shared" si="163"/>
        <v>999.99995185600005</v>
      </c>
      <c r="AH338" s="268"/>
      <c r="AI338" s="179">
        <f t="shared" si="164"/>
        <v>0</v>
      </c>
      <c r="AJ338" s="268"/>
      <c r="AK338" s="179">
        <f t="shared" si="165"/>
        <v>100</v>
      </c>
      <c r="AL338" s="268"/>
      <c r="AM338" s="179">
        <f t="shared" si="166"/>
        <v>0</v>
      </c>
      <c r="AN338" s="268"/>
      <c r="AO338" s="179">
        <f t="shared" si="167"/>
        <v>0</v>
      </c>
      <c r="AP338" s="268"/>
      <c r="AQ338" s="179">
        <f t="shared" si="168"/>
        <v>0</v>
      </c>
      <c r="AR338" s="273"/>
      <c r="AS338" s="209">
        <f t="shared" si="169"/>
        <v>0</v>
      </c>
      <c r="AT338" s="273"/>
      <c r="AU338" s="226">
        <f t="shared" si="170"/>
        <v>0</v>
      </c>
      <c r="AV338" s="273"/>
      <c r="AW338" s="209">
        <f t="shared" si="171"/>
        <v>0</v>
      </c>
      <c r="AX338" s="273"/>
      <c r="AY338" s="209">
        <f t="shared" si="172"/>
        <v>0</v>
      </c>
      <c r="AZ338" s="273"/>
      <c r="BA338" s="179">
        <f t="shared" si="173"/>
        <v>0</v>
      </c>
      <c r="BB338"/>
      <c r="BC338"/>
      <c r="BD338"/>
    </row>
    <row r="339" spans="1:56" s="34" customFormat="1" hidden="1" x14ac:dyDescent="0.25">
      <c r="A339" s="87"/>
      <c r="B339" s="42"/>
      <c r="C339" s="41"/>
      <c r="D339" s="41"/>
      <c r="E339" s="40"/>
      <c r="F339" s="40"/>
      <c r="G339" s="40"/>
      <c r="H339" s="40"/>
      <c r="I339" s="160"/>
      <c r="J339" s="41"/>
      <c r="K339" s="41"/>
      <c r="L339" s="41"/>
      <c r="M339" s="41"/>
      <c r="N339" s="41"/>
      <c r="O339" s="41"/>
      <c r="P339" s="188"/>
      <c r="Q339" s="221"/>
      <c r="R339" s="253"/>
      <c r="S339" s="179">
        <f t="shared" si="156"/>
        <v>3898.2066402109976</v>
      </c>
      <c r="T339" s="259"/>
      <c r="U339" s="179">
        <f t="shared" si="157"/>
        <v>79</v>
      </c>
      <c r="V339" s="259"/>
      <c r="W339" s="179">
        <f t="shared" si="158"/>
        <v>0</v>
      </c>
      <c r="X339" s="259"/>
      <c r="Y339" s="179">
        <f t="shared" si="159"/>
        <v>1099.9999518559998</v>
      </c>
      <c r="Z339" s="259"/>
      <c r="AA339" s="179">
        <f t="shared" si="160"/>
        <v>412.42479377000001</v>
      </c>
      <c r="AB339" s="259"/>
      <c r="AC339" s="179">
        <f t="shared" si="161"/>
        <v>0</v>
      </c>
      <c r="AD339" s="189">
        <f t="shared" si="155"/>
        <v>0</v>
      </c>
      <c r="AE339" s="179">
        <f t="shared" si="162"/>
        <v>1512.424745626</v>
      </c>
      <c r="AF339" s="264"/>
      <c r="AG339" s="179">
        <f t="shared" si="163"/>
        <v>999.99995185600005</v>
      </c>
      <c r="AH339" s="268"/>
      <c r="AI339" s="179">
        <f t="shared" si="164"/>
        <v>0</v>
      </c>
      <c r="AJ339" s="268"/>
      <c r="AK339" s="179">
        <f t="shared" si="165"/>
        <v>100</v>
      </c>
      <c r="AL339" s="268"/>
      <c r="AM339" s="179">
        <f t="shared" si="166"/>
        <v>0</v>
      </c>
      <c r="AN339" s="268"/>
      <c r="AO339" s="179">
        <f t="shared" si="167"/>
        <v>0</v>
      </c>
      <c r="AP339" s="268"/>
      <c r="AQ339" s="179">
        <f t="shared" si="168"/>
        <v>0</v>
      </c>
      <c r="AR339" s="273"/>
      <c r="AS339" s="209">
        <f t="shared" si="169"/>
        <v>0</v>
      </c>
      <c r="AT339" s="273"/>
      <c r="AU339" s="226">
        <f t="shared" si="170"/>
        <v>0</v>
      </c>
      <c r="AV339" s="273"/>
      <c r="AW339" s="209">
        <f t="shared" si="171"/>
        <v>0</v>
      </c>
      <c r="AX339" s="273"/>
      <c r="AY339" s="209">
        <f t="shared" si="172"/>
        <v>0</v>
      </c>
      <c r="AZ339" s="273"/>
      <c r="BA339" s="179">
        <f t="shared" si="173"/>
        <v>0</v>
      </c>
      <c r="BB339"/>
      <c r="BC339"/>
      <c r="BD339"/>
    </row>
    <row r="340" spans="1:56" s="34" customFormat="1" hidden="1" x14ac:dyDescent="0.25">
      <c r="A340" s="87"/>
      <c r="B340" s="42"/>
      <c r="C340" s="41"/>
      <c r="D340" s="41"/>
      <c r="E340" s="40"/>
      <c r="F340" s="40"/>
      <c r="G340" s="40"/>
      <c r="H340" s="40"/>
      <c r="I340" s="160"/>
      <c r="J340" s="41"/>
      <c r="K340" s="41"/>
      <c r="L340" s="41"/>
      <c r="M340" s="41"/>
      <c r="N340" s="41"/>
      <c r="O340" s="41"/>
      <c r="P340" s="188"/>
      <c r="Q340" s="221"/>
      <c r="R340" s="253"/>
      <c r="S340" s="179">
        <f t="shared" si="156"/>
        <v>3898.2066402109976</v>
      </c>
      <c r="T340" s="259"/>
      <c r="U340" s="179">
        <f t="shared" si="157"/>
        <v>79</v>
      </c>
      <c r="V340" s="259"/>
      <c r="W340" s="179">
        <f t="shared" si="158"/>
        <v>0</v>
      </c>
      <c r="X340" s="259"/>
      <c r="Y340" s="179">
        <f t="shared" si="159"/>
        <v>1099.9999518559998</v>
      </c>
      <c r="Z340" s="259"/>
      <c r="AA340" s="179">
        <f t="shared" si="160"/>
        <v>412.42479377000001</v>
      </c>
      <c r="AB340" s="259"/>
      <c r="AC340" s="179">
        <f t="shared" si="161"/>
        <v>0</v>
      </c>
      <c r="AD340" s="189">
        <f t="shared" si="155"/>
        <v>0</v>
      </c>
      <c r="AE340" s="179">
        <f t="shared" si="162"/>
        <v>1512.424745626</v>
      </c>
      <c r="AF340" s="264"/>
      <c r="AG340" s="179">
        <f t="shared" si="163"/>
        <v>999.99995185600005</v>
      </c>
      <c r="AH340" s="268"/>
      <c r="AI340" s="179">
        <f t="shared" si="164"/>
        <v>0</v>
      </c>
      <c r="AJ340" s="268"/>
      <c r="AK340" s="179">
        <f t="shared" si="165"/>
        <v>100</v>
      </c>
      <c r="AL340" s="268"/>
      <c r="AM340" s="179">
        <f t="shared" si="166"/>
        <v>0</v>
      </c>
      <c r="AN340" s="268"/>
      <c r="AO340" s="179">
        <f t="shared" si="167"/>
        <v>0</v>
      </c>
      <c r="AP340" s="268"/>
      <c r="AQ340" s="179">
        <f t="shared" si="168"/>
        <v>0</v>
      </c>
      <c r="AR340" s="273"/>
      <c r="AS340" s="209">
        <f t="shared" si="169"/>
        <v>0</v>
      </c>
      <c r="AT340" s="273"/>
      <c r="AU340" s="226">
        <f t="shared" si="170"/>
        <v>0</v>
      </c>
      <c r="AV340" s="273"/>
      <c r="AW340" s="209">
        <f t="shared" si="171"/>
        <v>0</v>
      </c>
      <c r="AX340" s="273"/>
      <c r="AY340" s="209">
        <f t="shared" si="172"/>
        <v>0</v>
      </c>
      <c r="AZ340" s="273"/>
      <c r="BA340" s="179">
        <f t="shared" si="173"/>
        <v>0</v>
      </c>
      <c r="BB340"/>
      <c r="BC340"/>
      <c r="BD340"/>
    </row>
    <row r="341" spans="1:56" s="34" customFormat="1" hidden="1" x14ac:dyDescent="0.25">
      <c r="A341" s="87"/>
      <c r="B341" s="42"/>
      <c r="C341" s="41"/>
      <c r="D341" s="41"/>
      <c r="E341" s="40"/>
      <c r="F341" s="40"/>
      <c r="G341" s="40"/>
      <c r="H341" s="40"/>
      <c r="I341" s="160"/>
      <c r="J341" s="41"/>
      <c r="K341" s="41"/>
      <c r="L341" s="41"/>
      <c r="M341" s="41"/>
      <c r="N341" s="41"/>
      <c r="O341" s="41"/>
      <c r="P341" s="188"/>
      <c r="Q341" s="221"/>
      <c r="R341" s="253"/>
      <c r="S341" s="179">
        <f t="shared" si="156"/>
        <v>3898.2066402109976</v>
      </c>
      <c r="T341" s="259"/>
      <c r="U341" s="179">
        <f t="shared" si="157"/>
        <v>79</v>
      </c>
      <c r="V341" s="259"/>
      <c r="W341" s="179">
        <f t="shared" si="158"/>
        <v>0</v>
      </c>
      <c r="X341" s="259"/>
      <c r="Y341" s="179">
        <f t="shared" si="159"/>
        <v>1099.9999518559998</v>
      </c>
      <c r="Z341" s="259"/>
      <c r="AA341" s="179">
        <f t="shared" si="160"/>
        <v>412.42479377000001</v>
      </c>
      <c r="AB341" s="259"/>
      <c r="AC341" s="179">
        <f t="shared" si="161"/>
        <v>0</v>
      </c>
      <c r="AD341" s="189">
        <f t="shared" si="155"/>
        <v>0</v>
      </c>
      <c r="AE341" s="179">
        <f t="shared" si="162"/>
        <v>1512.424745626</v>
      </c>
      <c r="AF341" s="264"/>
      <c r="AG341" s="179">
        <f t="shared" si="163"/>
        <v>999.99995185600005</v>
      </c>
      <c r="AH341" s="268"/>
      <c r="AI341" s="179">
        <f t="shared" si="164"/>
        <v>0</v>
      </c>
      <c r="AJ341" s="268"/>
      <c r="AK341" s="179">
        <f t="shared" si="165"/>
        <v>100</v>
      </c>
      <c r="AL341" s="268"/>
      <c r="AM341" s="179">
        <f t="shared" si="166"/>
        <v>0</v>
      </c>
      <c r="AN341" s="268"/>
      <c r="AO341" s="179">
        <f t="shared" si="167"/>
        <v>0</v>
      </c>
      <c r="AP341" s="268"/>
      <c r="AQ341" s="179">
        <f t="shared" si="168"/>
        <v>0</v>
      </c>
      <c r="AR341" s="273"/>
      <c r="AS341" s="209">
        <f t="shared" si="169"/>
        <v>0</v>
      </c>
      <c r="AT341" s="273"/>
      <c r="AU341" s="226">
        <f t="shared" si="170"/>
        <v>0</v>
      </c>
      <c r="AV341" s="273"/>
      <c r="AW341" s="209">
        <f t="shared" si="171"/>
        <v>0</v>
      </c>
      <c r="AX341" s="273"/>
      <c r="AY341" s="209">
        <f t="shared" si="172"/>
        <v>0</v>
      </c>
      <c r="AZ341" s="273"/>
      <c r="BA341" s="179">
        <f t="shared" si="173"/>
        <v>0</v>
      </c>
      <c r="BB341"/>
      <c r="BC341"/>
      <c r="BD341"/>
    </row>
    <row r="342" spans="1:56" s="34" customFormat="1" hidden="1" x14ac:dyDescent="0.25">
      <c r="A342" s="87"/>
      <c r="B342" s="42"/>
      <c r="C342" s="41"/>
      <c r="D342" s="41"/>
      <c r="E342" s="40"/>
      <c r="F342" s="40"/>
      <c r="G342" s="40"/>
      <c r="H342" s="40"/>
      <c r="I342" s="160"/>
      <c r="J342" s="41"/>
      <c r="K342" s="41"/>
      <c r="L342" s="41"/>
      <c r="M342" s="41"/>
      <c r="N342" s="41"/>
      <c r="O342" s="41"/>
      <c r="P342" s="188"/>
      <c r="Q342" s="221"/>
      <c r="R342" s="253"/>
      <c r="S342" s="179">
        <f t="shared" si="156"/>
        <v>3898.2066402109976</v>
      </c>
      <c r="T342" s="259"/>
      <c r="U342" s="179">
        <f t="shared" si="157"/>
        <v>79</v>
      </c>
      <c r="V342" s="259"/>
      <c r="W342" s="179">
        <f t="shared" si="158"/>
        <v>0</v>
      </c>
      <c r="X342" s="259"/>
      <c r="Y342" s="179">
        <f t="shared" si="159"/>
        <v>1099.9999518559998</v>
      </c>
      <c r="Z342" s="259"/>
      <c r="AA342" s="179">
        <f t="shared" si="160"/>
        <v>412.42479377000001</v>
      </c>
      <c r="AB342" s="259"/>
      <c r="AC342" s="179">
        <f t="shared" si="161"/>
        <v>0</v>
      </c>
      <c r="AD342" s="189">
        <f t="shared" si="155"/>
        <v>0</v>
      </c>
      <c r="AE342" s="179">
        <f t="shared" si="162"/>
        <v>1512.424745626</v>
      </c>
      <c r="AF342" s="264"/>
      <c r="AG342" s="179">
        <f t="shared" si="163"/>
        <v>999.99995185600005</v>
      </c>
      <c r="AH342" s="268"/>
      <c r="AI342" s="179">
        <f t="shared" si="164"/>
        <v>0</v>
      </c>
      <c r="AJ342" s="268"/>
      <c r="AK342" s="179">
        <f t="shared" si="165"/>
        <v>100</v>
      </c>
      <c r="AL342" s="268"/>
      <c r="AM342" s="179">
        <f t="shared" si="166"/>
        <v>0</v>
      </c>
      <c r="AN342" s="268"/>
      <c r="AO342" s="179">
        <f t="shared" si="167"/>
        <v>0</v>
      </c>
      <c r="AP342" s="268"/>
      <c r="AQ342" s="179">
        <f t="shared" si="168"/>
        <v>0</v>
      </c>
      <c r="AR342" s="273"/>
      <c r="AS342" s="209">
        <f t="shared" si="169"/>
        <v>0</v>
      </c>
      <c r="AT342" s="273"/>
      <c r="AU342" s="226">
        <f t="shared" si="170"/>
        <v>0</v>
      </c>
      <c r="AV342" s="273"/>
      <c r="AW342" s="209">
        <f t="shared" si="171"/>
        <v>0</v>
      </c>
      <c r="AX342" s="273"/>
      <c r="AY342" s="209">
        <f t="shared" si="172"/>
        <v>0</v>
      </c>
      <c r="AZ342" s="273"/>
      <c r="BA342" s="179">
        <f t="shared" si="173"/>
        <v>0</v>
      </c>
      <c r="BB342"/>
      <c r="BC342"/>
      <c r="BD342"/>
    </row>
    <row r="343" spans="1:56" s="34" customFormat="1" hidden="1" x14ac:dyDescent="0.25">
      <c r="A343" s="87"/>
      <c r="B343" s="42"/>
      <c r="C343" s="41"/>
      <c r="D343" s="41"/>
      <c r="E343" s="40"/>
      <c r="F343" s="40"/>
      <c r="G343" s="40"/>
      <c r="H343" s="40"/>
      <c r="I343" s="160"/>
      <c r="J343" s="41"/>
      <c r="K343" s="41"/>
      <c r="L343" s="41"/>
      <c r="M343" s="41"/>
      <c r="N343" s="41"/>
      <c r="O343" s="41"/>
      <c r="P343" s="188"/>
      <c r="Q343" s="221"/>
      <c r="R343" s="253"/>
      <c r="S343" s="179">
        <f t="shared" si="156"/>
        <v>3898.2066402109976</v>
      </c>
      <c r="T343" s="259"/>
      <c r="U343" s="179">
        <f t="shared" si="157"/>
        <v>79</v>
      </c>
      <c r="V343" s="259"/>
      <c r="W343" s="179">
        <f t="shared" si="158"/>
        <v>0</v>
      </c>
      <c r="X343" s="259"/>
      <c r="Y343" s="179">
        <f t="shared" si="159"/>
        <v>1099.9999518559998</v>
      </c>
      <c r="Z343" s="259"/>
      <c r="AA343" s="179">
        <f t="shared" si="160"/>
        <v>412.42479377000001</v>
      </c>
      <c r="AB343" s="259"/>
      <c r="AC343" s="179">
        <f t="shared" si="161"/>
        <v>0</v>
      </c>
      <c r="AD343" s="189">
        <f t="shared" si="155"/>
        <v>0</v>
      </c>
      <c r="AE343" s="179">
        <f t="shared" si="162"/>
        <v>1512.424745626</v>
      </c>
      <c r="AF343" s="264"/>
      <c r="AG343" s="179">
        <f t="shared" si="163"/>
        <v>999.99995185600005</v>
      </c>
      <c r="AH343" s="268"/>
      <c r="AI343" s="179">
        <f t="shared" si="164"/>
        <v>0</v>
      </c>
      <c r="AJ343" s="268"/>
      <c r="AK343" s="179">
        <f t="shared" si="165"/>
        <v>100</v>
      </c>
      <c r="AL343" s="268"/>
      <c r="AM343" s="179">
        <f t="shared" si="166"/>
        <v>0</v>
      </c>
      <c r="AN343" s="268"/>
      <c r="AO343" s="179">
        <f t="shared" si="167"/>
        <v>0</v>
      </c>
      <c r="AP343" s="268"/>
      <c r="AQ343" s="179">
        <f t="shared" si="168"/>
        <v>0</v>
      </c>
      <c r="AR343" s="273"/>
      <c r="AS343" s="209">
        <f t="shared" si="169"/>
        <v>0</v>
      </c>
      <c r="AT343" s="273"/>
      <c r="AU343" s="226">
        <f t="shared" si="170"/>
        <v>0</v>
      </c>
      <c r="AV343" s="273"/>
      <c r="AW343" s="209">
        <f t="shared" si="171"/>
        <v>0</v>
      </c>
      <c r="AX343" s="273"/>
      <c r="AY343" s="209">
        <f t="shared" si="172"/>
        <v>0</v>
      </c>
      <c r="AZ343" s="273"/>
      <c r="BA343" s="179">
        <f t="shared" si="173"/>
        <v>0</v>
      </c>
      <c r="BB343"/>
      <c r="BC343"/>
      <c r="BD343"/>
    </row>
    <row r="344" spans="1:56" s="34" customFormat="1" hidden="1" x14ac:dyDescent="0.25">
      <c r="A344" s="87"/>
      <c r="B344" s="42"/>
      <c r="C344" s="41"/>
      <c r="D344" s="41"/>
      <c r="E344" s="40"/>
      <c r="F344" s="40"/>
      <c r="G344" s="40"/>
      <c r="H344" s="40"/>
      <c r="I344" s="160"/>
      <c r="J344" s="41"/>
      <c r="K344" s="41"/>
      <c r="L344" s="41"/>
      <c r="M344" s="41"/>
      <c r="N344" s="41"/>
      <c r="O344" s="41"/>
      <c r="P344" s="188"/>
      <c r="Q344" s="221"/>
      <c r="R344" s="253"/>
      <c r="S344" s="179">
        <f t="shared" si="156"/>
        <v>3898.2066402109976</v>
      </c>
      <c r="T344" s="259"/>
      <c r="U344" s="179">
        <f t="shared" si="157"/>
        <v>79</v>
      </c>
      <c r="V344" s="259"/>
      <c r="W344" s="179">
        <f t="shared" si="158"/>
        <v>0</v>
      </c>
      <c r="X344" s="259"/>
      <c r="Y344" s="179">
        <f t="shared" si="159"/>
        <v>1099.9999518559998</v>
      </c>
      <c r="Z344" s="259"/>
      <c r="AA344" s="179">
        <f t="shared" si="160"/>
        <v>412.42479377000001</v>
      </c>
      <c r="AB344" s="259"/>
      <c r="AC344" s="179">
        <f t="shared" si="161"/>
        <v>0</v>
      </c>
      <c r="AD344" s="189">
        <f t="shared" si="155"/>
        <v>0</v>
      </c>
      <c r="AE344" s="179">
        <f t="shared" si="162"/>
        <v>1512.424745626</v>
      </c>
      <c r="AF344" s="264"/>
      <c r="AG344" s="179">
        <f t="shared" si="163"/>
        <v>999.99995185600005</v>
      </c>
      <c r="AH344" s="268"/>
      <c r="AI344" s="179">
        <f t="shared" si="164"/>
        <v>0</v>
      </c>
      <c r="AJ344" s="268"/>
      <c r="AK344" s="179">
        <f t="shared" si="165"/>
        <v>100</v>
      </c>
      <c r="AL344" s="268"/>
      <c r="AM344" s="179">
        <f t="shared" si="166"/>
        <v>0</v>
      </c>
      <c r="AN344" s="268"/>
      <c r="AO344" s="179">
        <f t="shared" si="167"/>
        <v>0</v>
      </c>
      <c r="AP344" s="268"/>
      <c r="AQ344" s="179">
        <f t="shared" si="168"/>
        <v>0</v>
      </c>
      <c r="AR344" s="273"/>
      <c r="AS344" s="209">
        <f t="shared" si="169"/>
        <v>0</v>
      </c>
      <c r="AT344" s="273"/>
      <c r="AU344" s="226">
        <f t="shared" si="170"/>
        <v>0</v>
      </c>
      <c r="AV344" s="273"/>
      <c r="AW344" s="209">
        <f t="shared" si="171"/>
        <v>0</v>
      </c>
      <c r="AX344" s="273"/>
      <c r="AY344" s="209">
        <f t="shared" si="172"/>
        <v>0</v>
      </c>
      <c r="AZ344" s="273"/>
      <c r="BA344" s="179">
        <f t="shared" si="173"/>
        <v>0</v>
      </c>
      <c r="BB344"/>
      <c r="BC344"/>
      <c r="BD344"/>
    </row>
    <row r="345" spans="1:56" s="34" customFormat="1" hidden="1" x14ac:dyDescent="0.25">
      <c r="A345" s="87"/>
      <c r="B345" s="42"/>
      <c r="C345" s="41"/>
      <c r="D345" s="41"/>
      <c r="E345" s="40"/>
      <c r="F345" s="40"/>
      <c r="G345" s="40"/>
      <c r="H345" s="40"/>
      <c r="I345" s="160"/>
      <c r="J345" s="41"/>
      <c r="K345" s="41"/>
      <c r="L345" s="41"/>
      <c r="M345" s="41"/>
      <c r="N345" s="41"/>
      <c r="O345" s="41"/>
      <c r="P345" s="188"/>
      <c r="Q345" s="221"/>
      <c r="R345" s="253"/>
      <c r="S345" s="179">
        <f t="shared" si="156"/>
        <v>3898.2066402109976</v>
      </c>
      <c r="T345" s="259"/>
      <c r="U345" s="179">
        <f t="shared" si="157"/>
        <v>79</v>
      </c>
      <c r="V345" s="259"/>
      <c r="W345" s="179">
        <f t="shared" si="158"/>
        <v>0</v>
      </c>
      <c r="X345" s="259"/>
      <c r="Y345" s="179">
        <f t="shared" si="159"/>
        <v>1099.9999518559998</v>
      </c>
      <c r="Z345" s="259"/>
      <c r="AA345" s="179">
        <f t="shared" si="160"/>
        <v>412.42479377000001</v>
      </c>
      <c r="AB345" s="259"/>
      <c r="AC345" s="179">
        <f t="shared" si="161"/>
        <v>0</v>
      </c>
      <c r="AD345" s="189">
        <f t="shared" si="155"/>
        <v>0</v>
      </c>
      <c r="AE345" s="179">
        <f t="shared" si="162"/>
        <v>1512.424745626</v>
      </c>
      <c r="AF345" s="264"/>
      <c r="AG345" s="179">
        <f t="shared" si="163"/>
        <v>999.99995185600005</v>
      </c>
      <c r="AH345" s="268"/>
      <c r="AI345" s="179">
        <f t="shared" si="164"/>
        <v>0</v>
      </c>
      <c r="AJ345" s="268"/>
      <c r="AK345" s="179">
        <f t="shared" si="165"/>
        <v>100</v>
      </c>
      <c r="AL345" s="268"/>
      <c r="AM345" s="179">
        <f t="shared" si="166"/>
        <v>0</v>
      </c>
      <c r="AN345" s="268"/>
      <c r="AO345" s="179">
        <f t="shared" si="167"/>
        <v>0</v>
      </c>
      <c r="AP345" s="268"/>
      <c r="AQ345" s="179">
        <f t="shared" si="168"/>
        <v>0</v>
      </c>
      <c r="AR345" s="273"/>
      <c r="AS345" s="209">
        <f t="shared" si="169"/>
        <v>0</v>
      </c>
      <c r="AT345" s="273"/>
      <c r="AU345" s="226">
        <f t="shared" si="170"/>
        <v>0</v>
      </c>
      <c r="AV345" s="273"/>
      <c r="AW345" s="209">
        <f t="shared" si="171"/>
        <v>0</v>
      </c>
      <c r="AX345" s="273"/>
      <c r="AY345" s="209">
        <f t="shared" si="172"/>
        <v>0</v>
      </c>
      <c r="AZ345" s="273"/>
      <c r="BA345" s="179">
        <f t="shared" si="173"/>
        <v>0</v>
      </c>
      <c r="BB345"/>
      <c r="BC345"/>
      <c r="BD345"/>
    </row>
    <row r="346" spans="1:56" s="34" customFormat="1" hidden="1" x14ac:dyDescent="0.25">
      <c r="A346" s="87"/>
      <c r="B346" s="42"/>
      <c r="C346" s="41"/>
      <c r="D346" s="41"/>
      <c r="E346" s="40"/>
      <c r="F346" s="40"/>
      <c r="G346" s="40"/>
      <c r="H346" s="40"/>
      <c r="I346" s="160"/>
      <c r="J346" s="41"/>
      <c r="K346" s="41"/>
      <c r="L346" s="41"/>
      <c r="M346" s="41"/>
      <c r="N346" s="41"/>
      <c r="O346" s="41"/>
      <c r="P346" s="188"/>
      <c r="Q346" s="221"/>
      <c r="R346" s="253"/>
      <c r="S346" s="179">
        <f t="shared" si="156"/>
        <v>3898.2066402109976</v>
      </c>
      <c r="T346" s="259"/>
      <c r="U346" s="179">
        <f t="shared" si="157"/>
        <v>79</v>
      </c>
      <c r="V346" s="259"/>
      <c r="W346" s="179">
        <f t="shared" si="158"/>
        <v>0</v>
      </c>
      <c r="X346" s="259"/>
      <c r="Y346" s="179">
        <f t="shared" si="159"/>
        <v>1099.9999518559998</v>
      </c>
      <c r="Z346" s="259"/>
      <c r="AA346" s="179">
        <f t="shared" si="160"/>
        <v>412.42479377000001</v>
      </c>
      <c r="AB346" s="259"/>
      <c r="AC346" s="179">
        <f t="shared" si="161"/>
        <v>0</v>
      </c>
      <c r="AD346" s="189">
        <f t="shared" si="155"/>
        <v>0</v>
      </c>
      <c r="AE346" s="179">
        <f t="shared" si="162"/>
        <v>1512.424745626</v>
      </c>
      <c r="AF346" s="264"/>
      <c r="AG346" s="179">
        <f t="shared" si="163"/>
        <v>999.99995185600005</v>
      </c>
      <c r="AH346" s="268"/>
      <c r="AI346" s="179">
        <f t="shared" si="164"/>
        <v>0</v>
      </c>
      <c r="AJ346" s="268"/>
      <c r="AK346" s="179">
        <f t="shared" si="165"/>
        <v>100</v>
      </c>
      <c r="AL346" s="268"/>
      <c r="AM346" s="179">
        <f t="shared" si="166"/>
        <v>0</v>
      </c>
      <c r="AN346" s="268"/>
      <c r="AO346" s="179">
        <f t="shared" si="167"/>
        <v>0</v>
      </c>
      <c r="AP346" s="268"/>
      <c r="AQ346" s="179">
        <f t="shared" si="168"/>
        <v>0</v>
      </c>
      <c r="AR346" s="273"/>
      <c r="AS346" s="209">
        <f t="shared" si="169"/>
        <v>0</v>
      </c>
      <c r="AT346" s="273"/>
      <c r="AU346" s="226">
        <f t="shared" si="170"/>
        <v>0</v>
      </c>
      <c r="AV346" s="273"/>
      <c r="AW346" s="209">
        <f t="shared" si="171"/>
        <v>0</v>
      </c>
      <c r="AX346" s="273"/>
      <c r="AY346" s="209">
        <f t="shared" si="172"/>
        <v>0</v>
      </c>
      <c r="AZ346" s="273"/>
      <c r="BA346" s="179">
        <f t="shared" si="173"/>
        <v>0</v>
      </c>
      <c r="BB346"/>
      <c r="BC346"/>
      <c r="BD346"/>
    </row>
    <row r="347" spans="1:56" s="34" customFormat="1" hidden="1" x14ac:dyDescent="0.25">
      <c r="A347" s="87"/>
      <c r="B347" s="42"/>
      <c r="C347" s="41"/>
      <c r="D347" s="41"/>
      <c r="E347" s="40"/>
      <c r="F347" s="40"/>
      <c r="G347" s="40"/>
      <c r="H347" s="40"/>
      <c r="I347" s="160"/>
      <c r="J347" s="41"/>
      <c r="K347" s="41"/>
      <c r="L347" s="41"/>
      <c r="M347" s="41"/>
      <c r="N347" s="41"/>
      <c r="O347" s="41"/>
      <c r="P347" s="188"/>
      <c r="Q347" s="221"/>
      <c r="R347" s="253"/>
      <c r="S347" s="179">
        <f t="shared" si="156"/>
        <v>3898.2066402109976</v>
      </c>
      <c r="T347" s="259"/>
      <c r="U347" s="179">
        <f t="shared" si="157"/>
        <v>79</v>
      </c>
      <c r="V347" s="259"/>
      <c r="W347" s="179">
        <f t="shared" si="158"/>
        <v>0</v>
      </c>
      <c r="X347" s="259"/>
      <c r="Y347" s="179">
        <f t="shared" si="159"/>
        <v>1099.9999518559998</v>
      </c>
      <c r="Z347" s="259"/>
      <c r="AA347" s="179">
        <f t="shared" si="160"/>
        <v>412.42479377000001</v>
      </c>
      <c r="AB347" s="259"/>
      <c r="AC347" s="179">
        <f t="shared" si="161"/>
        <v>0</v>
      </c>
      <c r="AD347" s="189">
        <f t="shared" si="155"/>
        <v>0</v>
      </c>
      <c r="AE347" s="179">
        <f t="shared" si="162"/>
        <v>1512.424745626</v>
      </c>
      <c r="AF347" s="264"/>
      <c r="AG347" s="179">
        <f t="shared" si="163"/>
        <v>999.99995185600005</v>
      </c>
      <c r="AH347" s="268"/>
      <c r="AI347" s="179">
        <f t="shared" si="164"/>
        <v>0</v>
      </c>
      <c r="AJ347" s="268"/>
      <c r="AK347" s="179">
        <f t="shared" si="165"/>
        <v>100</v>
      </c>
      <c r="AL347" s="268"/>
      <c r="AM347" s="179">
        <f t="shared" si="166"/>
        <v>0</v>
      </c>
      <c r="AN347" s="268"/>
      <c r="AO347" s="179">
        <f t="shared" si="167"/>
        <v>0</v>
      </c>
      <c r="AP347" s="268"/>
      <c r="AQ347" s="179">
        <f t="shared" si="168"/>
        <v>0</v>
      </c>
      <c r="AR347" s="273"/>
      <c r="AS347" s="209">
        <f t="shared" si="169"/>
        <v>0</v>
      </c>
      <c r="AT347" s="273"/>
      <c r="AU347" s="226">
        <f t="shared" si="170"/>
        <v>0</v>
      </c>
      <c r="AV347" s="273"/>
      <c r="AW347" s="209">
        <f t="shared" si="171"/>
        <v>0</v>
      </c>
      <c r="AX347" s="273"/>
      <c r="AY347" s="209">
        <f t="shared" si="172"/>
        <v>0</v>
      </c>
      <c r="AZ347" s="273"/>
      <c r="BA347" s="179">
        <f t="shared" si="173"/>
        <v>0</v>
      </c>
      <c r="BB347"/>
      <c r="BC347"/>
      <c r="BD347"/>
    </row>
    <row r="348" spans="1:56" s="34" customFormat="1" hidden="1" x14ac:dyDescent="0.25">
      <c r="A348" s="87"/>
      <c r="B348" s="42"/>
      <c r="C348" s="41"/>
      <c r="D348" s="41"/>
      <c r="E348" s="40"/>
      <c r="F348" s="40"/>
      <c r="G348" s="40"/>
      <c r="H348" s="40"/>
      <c r="I348" s="160"/>
      <c r="J348" s="41"/>
      <c r="K348" s="41"/>
      <c r="L348" s="41"/>
      <c r="M348" s="41"/>
      <c r="N348" s="41"/>
      <c r="O348" s="41"/>
      <c r="P348" s="188"/>
      <c r="Q348" s="221"/>
      <c r="R348" s="253"/>
      <c r="S348" s="179">
        <f t="shared" si="156"/>
        <v>3898.2066402109976</v>
      </c>
      <c r="T348" s="259"/>
      <c r="U348" s="179">
        <f t="shared" si="157"/>
        <v>79</v>
      </c>
      <c r="V348" s="259"/>
      <c r="W348" s="179">
        <f t="shared" si="158"/>
        <v>0</v>
      </c>
      <c r="X348" s="259"/>
      <c r="Y348" s="179">
        <f t="shared" si="159"/>
        <v>1099.9999518559998</v>
      </c>
      <c r="Z348" s="259"/>
      <c r="AA348" s="179">
        <f t="shared" si="160"/>
        <v>412.42479377000001</v>
      </c>
      <c r="AB348" s="259"/>
      <c r="AC348" s="179">
        <f t="shared" si="161"/>
        <v>0</v>
      </c>
      <c r="AD348" s="189">
        <f t="shared" si="155"/>
        <v>0</v>
      </c>
      <c r="AE348" s="179">
        <f t="shared" si="162"/>
        <v>1512.424745626</v>
      </c>
      <c r="AF348" s="264"/>
      <c r="AG348" s="179">
        <f t="shared" si="163"/>
        <v>999.99995185600005</v>
      </c>
      <c r="AH348" s="268"/>
      <c r="AI348" s="179">
        <f t="shared" si="164"/>
        <v>0</v>
      </c>
      <c r="AJ348" s="268"/>
      <c r="AK348" s="179">
        <f t="shared" si="165"/>
        <v>100</v>
      </c>
      <c r="AL348" s="268"/>
      <c r="AM348" s="179">
        <f t="shared" si="166"/>
        <v>0</v>
      </c>
      <c r="AN348" s="268"/>
      <c r="AO348" s="179">
        <f t="shared" si="167"/>
        <v>0</v>
      </c>
      <c r="AP348" s="268"/>
      <c r="AQ348" s="179">
        <f t="shared" si="168"/>
        <v>0</v>
      </c>
      <c r="AR348" s="273"/>
      <c r="AS348" s="209">
        <f t="shared" si="169"/>
        <v>0</v>
      </c>
      <c r="AT348" s="273"/>
      <c r="AU348" s="226">
        <f t="shared" si="170"/>
        <v>0</v>
      </c>
      <c r="AV348" s="273"/>
      <c r="AW348" s="209">
        <f t="shared" si="171"/>
        <v>0</v>
      </c>
      <c r="AX348" s="273"/>
      <c r="AY348" s="209">
        <f t="shared" si="172"/>
        <v>0</v>
      </c>
      <c r="AZ348" s="273"/>
      <c r="BA348" s="179">
        <f t="shared" si="173"/>
        <v>0</v>
      </c>
      <c r="BB348"/>
      <c r="BC348"/>
      <c r="BD348"/>
    </row>
    <row r="349" spans="1:56" s="34" customFormat="1" hidden="1" x14ac:dyDescent="0.25">
      <c r="A349" s="87"/>
      <c r="B349" s="42"/>
      <c r="C349" s="41"/>
      <c r="D349" s="41"/>
      <c r="E349" s="40"/>
      <c r="F349" s="40"/>
      <c r="G349" s="40"/>
      <c r="H349" s="40"/>
      <c r="I349" s="160"/>
      <c r="J349" s="41"/>
      <c r="K349" s="41"/>
      <c r="L349" s="41"/>
      <c r="M349" s="41"/>
      <c r="N349" s="41"/>
      <c r="O349" s="41"/>
      <c r="P349" s="188"/>
      <c r="Q349" s="221"/>
      <c r="R349" s="253"/>
      <c r="S349" s="179">
        <f t="shared" si="156"/>
        <v>3898.2066402109976</v>
      </c>
      <c r="T349" s="259"/>
      <c r="U349" s="179">
        <f t="shared" si="157"/>
        <v>79</v>
      </c>
      <c r="V349" s="259"/>
      <c r="W349" s="179">
        <f t="shared" si="158"/>
        <v>0</v>
      </c>
      <c r="X349" s="259"/>
      <c r="Y349" s="179">
        <f t="shared" si="159"/>
        <v>1099.9999518559998</v>
      </c>
      <c r="Z349" s="259"/>
      <c r="AA349" s="179">
        <f t="shared" si="160"/>
        <v>412.42479377000001</v>
      </c>
      <c r="AB349" s="259"/>
      <c r="AC349" s="179">
        <f t="shared" si="161"/>
        <v>0</v>
      </c>
      <c r="AD349" s="189">
        <f t="shared" si="155"/>
        <v>0</v>
      </c>
      <c r="AE349" s="179">
        <f t="shared" si="162"/>
        <v>1512.424745626</v>
      </c>
      <c r="AF349" s="264"/>
      <c r="AG349" s="179">
        <f t="shared" si="163"/>
        <v>999.99995185600005</v>
      </c>
      <c r="AH349" s="268"/>
      <c r="AI349" s="179">
        <f t="shared" si="164"/>
        <v>0</v>
      </c>
      <c r="AJ349" s="268"/>
      <c r="AK349" s="179">
        <f t="shared" si="165"/>
        <v>100</v>
      </c>
      <c r="AL349" s="268"/>
      <c r="AM349" s="179">
        <f t="shared" si="166"/>
        <v>0</v>
      </c>
      <c r="AN349" s="268"/>
      <c r="AO349" s="179">
        <f t="shared" si="167"/>
        <v>0</v>
      </c>
      <c r="AP349" s="268"/>
      <c r="AQ349" s="179">
        <f t="shared" si="168"/>
        <v>0</v>
      </c>
      <c r="AR349" s="273"/>
      <c r="AS349" s="209">
        <f t="shared" si="169"/>
        <v>0</v>
      </c>
      <c r="AT349" s="273"/>
      <c r="AU349" s="226">
        <f t="shared" si="170"/>
        <v>0</v>
      </c>
      <c r="AV349" s="273"/>
      <c r="AW349" s="209">
        <f t="shared" si="171"/>
        <v>0</v>
      </c>
      <c r="AX349" s="273"/>
      <c r="AY349" s="209">
        <f t="shared" si="172"/>
        <v>0</v>
      </c>
      <c r="AZ349" s="273"/>
      <c r="BA349" s="179">
        <f t="shared" si="173"/>
        <v>0</v>
      </c>
      <c r="BB349"/>
      <c r="BC349"/>
      <c r="BD349"/>
    </row>
    <row r="350" spans="1:56" s="34" customFormat="1" hidden="1" x14ac:dyDescent="0.25">
      <c r="A350" s="87"/>
      <c r="B350" s="42"/>
      <c r="C350" s="41"/>
      <c r="D350" s="41"/>
      <c r="E350" s="40"/>
      <c r="F350" s="40"/>
      <c r="G350" s="40"/>
      <c r="H350" s="40"/>
      <c r="I350" s="160"/>
      <c r="J350" s="41"/>
      <c r="K350" s="41"/>
      <c r="L350" s="41"/>
      <c r="M350" s="41"/>
      <c r="N350" s="41"/>
      <c r="O350" s="41"/>
      <c r="P350" s="188"/>
      <c r="Q350" s="221"/>
      <c r="R350" s="253"/>
      <c r="S350" s="179">
        <f t="shared" si="156"/>
        <v>3898.2066402109976</v>
      </c>
      <c r="T350" s="259"/>
      <c r="U350" s="179">
        <f t="shared" si="157"/>
        <v>79</v>
      </c>
      <c r="V350" s="259"/>
      <c r="W350" s="179">
        <f t="shared" si="158"/>
        <v>0</v>
      </c>
      <c r="X350" s="259"/>
      <c r="Y350" s="179">
        <f t="shared" si="159"/>
        <v>1099.9999518559998</v>
      </c>
      <c r="Z350" s="259"/>
      <c r="AA350" s="179">
        <f t="shared" si="160"/>
        <v>412.42479377000001</v>
      </c>
      <c r="AB350" s="259"/>
      <c r="AC350" s="179">
        <f t="shared" si="161"/>
        <v>0</v>
      </c>
      <c r="AD350" s="189">
        <f t="shared" si="155"/>
        <v>0</v>
      </c>
      <c r="AE350" s="179">
        <f t="shared" si="162"/>
        <v>1512.424745626</v>
      </c>
      <c r="AF350" s="264"/>
      <c r="AG350" s="179">
        <f t="shared" si="163"/>
        <v>999.99995185600005</v>
      </c>
      <c r="AH350" s="268"/>
      <c r="AI350" s="179">
        <f t="shared" si="164"/>
        <v>0</v>
      </c>
      <c r="AJ350" s="268"/>
      <c r="AK350" s="179">
        <f t="shared" si="165"/>
        <v>100</v>
      </c>
      <c r="AL350" s="268"/>
      <c r="AM350" s="179">
        <f t="shared" si="166"/>
        <v>0</v>
      </c>
      <c r="AN350" s="268"/>
      <c r="AO350" s="179">
        <f t="shared" si="167"/>
        <v>0</v>
      </c>
      <c r="AP350" s="268"/>
      <c r="AQ350" s="179">
        <f t="shared" si="168"/>
        <v>0</v>
      </c>
      <c r="AR350" s="273"/>
      <c r="AS350" s="209">
        <f t="shared" si="169"/>
        <v>0</v>
      </c>
      <c r="AT350" s="273"/>
      <c r="AU350" s="226">
        <f t="shared" si="170"/>
        <v>0</v>
      </c>
      <c r="AV350" s="273"/>
      <c r="AW350" s="209">
        <f t="shared" si="171"/>
        <v>0</v>
      </c>
      <c r="AX350" s="273"/>
      <c r="AY350" s="209">
        <f t="shared" si="172"/>
        <v>0</v>
      </c>
      <c r="AZ350" s="273"/>
      <c r="BA350" s="179">
        <f t="shared" si="173"/>
        <v>0</v>
      </c>
      <c r="BB350"/>
      <c r="BC350"/>
      <c r="BD350"/>
    </row>
    <row r="351" spans="1:56" s="34" customFormat="1" hidden="1" x14ac:dyDescent="0.25">
      <c r="A351" s="87"/>
      <c r="B351" s="42"/>
      <c r="C351" s="41"/>
      <c r="D351" s="41"/>
      <c r="E351" s="40"/>
      <c r="F351" s="40"/>
      <c r="G351" s="40"/>
      <c r="H351" s="40"/>
      <c r="I351" s="160"/>
      <c r="J351" s="41"/>
      <c r="K351" s="41"/>
      <c r="L351" s="41"/>
      <c r="M351" s="41"/>
      <c r="N351" s="41"/>
      <c r="O351" s="41"/>
      <c r="P351" s="188"/>
      <c r="Q351" s="221"/>
      <c r="R351" s="253"/>
      <c r="S351" s="179">
        <f t="shared" si="156"/>
        <v>3898.2066402109976</v>
      </c>
      <c r="T351" s="259"/>
      <c r="U351" s="179">
        <f t="shared" si="157"/>
        <v>79</v>
      </c>
      <c r="V351" s="259"/>
      <c r="W351" s="179">
        <f t="shared" si="158"/>
        <v>0</v>
      </c>
      <c r="X351" s="259"/>
      <c r="Y351" s="179">
        <f t="shared" si="159"/>
        <v>1099.9999518559998</v>
      </c>
      <c r="Z351" s="259"/>
      <c r="AA351" s="179">
        <f t="shared" si="160"/>
        <v>412.42479377000001</v>
      </c>
      <c r="AB351" s="259"/>
      <c r="AC351" s="179">
        <f t="shared" si="161"/>
        <v>0</v>
      </c>
      <c r="AD351" s="189">
        <f t="shared" si="155"/>
        <v>0</v>
      </c>
      <c r="AE351" s="179">
        <f t="shared" si="162"/>
        <v>1512.424745626</v>
      </c>
      <c r="AF351" s="264"/>
      <c r="AG351" s="179">
        <f t="shared" si="163"/>
        <v>999.99995185600005</v>
      </c>
      <c r="AH351" s="268"/>
      <c r="AI351" s="179">
        <f t="shared" si="164"/>
        <v>0</v>
      </c>
      <c r="AJ351" s="268"/>
      <c r="AK351" s="179">
        <f t="shared" si="165"/>
        <v>100</v>
      </c>
      <c r="AL351" s="268"/>
      <c r="AM351" s="179">
        <f t="shared" si="166"/>
        <v>0</v>
      </c>
      <c r="AN351" s="268"/>
      <c r="AO351" s="179">
        <f t="shared" si="167"/>
        <v>0</v>
      </c>
      <c r="AP351" s="268"/>
      <c r="AQ351" s="179">
        <f t="shared" si="168"/>
        <v>0</v>
      </c>
      <c r="AR351" s="273"/>
      <c r="AS351" s="209">
        <f t="shared" si="169"/>
        <v>0</v>
      </c>
      <c r="AT351" s="273"/>
      <c r="AU351" s="226">
        <f t="shared" si="170"/>
        <v>0</v>
      </c>
      <c r="AV351" s="273"/>
      <c r="AW351" s="209">
        <f t="shared" si="171"/>
        <v>0</v>
      </c>
      <c r="AX351" s="273"/>
      <c r="AY351" s="209">
        <f t="shared" si="172"/>
        <v>0</v>
      </c>
      <c r="AZ351" s="273"/>
      <c r="BA351" s="179">
        <f t="shared" si="173"/>
        <v>0</v>
      </c>
      <c r="BB351"/>
      <c r="BC351"/>
      <c r="BD351"/>
    </row>
    <row r="352" spans="1:56" s="34" customFormat="1" hidden="1" x14ac:dyDescent="0.25">
      <c r="A352" s="87"/>
      <c r="B352" s="42"/>
      <c r="C352" s="41"/>
      <c r="D352" s="41"/>
      <c r="E352" s="40"/>
      <c r="F352" s="40"/>
      <c r="G352" s="40"/>
      <c r="H352" s="40"/>
      <c r="I352" s="160"/>
      <c r="J352" s="41"/>
      <c r="K352" s="41"/>
      <c r="L352" s="41"/>
      <c r="M352" s="41"/>
      <c r="N352" s="41"/>
      <c r="O352" s="41"/>
      <c r="P352" s="188"/>
      <c r="Q352" s="221"/>
      <c r="R352" s="253"/>
      <c r="S352" s="179">
        <f t="shared" si="156"/>
        <v>3898.2066402109976</v>
      </c>
      <c r="T352" s="259"/>
      <c r="U352" s="179">
        <f t="shared" si="157"/>
        <v>79</v>
      </c>
      <c r="V352" s="259"/>
      <c r="W352" s="179">
        <f t="shared" si="158"/>
        <v>0</v>
      </c>
      <c r="X352" s="259"/>
      <c r="Y352" s="179">
        <f t="shared" si="159"/>
        <v>1099.9999518559998</v>
      </c>
      <c r="Z352" s="259"/>
      <c r="AA352" s="179">
        <f t="shared" si="160"/>
        <v>412.42479377000001</v>
      </c>
      <c r="AB352" s="259"/>
      <c r="AC352" s="179">
        <f t="shared" si="161"/>
        <v>0</v>
      </c>
      <c r="AD352" s="189">
        <f t="shared" si="155"/>
        <v>0</v>
      </c>
      <c r="AE352" s="179">
        <f t="shared" si="162"/>
        <v>1512.424745626</v>
      </c>
      <c r="AF352" s="264"/>
      <c r="AG352" s="179">
        <f t="shared" si="163"/>
        <v>999.99995185600005</v>
      </c>
      <c r="AH352" s="268"/>
      <c r="AI352" s="179">
        <f t="shared" si="164"/>
        <v>0</v>
      </c>
      <c r="AJ352" s="268"/>
      <c r="AK352" s="179">
        <f t="shared" si="165"/>
        <v>100</v>
      </c>
      <c r="AL352" s="268"/>
      <c r="AM352" s="179">
        <f t="shared" si="166"/>
        <v>0</v>
      </c>
      <c r="AN352" s="268"/>
      <c r="AO352" s="179">
        <f t="shared" si="167"/>
        <v>0</v>
      </c>
      <c r="AP352" s="268"/>
      <c r="AQ352" s="179">
        <f t="shared" si="168"/>
        <v>0</v>
      </c>
      <c r="AR352" s="273"/>
      <c r="AS352" s="209">
        <f t="shared" si="169"/>
        <v>0</v>
      </c>
      <c r="AT352" s="273"/>
      <c r="AU352" s="226">
        <f t="shared" si="170"/>
        <v>0</v>
      </c>
      <c r="AV352" s="273"/>
      <c r="AW352" s="209">
        <f t="shared" si="171"/>
        <v>0</v>
      </c>
      <c r="AX352" s="273"/>
      <c r="AY352" s="209">
        <f t="shared" si="172"/>
        <v>0</v>
      </c>
      <c r="AZ352" s="273"/>
      <c r="BA352" s="179">
        <f t="shared" si="173"/>
        <v>0</v>
      </c>
      <c r="BB352"/>
      <c r="BC352"/>
      <c r="BD352"/>
    </row>
    <row r="353" spans="1:56" s="34" customFormat="1" hidden="1" x14ac:dyDescent="0.25">
      <c r="A353" s="87"/>
      <c r="B353" s="42"/>
      <c r="C353" s="41"/>
      <c r="D353" s="41"/>
      <c r="E353" s="40"/>
      <c r="F353" s="40"/>
      <c r="G353" s="40"/>
      <c r="H353" s="40"/>
      <c r="I353" s="160"/>
      <c r="J353" s="41"/>
      <c r="K353" s="41"/>
      <c r="L353" s="41"/>
      <c r="M353" s="41"/>
      <c r="N353" s="41"/>
      <c r="O353" s="41"/>
      <c r="P353" s="188"/>
      <c r="Q353" s="221"/>
      <c r="R353" s="253"/>
      <c r="S353" s="179">
        <f t="shared" si="156"/>
        <v>3898.2066402109976</v>
      </c>
      <c r="T353" s="259"/>
      <c r="U353" s="179">
        <f t="shared" si="157"/>
        <v>79</v>
      </c>
      <c r="V353" s="259"/>
      <c r="W353" s="179">
        <f t="shared" si="158"/>
        <v>0</v>
      </c>
      <c r="X353" s="259"/>
      <c r="Y353" s="179">
        <f t="shared" si="159"/>
        <v>1099.9999518559998</v>
      </c>
      <c r="Z353" s="259"/>
      <c r="AA353" s="179">
        <f t="shared" si="160"/>
        <v>412.42479377000001</v>
      </c>
      <c r="AB353" s="259"/>
      <c r="AC353" s="179">
        <f t="shared" si="161"/>
        <v>0</v>
      </c>
      <c r="AD353" s="189">
        <f t="shared" si="155"/>
        <v>0</v>
      </c>
      <c r="AE353" s="179">
        <f t="shared" si="162"/>
        <v>1512.424745626</v>
      </c>
      <c r="AF353" s="264"/>
      <c r="AG353" s="179">
        <f t="shared" si="163"/>
        <v>999.99995185600005</v>
      </c>
      <c r="AH353" s="268"/>
      <c r="AI353" s="179">
        <f t="shared" si="164"/>
        <v>0</v>
      </c>
      <c r="AJ353" s="268"/>
      <c r="AK353" s="179">
        <f t="shared" si="165"/>
        <v>100</v>
      </c>
      <c r="AL353" s="268"/>
      <c r="AM353" s="179">
        <f t="shared" si="166"/>
        <v>0</v>
      </c>
      <c r="AN353" s="268"/>
      <c r="AO353" s="179">
        <f t="shared" si="167"/>
        <v>0</v>
      </c>
      <c r="AP353" s="268"/>
      <c r="AQ353" s="179">
        <f t="shared" si="168"/>
        <v>0</v>
      </c>
      <c r="AR353" s="273"/>
      <c r="AS353" s="209">
        <f t="shared" si="169"/>
        <v>0</v>
      </c>
      <c r="AT353" s="273"/>
      <c r="AU353" s="226">
        <f t="shared" si="170"/>
        <v>0</v>
      </c>
      <c r="AV353" s="273"/>
      <c r="AW353" s="209">
        <f t="shared" si="171"/>
        <v>0</v>
      </c>
      <c r="AX353" s="273"/>
      <c r="AY353" s="209">
        <f t="shared" si="172"/>
        <v>0</v>
      </c>
      <c r="AZ353" s="273"/>
      <c r="BA353" s="179">
        <f t="shared" si="173"/>
        <v>0</v>
      </c>
      <c r="BB353"/>
      <c r="BC353"/>
      <c r="BD353"/>
    </row>
    <row r="354" spans="1:56" s="34" customFormat="1" hidden="1" x14ac:dyDescent="0.25">
      <c r="A354" s="87"/>
      <c r="B354" s="42"/>
      <c r="C354" s="41"/>
      <c r="D354" s="41"/>
      <c r="E354" s="40"/>
      <c r="F354" s="40"/>
      <c r="G354" s="40"/>
      <c r="H354" s="40"/>
      <c r="I354" s="160"/>
      <c r="J354" s="41"/>
      <c r="K354" s="41"/>
      <c r="L354" s="41"/>
      <c r="M354" s="41"/>
      <c r="N354" s="41"/>
      <c r="O354" s="41"/>
      <c r="P354" s="188"/>
      <c r="Q354" s="221"/>
      <c r="R354" s="253"/>
      <c r="S354" s="179">
        <f t="shared" si="156"/>
        <v>3898.2066402109976</v>
      </c>
      <c r="T354" s="259"/>
      <c r="U354" s="179">
        <f t="shared" si="157"/>
        <v>79</v>
      </c>
      <c r="V354" s="259"/>
      <c r="W354" s="179">
        <f t="shared" si="158"/>
        <v>0</v>
      </c>
      <c r="X354" s="259"/>
      <c r="Y354" s="179">
        <f t="shared" si="159"/>
        <v>1099.9999518559998</v>
      </c>
      <c r="Z354" s="259"/>
      <c r="AA354" s="179">
        <f t="shared" si="160"/>
        <v>412.42479377000001</v>
      </c>
      <c r="AB354" s="259"/>
      <c r="AC354" s="179">
        <f t="shared" si="161"/>
        <v>0</v>
      </c>
      <c r="AD354" s="189">
        <f t="shared" si="155"/>
        <v>0</v>
      </c>
      <c r="AE354" s="179">
        <f t="shared" si="162"/>
        <v>1512.424745626</v>
      </c>
      <c r="AF354" s="264"/>
      <c r="AG354" s="179">
        <f t="shared" si="163"/>
        <v>999.99995185600005</v>
      </c>
      <c r="AH354" s="268"/>
      <c r="AI354" s="179">
        <f t="shared" si="164"/>
        <v>0</v>
      </c>
      <c r="AJ354" s="268"/>
      <c r="AK354" s="179">
        <f t="shared" si="165"/>
        <v>100</v>
      </c>
      <c r="AL354" s="268"/>
      <c r="AM354" s="179">
        <f t="shared" si="166"/>
        <v>0</v>
      </c>
      <c r="AN354" s="268"/>
      <c r="AO354" s="179">
        <f t="shared" si="167"/>
        <v>0</v>
      </c>
      <c r="AP354" s="268"/>
      <c r="AQ354" s="179">
        <f t="shared" si="168"/>
        <v>0</v>
      </c>
      <c r="AR354" s="273"/>
      <c r="AS354" s="209">
        <f t="shared" si="169"/>
        <v>0</v>
      </c>
      <c r="AT354" s="273"/>
      <c r="AU354" s="226">
        <f t="shared" si="170"/>
        <v>0</v>
      </c>
      <c r="AV354" s="273"/>
      <c r="AW354" s="209">
        <f t="shared" si="171"/>
        <v>0</v>
      </c>
      <c r="AX354" s="273"/>
      <c r="AY354" s="209">
        <f t="shared" si="172"/>
        <v>0</v>
      </c>
      <c r="AZ354" s="273"/>
      <c r="BA354" s="179">
        <f t="shared" si="173"/>
        <v>0</v>
      </c>
      <c r="BB354"/>
      <c r="BC354"/>
      <c r="BD354"/>
    </row>
    <row r="355" spans="1:56" s="34" customFormat="1" hidden="1" x14ac:dyDescent="0.25">
      <c r="A355" s="87"/>
      <c r="B355" s="42"/>
      <c r="C355" s="41"/>
      <c r="D355" s="41"/>
      <c r="E355" s="40"/>
      <c r="F355" s="40"/>
      <c r="G355" s="40"/>
      <c r="H355" s="40"/>
      <c r="I355" s="160"/>
      <c r="J355" s="41"/>
      <c r="K355" s="41"/>
      <c r="L355" s="41"/>
      <c r="M355" s="41"/>
      <c r="N355" s="41"/>
      <c r="O355" s="41"/>
      <c r="P355" s="188"/>
      <c r="Q355" s="221"/>
      <c r="R355" s="253"/>
      <c r="S355" s="179">
        <f t="shared" si="156"/>
        <v>3898.2066402109976</v>
      </c>
      <c r="T355" s="259"/>
      <c r="U355" s="179">
        <f t="shared" si="157"/>
        <v>79</v>
      </c>
      <c r="V355" s="259"/>
      <c r="W355" s="179">
        <f t="shared" si="158"/>
        <v>0</v>
      </c>
      <c r="X355" s="259"/>
      <c r="Y355" s="179">
        <f t="shared" si="159"/>
        <v>1099.9999518559998</v>
      </c>
      <c r="Z355" s="259"/>
      <c r="AA355" s="179">
        <f t="shared" si="160"/>
        <v>412.42479377000001</v>
      </c>
      <c r="AB355" s="259"/>
      <c r="AC355" s="179">
        <f t="shared" si="161"/>
        <v>0</v>
      </c>
      <c r="AD355" s="189">
        <f t="shared" si="155"/>
        <v>0</v>
      </c>
      <c r="AE355" s="179">
        <f t="shared" si="162"/>
        <v>1512.424745626</v>
      </c>
      <c r="AF355" s="264"/>
      <c r="AG355" s="179">
        <f t="shared" si="163"/>
        <v>999.99995185600005</v>
      </c>
      <c r="AH355" s="268"/>
      <c r="AI355" s="179">
        <f t="shared" si="164"/>
        <v>0</v>
      </c>
      <c r="AJ355" s="268"/>
      <c r="AK355" s="179">
        <f t="shared" si="165"/>
        <v>100</v>
      </c>
      <c r="AL355" s="268"/>
      <c r="AM355" s="179">
        <f t="shared" si="166"/>
        <v>0</v>
      </c>
      <c r="AN355" s="268"/>
      <c r="AO355" s="179">
        <f t="shared" si="167"/>
        <v>0</v>
      </c>
      <c r="AP355" s="268"/>
      <c r="AQ355" s="179">
        <f t="shared" si="168"/>
        <v>0</v>
      </c>
      <c r="AR355" s="273"/>
      <c r="AS355" s="209">
        <f t="shared" si="169"/>
        <v>0</v>
      </c>
      <c r="AT355" s="273"/>
      <c r="AU355" s="226">
        <f t="shared" si="170"/>
        <v>0</v>
      </c>
      <c r="AV355" s="273"/>
      <c r="AW355" s="209">
        <f t="shared" si="171"/>
        <v>0</v>
      </c>
      <c r="AX355" s="273"/>
      <c r="AY355" s="209">
        <f t="shared" si="172"/>
        <v>0</v>
      </c>
      <c r="AZ355" s="273"/>
      <c r="BA355" s="179">
        <f t="shared" si="173"/>
        <v>0</v>
      </c>
      <c r="BB355"/>
      <c r="BC355"/>
      <c r="BD355"/>
    </row>
    <row r="356" spans="1:56" s="34" customFormat="1" hidden="1" x14ac:dyDescent="0.25">
      <c r="A356" s="87"/>
      <c r="B356" s="42"/>
      <c r="C356" s="41"/>
      <c r="D356" s="41"/>
      <c r="E356" s="40"/>
      <c r="F356" s="40"/>
      <c r="G356" s="40"/>
      <c r="H356" s="40"/>
      <c r="I356" s="160"/>
      <c r="J356" s="41"/>
      <c r="K356" s="41"/>
      <c r="L356" s="41"/>
      <c r="M356" s="41"/>
      <c r="N356" s="41"/>
      <c r="O356" s="41"/>
      <c r="P356" s="188"/>
      <c r="Q356" s="221"/>
      <c r="R356" s="253"/>
      <c r="S356" s="179">
        <f t="shared" si="156"/>
        <v>3898.2066402109976</v>
      </c>
      <c r="T356" s="259"/>
      <c r="U356" s="179">
        <f t="shared" si="157"/>
        <v>79</v>
      </c>
      <c r="V356" s="259"/>
      <c r="W356" s="179">
        <f t="shared" si="158"/>
        <v>0</v>
      </c>
      <c r="X356" s="259"/>
      <c r="Y356" s="179">
        <f t="shared" si="159"/>
        <v>1099.9999518559998</v>
      </c>
      <c r="Z356" s="259"/>
      <c r="AA356" s="179">
        <f t="shared" si="160"/>
        <v>412.42479377000001</v>
      </c>
      <c r="AB356" s="259"/>
      <c r="AC356" s="179">
        <f t="shared" si="161"/>
        <v>0</v>
      </c>
      <c r="AD356" s="189">
        <f t="shared" si="155"/>
        <v>0</v>
      </c>
      <c r="AE356" s="179">
        <f t="shared" si="162"/>
        <v>1512.424745626</v>
      </c>
      <c r="AF356" s="264"/>
      <c r="AG356" s="179">
        <f t="shared" si="163"/>
        <v>999.99995185600005</v>
      </c>
      <c r="AH356" s="268"/>
      <c r="AI356" s="179">
        <f t="shared" si="164"/>
        <v>0</v>
      </c>
      <c r="AJ356" s="268"/>
      <c r="AK356" s="179">
        <f t="shared" si="165"/>
        <v>100</v>
      </c>
      <c r="AL356" s="268"/>
      <c r="AM356" s="179">
        <f t="shared" si="166"/>
        <v>0</v>
      </c>
      <c r="AN356" s="268"/>
      <c r="AO356" s="179">
        <f t="shared" si="167"/>
        <v>0</v>
      </c>
      <c r="AP356" s="268"/>
      <c r="AQ356" s="179">
        <f t="shared" si="168"/>
        <v>0</v>
      </c>
      <c r="AR356" s="273"/>
      <c r="AS356" s="209">
        <f t="shared" si="169"/>
        <v>0</v>
      </c>
      <c r="AT356" s="273"/>
      <c r="AU356" s="226">
        <f t="shared" si="170"/>
        <v>0</v>
      </c>
      <c r="AV356" s="273"/>
      <c r="AW356" s="209">
        <f t="shared" si="171"/>
        <v>0</v>
      </c>
      <c r="AX356" s="273"/>
      <c r="AY356" s="209">
        <f t="shared" si="172"/>
        <v>0</v>
      </c>
      <c r="AZ356" s="273"/>
      <c r="BA356" s="179">
        <f t="shared" si="173"/>
        <v>0</v>
      </c>
      <c r="BB356"/>
      <c r="BC356"/>
      <c r="BD356"/>
    </row>
    <row r="357" spans="1:56" s="34" customFormat="1" hidden="1" x14ac:dyDescent="0.25">
      <c r="A357" s="87"/>
      <c r="B357" s="42"/>
      <c r="C357" s="41"/>
      <c r="D357" s="41"/>
      <c r="E357" s="40"/>
      <c r="F357" s="40"/>
      <c r="G357" s="40"/>
      <c r="H357" s="40"/>
      <c r="I357" s="160"/>
      <c r="J357" s="41"/>
      <c r="K357" s="41"/>
      <c r="L357" s="41"/>
      <c r="M357" s="41"/>
      <c r="N357" s="41"/>
      <c r="O357" s="41"/>
      <c r="P357" s="188"/>
      <c r="Q357" s="221"/>
      <c r="R357" s="253"/>
      <c r="S357" s="179">
        <f t="shared" si="156"/>
        <v>3898.2066402109976</v>
      </c>
      <c r="T357" s="259"/>
      <c r="U357" s="179">
        <f t="shared" si="157"/>
        <v>79</v>
      </c>
      <c r="V357" s="259"/>
      <c r="W357" s="179">
        <f t="shared" si="158"/>
        <v>0</v>
      </c>
      <c r="X357" s="259"/>
      <c r="Y357" s="179">
        <f t="shared" si="159"/>
        <v>1099.9999518559998</v>
      </c>
      <c r="Z357" s="259"/>
      <c r="AA357" s="179">
        <f t="shared" si="160"/>
        <v>412.42479377000001</v>
      </c>
      <c r="AB357" s="259"/>
      <c r="AC357" s="179">
        <f t="shared" si="161"/>
        <v>0</v>
      </c>
      <c r="AD357" s="189">
        <f t="shared" si="155"/>
        <v>0</v>
      </c>
      <c r="AE357" s="179">
        <f t="shared" si="162"/>
        <v>1512.424745626</v>
      </c>
      <c r="AF357" s="264"/>
      <c r="AG357" s="179">
        <f t="shared" si="163"/>
        <v>999.99995185600005</v>
      </c>
      <c r="AH357" s="268"/>
      <c r="AI357" s="179">
        <f t="shared" si="164"/>
        <v>0</v>
      </c>
      <c r="AJ357" s="268"/>
      <c r="AK357" s="179">
        <f t="shared" si="165"/>
        <v>100</v>
      </c>
      <c r="AL357" s="268"/>
      <c r="AM357" s="179">
        <f t="shared" si="166"/>
        <v>0</v>
      </c>
      <c r="AN357" s="268"/>
      <c r="AO357" s="179">
        <f t="shared" si="167"/>
        <v>0</v>
      </c>
      <c r="AP357" s="268"/>
      <c r="AQ357" s="179">
        <f t="shared" si="168"/>
        <v>0</v>
      </c>
      <c r="AR357" s="273"/>
      <c r="AS357" s="209">
        <f t="shared" si="169"/>
        <v>0</v>
      </c>
      <c r="AT357" s="273"/>
      <c r="AU357" s="226">
        <f t="shared" si="170"/>
        <v>0</v>
      </c>
      <c r="AV357" s="273"/>
      <c r="AW357" s="209">
        <f t="shared" si="171"/>
        <v>0</v>
      </c>
      <c r="AX357" s="273"/>
      <c r="AY357" s="209">
        <f t="shared" si="172"/>
        <v>0</v>
      </c>
      <c r="AZ357" s="273"/>
      <c r="BA357" s="179">
        <f t="shared" si="173"/>
        <v>0</v>
      </c>
      <c r="BB357"/>
      <c r="BC357"/>
      <c r="BD357"/>
    </row>
    <row r="358" spans="1:56" s="34" customFormat="1" hidden="1" x14ac:dyDescent="0.25">
      <c r="A358" s="87"/>
      <c r="B358" s="42"/>
      <c r="C358" s="41"/>
      <c r="D358" s="41"/>
      <c r="E358" s="40"/>
      <c r="F358" s="40"/>
      <c r="G358" s="40"/>
      <c r="H358" s="40"/>
      <c r="I358" s="160"/>
      <c r="J358" s="41"/>
      <c r="K358" s="41"/>
      <c r="L358" s="41"/>
      <c r="M358" s="41"/>
      <c r="N358" s="41"/>
      <c r="O358" s="41"/>
      <c r="P358" s="188"/>
      <c r="Q358" s="221"/>
      <c r="R358" s="253"/>
      <c r="S358" s="179">
        <f t="shared" si="156"/>
        <v>3898.2066402109976</v>
      </c>
      <c r="T358" s="259"/>
      <c r="U358" s="179">
        <f t="shared" si="157"/>
        <v>79</v>
      </c>
      <c r="V358" s="259"/>
      <c r="W358" s="179">
        <f t="shared" si="158"/>
        <v>0</v>
      </c>
      <c r="X358" s="259"/>
      <c r="Y358" s="179">
        <f t="shared" si="159"/>
        <v>1099.9999518559998</v>
      </c>
      <c r="Z358" s="259"/>
      <c r="AA358" s="179">
        <f t="shared" si="160"/>
        <v>412.42479377000001</v>
      </c>
      <c r="AB358" s="259"/>
      <c r="AC358" s="179">
        <f t="shared" si="161"/>
        <v>0</v>
      </c>
      <c r="AD358" s="189">
        <f t="shared" si="155"/>
        <v>0</v>
      </c>
      <c r="AE358" s="179">
        <f t="shared" si="162"/>
        <v>1512.424745626</v>
      </c>
      <c r="AF358" s="264"/>
      <c r="AG358" s="179">
        <f t="shared" si="163"/>
        <v>999.99995185600005</v>
      </c>
      <c r="AH358" s="268"/>
      <c r="AI358" s="179">
        <f t="shared" si="164"/>
        <v>0</v>
      </c>
      <c r="AJ358" s="268"/>
      <c r="AK358" s="179">
        <f t="shared" si="165"/>
        <v>100</v>
      </c>
      <c r="AL358" s="268"/>
      <c r="AM358" s="179">
        <f t="shared" si="166"/>
        <v>0</v>
      </c>
      <c r="AN358" s="268"/>
      <c r="AO358" s="179">
        <f t="shared" si="167"/>
        <v>0</v>
      </c>
      <c r="AP358" s="268"/>
      <c r="AQ358" s="179">
        <f t="shared" si="168"/>
        <v>0</v>
      </c>
      <c r="AR358" s="273"/>
      <c r="AS358" s="209">
        <f t="shared" si="169"/>
        <v>0</v>
      </c>
      <c r="AT358" s="273"/>
      <c r="AU358" s="226">
        <f t="shared" si="170"/>
        <v>0</v>
      </c>
      <c r="AV358" s="273"/>
      <c r="AW358" s="209">
        <f t="shared" si="171"/>
        <v>0</v>
      </c>
      <c r="AX358" s="273"/>
      <c r="AY358" s="209">
        <f t="shared" si="172"/>
        <v>0</v>
      </c>
      <c r="AZ358" s="273"/>
      <c r="BA358" s="179">
        <f t="shared" si="173"/>
        <v>0</v>
      </c>
      <c r="BB358"/>
      <c r="BC358"/>
      <c r="BD358"/>
    </row>
    <row r="359" spans="1:56" s="34" customFormat="1" hidden="1" x14ac:dyDescent="0.25">
      <c r="A359" s="87"/>
      <c r="B359" s="42"/>
      <c r="C359" s="41"/>
      <c r="D359" s="41"/>
      <c r="E359" s="40"/>
      <c r="F359" s="40"/>
      <c r="G359" s="40"/>
      <c r="H359" s="40"/>
      <c r="I359" s="160"/>
      <c r="J359" s="41"/>
      <c r="K359" s="41"/>
      <c r="L359" s="41"/>
      <c r="M359" s="41"/>
      <c r="N359" s="41"/>
      <c r="O359" s="41"/>
      <c r="P359" s="188"/>
      <c r="Q359" s="221"/>
      <c r="R359" s="253"/>
      <c r="S359" s="179">
        <f t="shared" si="156"/>
        <v>3898.2066402109976</v>
      </c>
      <c r="T359" s="259"/>
      <c r="U359" s="179">
        <f t="shared" si="157"/>
        <v>79</v>
      </c>
      <c r="V359" s="259"/>
      <c r="W359" s="179">
        <f t="shared" si="158"/>
        <v>0</v>
      </c>
      <c r="X359" s="259"/>
      <c r="Y359" s="179">
        <f t="shared" si="159"/>
        <v>1099.9999518559998</v>
      </c>
      <c r="Z359" s="259"/>
      <c r="AA359" s="179">
        <f t="shared" si="160"/>
        <v>412.42479377000001</v>
      </c>
      <c r="AB359" s="259"/>
      <c r="AC359" s="179">
        <f t="shared" si="161"/>
        <v>0</v>
      </c>
      <c r="AD359" s="189">
        <f t="shared" si="155"/>
        <v>0</v>
      </c>
      <c r="AE359" s="179">
        <f t="shared" si="162"/>
        <v>1512.424745626</v>
      </c>
      <c r="AF359" s="264"/>
      <c r="AG359" s="179">
        <f t="shared" si="163"/>
        <v>999.99995185600005</v>
      </c>
      <c r="AH359" s="268"/>
      <c r="AI359" s="179">
        <f t="shared" si="164"/>
        <v>0</v>
      </c>
      <c r="AJ359" s="268"/>
      <c r="AK359" s="179">
        <f t="shared" si="165"/>
        <v>100</v>
      </c>
      <c r="AL359" s="268"/>
      <c r="AM359" s="179">
        <f t="shared" si="166"/>
        <v>0</v>
      </c>
      <c r="AN359" s="268"/>
      <c r="AO359" s="179">
        <f t="shared" si="167"/>
        <v>0</v>
      </c>
      <c r="AP359" s="268"/>
      <c r="AQ359" s="179">
        <f t="shared" si="168"/>
        <v>0</v>
      </c>
      <c r="AR359" s="273"/>
      <c r="AS359" s="209">
        <f t="shared" si="169"/>
        <v>0</v>
      </c>
      <c r="AT359" s="273"/>
      <c r="AU359" s="226">
        <f t="shared" si="170"/>
        <v>0</v>
      </c>
      <c r="AV359" s="273"/>
      <c r="AW359" s="209">
        <f t="shared" si="171"/>
        <v>0</v>
      </c>
      <c r="AX359" s="273"/>
      <c r="AY359" s="209">
        <f t="shared" si="172"/>
        <v>0</v>
      </c>
      <c r="AZ359" s="273"/>
      <c r="BA359" s="179">
        <f t="shared" si="173"/>
        <v>0</v>
      </c>
      <c r="BB359"/>
      <c r="BC359"/>
      <c r="BD359"/>
    </row>
    <row r="360" spans="1:56" s="34" customFormat="1" hidden="1" x14ac:dyDescent="0.25">
      <c r="A360" s="87"/>
      <c r="B360" s="42"/>
      <c r="C360" s="41"/>
      <c r="D360" s="41"/>
      <c r="E360" s="40"/>
      <c r="F360" s="40"/>
      <c r="G360" s="40"/>
      <c r="H360" s="40"/>
      <c r="I360" s="160"/>
      <c r="J360" s="41"/>
      <c r="K360" s="41"/>
      <c r="L360" s="41"/>
      <c r="M360" s="41"/>
      <c r="N360" s="41"/>
      <c r="O360" s="41"/>
      <c r="P360" s="188"/>
      <c r="Q360" s="221"/>
      <c r="R360" s="253"/>
      <c r="S360" s="179">
        <f t="shared" si="156"/>
        <v>3898.2066402109976</v>
      </c>
      <c r="T360" s="259"/>
      <c r="U360" s="179">
        <f t="shared" si="157"/>
        <v>79</v>
      </c>
      <c r="V360" s="259"/>
      <c r="W360" s="179">
        <f t="shared" si="158"/>
        <v>0</v>
      </c>
      <c r="X360" s="259"/>
      <c r="Y360" s="179">
        <f t="shared" si="159"/>
        <v>1099.9999518559998</v>
      </c>
      <c r="Z360" s="259"/>
      <c r="AA360" s="179">
        <f t="shared" si="160"/>
        <v>412.42479377000001</v>
      </c>
      <c r="AB360" s="259"/>
      <c r="AC360" s="179">
        <f t="shared" si="161"/>
        <v>0</v>
      </c>
      <c r="AD360" s="189">
        <f t="shared" si="155"/>
        <v>0</v>
      </c>
      <c r="AE360" s="179">
        <f t="shared" si="162"/>
        <v>1512.424745626</v>
      </c>
      <c r="AF360" s="264"/>
      <c r="AG360" s="179">
        <f t="shared" si="163"/>
        <v>999.99995185600005</v>
      </c>
      <c r="AH360" s="268"/>
      <c r="AI360" s="179">
        <f t="shared" si="164"/>
        <v>0</v>
      </c>
      <c r="AJ360" s="268"/>
      <c r="AK360" s="179">
        <f t="shared" si="165"/>
        <v>100</v>
      </c>
      <c r="AL360" s="268"/>
      <c r="AM360" s="179">
        <f t="shared" si="166"/>
        <v>0</v>
      </c>
      <c r="AN360" s="268"/>
      <c r="AO360" s="179">
        <f t="shared" si="167"/>
        <v>0</v>
      </c>
      <c r="AP360" s="268"/>
      <c r="AQ360" s="179">
        <f t="shared" si="168"/>
        <v>0</v>
      </c>
      <c r="AR360" s="273"/>
      <c r="AS360" s="209">
        <f t="shared" si="169"/>
        <v>0</v>
      </c>
      <c r="AT360" s="273"/>
      <c r="AU360" s="226">
        <f t="shared" si="170"/>
        <v>0</v>
      </c>
      <c r="AV360" s="273"/>
      <c r="AW360" s="209">
        <f t="shared" si="171"/>
        <v>0</v>
      </c>
      <c r="AX360" s="273"/>
      <c r="AY360" s="209">
        <f t="shared" si="172"/>
        <v>0</v>
      </c>
      <c r="AZ360" s="273"/>
      <c r="BA360" s="179">
        <f t="shared" si="173"/>
        <v>0</v>
      </c>
      <c r="BB360"/>
      <c r="BC360"/>
      <c r="BD360"/>
    </row>
    <row r="361" spans="1:56" s="34" customFormat="1" hidden="1" x14ac:dyDescent="0.25">
      <c r="A361" s="87"/>
      <c r="B361" s="42"/>
      <c r="C361" s="41"/>
      <c r="D361" s="41"/>
      <c r="E361" s="40"/>
      <c r="F361" s="40"/>
      <c r="G361" s="40"/>
      <c r="H361" s="40"/>
      <c r="I361" s="160"/>
      <c r="J361" s="41"/>
      <c r="K361" s="41"/>
      <c r="L361" s="41"/>
      <c r="M361" s="41"/>
      <c r="N361" s="41"/>
      <c r="O361" s="41"/>
      <c r="P361" s="188"/>
      <c r="Q361" s="221"/>
      <c r="R361" s="253"/>
      <c r="S361" s="179">
        <f t="shared" si="156"/>
        <v>3898.2066402109976</v>
      </c>
      <c r="T361" s="259"/>
      <c r="U361" s="179">
        <f t="shared" si="157"/>
        <v>79</v>
      </c>
      <c r="V361" s="259"/>
      <c r="W361" s="179">
        <f t="shared" si="158"/>
        <v>0</v>
      </c>
      <c r="X361" s="259"/>
      <c r="Y361" s="179">
        <f t="shared" si="159"/>
        <v>1099.9999518559998</v>
      </c>
      <c r="Z361" s="259"/>
      <c r="AA361" s="179">
        <f t="shared" si="160"/>
        <v>412.42479377000001</v>
      </c>
      <c r="AB361" s="259"/>
      <c r="AC361" s="179">
        <f t="shared" si="161"/>
        <v>0</v>
      </c>
      <c r="AD361" s="189">
        <f t="shared" si="155"/>
        <v>0</v>
      </c>
      <c r="AE361" s="179">
        <f t="shared" si="162"/>
        <v>1512.424745626</v>
      </c>
      <c r="AF361" s="264"/>
      <c r="AG361" s="179">
        <f t="shared" si="163"/>
        <v>999.99995185600005</v>
      </c>
      <c r="AH361" s="268"/>
      <c r="AI361" s="179">
        <f t="shared" si="164"/>
        <v>0</v>
      </c>
      <c r="AJ361" s="268"/>
      <c r="AK361" s="179">
        <f t="shared" si="165"/>
        <v>100</v>
      </c>
      <c r="AL361" s="268"/>
      <c r="AM361" s="179">
        <f t="shared" si="166"/>
        <v>0</v>
      </c>
      <c r="AN361" s="268"/>
      <c r="AO361" s="179">
        <f t="shared" si="167"/>
        <v>0</v>
      </c>
      <c r="AP361" s="268"/>
      <c r="AQ361" s="179">
        <f t="shared" si="168"/>
        <v>0</v>
      </c>
      <c r="AR361" s="273"/>
      <c r="AS361" s="209">
        <f t="shared" si="169"/>
        <v>0</v>
      </c>
      <c r="AT361" s="273"/>
      <c r="AU361" s="226">
        <f t="shared" si="170"/>
        <v>0</v>
      </c>
      <c r="AV361" s="273"/>
      <c r="AW361" s="209">
        <f t="shared" si="171"/>
        <v>0</v>
      </c>
      <c r="AX361" s="273"/>
      <c r="AY361" s="209">
        <f t="shared" si="172"/>
        <v>0</v>
      </c>
      <c r="AZ361" s="273"/>
      <c r="BA361" s="179">
        <f t="shared" si="173"/>
        <v>0</v>
      </c>
      <c r="BB361"/>
      <c r="BC361"/>
      <c r="BD361"/>
    </row>
    <row r="362" spans="1:56" s="34" customFormat="1" hidden="1" x14ac:dyDescent="0.25">
      <c r="A362" s="87"/>
      <c r="B362" s="42"/>
      <c r="C362" s="41"/>
      <c r="D362" s="41"/>
      <c r="E362" s="40"/>
      <c r="F362" s="40"/>
      <c r="G362" s="40"/>
      <c r="H362" s="40"/>
      <c r="I362" s="160"/>
      <c r="J362" s="41"/>
      <c r="K362" s="41"/>
      <c r="L362" s="41"/>
      <c r="M362" s="41"/>
      <c r="N362" s="41"/>
      <c r="O362" s="41"/>
      <c r="P362" s="188"/>
      <c r="Q362" s="221"/>
      <c r="R362" s="253"/>
      <c r="S362" s="179">
        <f t="shared" si="156"/>
        <v>3898.2066402109976</v>
      </c>
      <c r="T362" s="259"/>
      <c r="U362" s="179">
        <f t="shared" si="157"/>
        <v>79</v>
      </c>
      <c r="V362" s="259"/>
      <c r="W362" s="179">
        <f t="shared" si="158"/>
        <v>0</v>
      </c>
      <c r="X362" s="259"/>
      <c r="Y362" s="179">
        <f t="shared" si="159"/>
        <v>1099.9999518559998</v>
      </c>
      <c r="Z362" s="259"/>
      <c r="AA362" s="179">
        <f t="shared" si="160"/>
        <v>412.42479377000001</v>
      </c>
      <c r="AB362" s="259"/>
      <c r="AC362" s="179">
        <f t="shared" si="161"/>
        <v>0</v>
      </c>
      <c r="AD362" s="189">
        <f t="shared" si="155"/>
        <v>0</v>
      </c>
      <c r="AE362" s="179">
        <f t="shared" si="162"/>
        <v>1512.424745626</v>
      </c>
      <c r="AF362" s="264"/>
      <c r="AG362" s="179">
        <f t="shared" si="163"/>
        <v>999.99995185600005</v>
      </c>
      <c r="AH362" s="268"/>
      <c r="AI362" s="179">
        <f t="shared" si="164"/>
        <v>0</v>
      </c>
      <c r="AJ362" s="268"/>
      <c r="AK362" s="179">
        <f t="shared" si="165"/>
        <v>100</v>
      </c>
      <c r="AL362" s="268"/>
      <c r="AM362" s="179">
        <f t="shared" si="166"/>
        <v>0</v>
      </c>
      <c r="AN362" s="268"/>
      <c r="AO362" s="179">
        <f t="shared" si="167"/>
        <v>0</v>
      </c>
      <c r="AP362" s="268"/>
      <c r="AQ362" s="179">
        <f t="shared" si="168"/>
        <v>0</v>
      </c>
      <c r="AR362" s="273"/>
      <c r="AS362" s="209">
        <f t="shared" si="169"/>
        <v>0</v>
      </c>
      <c r="AT362" s="273"/>
      <c r="AU362" s="226">
        <f t="shared" si="170"/>
        <v>0</v>
      </c>
      <c r="AV362" s="273"/>
      <c r="AW362" s="209">
        <f t="shared" si="171"/>
        <v>0</v>
      </c>
      <c r="AX362" s="273"/>
      <c r="AY362" s="209">
        <f t="shared" si="172"/>
        <v>0</v>
      </c>
      <c r="AZ362" s="273"/>
      <c r="BA362" s="179">
        <f t="shared" si="173"/>
        <v>0</v>
      </c>
      <c r="BB362"/>
      <c r="BC362"/>
      <c r="BD362"/>
    </row>
    <row r="363" spans="1:56" s="34" customFormat="1" hidden="1" x14ac:dyDescent="0.25">
      <c r="A363" s="87"/>
      <c r="B363" s="42"/>
      <c r="C363" s="41"/>
      <c r="D363" s="41"/>
      <c r="E363" s="40"/>
      <c r="F363" s="40"/>
      <c r="G363" s="40"/>
      <c r="H363" s="40"/>
      <c r="I363" s="160"/>
      <c r="J363" s="41"/>
      <c r="K363" s="41"/>
      <c r="L363" s="41"/>
      <c r="M363" s="41"/>
      <c r="N363" s="41"/>
      <c r="O363" s="41"/>
      <c r="P363" s="188"/>
      <c r="Q363" s="221"/>
      <c r="R363" s="253"/>
      <c r="S363" s="179">
        <f t="shared" si="156"/>
        <v>3898.2066402109976</v>
      </c>
      <c r="T363" s="259"/>
      <c r="U363" s="179">
        <f t="shared" si="157"/>
        <v>79</v>
      </c>
      <c r="V363" s="259"/>
      <c r="W363" s="179">
        <f t="shared" si="158"/>
        <v>0</v>
      </c>
      <c r="X363" s="259"/>
      <c r="Y363" s="179">
        <f t="shared" si="159"/>
        <v>1099.9999518559998</v>
      </c>
      <c r="Z363" s="259"/>
      <c r="AA363" s="179">
        <f t="shared" si="160"/>
        <v>412.42479377000001</v>
      </c>
      <c r="AB363" s="259"/>
      <c r="AC363" s="179">
        <f t="shared" si="161"/>
        <v>0</v>
      </c>
      <c r="AD363" s="189">
        <f t="shared" si="155"/>
        <v>0</v>
      </c>
      <c r="AE363" s="179">
        <f t="shared" si="162"/>
        <v>1512.424745626</v>
      </c>
      <c r="AF363" s="264"/>
      <c r="AG363" s="179">
        <f t="shared" si="163"/>
        <v>999.99995185600005</v>
      </c>
      <c r="AH363" s="268"/>
      <c r="AI363" s="179">
        <f t="shared" si="164"/>
        <v>0</v>
      </c>
      <c r="AJ363" s="268"/>
      <c r="AK363" s="179">
        <f t="shared" si="165"/>
        <v>100</v>
      </c>
      <c r="AL363" s="268"/>
      <c r="AM363" s="179">
        <f t="shared" si="166"/>
        <v>0</v>
      </c>
      <c r="AN363" s="268"/>
      <c r="AO363" s="179">
        <f t="shared" si="167"/>
        <v>0</v>
      </c>
      <c r="AP363" s="268"/>
      <c r="AQ363" s="179">
        <f t="shared" si="168"/>
        <v>0</v>
      </c>
      <c r="AR363" s="273"/>
      <c r="AS363" s="209">
        <f t="shared" si="169"/>
        <v>0</v>
      </c>
      <c r="AT363" s="273"/>
      <c r="AU363" s="226">
        <f t="shared" si="170"/>
        <v>0</v>
      </c>
      <c r="AV363" s="273"/>
      <c r="AW363" s="209">
        <f t="shared" si="171"/>
        <v>0</v>
      </c>
      <c r="AX363" s="273"/>
      <c r="AY363" s="209">
        <f t="shared" si="172"/>
        <v>0</v>
      </c>
      <c r="AZ363" s="273"/>
      <c r="BA363" s="179">
        <f t="shared" si="173"/>
        <v>0</v>
      </c>
      <c r="BB363"/>
      <c r="BC363"/>
      <c r="BD363"/>
    </row>
    <row r="364" spans="1:56" s="34" customFormat="1" hidden="1" x14ac:dyDescent="0.25">
      <c r="A364" s="87"/>
      <c r="B364" s="42"/>
      <c r="C364" s="41"/>
      <c r="D364" s="41"/>
      <c r="E364" s="40"/>
      <c r="F364" s="40"/>
      <c r="G364" s="40"/>
      <c r="H364" s="40"/>
      <c r="I364" s="160"/>
      <c r="J364" s="41"/>
      <c r="K364" s="41"/>
      <c r="L364" s="41"/>
      <c r="M364" s="41"/>
      <c r="N364" s="41"/>
      <c r="O364" s="41"/>
      <c r="P364" s="188"/>
      <c r="Q364" s="221"/>
      <c r="R364" s="253"/>
      <c r="S364" s="179">
        <f t="shared" si="156"/>
        <v>3898.2066402109976</v>
      </c>
      <c r="T364" s="259"/>
      <c r="U364" s="179">
        <f t="shared" si="157"/>
        <v>79</v>
      </c>
      <c r="V364" s="259"/>
      <c r="W364" s="179">
        <f t="shared" si="158"/>
        <v>0</v>
      </c>
      <c r="X364" s="259"/>
      <c r="Y364" s="179">
        <f t="shared" si="159"/>
        <v>1099.9999518559998</v>
      </c>
      <c r="Z364" s="259"/>
      <c r="AA364" s="179">
        <f t="shared" si="160"/>
        <v>412.42479377000001</v>
      </c>
      <c r="AB364" s="259"/>
      <c r="AC364" s="179">
        <f t="shared" si="161"/>
        <v>0</v>
      </c>
      <c r="AD364" s="189">
        <f t="shared" si="155"/>
        <v>0</v>
      </c>
      <c r="AE364" s="179">
        <f t="shared" si="162"/>
        <v>1512.424745626</v>
      </c>
      <c r="AF364" s="264"/>
      <c r="AG364" s="179">
        <f t="shared" si="163"/>
        <v>999.99995185600005</v>
      </c>
      <c r="AH364" s="268"/>
      <c r="AI364" s="179">
        <f t="shared" si="164"/>
        <v>0</v>
      </c>
      <c r="AJ364" s="268"/>
      <c r="AK364" s="179">
        <f t="shared" si="165"/>
        <v>100</v>
      </c>
      <c r="AL364" s="268"/>
      <c r="AM364" s="179">
        <f t="shared" si="166"/>
        <v>0</v>
      </c>
      <c r="AN364" s="268"/>
      <c r="AO364" s="179">
        <f t="shared" si="167"/>
        <v>0</v>
      </c>
      <c r="AP364" s="268"/>
      <c r="AQ364" s="179">
        <f t="shared" si="168"/>
        <v>0</v>
      </c>
      <c r="AR364" s="273"/>
      <c r="AS364" s="209">
        <f t="shared" si="169"/>
        <v>0</v>
      </c>
      <c r="AT364" s="273"/>
      <c r="AU364" s="226">
        <f t="shared" si="170"/>
        <v>0</v>
      </c>
      <c r="AV364" s="273"/>
      <c r="AW364" s="209">
        <f t="shared" si="171"/>
        <v>0</v>
      </c>
      <c r="AX364" s="273"/>
      <c r="AY364" s="209">
        <f t="shared" si="172"/>
        <v>0</v>
      </c>
      <c r="AZ364" s="273"/>
      <c r="BA364" s="179">
        <f t="shared" si="173"/>
        <v>0</v>
      </c>
      <c r="BB364"/>
      <c r="BC364"/>
      <c r="BD364"/>
    </row>
    <row r="365" spans="1:56" s="34" customFormat="1" hidden="1" x14ac:dyDescent="0.25">
      <c r="A365" s="87"/>
      <c r="B365" s="42"/>
      <c r="C365" s="41"/>
      <c r="D365" s="41"/>
      <c r="E365" s="40"/>
      <c r="F365" s="40"/>
      <c r="G365" s="40"/>
      <c r="H365" s="40"/>
      <c r="I365" s="160"/>
      <c r="J365" s="41"/>
      <c r="K365" s="41"/>
      <c r="L365" s="41"/>
      <c r="M365" s="41"/>
      <c r="N365" s="41"/>
      <c r="O365" s="41"/>
      <c r="P365" s="188"/>
      <c r="Q365" s="221"/>
      <c r="R365" s="253"/>
      <c r="S365" s="179">
        <f t="shared" si="156"/>
        <v>3898.2066402109976</v>
      </c>
      <c r="T365" s="259"/>
      <c r="U365" s="179">
        <f t="shared" si="157"/>
        <v>79</v>
      </c>
      <c r="V365" s="259"/>
      <c r="W365" s="179">
        <f t="shared" si="158"/>
        <v>0</v>
      </c>
      <c r="X365" s="259"/>
      <c r="Y365" s="179">
        <f t="shared" si="159"/>
        <v>1099.9999518559998</v>
      </c>
      <c r="Z365" s="259"/>
      <c r="AA365" s="179">
        <f t="shared" si="160"/>
        <v>412.42479377000001</v>
      </c>
      <c r="AB365" s="259"/>
      <c r="AC365" s="179">
        <f t="shared" si="161"/>
        <v>0</v>
      </c>
      <c r="AD365" s="189">
        <f t="shared" si="155"/>
        <v>0</v>
      </c>
      <c r="AE365" s="179">
        <f t="shared" si="162"/>
        <v>1512.424745626</v>
      </c>
      <c r="AF365" s="264"/>
      <c r="AG365" s="179">
        <f t="shared" si="163"/>
        <v>999.99995185600005</v>
      </c>
      <c r="AH365" s="268"/>
      <c r="AI365" s="179">
        <f t="shared" si="164"/>
        <v>0</v>
      </c>
      <c r="AJ365" s="268"/>
      <c r="AK365" s="179">
        <f t="shared" si="165"/>
        <v>100</v>
      </c>
      <c r="AL365" s="268"/>
      <c r="AM365" s="179">
        <f t="shared" si="166"/>
        <v>0</v>
      </c>
      <c r="AN365" s="268"/>
      <c r="AO365" s="179">
        <f t="shared" si="167"/>
        <v>0</v>
      </c>
      <c r="AP365" s="268"/>
      <c r="AQ365" s="179">
        <f t="shared" si="168"/>
        <v>0</v>
      </c>
      <c r="AR365" s="273"/>
      <c r="AS365" s="209">
        <f t="shared" si="169"/>
        <v>0</v>
      </c>
      <c r="AT365" s="273"/>
      <c r="AU365" s="226">
        <f t="shared" si="170"/>
        <v>0</v>
      </c>
      <c r="AV365" s="273"/>
      <c r="AW365" s="209">
        <f t="shared" si="171"/>
        <v>0</v>
      </c>
      <c r="AX365" s="273"/>
      <c r="AY365" s="209">
        <f t="shared" si="172"/>
        <v>0</v>
      </c>
      <c r="AZ365" s="273"/>
      <c r="BA365" s="179">
        <f t="shared" si="173"/>
        <v>0</v>
      </c>
      <c r="BB365"/>
      <c r="BC365"/>
      <c r="BD365"/>
    </row>
    <row r="366" spans="1:56" s="34" customFormat="1" hidden="1" x14ac:dyDescent="0.25">
      <c r="A366" s="87"/>
      <c r="B366" s="42"/>
      <c r="C366" s="41"/>
      <c r="D366" s="41"/>
      <c r="E366" s="40"/>
      <c r="F366" s="40"/>
      <c r="G366" s="40"/>
      <c r="H366" s="40"/>
      <c r="I366" s="160"/>
      <c r="J366" s="41"/>
      <c r="K366" s="41"/>
      <c r="L366" s="41"/>
      <c r="M366" s="41"/>
      <c r="N366" s="41"/>
      <c r="O366" s="41"/>
      <c r="P366" s="188"/>
      <c r="Q366" s="221"/>
      <c r="R366" s="253"/>
      <c r="S366" s="179">
        <f t="shared" si="156"/>
        <v>3898.2066402109976</v>
      </c>
      <c r="T366" s="259"/>
      <c r="U366" s="179">
        <f t="shared" si="157"/>
        <v>79</v>
      </c>
      <c r="V366" s="259"/>
      <c r="W366" s="179">
        <f t="shared" si="158"/>
        <v>0</v>
      </c>
      <c r="X366" s="259"/>
      <c r="Y366" s="179">
        <f t="shared" si="159"/>
        <v>1099.9999518559998</v>
      </c>
      <c r="Z366" s="259"/>
      <c r="AA366" s="179">
        <f t="shared" si="160"/>
        <v>412.42479377000001</v>
      </c>
      <c r="AB366" s="259"/>
      <c r="AC366" s="179">
        <f t="shared" si="161"/>
        <v>0</v>
      </c>
      <c r="AD366" s="189">
        <f t="shared" si="155"/>
        <v>0</v>
      </c>
      <c r="AE366" s="179">
        <f t="shared" si="162"/>
        <v>1512.424745626</v>
      </c>
      <c r="AF366" s="264"/>
      <c r="AG366" s="179">
        <f t="shared" si="163"/>
        <v>999.99995185600005</v>
      </c>
      <c r="AH366" s="268"/>
      <c r="AI366" s="179">
        <f t="shared" si="164"/>
        <v>0</v>
      </c>
      <c r="AJ366" s="268"/>
      <c r="AK366" s="179">
        <f t="shared" si="165"/>
        <v>100</v>
      </c>
      <c r="AL366" s="268"/>
      <c r="AM366" s="179">
        <f t="shared" si="166"/>
        <v>0</v>
      </c>
      <c r="AN366" s="268"/>
      <c r="AO366" s="179">
        <f t="shared" si="167"/>
        <v>0</v>
      </c>
      <c r="AP366" s="268"/>
      <c r="AQ366" s="179">
        <f t="shared" si="168"/>
        <v>0</v>
      </c>
      <c r="AR366" s="273"/>
      <c r="AS366" s="209">
        <f t="shared" si="169"/>
        <v>0</v>
      </c>
      <c r="AT366" s="273"/>
      <c r="AU366" s="226">
        <f t="shared" si="170"/>
        <v>0</v>
      </c>
      <c r="AV366" s="273"/>
      <c r="AW366" s="209">
        <f t="shared" si="171"/>
        <v>0</v>
      </c>
      <c r="AX366" s="273"/>
      <c r="AY366" s="209">
        <f t="shared" si="172"/>
        <v>0</v>
      </c>
      <c r="AZ366" s="273"/>
      <c r="BA366" s="179">
        <f t="shared" si="173"/>
        <v>0</v>
      </c>
      <c r="BB366"/>
      <c r="BC366"/>
      <c r="BD366"/>
    </row>
    <row r="367" spans="1:56" s="34" customFormat="1" hidden="1" x14ac:dyDescent="0.25">
      <c r="A367" s="87"/>
      <c r="B367" s="42"/>
      <c r="C367" s="41"/>
      <c r="D367" s="41"/>
      <c r="E367" s="40"/>
      <c r="F367" s="40"/>
      <c r="G367" s="40"/>
      <c r="H367" s="40"/>
      <c r="I367" s="160"/>
      <c r="J367" s="41"/>
      <c r="K367" s="41"/>
      <c r="L367" s="41"/>
      <c r="M367" s="41"/>
      <c r="N367" s="41"/>
      <c r="O367" s="41"/>
      <c r="P367" s="188"/>
      <c r="Q367" s="221"/>
      <c r="R367" s="253"/>
      <c r="S367" s="179">
        <f t="shared" si="156"/>
        <v>3898.2066402109976</v>
      </c>
      <c r="T367" s="259"/>
      <c r="U367" s="179">
        <f t="shared" si="157"/>
        <v>79</v>
      </c>
      <c r="V367" s="259"/>
      <c r="W367" s="179">
        <f t="shared" si="158"/>
        <v>0</v>
      </c>
      <c r="X367" s="259"/>
      <c r="Y367" s="179">
        <f t="shared" si="159"/>
        <v>1099.9999518559998</v>
      </c>
      <c r="Z367" s="259"/>
      <c r="AA367" s="179">
        <f t="shared" si="160"/>
        <v>412.42479377000001</v>
      </c>
      <c r="AB367" s="259"/>
      <c r="AC367" s="179">
        <f t="shared" si="161"/>
        <v>0</v>
      </c>
      <c r="AD367" s="189">
        <f t="shared" si="155"/>
        <v>0</v>
      </c>
      <c r="AE367" s="179">
        <f t="shared" si="162"/>
        <v>1512.424745626</v>
      </c>
      <c r="AF367" s="264"/>
      <c r="AG367" s="179">
        <f t="shared" si="163"/>
        <v>999.99995185600005</v>
      </c>
      <c r="AH367" s="268"/>
      <c r="AI367" s="179">
        <f t="shared" si="164"/>
        <v>0</v>
      </c>
      <c r="AJ367" s="268"/>
      <c r="AK367" s="179">
        <f t="shared" si="165"/>
        <v>100</v>
      </c>
      <c r="AL367" s="268"/>
      <c r="AM367" s="179">
        <f t="shared" si="166"/>
        <v>0</v>
      </c>
      <c r="AN367" s="268"/>
      <c r="AO367" s="179">
        <f t="shared" si="167"/>
        <v>0</v>
      </c>
      <c r="AP367" s="268"/>
      <c r="AQ367" s="179">
        <f t="shared" si="168"/>
        <v>0</v>
      </c>
      <c r="AR367" s="273"/>
      <c r="AS367" s="209">
        <f t="shared" si="169"/>
        <v>0</v>
      </c>
      <c r="AT367" s="273"/>
      <c r="AU367" s="226">
        <f t="shared" si="170"/>
        <v>0</v>
      </c>
      <c r="AV367" s="273"/>
      <c r="AW367" s="209">
        <f t="shared" si="171"/>
        <v>0</v>
      </c>
      <c r="AX367" s="273"/>
      <c r="AY367" s="209">
        <f t="shared" si="172"/>
        <v>0</v>
      </c>
      <c r="AZ367" s="273"/>
      <c r="BA367" s="179">
        <f t="shared" si="173"/>
        <v>0</v>
      </c>
      <c r="BB367"/>
      <c r="BC367"/>
      <c r="BD367"/>
    </row>
    <row r="368" spans="1:56" s="34" customFormat="1" hidden="1" x14ac:dyDescent="0.25">
      <c r="A368" s="87"/>
      <c r="B368" s="42"/>
      <c r="C368" s="41"/>
      <c r="D368" s="41"/>
      <c r="E368" s="40"/>
      <c r="F368" s="40"/>
      <c r="G368" s="40"/>
      <c r="H368" s="40"/>
      <c r="I368" s="160"/>
      <c r="J368" s="41"/>
      <c r="K368" s="41"/>
      <c r="L368" s="41"/>
      <c r="M368" s="41"/>
      <c r="N368" s="41"/>
      <c r="O368" s="41"/>
      <c r="P368" s="188"/>
      <c r="Q368" s="221"/>
      <c r="R368" s="253"/>
      <c r="S368" s="179">
        <f t="shared" si="156"/>
        <v>3898.2066402109976</v>
      </c>
      <c r="T368" s="259"/>
      <c r="U368" s="179">
        <f t="shared" si="157"/>
        <v>79</v>
      </c>
      <c r="V368" s="259"/>
      <c r="W368" s="179">
        <f t="shared" si="158"/>
        <v>0</v>
      </c>
      <c r="X368" s="259"/>
      <c r="Y368" s="179">
        <f t="shared" si="159"/>
        <v>1099.9999518559998</v>
      </c>
      <c r="Z368" s="259"/>
      <c r="AA368" s="179">
        <f t="shared" si="160"/>
        <v>412.42479377000001</v>
      </c>
      <c r="AB368" s="259"/>
      <c r="AC368" s="179">
        <f t="shared" si="161"/>
        <v>0</v>
      </c>
      <c r="AD368" s="189">
        <f t="shared" si="155"/>
        <v>0</v>
      </c>
      <c r="AE368" s="179">
        <f t="shared" si="162"/>
        <v>1512.424745626</v>
      </c>
      <c r="AF368" s="264"/>
      <c r="AG368" s="179">
        <f t="shared" si="163"/>
        <v>999.99995185600005</v>
      </c>
      <c r="AH368" s="268"/>
      <c r="AI368" s="179">
        <f t="shared" si="164"/>
        <v>0</v>
      </c>
      <c r="AJ368" s="268"/>
      <c r="AK368" s="179">
        <f t="shared" si="165"/>
        <v>100</v>
      </c>
      <c r="AL368" s="268"/>
      <c r="AM368" s="179">
        <f t="shared" si="166"/>
        <v>0</v>
      </c>
      <c r="AN368" s="268"/>
      <c r="AO368" s="179">
        <f t="shared" si="167"/>
        <v>0</v>
      </c>
      <c r="AP368" s="268"/>
      <c r="AQ368" s="179">
        <f t="shared" si="168"/>
        <v>0</v>
      </c>
      <c r="AR368" s="273"/>
      <c r="AS368" s="209">
        <f t="shared" si="169"/>
        <v>0</v>
      </c>
      <c r="AT368" s="273"/>
      <c r="AU368" s="226">
        <f t="shared" si="170"/>
        <v>0</v>
      </c>
      <c r="AV368" s="273"/>
      <c r="AW368" s="209">
        <f t="shared" si="171"/>
        <v>0</v>
      </c>
      <c r="AX368" s="273"/>
      <c r="AY368" s="209">
        <f t="shared" si="172"/>
        <v>0</v>
      </c>
      <c r="AZ368" s="273"/>
      <c r="BA368" s="179">
        <f t="shared" si="173"/>
        <v>0</v>
      </c>
      <c r="BB368"/>
      <c r="BC368"/>
      <c r="BD368"/>
    </row>
    <row r="369" spans="1:56" s="34" customFormat="1" hidden="1" x14ac:dyDescent="0.25">
      <c r="A369" s="87"/>
      <c r="B369" s="42"/>
      <c r="C369" s="41"/>
      <c r="D369" s="41"/>
      <c r="E369" s="40"/>
      <c r="F369" s="40"/>
      <c r="G369" s="40"/>
      <c r="H369" s="40"/>
      <c r="I369" s="160"/>
      <c r="J369" s="41"/>
      <c r="K369" s="41"/>
      <c r="L369" s="41"/>
      <c r="M369" s="41"/>
      <c r="N369" s="41"/>
      <c r="O369" s="41"/>
      <c r="P369" s="188"/>
      <c r="Q369" s="221"/>
      <c r="R369" s="253"/>
      <c r="S369" s="179">
        <f t="shared" si="156"/>
        <v>3898.2066402109976</v>
      </c>
      <c r="T369" s="259"/>
      <c r="U369" s="179">
        <f t="shared" si="157"/>
        <v>79</v>
      </c>
      <c r="V369" s="259"/>
      <c r="W369" s="179">
        <f t="shared" si="158"/>
        <v>0</v>
      </c>
      <c r="X369" s="259"/>
      <c r="Y369" s="179">
        <f t="shared" si="159"/>
        <v>1099.9999518559998</v>
      </c>
      <c r="Z369" s="259"/>
      <c r="AA369" s="179">
        <f t="shared" si="160"/>
        <v>412.42479377000001</v>
      </c>
      <c r="AB369" s="259"/>
      <c r="AC369" s="179">
        <f t="shared" si="161"/>
        <v>0</v>
      </c>
      <c r="AD369" s="189">
        <f t="shared" si="155"/>
        <v>0</v>
      </c>
      <c r="AE369" s="179">
        <f t="shared" si="162"/>
        <v>1512.424745626</v>
      </c>
      <c r="AF369" s="264"/>
      <c r="AG369" s="179">
        <f t="shared" si="163"/>
        <v>999.99995185600005</v>
      </c>
      <c r="AH369" s="268"/>
      <c r="AI369" s="179">
        <f t="shared" si="164"/>
        <v>0</v>
      </c>
      <c r="AJ369" s="268"/>
      <c r="AK369" s="179">
        <f t="shared" si="165"/>
        <v>100</v>
      </c>
      <c r="AL369" s="268"/>
      <c r="AM369" s="179">
        <f t="shared" si="166"/>
        <v>0</v>
      </c>
      <c r="AN369" s="268"/>
      <c r="AO369" s="179">
        <f t="shared" si="167"/>
        <v>0</v>
      </c>
      <c r="AP369" s="268"/>
      <c r="AQ369" s="179">
        <f t="shared" si="168"/>
        <v>0</v>
      </c>
      <c r="AR369" s="273"/>
      <c r="AS369" s="209">
        <f t="shared" si="169"/>
        <v>0</v>
      </c>
      <c r="AT369" s="273"/>
      <c r="AU369" s="226">
        <f t="shared" si="170"/>
        <v>0</v>
      </c>
      <c r="AV369" s="273"/>
      <c r="AW369" s="209">
        <f t="shared" si="171"/>
        <v>0</v>
      </c>
      <c r="AX369" s="273"/>
      <c r="AY369" s="209">
        <f t="shared" si="172"/>
        <v>0</v>
      </c>
      <c r="AZ369" s="273"/>
      <c r="BA369" s="179">
        <f t="shared" si="173"/>
        <v>0</v>
      </c>
      <c r="BB369"/>
      <c r="BC369"/>
      <c r="BD369"/>
    </row>
    <row r="370" spans="1:56" s="34" customFormat="1" hidden="1" x14ac:dyDescent="0.25">
      <c r="A370" s="87"/>
      <c r="B370" s="42"/>
      <c r="C370" s="41"/>
      <c r="D370" s="41"/>
      <c r="E370" s="40"/>
      <c r="F370" s="40"/>
      <c r="G370" s="40"/>
      <c r="H370" s="40"/>
      <c r="I370" s="160"/>
      <c r="J370" s="41"/>
      <c r="K370" s="41"/>
      <c r="L370" s="41"/>
      <c r="M370" s="41"/>
      <c r="N370" s="41"/>
      <c r="O370" s="41"/>
      <c r="P370" s="188"/>
      <c r="Q370" s="221"/>
      <c r="R370" s="253"/>
      <c r="S370" s="179">
        <f t="shared" si="156"/>
        <v>3898.2066402109976</v>
      </c>
      <c r="T370" s="259"/>
      <c r="U370" s="179">
        <f t="shared" si="157"/>
        <v>79</v>
      </c>
      <c r="V370" s="259"/>
      <c r="W370" s="179">
        <f t="shared" si="158"/>
        <v>0</v>
      </c>
      <c r="X370" s="259"/>
      <c r="Y370" s="179">
        <f t="shared" si="159"/>
        <v>1099.9999518559998</v>
      </c>
      <c r="Z370" s="259"/>
      <c r="AA370" s="179">
        <f t="shared" si="160"/>
        <v>412.42479377000001</v>
      </c>
      <c r="AB370" s="259"/>
      <c r="AC370" s="179">
        <f t="shared" si="161"/>
        <v>0</v>
      </c>
      <c r="AD370" s="189">
        <f t="shared" si="155"/>
        <v>0</v>
      </c>
      <c r="AE370" s="179">
        <f t="shared" si="162"/>
        <v>1512.424745626</v>
      </c>
      <c r="AF370" s="264"/>
      <c r="AG370" s="179">
        <f t="shared" si="163"/>
        <v>999.99995185600005</v>
      </c>
      <c r="AH370" s="268"/>
      <c r="AI370" s="179">
        <f t="shared" si="164"/>
        <v>0</v>
      </c>
      <c r="AJ370" s="268"/>
      <c r="AK370" s="179">
        <f t="shared" si="165"/>
        <v>100</v>
      </c>
      <c r="AL370" s="268"/>
      <c r="AM370" s="179">
        <f t="shared" si="166"/>
        <v>0</v>
      </c>
      <c r="AN370" s="268"/>
      <c r="AO370" s="179">
        <f t="shared" si="167"/>
        <v>0</v>
      </c>
      <c r="AP370" s="268"/>
      <c r="AQ370" s="179">
        <f t="shared" si="168"/>
        <v>0</v>
      </c>
      <c r="AR370" s="273"/>
      <c r="AS370" s="209">
        <f t="shared" si="169"/>
        <v>0</v>
      </c>
      <c r="AT370" s="273"/>
      <c r="AU370" s="226">
        <f t="shared" si="170"/>
        <v>0</v>
      </c>
      <c r="AV370" s="273"/>
      <c r="AW370" s="209">
        <f t="shared" si="171"/>
        <v>0</v>
      </c>
      <c r="AX370" s="273"/>
      <c r="AY370" s="209">
        <f t="shared" si="172"/>
        <v>0</v>
      </c>
      <c r="AZ370" s="273"/>
      <c r="BA370" s="179">
        <f t="shared" si="173"/>
        <v>0</v>
      </c>
      <c r="BB370"/>
      <c r="BC370"/>
      <c r="BD370"/>
    </row>
    <row r="371" spans="1:56" s="34" customFormat="1" hidden="1" x14ac:dyDescent="0.25">
      <c r="A371" s="87"/>
      <c r="B371" s="42"/>
      <c r="C371" s="41"/>
      <c r="D371" s="41"/>
      <c r="E371" s="40"/>
      <c r="F371" s="40"/>
      <c r="G371" s="40"/>
      <c r="H371" s="40"/>
      <c r="I371" s="160"/>
      <c r="J371" s="41"/>
      <c r="K371" s="41"/>
      <c r="L371" s="41"/>
      <c r="M371" s="41"/>
      <c r="N371" s="41"/>
      <c r="O371" s="41"/>
      <c r="P371" s="188"/>
      <c r="Q371" s="221"/>
      <c r="R371" s="253"/>
      <c r="S371" s="179">
        <f t="shared" si="156"/>
        <v>3898.2066402109976</v>
      </c>
      <c r="T371" s="259"/>
      <c r="U371" s="179">
        <f t="shared" si="157"/>
        <v>79</v>
      </c>
      <c r="V371" s="259"/>
      <c r="W371" s="179">
        <f t="shared" si="158"/>
        <v>0</v>
      </c>
      <c r="X371" s="259"/>
      <c r="Y371" s="179">
        <f t="shared" si="159"/>
        <v>1099.9999518559998</v>
      </c>
      <c r="Z371" s="259"/>
      <c r="AA371" s="179">
        <f t="shared" si="160"/>
        <v>412.42479377000001</v>
      </c>
      <c r="AB371" s="259"/>
      <c r="AC371" s="179">
        <f t="shared" si="161"/>
        <v>0</v>
      </c>
      <c r="AD371" s="189">
        <f t="shared" si="155"/>
        <v>0</v>
      </c>
      <c r="AE371" s="179">
        <f t="shared" si="162"/>
        <v>1512.424745626</v>
      </c>
      <c r="AF371" s="264"/>
      <c r="AG371" s="179">
        <f t="shared" si="163"/>
        <v>999.99995185600005</v>
      </c>
      <c r="AH371" s="268"/>
      <c r="AI371" s="179">
        <f t="shared" si="164"/>
        <v>0</v>
      </c>
      <c r="AJ371" s="268"/>
      <c r="AK371" s="179">
        <f t="shared" si="165"/>
        <v>100</v>
      </c>
      <c r="AL371" s="268"/>
      <c r="AM371" s="179">
        <f t="shared" si="166"/>
        <v>0</v>
      </c>
      <c r="AN371" s="268"/>
      <c r="AO371" s="179">
        <f t="shared" si="167"/>
        <v>0</v>
      </c>
      <c r="AP371" s="268"/>
      <c r="AQ371" s="179">
        <f t="shared" si="168"/>
        <v>0</v>
      </c>
      <c r="AR371" s="273"/>
      <c r="AS371" s="209">
        <f t="shared" si="169"/>
        <v>0</v>
      </c>
      <c r="AT371" s="273"/>
      <c r="AU371" s="226">
        <f t="shared" si="170"/>
        <v>0</v>
      </c>
      <c r="AV371" s="273"/>
      <c r="AW371" s="209">
        <f t="shared" si="171"/>
        <v>0</v>
      </c>
      <c r="AX371" s="273"/>
      <c r="AY371" s="209">
        <f t="shared" si="172"/>
        <v>0</v>
      </c>
      <c r="AZ371" s="273"/>
      <c r="BA371" s="179">
        <f t="shared" si="173"/>
        <v>0</v>
      </c>
      <c r="BB371"/>
      <c r="BC371"/>
      <c r="BD371"/>
    </row>
    <row r="372" spans="1:56" s="34" customFormat="1" hidden="1" x14ac:dyDescent="0.25">
      <c r="A372" s="87"/>
      <c r="B372" s="42"/>
      <c r="C372" s="41"/>
      <c r="D372" s="41"/>
      <c r="E372" s="40"/>
      <c r="F372" s="40"/>
      <c r="G372" s="40"/>
      <c r="H372" s="40"/>
      <c r="I372" s="160"/>
      <c r="J372" s="41"/>
      <c r="K372" s="41"/>
      <c r="L372" s="41"/>
      <c r="M372" s="41"/>
      <c r="N372" s="41"/>
      <c r="O372" s="41"/>
      <c r="P372" s="188"/>
      <c r="Q372" s="221"/>
      <c r="R372" s="253"/>
      <c r="S372" s="179">
        <f t="shared" si="156"/>
        <v>3898.2066402109976</v>
      </c>
      <c r="T372" s="259"/>
      <c r="U372" s="179">
        <f t="shared" si="157"/>
        <v>79</v>
      </c>
      <c r="V372" s="259"/>
      <c r="W372" s="179">
        <f t="shared" si="158"/>
        <v>0</v>
      </c>
      <c r="X372" s="259"/>
      <c r="Y372" s="179">
        <f t="shared" si="159"/>
        <v>1099.9999518559998</v>
      </c>
      <c r="Z372" s="259"/>
      <c r="AA372" s="179">
        <f t="shared" si="160"/>
        <v>412.42479377000001</v>
      </c>
      <c r="AB372" s="259"/>
      <c r="AC372" s="179">
        <f t="shared" si="161"/>
        <v>0</v>
      </c>
      <c r="AD372" s="189">
        <f t="shared" si="155"/>
        <v>0</v>
      </c>
      <c r="AE372" s="179">
        <f t="shared" si="162"/>
        <v>1512.424745626</v>
      </c>
      <c r="AF372" s="264"/>
      <c r="AG372" s="179">
        <f t="shared" si="163"/>
        <v>999.99995185600005</v>
      </c>
      <c r="AH372" s="268"/>
      <c r="AI372" s="179">
        <f t="shared" si="164"/>
        <v>0</v>
      </c>
      <c r="AJ372" s="268"/>
      <c r="AK372" s="179">
        <f t="shared" si="165"/>
        <v>100</v>
      </c>
      <c r="AL372" s="268"/>
      <c r="AM372" s="179">
        <f t="shared" si="166"/>
        <v>0</v>
      </c>
      <c r="AN372" s="268"/>
      <c r="AO372" s="179">
        <f t="shared" si="167"/>
        <v>0</v>
      </c>
      <c r="AP372" s="268"/>
      <c r="AQ372" s="179">
        <f t="shared" si="168"/>
        <v>0</v>
      </c>
      <c r="AR372" s="273"/>
      <c r="AS372" s="209">
        <f t="shared" si="169"/>
        <v>0</v>
      </c>
      <c r="AT372" s="273"/>
      <c r="AU372" s="226">
        <f t="shared" si="170"/>
        <v>0</v>
      </c>
      <c r="AV372" s="273"/>
      <c r="AW372" s="209">
        <f t="shared" si="171"/>
        <v>0</v>
      </c>
      <c r="AX372" s="273"/>
      <c r="AY372" s="209">
        <f t="shared" si="172"/>
        <v>0</v>
      </c>
      <c r="AZ372" s="273"/>
      <c r="BA372" s="179">
        <f t="shared" si="173"/>
        <v>0</v>
      </c>
      <c r="BB372"/>
      <c r="BC372"/>
      <c r="BD372"/>
    </row>
    <row r="373" spans="1:56" s="34" customFormat="1" hidden="1" x14ac:dyDescent="0.25">
      <c r="A373" s="87"/>
      <c r="B373" s="42"/>
      <c r="C373" s="41"/>
      <c r="D373" s="41"/>
      <c r="E373" s="40"/>
      <c r="F373" s="40"/>
      <c r="G373" s="40"/>
      <c r="H373" s="40"/>
      <c r="I373" s="160"/>
      <c r="J373" s="41"/>
      <c r="K373" s="41"/>
      <c r="L373" s="41"/>
      <c r="M373" s="41"/>
      <c r="N373" s="41"/>
      <c r="O373" s="41"/>
      <c r="P373" s="188"/>
      <c r="Q373" s="221"/>
      <c r="R373" s="253"/>
      <c r="S373" s="179">
        <f t="shared" si="156"/>
        <v>3898.2066402109976</v>
      </c>
      <c r="T373" s="259"/>
      <c r="U373" s="179">
        <f t="shared" si="157"/>
        <v>79</v>
      </c>
      <c r="V373" s="259"/>
      <c r="W373" s="179">
        <f t="shared" si="158"/>
        <v>0</v>
      </c>
      <c r="X373" s="259"/>
      <c r="Y373" s="179">
        <f t="shared" si="159"/>
        <v>1099.9999518559998</v>
      </c>
      <c r="Z373" s="259"/>
      <c r="AA373" s="179">
        <f t="shared" si="160"/>
        <v>412.42479377000001</v>
      </c>
      <c r="AB373" s="259"/>
      <c r="AC373" s="179">
        <f t="shared" si="161"/>
        <v>0</v>
      </c>
      <c r="AD373" s="189">
        <f t="shared" si="155"/>
        <v>0</v>
      </c>
      <c r="AE373" s="179">
        <f t="shared" si="162"/>
        <v>1512.424745626</v>
      </c>
      <c r="AF373" s="264"/>
      <c r="AG373" s="179">
        <f t="shared" si="163"/>
        <v>999.99995185600005</v>
      </c>
      <c r="AH373" s="268"/>
      <c r="AI373" s="179">
        <f t="shared" si="164"/>
        <v>0</v>
      </c>
      <c r="AJ373" s="268"/>
      <c r="AK373" s="179">
        <f t="shared" si="165"/>
        <v>100</v>
      </c>
      <c r="AL373" s="268"/>
      <c r="AM373" s="179">
        <f t="shared" si="166"/>
        <v>0</v>
      </c>
      <c r="AN373" s="268"/>
      <c r="AO373" s="179">
        <f t="shared" si="167"/>
        <v>0</v>
      </c>
      <c r="AP373" s="268"/>
      <c r="AQ373" s="179">
        <f t="shared" si="168"/>
        <v>0</v>
      </c>
      <c r="AR373" s="273"/>
      <c r="AS373" s="209">
        <f t="shared" si="169"/>
        <v>0</v>
      </c>
      <c r="AT373" s="273"/>
      <c r="AU373" s="226">
        <f t="shared" si="170"/>
        <v>0</v>
      </c>
      <c r="AV373" s="273"/>
      <c r="AW373" s="209">
        <f t="shared" si="171"/>
        <v>0</v>
      </c>
      <c r="AX373" s="273"/>
      <c r="AY373" s="209">
        <f t="shared" si="172"/>
        <v>0</v>
      </c>
      <c r="AZ373" s="273"/>
      <c r="BA373" s="179">
        <f t="shared" si="173"/>
        <v>0</v>
      </c>
      <c r="BB373"/>
      <c r="BC373"/>
      <c r="BD373"/>
    </row>
    <row r="374" spans="1:56" s="34" customFormat="1" hidden="1" x14ac:dyDescent="0.25">
      <c r="A374" s="87"/>
      <c r="B374" s="42"/>
      <c r="C374" s="41"/>
      <c r="D374" s="41"/>
      <c r="E374" s="40"/>
      <c r="F374" s="40"/>
      <c r="G374" s="40"/>
      <c r="H374" s="40"/>
      <c r="I374" s="160"/>
      <c r="J374" s="41"/>
      <c r="K374" s="41"/>
      <c r="L374" s="41"/>
      <c r="M374" s="41"/>
      <c r="N374" s="41"/>
      <c r="O374" s="41"/>
      <c r="P374" s="188"/>
      <c r="Q374" s="221"/>
      <c r="R374" s="253"/>
      <c r="S374" s="179">
        <f t="shared" si="156"/>
        <v>3898.2066402109976</v>
      </c>
      <c r="T374" s="259"/>
      <c r="U374" s="179">
        <f t="shared" si="157"/>
        <v>79</v>
      </c>
      <c r="V374" s="259"/>
      <c r="W374" s="179">
        <f t="shared" si="158"/>
        <v>0</v>
      </c>
      <c r="X374" s="259"/>
      <c r="Y374" s="179">
        <f t="shared" si="159"/>
        <v>1099.9999518559998</v>
      </c>
      <c r="Z374" s="259"/>
      <c r="AA374" s="179">
        <f t="shared" si="160"/>
        <v>412.42479377000001</v>
      </c>
      <c r="AB374" s="259"/>
      <c r="AC374" s="179">
        <f t="shared" si="161"/>
        <v>0</v>
      </c>
      <c r="AD374" s="189">
        <f t="shared" si="155"/>
        <v>0</v>
      </c>
      <c r="AE374" s="179">
        <f t="shared" si="162"/>
        <v>1512.424745626</v>
      </c>
      <c r="AF374" s="264"/>
      <c r="AG374" s="179">
        <f t="shared" si="163"/>
        <v>999.99995185600005</v>
      </c>
      <c r="AH374" s="268"/>
      <c r="AI374" s="179">
        <f t="shared" si="164"/>
        <v>0</v>
      </c>
      <c r="AJ374" s="268"/>
      <c r="AK374" s="179">
        <f t="shared" si="165"/>
        <v>100</v>
      </c>
      <c r="AL374" s="268"/>
      <c r="AM374" s="179">
        <f t="shared" si="166"/>
        <v>0</v>
      </c>
      <c r="AN374" s="268"/>
      <c r="AO374" s="179">
        <f t="shared" si="167"/>
        <v>0</v>
      </c>
      <c r="AP374" s="268"/>
      <c r="AQ374" s="179">
        <f t="shared" si="168"/>
        <v>0</v>
      </c>
      <c r="AR374" s="273"/>
      <c r="AS374" s="209">
        <f t="shared" si="169"/>
        <v>0</v>
      </c>
      <c r="AT374" s="273"/>
      <c r="AU374" s="226">
        <f t="shared" si="170"/>
        <v>0</v>
      </c>
      <c r="AV374" s="273"/>
      <c r="AW374" s="209">
        <f t="shared" si="171"/>
        <v>0</v>
      </c>
      <c r="AX374" s="273"/>
      <c r="AY374" s="209">
        <f t="shared" si="172"/>
        <v>0</v>
      </c>
      <c r="AZ374" s="273"/>
      <c r="BA374" s="179">
        <f t="shared" si="173"/>
        <v>0</v>
      </c>
      <c r="BB374"/>
      <c r="BC374"/>
      <c r="BD374"/>
    </row>
    <row r="375" spans="1:56" s="34" customFormat="1" hidden="1" x14ac:dyDescent="0.25">
      <c r="A375" s="87"/>
      <c r="B375" s="42"/>
      <c r="C375" s="41"/>
      <c r="D375" s="41"/>
      <c r="E375" s="40"/>
      <c r="F375" s="40"/>
      <c r="G375" s="40"/>
      <c r="H375" s="40"/>
      <c r="I375" s="160"/>
      <c r="J375" s="41"/>
      <c r="K375" s="41"/>
      <c r="L375" s="41"/>
      <c r="M375" s="41"/>
      <c r="N375" s="41"/>
      <c r="O375" s="41"/>
      <c r="P375" s="188"/>
      <c r="Q375" s="221"/>
      <c r="R375" s="253"/>
      <c r="S375" s="179">
        <f t="shared" si="156"/>
        <v>3898.2066402109976</v>
      </c>
      <c r="T375" s="259"/>
      <c r="U375" s="179">
        <f t="shared" si="157"/>
        <v>79</v>
      </c>
      <c r="V375" s="259"/>
      <c r="W375" s="179">
        <f t="shared" si="158"/>
        <v>0</v>
      </c>
      <c r="X375" s="259"/>
      <c r="Y375" s="179">
        <f t="shared" si="159"/>
        <v>1099.9999518559998</v>
      </c>
      <c r="Z375" s="259"/>
      <c r="AA375" s="179">
        <f t="shared" si="160"/>
        <v>412.42479377000001</v>
      </c>
      <c r="AB375" s="259"/>
      <c r="AC375" s="179">
        <f t="shared" si="161"/>
        <v>0</v>
      </c>
      <c r="AD375" s="189">
        <f t="shared" si="155"/>
        <v>0</v>
      </c>
      <c r="AE375" s="179">
        <f t="shared" si="162"/>
        <v>1512.424745626</v>
      </c>
      <c r="AF375" s="264"/>
      <c r="AG375" s="179">
        <f t="shared" si="163"/>
        <v>999.99995185600005</v>
      </c>
      <c r="AH375" s="268"/>
      <c r="AI375" s="179">
        <f t="shared" si="164"/>
        <v>0</v>
      </c>
      <c r="AJ375" s="268"/>
      <c r="AK375" s="179">
        <f t="shared" si="165"/>
        <v>100</v>
      </c>
      <c r="AL375" s="268"/>
      <c r="AM375" s="179">
        <f t="shared" si="166"/>
        <v>0</v>
      </c>
      <c r="AN375" s="268"/>
      <c r="AO375" s="179">
        <f t="shared" si="167"/>
        <v>0</v>
      </c>
      <c r="AP375" s="268"/>
      <c r="AQ375" s="179">
        <f t="shared" si="168"/>
        <v>0</v>
      </c>
      <c r="AR375" s="273"/>
      <c r="AS375" s="209">
        <f t="shared" si="169"/>
        <v>0</v>
      </c>
      <c r="AT375" s="273"/>
      <c r="AU375" s="226">
        <f t="shared" si="170"/>
        <v>0</v>
      </c>
      <c r="AV375" s="273"/>
      <c r="AW375" s="209">
        <f t="shared" si="171"/>
        <v>0</v>
      </c>
      <c r="AX375" s="273"/>
      <c r="AY375" s="209">
        <f t="shared" si="172"/>
        <v>0</v>
      </c>
      <c r="AZ375" s="273"/>
      <c r="BA375" s="179">
        <f t="shared" si="173"/>
        <v>0</v>
      </c>
      <c r="BB375"/>
      <c r="BC375"/>
      <c r="BD375"/>
    </row>
    <row r="376" spans="1:56" s="34" customFormat="1" hidden="1" x14ac:dyDescent="0.25">
      <c r="A376" s="87"/>
      <c r="B376" s="42"/>
      <c r="C376" s="41"/>
      <c r="D376" s="41"/>
      <c r="E376" s="40"/>
      <c r="F376" s="40"/>
      <c r="G376" s="40"/>
      <c r="H376" s="40"/>
      <c r="I376" s="160"/>
      <c r="J376" s="41"/>
      <c r="K376" s="41"/>
      <c r="L376" s="41"/>
      <c r="M376" s="41"/>
      <c r="N376" s="41"/>
      <c r="O376" s="41"/>
      <c r="P376" s="188"/>
      <c r="Q376" s="221"/>
      <c r="R376" s="253"/>
      <c r="S376" s="179">
        <f t="shared" si="156"/>
        <v>3898.2066402109976</v>
      </c>
      <c r="T376" s="259"/>
      <c r="U376" s="179">
        <f t="shared" si="157"/>
        <v>79</v>
      </c>
      <c r="V376" s="259"/>
      <c r="W376" s="179">
        <f t="shared" si="158"/>
        <v>0</v>
      </c>
      <c r="X376" s="259"/>
      <c r="Y376" s="179">
        <f t="shared" si="159"/>
        <v>1099.9999518559998</v>
      </c>
      <c r="Z376" s="259"/>
      <c r="AA376" s="179">
        <f t="shared" si="160"/>
        <v>412.42479377000001</v>
      </c>
      <c r="AB376" s="259"/>
      <c r="AC376" s="179">
        <f t="shared" si="161"/>
        <v>0</v>
      </c>
      <c r="AD376" s="189">
        <f t="shared" si="155"/>
        <v>0</v>
      </c>
      <c r="AE376" s="179">
        <f t="shared" si="162"/>
        <v>1512.424745626</v>
      </c>
      <c r="AF376" s="264"/>
      <c r="AG376" s="179">
        <f t="shared" si="163"/>
        <v>999.99995185600005</v>
      </c>
      <c r="AH376" s="268"/>
      <c r="AI376" s="179">
        <f t="shared" si="164"/>
        <v>0</v>
      </c>
      <c r="AJ376" s="268"/>
      <c r="AK376" s="179">
        <f t="shared" si="165"/>
        <v>100</v>
      </c>
      <c r="AL376" s="268"/>
      <c r="AM376" s="179">
        <f t="shared" si="166"/>
        <v>0</v>
      </c>
      <c r="AN376" s="268"/>
      <c r="AO376" s="179">
        <f t="shared" si="167"/>
        <v>0</v>
      </c>
      <c r="AP376" s="268"/>
      <c r="AQ376" s="179">
        <f t="shared" si="168"/>
        <v>0</v>
      </c>
      <c r="AR376" s="273"/>
      <c r="AS376" s="209">
        <f t="shared" si="169"/>
        <v>0</v>
      </c>
      <c r="AT376" s="273"/>
      <c r="AU376" s="226">
        <f t="shared" si="170"/>
        <v>0</v>
      </c>
      <c r="AV376" s="273"/>
      <c r="AW376" s="209">
        <f t="shared" si="171"/>
        <v>0</v>
      </c>
      <c r="AX376" s="273"/>
      <c r="AY376" s="209">
        <f t="shared" si="172"/>
        <v>0</v>
      </c>
      <c r="AZ376" s="273"/>
      <c r="BA376" s="179">
        <f t="shared" si="173"/>
        <v>0</v>
      </c>
      <c r="BB376"/>
      <c r="BC376"/>
      <c r="BD376"/>
    </row>
    <row r="377" spans="1:56" s="34" customFormat="1" hidden="1" x14ac:dyDescent="0.25">
      <c r="A377" s="87"/>
      <c r="B377" s="42"/>
      <c r="C377" s="41"/>
      <c r="D377" s="41"/>
      <c r="E377" s="40"/>
      <c r="F377" s="40"/>
      <c r="G377" s="40"/>
      <c r="H377" s="40"/>
      <c r="I377" s="160"/>
      <c r="J377" s="41"/>
      <c r="K377" s="41"/>
      <c r="L377" s="41"/>
      <c r="M377" s="41"/>
      <c r="N377" s="41"/>
      <c r="O377" s="41"/>
      <c r="P377" s="188"/>
      <c r="Q377" s="221"/>
      <c r="R377" s="253"/>
      <c r="S377" s="179">
        <f t="shared" si="156"/>
        <v>3898.2066402109976</v>
      </c>
      <c r="T377" s="259"/>
      <c r="U377" s="179">
        <f t="shared" si="157"/>
        <v>79</v>
      </c>
      <c r="V377" s="259"/>
      <c r="W377" s="179">
        <f t="shared" si="158"/>
        <v>0</v>
      </c>
      <c r="X377" s="259"/>
      <c r="Y377" s="179">
        <f t="shared" si="159"/>
        <v>1099.9999518559998</v>
      </c>
      <c r="Z377" s="259"/>
      <c r="AA377" s="179">
        <f t="shared" si="160"/>
        <v>412.42479377000001</v>
      </c>
      <c r="AB377" s="259"/>
      <c r="AC377" s="179">
        <f t="shared" si="161"/>
        <v>0</v>
      </c>
      <c r="AD377" s="189">
        <f t="shared" si="155"/>
        <v>0</v>
      </c>
      <c r="AE377" s="179">
        <f t="shared" si="162"/>
        <v>1512.424745626</v>
      </c>
      <c r="AF377" s="264"/>
      <c r="AG377" s="179">
        <f t="shared" si="163"/>
        <v>999.99995185600005</v>
      </c>
      <c r="AH377" s="268"/>
      <c r="AI377" s="179">
        <f t="shared" si="164"/>
        <v>0</v>
      </c>
      <c r="AJ377" s="268"/>
      <c r="AK377" s="179">
        <f t="shared" si="165"/>
        <v>100</v>
      </c>
      <c r="AL377" s="268"/>
      <c r="AM377" s="179">
        <f t="shared" si="166"/>
        <v>0</v>
      </c>
      <c r="AN377" s="268"/>
      <c r="AO377" s="179">
        <f t="shared" si="167"/>
        <v>0</v>
      </c>
      <c r="AP377" s="268"/>
      <c r="AQ377" s="179">
        <f t="shared" si="168"/>
        <v>0</v>
      </c>
      <c r="AR377" s="273"/>
      <c r="AS377" s="209">
        <f t="shared" si="169"/>
        <v>0</v>
      </c>
      <c r="AT377" s="273"/>
      <c r="AU377" s="226">
        <f t="shared" si="170"/>
        <v>0</v>
      </c>
      <c r="AV377" s="273"/>
      <c r="AW377" s="209">
        <f t="shared" si="171"/>
        <v>0</v>
      </c>
      <c r="AX377" s="273"/>
      <c r="AY377" s="209">
        <f t="shared" si="172"/>
        <v>0</v>
      </c>
      <c r="AZ377" s="273"/>
      <c r="BA377" s="179">
        <f t="shared" si="173"/>
        <v>0</v>
      </c>
      <c r="BB377"/>
      <c r="BC377"/>
      <c r="BD377"/>
    </row>
    <row r="378" spans="1:56" s="34" customFormat="1" hidden="1" x14ac:dyDescent="0.25">
      <c r="A378" s="87"/>
      <c r="B378" s="42"/>
      <c r="C378" s="41"/>
      <c r="D378" s="41"/>
      <c r="E378" s="40"/>
      <c r="F378" s="40"/>
      <c r="G378" s="40"/>
      <c r="H378" s="40"/>
      <c r="I378" s="160"/>
      <c r="J378" s="41"/>
      <c r="K378" s="41"/>
      <c r="L378" s="41"/>
      <c r="M378" s="41"/>
      <c r="N378" s="41"/>
      <c r="O378" s="41"/>
      <c r="P378" s="188"/>
      <c r="Q378" s="221"/>
      <c r="R378" s="253"/>
      <c r="S378" s="179">
        <f t="shared" si="156"/>
        <v>3898.2066402109976</v>
      </c>
      <c r="T378" s="259"/>
      <c r="U378" s="179">
        <f t="shared" si="157"/>
        <v>79</v>
      </c>
      <c r="V378" s="259"/>
      <c r="W378" s="179">
        <f t="shared" si="158"/>
        <v>0</v>
      </c>
      <c r="X378" s="259"/>
      <c r="Y378" s="179">
        <f t="shared" si="159"/>
        <v>1099.9999518559998</v>
      </c>
      <c r="Z378" s="259"/>
      <c r="AA378" s="179">
        <f t="shared" si="160"/>
        <v>412.42479377000001</v>
      </c>
      <c r="AB378" s="259"/>
      <c r="AC378" s="179">
        <f t="shared" si="161"/>
        <v>0</v>
      </c>
      <c r="AD378" s="189">
        <f t="shared" si="155"/>
        <v>0</v>
      </c>
      <c r="AE378" s="179">
        <f t="shared" si="162"/>
        <v>1512.424745626</v>
      </c>
      <c r="AF378" s="264"/>
      <c r="AG378" s="179">
        <f t="shared" si="163"/>
        <v>999.99995185600005</v>
      </c>
      <c r="AH378" s="268"/>
      <c r="AI378" s="179">
        <f t="shared" si="164"/>
        <v>0</v>
      </c>
      <c r="AJ378" s="268"/>
      <c r="AK378" s="179">
        <f t="shared" si="165"/>
        <v>100</v>
      </c>
      <c r="AL378" s="268"/>
      <c r="AM378" s="179">
        <f t="shared" si="166"/>
        <v>0</v>
      </c>
      <c r="AN378" s="268"/>
      <c r="AO378" s="179">
        <f t="shared" si="167"/>
        <v>0</v>
      </c>
      <c r="AP378" s="268"/>
      <c r="AQ378" s="179">
        <f t="shared" si="168"/>
        <v>0</v>
      </c>
      <c r="AR378" s="273"/>
      <c r="AS378" s="209">
        <f t="shared" si="169"/>
        <v>0</v>
      </c>
      <c r="AT378" s="273"/>
      <c r="AU378" s="226">
        <f t="shared" si="170"/>
        <v>0</v>
      </c>
      <c r="AV378" s="273"/>
      <c r="AW378" s="209">
        <f t="shared" si="171"/>
        <v>0</v>
      </c>
      <c r="AX378" s="273"/>
      <c r="AY378" s="209">
        <f t="shared" si="172"/>
        <v>0</v>
      </c>
      <c r="AZ378" s="273"/>
      <c r="BA378" s="179">
        <f t="shared" si="173"/>
        <v>0</v>
      </c>
      <c r="BB378"/>
      <c r="BC378"/>
      <c r="BD378"/>
    </row>
    <row r="379" spans="1:56" s="34" customFormat="1" hidden="1" x14ac:dyDescent="0.25">
      <c r="A379" s="87"/>
      <c r="B379" s="42"/>
      <c r="C379" s="41"/>
      <c r="D379" s="41"/>
      <c r="E379" s="40"/>
      <c r="F379" s="40"/>
      <c r="G379" s="40"/>
      <c r="H379" s="40"/>
      <c r="I379" s="160"/>
      <c r="J379" s="41"/>
      <c r="K379" s="41"/>
      <c r="L379" s="41"/>
      <c r="M379" s="41"/>
      <c r="N379" s="41"/>
      <c r="O379" s="41"/>
      <c r="P379" s="188"/>
      <c r="Q379" s="221"/>
      <c r="R379" s="253"/>
      <c r="S379" s="179">
        <f t="shared" si="156"/>
        <v>3898.2066402109976</v>
      </c>
      <c r="T379" s="259"/>
      <c r="U379" s="179">
        <f t="shared" si="157"/>
        <v>79</v>
      </c>
      <c r="V379" s="259"/>
      <c r="W379" s="179">
        <f t="shared" si="158"/>
        <v>0</v>
      </c>
      <c r="X379" s="259"/>
      <c r="Y379" s="179">
        <f t="shared" si="159"/>
        <v>1099.9999518559998</v>
      </c>
      <c r="Z379" s="259"/>
      <c r="AA379" s="179">
        <f t="shared" si="160"/>
        <v>412.42479377000001</v>
      </c>
      <c r="AB379" s="259"/>
      <c r="AC379" s="179">
        <f t="shared" si="161"/>
        <v>0</v>
      </c>
      <c r="AD379" s="189">
        <f t="shared" si="155"/>
        <v>0</v>
      </c>
      <c r="AE379" s="179">
        <f t="shared" si="162"/>
        <v>1512.424745626</v>
      </c>
      <c r="AF379" s="264"/>
      <c r="AG379" s="179">
        <f t="shared" si="163"/>
        <v>999.99995185600005</v>
      </c>
      <c r="AH379" s="268"/>
      <c r="AI379" s="179">
        <f t="shared" si="164"/>
        <v>0</v>
      </c>
      <c r="AJ379" s="268"/>
      <c r="AK379" s="179">
        <f t="shared" si="165"/>
        <v>100</v>
      </c>
      <c r="AL379" s="268"/>
      <c r="AM379" s="179">
        <f t="shared" si="166"/>
        <v>0</v>
      </c>
      <c r="AN379" s="268"/>
      <c r="AO379" s="179">
        <f t="shared" si="167"/>
        <v>0</v>
      </c>
      <c r="AP379" s="268"/>
      <c r="AQ379" s="179">
        <f t="shared" si="168"/>
        <v>0</v>
      </c>
      <c r="AR379" s="273"/>
      <c r="AS379" s="209">
        <f t="shared" si="169"/>
        <v>0</v>
      </c>
      <c r="AT379" s="273"/>
      <c r="AU379" s="226">
        <f t="shared" si="170"/>
        <v>0</v>
      </c>
      <c r="AV379" s="273"/>
      <c r="AW379" s="209">
        <f t="shared" si="171"/>
        <v>0</v>
      </c>
      <c r="AX379" s="273"/>
      <c r="AY379" s="209">
        <f t="shared" si="172"/>
        <v>0</v>
      </c>
      <c r="AZ379" s="273"/>
      <c r="BA379" s="179">
        <f t="shared" si="173"/>
        <v>0</v>
      </c>
      <c r="BB379"/>
      <c r="BC379"/>
      <c r="BD379"/>
    </row>
    <row r="380" spans="1:56" s="34" customFormat="1" hidden="1" x14ac:dyDescent="0.25">
      <c r="A380" s="87"/>
      <c r="B380" s="42"/>
      <c r="C380" s="41"/>
      <c r="D380" s="41"/>
      <c r="E380" s="40"/>
      <c r="F380" s="40"/>
      <c r="G380" s="40"/>
      <c r="H380" s="40"/>
      <c r="I380" s="160"/>
      <c r="J380" s="41"/>
      <c r="K380" s="41"/>
      <c r="L380" s="41"/>
      <c r="M380" s="41"/>
      <c r="N380" s="41"/>
      <c r="O380" s="41"/>
      <c r="P380" s="188"/>
      <c r="Q380" s="221"/>
      <c r="R380" s="253"/>
      <c r="S380" s="179">
        <f t="shared" si="156"/>
        <v>3898.2066402109976</v>
      </c>
      <c r="T380" s="259"/>
      <c r="U380" s="179">
        <f t="shared" si="157"/>
        <v>79</v>
      </c>
      <c r="V380" s="259"/>
      <c r="W380" s="179">
        <f t="shared" si="158"/>
        <v>0</v>
      </c>
      <c r="X380" s="259"/>
      <c r="Y380" s="179">
        <f t="shared" si="159"/>
        <v>1099.9999518559998</v>
      </c>
      <c r="Z380" s="259"/>
      <c r="AA380" s="179">
        <f t="shared" si="160"/>
        <v>412.42479377000001</v>
      </c>
      <c r="AB380" s="259"/>
      <c r="AC380" s="179">
        <f t="shared" si="161"/>
        <v>0</v>
      </c>
      <c r="AD380" s="189">
        <f t="shared" si="155"/>
        <v>0</v>
      </c>
      <c r="AE380" s="179">
        <f t="shared" si="162"/>
        <v>1512.424745626</v>
      </c>
      <c r="AF380" s="264"/>
      <c r="AG380" s="179">
        <f t="shared" si="163"/>
        <v>999.99995185600005</v>
      </c>
      <c r="AH380" s="268"/>
      <c r="AI380" s="179">
        <f t="shared" si="164"/>
        <v>0</v>
      </c>
      <c r="AJ380" s="268"/>
      <c r="AK380" s="179">
        <f t="shared" si="165"/>
        <v>100</v>
      </c>
      <c r="AL380" s="268"/>
      <c r="AM380" s="179">
        <f t="shared" si="166"/>
        <v>0</v>
      </c>
      <c r="AN380" s="268"/>
      <c r="AO380" s="179">
        <f t="shared" si="167"/>
        <v>0</v>
      </c>
      <c r="AP380" s="268"/>
      <c r="AQ380" s="179">
        <f t="shared" si="168"/>
        <v>0</v>
      </c>
      <c r="AR380" s="273"/>
      <c r="AS380" s="209">
        <f t="shared" si="169"/>
        <v>0</v>
      </c>
      <c r="AT380" s="273"/>
      <c r="AU380" s="226">
        <f t="shared" si="170"/>
        <v>0</v>
      </c>
      <c r="AV380" s="273"/>
      <c r="AW380" s="209">
        <f t="shared" si="171"/>
        <v>0</v>
      </c>
      <c r="AX380" s="273"/>
      <c r="AY380" s="209">
        <f t="shared" si="172"/>
        <v>0</v>
      </c>
      <c r="AZ380" s="273"/>
      <c r="BA380" s="179">
        <f t="shared" si="173"/>
        <v>0</v>
      </c>
      <c r="BB380"/>
      <c r="BC380"/>
      <c r="BD380"/>
    </row>
    <row r="381" spans="1:56" s="34" customFormat="1" hidden="1" x14ac:dyDescent="0.25">
      <c r="A381" s="87"/>
      <c r="B381" s="42"/>
      <c r="C381" s="41"/>
      <c r="D381" s="41"/>
      <c r="E381" s="40"/>
      <c r="F381" s="40"/>
      <c r="G381" s="40"/>
      <c r="H381" s="40"/>
      <c r="I381" s="160"/>
      <c r="J381" s="41"/>
      <c r="K381" s="41"/>
      <c r="L381" s="41"/>
      <c r="M381" s="41"/>
      <c r="N381" s="41"/>
      <c r="O381" s="41"/>
      <c r="P381" s="188"/>
      <c r="Q381" s="221"/>
      <c r="R381" s="253"/>
      <c r="S381" s="179">
        <f t="shared" si="156"/>
        <v>3898.2066402109976</v>
      </c>
      <c r="T381" s="259"/>
      <c r="U381" s="179">
        <f t="shared" si="157"/>
        <v>79</v>
      </c>
      <c r="V381" s="259"/>
      <c r="W381" s="179">
        <f t="shared" si="158"/>
        <v>0</v>
      </c>
      <c r="X381" s="259"/>
      <c r="Y381" s="179">
        <f t="shared" si="159"/>
        <v>1099.9999518559998</v>
      </c>
      <c r="Z381" s="259"/>
      <c r="AA381" s="179">
        <f t="shared" si="160"/>
        <v>412.42479377000001</v>
      </c>
      <c r="AB381" s="259"/>
      <c r="AC381" s="179">
        <f t="shared" si="161"/>
        <v>0</v>
      </c>
      <c r="AD381" s="189">
        <f t="shared" si="155"/>
        <v>0</v>
      </c>
      <c r="AE381" s="179">
        <f t="shared" si="162"/>
        <v>1512.424745626</v>
      </c>
      <c r="AF381" s="264"/>
      <c r="AG381" s="179">
        <f t="shared" si="163"/>
        <v>999.99995185600005</v>
      </c>
      <c r="AH381" s="268"/>
      <c r="AI381" s="179">
        <f t="shared" si="164"/>
        <v>0</v>
      </c>
      <c r="AJ381" s="268"/>
      <c r="AK381" s="179">
        <f t="shared" si="165"/>
        <v>100</v>
      </c>
      <c r="AL381" s="268"/>
      <c r="AM381" s="179">
        <f t="shared" si="166"/>
        <v>0</v>
      </c>
      <c r="AN381" s="268"/>
      <c r="AO381" s="179">
        <f t="shared" si="167"/>
        <v>0</v>
      </c>
      <c r="AP381" s="268"/>
      <c r="AQ381" s="179">
        <f t="shared" si="168"/>
        <v>0</v>
      </c>
      <c r="AR381" s="273"/>
      <c r="AS381" s="209">
        <f t="shared" si="169"/>
        <v>0</v>
      </c>
      <c r="AT381" s="273"/>
      <c r="AU381" s="226">
        <f t="shared" si="170"/>
        <v>0</v>
      </c>
      <c r="AV381" s="273"/>
      <c r="AW381" s="209">
        <f t="shared" si="171"/>
        <v>0</v>
      </c>
      <c r="AX381" s="273"/>
      <c r="AY381" s="209">
        <f t="shared" si="172"/>
        <v>0</v>
      </c>
      <c r="AZ381" s="273"/>
      <c r="BA381" s="179">
        <f t="shared" si="173"/>
        <v>0</v>
      </c>
      <c r="BB381"/>
      <c r="BC381"/>
      <c r="BD381"/>
    </row>
    <row r="382" spans="1:56" s="34" customFormat="1" hidden="1" x14ac:dyDescent="0.25">
      <c r="A382" s="87"/>
      <c r="B382" s="42"/>
      <c r="C382" s="41"/>
      <c r="D382" s="41"/>
      <c r="E382" s="40"/>
      <c r="F382" s="40"/>
      <c r="G382" s="40"/>
      <c r="H382" s="40"/>
      <c r="I382" s="160"/>
      <c r="J382" s="41"/>
      <c r="K382" s="41"/>
      <c r="L382" s="41"/>
      <c r="M382" s="41"/>
      <c r="N382" s="41"/>
      <c r="O382" s="41"/>
      <c r="P382" s="188"/>
      <c r="Q382" s="221"/>
      <c r="R382" s="253"/>
      <c r="S382" s="179">
        <f t="shared" si="156"/>
        <v>3898.2066402109976</v>
      </c>
      <c r="T382" s="259"/>
      <c r="U382" s="179">
        <f t="shared" si="157"/>
        <v>79</v>
      </c>
      <c r="V382" s="259"/>
      <c r="W382" s="179">
        <f t="shared" si="158"/>
        <v>0</v>
      </c>
      <c r="X382" s="259"/>
      <c r="Y382" s="179">
        <f t="shared" si="159"/>
        <v>1099.9999518559998</v>
      </c>
      <c r="Z382" s="259"/>
      <c r="AA382" s="179">
        <f t="shared" si="160"/>
        <v>412.42479377000001</v>
      </c>
      <c r="AB382" s="259"/>
      <c r="AC382" s="179">
        <f t="shared" si="161"/>
        <v>0</v>
      </c>
      <c r="AD382" s="189">
        <f t="shared" si="155"/>
        <v>0</v>
      </c>
      <c r="AE382" s="179">
        <f t="shared" si="162"/>
        <v>1512.424745626</v>
      </c>
      <c r="AF382" s="264"/>
      <c r="AG382" s="179">
        <f t="shared" si="163"/>
        <v>999.99995185600005</v>
      </c>
      <c r="AH382" s="268"/>
      <c r="AI382" s="179">
        <f t="shared" si="164"/>
        <v>0</v>
      </c>
      <c r="AJ382" s="268"/>
      <c r="AK382" s="179">
        <f t="shared" si="165"/>
        <v>100</v>
      </c>
      <c r="AL382" s="268"/>
      <c r="AM382" s="179">
        <f t="shared" si="166"/>
        <v>0</v>
      </c>
      <c r="AN382" s="268"/>
      <c r="AO382" s="179">
        <f t="shared" si="167"/>
        <v>0</v>
      </c>
      <c r="AP382" s="268"/>
      <c r="AQ382" s="179">
        <f t="shared" si="168"/>
        <v>0</v>
      </c>
      <c r="AR382" s="273"/>
      <c r="AS382" s="209">
        <f t="shared" si="169"/>
        <v>0</v>
      </c>
      <c r="AT382" s="273"/>
      <c r="AU382" s="226">
        <f t="shared" si="170"/>
        <v>0</v>
      </c>
      <c r="AV382" s="273"/>
      <c r="AW382" s="209">
        <f t="shared" si="171"/>
        <v>0</v>
      </c>
      <c r="AX382" s="273"/>
      <c r="AY382" s="209">
        <f t="shared" si="172"/>
        <v>0</v>
      </c>
      <c r="AZ382" s="273"/>
      <c r="BA382" s="179">
        <f t="shared" si="173"/>
        <v>0</v>
      </c>
      <c r="BB382"/>
      <c r="BC382"/>
      <c r="BD382"/>
    </row>
    <row r="383" spans="1:56" s="34" customFormat="1" hidden="1" x14ac:dyDescent="0.25">
      <c r="A383" s="87"/>
      <c r="B383" s="42"/>
      <c r="C383" s="41"/>
      <c r="D383" s="41"/>
      <c r="E383" s="40"/>
      <c r="F383" s="40"/>
      <c r="G383" s="40"/>
      <c r="H383" s="40"/>
      <c r="I383" s="160"/>
      <c r="J383" s="41"/>
      <c r="K383" s="41"/>
      <c r="L383" s="41"/>
      <c r="M383" s="41"/>
      <c r="N383" s="41"/>
      <c r="O383" s="41"/>
      <c r="P383" s="188"/>
      <c r="Q383" s="221"/>
      <c r="R383" s="253"/>
      <c r="S383" s="179">
        <f t="shared" si="156"/>
        <v>3898.2066402109976</v>
      </c>
      <c r="T383" s="259"/>
      <c r="U383" s="179">
        <f t="shared" si="157"/>
        <v>79</v>
      </c>
      <c r="V383" s="259"/>
      <c r="W383" s="179">
        <f t="shared" si="158"/>
        <v>0</v>
      </c>
      <c r="X383" s="259"/>
      <c r="Y383" s="179">
        <f t="shared" si="159"/>
        <v>1099.9999518559998</v>
      </c>
      <c r="Z383" s="259"/>
      <c r="AA383" s="179">
        <f t="shared" si="160"/>
        <v>412.42479377000001</v>
      </c>
      <c r="AB383" s="259"/>
      <c r="AC383" s="179">
        <f t="shared" si="161"/>
        <v>0</v>
      </c>
      <c r="AD383" s="189">
        <f t="shared" si="155"/>
        <v>0</v>
      </c>
      <c r="AE383" s="179">
        <f t="shared" si="162"/>
        <v>1512.424745626</v>
      </c>
      <c r="AF383" s="264"/>
      <c r="AG383" s="179">
        <f t="shared" si="163"/>
        <v>999.99995185600005</v>
      </c>
      <c r="AH383" s="268"/>
      <c r="AI383" s="179">
        <f t="shared" si="164"/>
        <v>0</v>
      </c>
      <c r="AJ383" s="268"/>
      <c r="AK383" s="179">
        <f t="shared" si="165"/>
        <v>100</v>
      </c>
      <c r="AL383" s="268"/>
      <c r="AM383" s="179">
        <f t="shared" si="166"/>
        <v>0</v>
      </c>
      <c r="AN383" s="268"/>
      <c r="AO383" s="179">
        <f t="shared" si="167"/>
        <v>0</v>
      </c>
      <c r="AP383" s="268"/>
      <c r="AQ383" s="179">
        <f t="shared" si="168"/>
        <v>0</v>
      </c>
      <c r="AR383" s="273"/>
      <c r="AS383" s="209">
        <f t="shared" si="169"/>
        <v>0</v>
      </c>
      <c r="AT383" s="273"/>
      <c r="AU383" s="226">
        <f t="shared" si="170"/>
        <v>0</v>
      </c>
      <c r="AV383" s="273"/>
      <c r="AW383" s="209">
        <f t="shared" si="171"/>
        <v>0</v>
      </c>
      <c r="AX383" s="273"/>
      <c r="AY383" s="209">
        <f t="shared" si="172"/>
        <v>0</v>
      </c>
      <c r="AZ383" s="273"/>
      <c r="BA383" s="179">
        <f t="shared" si="173"/>
        <v>0</v>
      </c>
      <c r="BB383"/>
      <c r="BC383"/>
      <c r="BD383"/>
    </row>
    <row r="384" spans="1:56" s="34" customFormat="1" hidden="1" x14ac:dyDescent="0.25">
      <c r="A384" s="87"/>
      <c r="B384" s="42"/>
      <c r="C384" s="41"/>
      <c r="D384" s="41"/>
      <c r="E384" s="40"/>
      <c r="F384" s="40"/>
      <c r="G384" s="40"/>
      <c r="H384" s="40"/>
      <c r="I384" s="160"/>
      <c r="J384" s="41"/>
      <c r="K384" s="41"/>
      <c r="L384" s="41"/>
      <c r="M384" s="41"/>
      <c r="N384" s="41"/>
      <c r="O384" s="41"/>
      <c r="P384" s="188"/>
      <c r="Q384" s="221"/>
      <c r="R384" s="253"/>
      <c r="S384" s="179">
        <f t="shared" si="156"/>
        <v>3898.2066402109976</v>
      </c>
      <c r="T384" s="259"/>
      <c r="U384" s="179">
        <f t="shared" si="157"/>
        <v>79</v>
      </c>
      <c r="V384" s="259"/>
      <c r="W384" s="179">
        <f t="shared" si="158"/>
        <v>0</v>
      </c>
      <c r="X384" s="259"/>
      <c r="Y384" s="179">
        <f t="shared" si="159"/>
        <v>1099.9999518559998</v>
      </c>
      <c r="Z384" s="259"/>
      <c r="AA384" s="179">
        <f t="shared" si="160"/>
        <v>412.42479377000001</v>
      </c>
      <c r="AB384" s="259"/>
      <c r="AC384" s="179">
        <f t="shared" si="161"/>
        <v>0</v>
      </c>
      <c r="AD384" s="189">
        <f t="shared" si="155"/>
        <v>0</v>
      </c>
      <c r="AE384" s="179">
        <f t="shared" si="162"/>
        <v>1512.424745626</v>
      </c>
      <c r="AF384" s="264"/>
      <c r="AG384" s="179">
        <f t="shared" si="163"/>
        <v>999.99995185600005</v>
      </c>
      <c r="AH384" s="268"/>
      <c r="AI384" s="179">
        <f t="shared" si="164"/>
        <v>0</v>
      </c>
      <c r="AJ384" s="268"/>
      <c r="AK384" s="179">
        <f t="shared" si="165"/>
        <v>100</v>
      </c>
      <c r="AL384" s="268"/>
      <c r="AM384" s="179">
        <f t="shared" si="166"/>
        <v>0</v>
      </c>
      <c r="AN384" s="268"/>
      <c r="AO384" s="179">
        <f t="shared" si="167"/>
        <v>0</v>
      </c>
      <c r="AP384" s="268"/>
      <c r="AQ384" s="179">
        <f t="shared" si="168"/>
        <v>0</v>
      </c>
      <c r="AR384" s="273"/>
      <c r="AS384" s="209">
        <f t="shared" si="169"/>
        <v>0</v>
      </c>
      <c r="AT384" s="273"/>
      <c r="AU384" s="226">
        <f t="shared" si="170"/>
        <v>0</v>
      </c>
      <c r="AV384" s="273"/>
      <c r="AW384" s="209">
        <f t="shared" si="171"/>
        <v>0</v>
      </c>
      <c r="AX384" s="273"/>
      <c r="AY384" s="209">
        <f t="shared" si="172"/>
        <v>0</v>
      </c>
      <c r="AZ384" s="273"/>
      <c r="BA384" s="179">
        <f t="shared" si="173"/>
        <v>0</v>
      </c>
      <c r="BB384"/>
      <c r="BC384"/>
      <c r="BD384"/>
    </row>
    <row r="385" spans="1:56" s="34" customFormat="1" hidden="1" x14ac:dyDescent="0.25">
      <c r="A385" s="87"/>
      <c r="B385" s="42"/>
      <c r="C385" s="41"/>
      <c r="D385" s="41"/>
      <c r="E385" s="40"/>
      <c r="F385" s="40"/>
      <c r="G385" s="40"/>
      <c r="H385" s="40"/>
      <c r="I385" s="160"/>
      <c r="J385" s="41"/>
      <c r="K385" s="41"/>
      <c r="L385" s="41"/>
      <c r="M385" s="41"/>
      <c r="N385" s="41"/>
      <c r="O385" s="41"/>
      <c r="P385" s="188"/>
      <c r="Q385" s="221"/>
      <c r="R385" s="253"/>
      <c r="S385" s="179">
        <f t="shared" si="156"/>
        <v>3898.2066402109976</v>
      </c>
      <c r="T385" s="259"/>
      <c r="U385" s="179">
        <f t="shared" si="157"/>
        <v>79</v>
      </c>
      <c r="V385" s="259"/>
      <c r="W385" s="179">
        <f t="shared" si="158"/>
        <v>0</v>
      </c>
      <c r="X385" s="259"/>
      <c r="Y385" s="179">
        <f t="shared" si="159"/>
        <v>1099.9999518559998</v>
      </c>
      <c r="Z385" s="259"/>
      <c r="AA385" s="179">
        <f t="shared" si="160"/>
        <v>412.42479377000001</v>
      </c>
      <c r="AB385" s="259"/>
      <c r="AC385" s="179">
        <f t="shared" si="161"/>
        <v>0</v>
      </c>
      <c r="AD385" s="189">
        <f t="shared" si="155"/>
        <v>0</v>
      </c>
      <c r="AE385" s="179">
        <f t="shared" si="162"/>
        <v>1512.424745626</v>
      </c>
      <c r="AF385" s="264"/>
      <c r="AG385" s="179">
        <f t="shared" si="163"/>
        <v>999.99995185600005</v>
      </c>
      <c r="AH385" s="268"/>
      <c r="AI385" s="179">
        <f t="shared" si="164"/>
        <v>0</v>
      </c>
      <c r="AJ385" s="268"/>
      <c r="AK385" s="179">
        <f t="shared" si="165"/>
        <v>100</v>
      </c>
      <c r="AL385" s="268"/>
      <c r="AM385" s="179">
        <f t="shared" si="166"/>
        <v>0</v>
      </c>
      <c r="AN385" s="268"/>
      <c r="AO385" s="179">
        <f t="shared" si="167"/>
        <v>0</v>
      </c>
      <c r="AP385" s="268"/>
      <c r="AQ385" s="179">
        <f t="shared" si="168"/>
        <v>0</v>
      </c>
      <c r="AR385" s="273"/>
      <c r="AS385" s="209">
        <f t="shared" si="169"/>
        <v>0</v>
      </c>
      <c r="AT385" s="273"/>
      <c r="AU385" s="226">
        <f t="shared" si="170"/>
        <v>0</v>
      </c>
      <c r="AV385" s="273"/>
      <c r="AW385" s="209">
        <f t="shared" si="171"/>
        <v>0</v>
      </c>
      <c r="AX385" s="273"/>
      <c r="AY385" s="209">
        <f t="shared" si="172"/>
        <v>0</v>
      </c>
      <c r="AZ385" s="273"/>
      <c r="BA385" s="179">
        <f t="shared" si="173"/>
        <v>0</v>
      </c>
      <c r="BB385"/>
      <c r="BC385"/>
      <c r="BD385"/>
    </row>
    <row r="386" spans="1:56" s="34" customFormat="1" hidden="1" x14ac:dyDescent="0.25">
      <c r="A386" s="87"/>
      <c r="B386" s="42"/>
      <c r="C386" s="41"/>
      <c r="D386" s="41"/>
      <c r="E386" s="40"/>
      <c r="F386" s="40"/>
      <c r="G386" s="40"/>
      <c r="H386" s="40"/>
      <c r="I386" s="160"/>
      <c r="J386" s="41"/>
      <c r="K386" s="41"/>
      <c r="L386" s="41"/>
      <c r="M386" s="41"/>
      <c r="N386" s="41"/>
      <c r="O386" s="41"/>
      <c r="P386" s="188"/>
      <c r="Q386" s="221"/>
      <c r="R386" s="253"/>
      <c r="S386" s="179">
        <f t="shared" si="156"/>
        <v>3898.2066402109976</v>
      </c>
      <c r="T386" s="259"/>
      <c r="U386" s="179">
        <f t="shared" si="157"/>
        <v>79</v>
      </c>
      <c r="V386" s="259"/>
      <c r="W386" s="179">
        <f t="shared" si="158"/>
        <v>0</v>
      </c>
      <c r="X386" s="259"/>
      <c r="Y386" s="179">
        <f t="shared" si="159"/>
        <v>1099.9999518559998</v>
      </c>
      <c r="Z386" s="259"/>
      <c r="AA386" s="179">
        <f t="shared" si="160"/>
        <v>412.42479377000001</v>
      </c>
      <c r="AB386" s="259"/>
      <c r="AC386" s="179">
        <f t="shared" si="161"/>
        <v>0</v>
      </c>
      <c r="AD386" s="189">
        <f t="shared" si="155"/>
        <v>0</v>
      </c>
      <c r="AE386" s="179">
        <f t="shared" si="162"/>
        <v>1512.424745626</v>
      </c>
      <c r="AF386" s="264"/>
      <c r="AG386" s="179">
        <f t="shared" si="163"/>
        <v>999.99995185600005</v>
      </c>
      <c r="AH386" s="268"/>
      <c r="AI386" s="179">
        <f t="shared" si="164"/>
        <v>0</v>
      </c>
      <c r="AJ386" s="268"/>
      <c r="AK386" s="179">
        <f t="shared" si="165"/>
        <v>100</v>
      </c>
      <c r="AL386" s="268"/>
      <c r="AM386" s="179">
        <f t="shared" si="166"/>
        <v>0</v>
      </c>
      <c r="AN386" s="268"/>
      <c r="AO386" s="179">
        <f t="shared" si="167"/>
        <v>0</v>
      </c>
      <c r="AP386" s="268"/>
      <c r="AQ386" s="179">
        <f t="shared" si="168"/>
        <v>0</v>
      </c>
      <c r="AR386" s="273"/>
      <c r="AS386" s="209">
        <f t="shared" si="169"/>
        <v>0</v>
      </c>
      <c r="AT386" s="273"/>
      <c r="AU386" s="226">
        <f t="shared" si="170"/>
        <v>0</v>
      </c>
      <c r="AV386" s="273"/>
      <c r="AW386" s="209">
        <f t="shared" si="171"/>
        <v>0</v>
      </c>
      <c r="AX386" s="273"/>
      <c r="AY386" s="209">
        <f t="shared" si="172"/>
        <v>0</v>
      </c>
      <c r="AZ386" s="273"/>
      <c r="BA386" s="179">
        <f t="shared" si="173"/>
        <v>0</v>
      </c>
      <c r="BB386"/>
      <c r="BC386"/>
      <c r="BD386"/>
    </row>
    <row r="387" spans="1:56" s="34" customFormat="1" hidden="1" x14ac:dyDescent="0.25">
      <c r="A387" s="87"/>
      <c r="B387" s="42"/>
      <c r="C387" s="41"/>
      <c r="D387" s="41"/>
      <c r="E387" s="40"/>
      <c r="F387" s="40"/>
      <c r="G387" s="40"/>
      <c r="H387" s="40"/>
      <c r="I387" s="160"/>
      <c r="J387" s="41"/>
      <c r="K387" s="41"/>
      <c r="L387" s="41"/>
      <c r="M387" s="41"/>
      <c r="N387" s="41"/>
      <c r="O387" s="41"/>
      <c r="P387" s="188"/>
      <c r="Q387" s="221"/>
      <c r="R387" s="253"/>
      <c r="S387" s="179">
        <f t="shared" si="156"/>
        <v>3898.2066402109976</v>
      </c>
      <c r="T387" s="259"/>
      <c r="U387" s="179">
        <f t="shared" si="157"/>
        <v>79</v>
      </c>
      <c r="V387" s="259"/>
      <c r="W387" s="179">
        <f t="shared" si="158"/>
        <v>0</v>
      </c>
      <c r="X387" s="259"/>
      <c r="Y387" s="179">
        <f t="shared" si="159"/>
        <v>1099.9999518559998</v>
      </c>
      <c r="Z387" s="259"/>
      <c r="AA387" s="179">
        <f t="shared" si="160"/>
        <v>412.42479377000001</v>
      </c>
      <c r="AB387" s="259"/>
      <c r="AC387" s="179">
        <f t="shared" si="161"/>
        <v>0</v>
      </c>
      <c r="AD387" s="189">
        <f t="shared" ref="AD387:AD401" si="174">Dia_Col_Deduct+Dia_Col_Copay+Dia_Col_Coinsur</f>
        <v>0</v>
      </c>
      <c r="AE387" s="179">
        <f t="shared" si="162"/>
        <v>1512.424745626</v>
      </c>
      <c r="AF387" s="264"/>
      <c r="AG387" s="179">
        <f t="shared" si="163"/>
        <v>999.99995185600005</v>
      </c>
      <c r="AH387" s="268"/>
      <c r="AI387" s="179">
        <f t="shared" si="164"/>
        <v>0</v>
      </c>
      <c r="AJ387" s="268"/>
      <c r="AK387" s="179">
        <f t="shared" si="165"/>
        <v>100</v>
      </c>
      <c r="AL387" s="268"/>
      <c r="AM387" s="179">
        <f t="shared" si="166"/>
        <v>0</v>
      </c>
      <c r="AN387" s="268"/>
      <c r="AO387" s="179">
        <f t="shared" si="167"/>
        <v>0</v>
      </c>
      <c r="AP387" s="268"/>
      <c r="AQ387" s="179">
        <f t="shared" si="168"/>
        <v>0</v>
      </c>
      <c r="AR387" s="273"/>
      <c r="AS387" s="209">
        <f t="shared" si="169"/>
        <v>0</v>
      </c>
      <c r="AT387" s="273"/>
      <c r="AU387" s="226">
        <f t="shared" si="170"/>
        <v>0</v>
      </c>
      <c r="AV387" s="273"/>
      <c r="AW387" s="209">
        <f t="shared" si="171"/>
        <v>0</v>
      </c>
      <c r="AX387" s="273"/>
      <c r="AY387" s="209">
        <f t="shared" si="172"/>
        <v>0</v>
      </c>
      <c r="AZ387" s="273"/>
      <c r="BA387" s="179">
        <f t="shared" si="173"/>
        <v>0</v>
      </c>
      <c r="BB387"/>
      <c r="BC387"/>
      <c r="BD387"/>
    </row>
    <row r="388" spans="1:56" s="34" customFormat="1" hidden="1" x14ac:dyDescent="0.25">
      <c r="A388" s="87"/>
      <c r="B388" s="42"/>
      <c r="C388" s="41"/>
      <c r="D388" s="41"/>
      <c r="E388" s="40"/>
      <c r="F388" s="40"/>
      <c r="G388" s="40"/>
      <c r="H388" s="40"/>
      <c r="I388" s="160"/>
      <c r="J388" s="41"/>
      <c r="K388" s="41"/>
      <c r="L388" s="41"/>
      <c r="M388" s="41"/>
      <c r="N388" s="41"/>
      <c r="O388" s="41"/>
      <c r="P388" s="188"/>
      <c r="Q388" s="221"/>
      <c r="R388" s="253"/>
      <c r="S388" s="179">
        <f t="shared" si="156"/>
        <v>3898.2066402109976</v>
      </c>
      <c r="T388" s="259"/>
      <c r="U388" s="179">
        <f t="shared" si="157"/>
        <v>79</v>
      </c>
      <c r="V388" s="259"/>
      <c r="W388" s="179">
        <f t="shared" si="158"/>
        <v>0</v>
      </c>
      <c r="X388" s="259"/>
      <c r="Y388" s="179">
        <f t="shared" si="159"/>
        <v>1099.9999518559998</v>
      </c>
      <c r="Z388" s="259"/>
      <c r="AA388" s="179">
        <f t="shared" si="160"/>
        <v>412.42479377000001</v>
      </c>
      <c r="AB388" s="259"/>
      <c r="AC388" s="179">
        <f t="shared" si="161"/>
        <v>0</v>
      </c>
      <c r="AD388" s="189">
        <f t="shared" si="174"/>
        <v>0</v>
      </c>
      <c r="AE388" s="179">
        <f t="shared" si="162"/>
        <v>1512.424745626</v>
      </c>
      <c r="AF388" s="264"/>
      <c r="AG388" s="179">
        <f t="shared" si="163"/>
        <v>999.99995185600005</v>
      </c>
      <c r="AH388" s="268"/>
      <c r="AI388" s="179">
        <f t="shared" si="164"/>
        <v>0</v>
      </c>
      <c r="AJ388" s="268"/>
      <c r="AK388" s="179">
        <f t="shared" si="165"/>
        <v>100</v>
      </c>
      <c r="AL388" s="268"/>
      <c r="AM388" s="179">
        <f t="shared" si="166"/>
        <v>0</v>
      </c>
      <c r="AN388" s="268"/>
      <c r="AO388" s="179">
        <f t="shared" si="167"/>
        <v>0</v>
      </c>
      <c r="AP388" s="268"/>
      <c r="AQ388" s="179">
        <f t="shared" si="168"/>
        <v>0</v>
      </c>
      <c r="AR388" s="273"/>
      <c r="AS388" s="209">
        <f t="shared" si="169"/>
        <v>0</v>
      </c>
      <c r="AT388" s="273"/>
      <c r="AU388" s="226">
        <f t="shared" si="170"/>
        <v>0</v>
      </c>
      <c r="AV388" s="273"/>
      <c r="AW388" s="209">
        <f t="shared" si="171"/>
        <v>0</v>
      </c>
      <c r="AX388" s="273"/>
      <c r="AY388" s="209">
        <f t="shared" si="172"/>
        <v>0</v>
      </c>
      <c r="AZ388" s="273"/>
      <c r="BA388" s="179">
        <f t="shared" si="173"/>
        <v>0</v>
      </c>
      <c r="BB388"/>
      <c r="BC388"/>
      <c r="BD388"/>
    </row>
    <row r="389" spans="1:56" s="34" customFormat="1" hidden="1" x14ac:dyDescent="0.25">
      <c r="A389" s="87"/>
      <c r="B389" s="42"/>
      <c r="C389" s="41"/>
      <c r="D389" s="41"/>
      <c r="E389" s="40"/>
      <c r="F389" s="40"/>
      <c r="G389" s="40"/>
      <c r="H389" s="40"/>
      <c r="I389" s="160"/>
      <c r="J389" s="41"/>
      <c r="K389" s="41"/>
      <c r="L389" s="41"/>
      <c r="M389" s="41"/>
      <c r="N389" s="41"/>
      <c r="O389" s="41"/>
      <c r="P389" s="188"/>
      <c r="Q389" s="221"/>
      <c r="R389" s="253"/>
      <c r="S389" s="179">
        <f t="shared" ref="S389:S401" si="175">R389+S388</f>
        <v>3898.2066402109976</v>
      </c>
      <c r="T389" s="259"/>
      <c r="U389" s="179">
        <f t="shared" ref="U389:U401" si="176">T389+U388</f>
        <v>79</v>
      </c>
      <c r="V389" s="259"/>
      <c r="W389" s="179">
        <f t="shared" ref="W389:W401" si="177">V389+W388</f>
        <v>0</v>
      </c>
      <c r="X389" s="259"/>
      <c r="Y389" s="179">
        <f t="shared" ref="Y389:Y401" si="178">X389+Y388</f>
        <v>1099.9999518559998</v>
      </c>
      <c r="Z389" s="259"/>
      <c r="AA389" s="179">
        <f t="shared" ref="AA389:AA401" si="179">Z389+AA388</f>
        <v>412.42479377000001</v>
      </c>
      <c r="AB389" s="259"/>
      <c r="AC389" s="179">
        <f t="shared" ref="AC389:AC401" si="180">AB389+AC388</f>
        <v>0</v>
      </c>
      <c r="AD389" s="189">
        <f t="shared" si="174"/>
        <v>0</v>
      </c>
      <c r="AE389" s="179">
        <f t="shared" ref="AE389:AE401" si="181">AD389+AE388</f>
        <v>1512.424745626</v>
      </c>
      <c r="AF389" s="264"/>
      <c r="AG389" s="179">
        <f t="shared" ref="AG389:AG401" si="182">AF389+AG388</f>
        <v>999.99995185600005</v>
      </c>
      <c r="AH389" s="268"/>
      <c r="AI389" s="179">
        <f t="shared" ref="AI389:AI401" si="183">AH389+AI388</f>
        <v>0</v>
      </c>
      <c r="AJ389" s="268"/>
      <c r="AK389" s="179">
        <f t="shared" ref="AK389:AK401" si="184">AJ389+AK388</f>
        <v>100</v>
      </c>
      <c r="AL389" s="268"/>
      <c r="AM389" s="179">
        <f t="shared" ref="AM389:AM401" si="185">AL389+AM388</f>
        <v>0</v>
      </c>
      <c r="AN389" s="268"/>
      <c r="AO389" s="179">
        <f t="shared" ref="AO389:AO401" si="186">AN389+AO388</f>
        <v>0</v>
      </c>
      <c r="AP389" s="268"/>
      <c r="AQ389" s="179">
        <f t="shared" ref="AQ389:AQ401" si="187">AP389+AQ388</f>
        <v>0</v>
      </c>
      <c r="AR389" s="273"/>
      <c r="AS389" s="209">
        <f t="shared" ref="AS389:AS401" si="188">AR389+AS388</f>
        <v>0</v>
      </c>
      <c r="AT389" s="273"/>
      <c r="AU389" s="226">
        <f t="shared" ref="AU389:AU401" si="189">AT389+AU388</f>
        <v>0</v>
      </c>
      <c r="AV389" s="273"/>
      <c r="AW389" s="209">
        <f t="shared" ref="AW389:AW401" si="190">AV389+AW388</f>
        <v>0</v>
      </c>
      <c r="AX389" s="273"/>
      <c r="AY389" s="209">
        <f t="shared" ref="AY389:AY401" si="191">AX389+AY388</f>
        <v>0</v>
      </c>
      <c r="AZ389" s="273"/>
      <c r="BA389" s="179">
        <f t="shared" ref="BA389:BA401" si="192">AZ389+BA388</f>
        <v>0</v>
      </c>
      <c r="BB389"/>
      <c r="BC389"/>
      <c r="BD389"/>
    </row>
    <row r="390" spans="1:56" s="34" customFormat="1" hidden="1" x14ac:dyDescent="0.25">
      <c r="A390" s="87"/>
      <c r="B390" s="42"/>
      <c r="C390" s="41"/>
      <c r="D390" s="41"/>
      <c r="E390" s="40"/>
      <c r="F390" s="40"/>
      <c r="G390" s="40"/>
      <c r="H390" s="40"/>
      <c r="I390" s="160"/>
      <c r="J390" s="41"/>
      <c r="K390" s="41"/>
      <c r="L390" s="41"/>
      <c r="M390" s="41"/>
      <c r="N390" s="41"/>
      <c r="O390" s="41"/>
      <c r="P390" s="188"/>
      <c r="Q390" s="221"/>
      <c r="R390" s="253"/>
      <c r="S390" s="179">
        <f t="shared" si="175"/>
        <v>3898.2066402109976</v>
      </c>
      <c r="T390" s="259"/>
      <c r="U390" s="179">
        <f t="shared" si="176"/>
        <v>79</v>
      </c>
      <c r="V390" s="259"/>
      <c r="W390" s="179">
        <f t="shared" si="177"/>
        <v>0</v>
      </c>
      <c r="X390" s="259"/>
      <c r="Y390" s="179">
        <f t="shared" si="178"/>
        <v>1099.9999518559998</v>
      </c>
      <c r="Z390" s="259"/>
      <c r="AA390" s="179">
        <f t="shared" si="179"/>
        <v>412.42479377000001</v>
      </c>
      <c r="AB390" s="259"/>
      <c r="AC390" s="179">
        <f t="shared" si="180"/>
        <v>0</v>
      </c>
      <c r="AD390" s="189">
        <f t="shared" si="174"/>
        <v>0</v>
      </c>
      <c r="AE390" s="179">
        <f t="shared" si="181"/>
        <v>1512.424745626</v>
      </c>
      <c r="AF390" s="264"/>
      <c r="AG390" s="179">
        <f t="shared" si="182"/>
        <v>999.99995185600005</v>
      </c>
      <c r="AH390" s="268"/>
      <c r="AI390" s="179">
        <f t="shared" si="183"/>
        <v>0</v>
      </c>
      <c r="AJ390" s="268"/>
      <c r="AK390" s="179">
        <f t="shared" si="184"/>
        <v>100</v>
      </c>
      <c r="AL390" s="268"/>
      <c r="AM390" s="179">
        <f t="shared" si="185"/>
        <v>0</v>
      </c>
      <c r="AN390" s="268"/>
      <c r="AO390" s="179">
        <f t="shared" si="186"/>
        <v>0</v>
      </c>
      <c r="AP390" s="268"/>
      <c r="AQ390" s="179">
        <f t="shared" si="187"/>
        <v>0</v>
      </c>
      <c r="AR390" s="273"/>
      <c r="AS390" s="209">
        <f t="shared" si="188"/>
        <v>0</v>
      </c>
      <c r="AT390" s="273"/>
      <c r="AU390" s="226">
        <f t="shared" si="189"/>
        <v>0</v>
      </c>
      <c r="AV390" s="273"/>
      <c r="AW390" s="209">
        <f t="shared" si="190"/>
        <v>0</v>
      </c>
      <c r="AX390" s="273"/>
      <c r="AY390" s="209">
        <f t="shared" si="191"/>
        <v>0</v>
      </c>
      <c r="AZ390" s="273"/>
      <c r="BA390" s="179">
        <f t="shared" si="192"/>
        <v>0</v>
      </c>
      <c r="BB390"/>
      <c r="BC390"/>
      <c r="BD390"/>
    </row>
    <row r="391" spans="1:56" s="34" customFormat="1" hidden="1" x14ac:dyDescent="0.25">
      <c r="A391" s="87"/>
      <c r="B391" s="42"/>
      <c r="C391" s="41"/>
      <c r="D391" s="41"/>
      <c r="E391" s="40"/>
      <c r="F391" s="40"/>
      <c r="G391" s="40"/>
      <c r="H391" s="40"/>
      <c r="I391" s="160"/>
      <c r="J391" s="41"/>
      <c r="K391" s="41"/>
      <c r="L391" s="41"/>
      <c r="M391" s="41"/>
      <c r="N391" s="41"/>
      <c r="O391" s="41"/>
      <c r="P391" s="188"/>
      <c r="Q391" s="221"/>
      <c r="R391" s="253"/>
      <c r="S391" s="179">
        <f t="shared" si="175"/>
        <v>3898.2066402109976</v>
      </c>
      <c r="T391" s="259"/>
      <c r="U391" s="179">
        <f t="shared" si="176"/>
        <v>79</v>
      </c>
      <c r="V391" s="259"/>
      <c r="W391" s="179">
        <f t="shared" si="177"/>
        <v>0</v>
      </c>
      <c r="X391" s="259"/>
      <c r="Y391" s="179">
        <f t="shared" si="178"/>
        <v>1099.9999518559998</v>
      </c>
      <c r="Z391" s="259"/>
      <c r="AA391" s="179">
        <f t="shared" si="179"/>
        <v>412.42479377000001</v>
      </c>
      <c r="AB391" s="259"/>
      <c r="AC391" s="179">
        <f t="shared" si="180"/>
        <v>0</v>
      </c>
      <c r="AD391" s="189">
        <f t="shared" si="174"/>
        <v>0</v>
      </c>
      <c r="AE391" s="179">
        <f t="shared" si="181"/>
        <v>1512.424745626</v>
      </c>
      <c r="AF391" s="264"/>
      <c r="AG391" s="179">
        <f t="shared" si="182"/>
        <v>999.99995185600005</v>
      </c>
      <c r="AH391" s="268"/>
      <c r="AI391" s="179">
        <f t="shared" si="183"/>
        <v>0</v>
      </c>
      <c r="AJ391" s="268"/>
      <c r="AK391" s="179">
        <f t="shared" si="184"/>
        <v>100</v>
      </c>
      <c r="AL391" s="268"/>
      <c r="AM391" s="179">
        <f t="shared" si="185"/>
        <v>0</v>
      </c>
      <c r="AN391" s="268"/>
      <c r="AO391" s="179">
        <f t="shared" si="186"/>
        <v>0</v>
      </c>
      <c r="AP391" s="268"/>
      <c r="AQ391" s="179">
        <f t="shared" si="187"/>
        <v>0</v>
      </c>
      <c r="AR391" s="273"/>
      <c r="AS391" s="209">
        <f t="shared" si="188"/>
        <v>0</v>
      </c>
      <c r="AT391" s="273"/>
      <c r="AU391" s="226">
        <f t="shared" si="189"/>
        <v>0</v>
      </c>
      <c r="AV391" s="273"/>
      <c r="AW391" s="209">
        <f t="shared" si="190"/>
        <v>0</v>
      </c>
      <c r="AX391" s="273"/>
      <c r="AY391" s="209">
        <f t="shared" si="191"/>
        <v>0</v>
      </c>
      <c r="AZ391" s="273"/>
      <c r="BA391" s="179">
        <f t="shared" si="192"/>
        <v>0</v>
      </c>
      <c r="BB391"/>
      <c r="BC391"/>
      <c r="BD391"/>
    </row>
    <row r="392" spans="1:56" s="34" customFormat="1" hidden="1" x14ac:dyDescent="0.25">
      <c r="A392" s="87"/>
      <c r="B392" s="42"/>
      <c r="C392" s="41"/>
      <c r="D392" s="41"/>
      <c r="E392" s="40"/>
      <c r="F392" s="40"/>
      <c r="G392" s="40"/>
      <c r="H392" s="40"/>
      <c r="I392" s="160"/>
      <c r="J392" s="41"/>
      <c r="K392" s="41"/>
      <c r="L392" s="41"/>
      <c r="M392" s="41"/>
      <c r="N392" s="41"/>
      <c r="O392" s="41"/>
      <c r="P392" s="188"/>
      <c r="Q392" s="221"/>
      <c r="R392" s="253"/>
      <c r="S392" s="179">
        <f t="shared" si="175"/>
        <v>3898.2066402109976</v>
      </c>
      <c r="T392" s="259"/>
      <c r="U392" s="179">
        <f t="shared" si="176"/>
        <v>79</v>
      </c>
      <c r="V392" s="259"/>
      <c r="W392" s="179">
        <f t="shared" si="177"/>
        <v>0</v>
      </c>
      <c r="X392" s="259"/>
      <c r="Y392" s="179">
        <f t="shared" si="178"/>
        <v>1099.9999518559998</v>
      </c>
      <c r="Z392" s="259"/>
      <c r="AA392" s="179">
        <f t="shared" si="179"/>
        <v>412.42479377000001</v>
      </c>
      <c r="AB392" s="259"/>
      <c r="AC392" s="179">
        <f t="shared" si="180"/>
        <v>0</v>
      </c>
      <c r="AD392" s="189">
        <f t="shared" si="174"/>
        <v>0</v>
      </c>
      <c r="AE392" s="179">
        <f t="shared" si="181"/>
        <v>1512.424745626</v>
      </c>
      <c r="AF392" s="264"/>
      <c r="AG392" s="179">
        <f t="shared" si="182"/>
        <v>999.99995185600005</v>
      </c>
      <c r="AH392" s="268"/>
      <c r="AI392" s="179">
        <f t="shared" si="183"/>
        <v>0</v>
      </c>
      <c r="AJ392" s="268"/>
      <c r="AK392" s="179">
        <f t="shared" si="184"/>
        <v>100</v>
      </c>
      <c r="AL392" s="268"/>
      <c r="AM392" s="179">
        <f t="shared" si="185"/>
        <v>0</v>
      </c>
      <c r="AN392" s="268"/>
      <c r="AO392" s="179">
        <f t="shared" si="186"/>
        <v>0</v>
      </c>
      <c r="AP392" s="268"/>
      <c r="AQ392" s="179">
        <f t="shared" si="187"/>
        <v>0</v>
      </c>
      <c r="AR392" s="273"/>
      <c r="AS392" s="209">
        <f t="shared" si="188"/>
        <v>0</v>
      </c>
      <c r="AT392" s="273"/>
      <c r="AU392" s="226">
        <f t="shared" si="189"/>
        <v>0</v>
      </c>
      <c r="AV392" s="273"/>
      <c r="AW392" s="209">
        <f t="shared" si="190"/>
        <v>0</v>
      </c>
      <c r="AX392" s="273"/>
      <c r="AY392" s="209">
        <f t="shared" si="191"/>
        <v>0</v>
      </c>
      <c r="AZ392" s="273"/>
      <c r="BA392" s="179">
        <f t="shared" si="192"/>
        <v>0</v>
      </c>
      <c r="BB392"/>
      <c r="BC392"/>
      <c r="BD392"/>
    </row>
    <row r="393" spans="1:56" s="34" customFormat="1" hidden="1" x14ac:dyDescent="0.25">
      <c r="A393" s="87"/>
      <c r="B393" s="42"/>
      <c r="C393" s="41"/>
      <c r="D393" s="41"/>
      <c r="E393" s="40"/>
      <c r="F393" s="40"/>
      <c r="G393" s="40"/>
      <c r="H393" s="40"/>
      <c r="I393" s="160"/>
      <c r="J393" s="41"/>
      <c r="K393" s="41"/>
      <c r="L393" s="41"/>
      <c r="M393" s="41"/>
      <c r="N393" s="41"/>
      <c r="O393" s="41"/>
      <c r="P393" s="188"/>
      <c r="Q393" s="221"/>
      <c r="R393" s="253"/>
      <c r="S393" s="179">
        <f t="shared" si="175"/>
        <v>3898.2066402109976</v>
      </c>
      <c r="T393" s="259"/>
      <c r="U393" s="179">
        <f t="shared" si="176"/>
        <v>79</v>
      </c>
      <c r="V393" s="259"/>
      <c r="W393" s="179">
        <f t="shared" si="177"/>
        <v>0</v>
      </c>
      <c r="X393" s="259"/>
      <c r="Y393" s="179">
        <f t="shared" si="178"/>
        <v>1099.9999518559998</v>
      </c>
      <c r="Z393" s="259"/>
      <c r="AA393" s="179">
        <f t="shared" si="179"/>
        <v>412.42479377000001</v>
      </c>
      <c r="AB393" s="259"/>
      <c r="AC393" s="179">
        <f t="shared" si="180"/>
        <v>0</v>
      </c>
      <c r="AD393" s="189">
        <f t="shared" si="174"/>
        <v>0</v>
      </c>
      <c r="AE393" s="179">
        <f t="shared" si="181"/>
        <v>1512.424745626</v>
      </c>
      <c r="AF393" s="264"/>
      <c r="AG393" s="179">
        <f t="shared" si="182"/>
        <v>999.99995185600005</v>
      </c>
      <c r="AH393" s="268"/>
      <c r="AI393" s="179">
        <f t="shared" si="183"/>
        <v>0</v>
      </c>
      <c r="AJ393" s="268"/>
      <c r="AK393" s="179">
        <f t="shared" si="184"/>
        <v>100</v>
      </c>
      <c r="AL393" s="268"/>
      <c r="AM393" s="179">
        <f t="shared" si="185"/>
        <v>0</v>
      </c>
      <c r="AN393" s="268"/>
      <c r="AO393" s="179">
        <f t="shared" si="186"/>
        <v>0</v>
      </c>
      <c r="AP393" s="268"/>
      <c r="AQ393" s="179">
        <f t="shared" si="187"/>
        <v>0</v>
      </c>
      <c r="AR393" s="273"/>
      <c r="AS393" s="209">
        <f t="shared" si="188"/>
        <v>0</v>
      </c>
      <c r="AT393" s="273"/>
      <c r="AU393" s="226">
        <f t="shared" si="189"/>
        <v>0</v>
      </c>
      <c r="AV393" s="273"/>
      <c r="AW393" s="209">
        <f t="shared" si="190"/>
        <v>0</v>
      </c>
      <c r="AX393" s="273"/>
      <c r="AY393" s="209">
        <f t="shared" si="191"/>
        <v>0</v>
      </c>
      <c r="AZ393" s="273"/>
      <c r="BA393" s="179">
        <f t="shared" si="192"/>
        <v>0</v>
      </c>
      <c r="BB393"/>
      <c r="BC393"/>
      <c r="BD393"/>
    </row>
    <row r="394" spans="1:56" s="34" customFormat="1" hidden="1" x14ac:dyDescent="0.25">
      <c r="A394" s="87"/>
      <c r="B394" s="42"/>
      <c r="C394" s="41"/>
      <c r="D394" s="41"/>
      <c r="E394" s="40"/>
      <c r="F394" s="40"/>
      <c r="G394" s="40"/>
      <c r="H394" s="40"/>
      <c r="I394" s="160"/>
      <c r="J394" s="41"/>
      <c r="K394" s="41"/>
      <c r="L394" s="41"/>
      <c r="M394" s="41"/>
      <c r="N394" s="41"/>
      <c r="O394" s="41"/>
      <c r="P394" s="188"/>
      <c r="Q394" s="221"/>
      <c r="R394" s="253"/>
      <c r="S394" s="179">
        <f t="shared" si="175"/>
        <v>3898.2066402109976</v>
      </c>
      <c r="T394" s="259"/>
      <c r="U394" s="179">
        <f t="shared" si="176"/>
        <v>79</v>
      </c>
      <c r="V394" s="259"/>
      <c r="W394" s="179">
        <f t="shared" si="177"/>
        <v>0</v>
      </c>
      <c r="X394" s="259"/>
      <c r="Y394" s="179">
        <f t="shared" si="178"/>
        <v>1099.9999518559998</v>
      </c>
      <c r="Z394" s="259"/>
      <c r="AA394" s="179">
        <f t="shared" si="179"/>
        <v>412.42479377000001</v>
      </c>
      <c r="AB394" s="259"/>
      <c r="AC394" s="179">
        <f t="shared" si="180"/>
        <v>0</v>
      </c>
      <c r="AD394" s="189">
        <f t="shared" si="174"/>
        <v>0</v>
      </c>
      <c r="AE394" s="179">
        <f t="shared" si="181"/>
        <v>1512.424745626</v>
      </c>
      <c r="AF394" s="264"/>
      <c r="AG394" s="179">
        <f t="shared" si="182"/>
        <v>999.99995185600005</v>
      </c>
      <c r="AH394" s="268"/>
      <c r="AI394" s="179">
        <f t="shared" si="183"/>
        <v>0</v>
      </c>
      <c r="AJ394" s="268"/>
      <c r="AK394" s="179">
        <f t="shared" si="184"/>
        <v>100</v>
      </c>
      <c r="AL394" s="268"/>
      <c r="AM394" s="179">
        <f t="shared" si="185"/>
        <v>0</v>
      </c>
      <c r="AN394" s="268"/>
      <c r="AO394" s="179">
        <f t="shared" si="186"/>
        <v>0</v>
      </c>
      <c r="AP394" s="268"/>
      <c r="AQ394" s="179">
        <f t="shared" si="187"/>
        <v>0</v>
      </c>
      <c r="AR394" s="273"/>
      <c r="AS394" s="209">
        <f t="shared" si="188"/>
        <v>0</v>
      </c>
      <c r="AT394" s="273"/>
      <c r="AU394" s="226">
        <f t="shared" si="189"/>
        <v>0</v>
      </c>
      <c r="AV394" s="273"/>
      <c r="AW394" s="209">
        <f t="shared" si="190"/>
        <v>0</v>
      </c>
      <c r="AX394" s="273"/>
      <c r="AY394" s="209">
        <f t="shared" si="191"/>
        <v>0</v>
      </c>
      <c r="AZ394" s="273"/>
      <c r="BA394" s="179">
        <f t="shared" si="192"/>
        <v>0</v>
      </c>
      <c r="BB394"/>
      <c r="BC394"/>
      <c r="BD394"/>
    </row>
    <row r="395" spans="1:56" s="34" customFormat="1" hidden="1" x14ac:dyDescent="0.25">
      <c r="A395" s="87"/>
      <c r="B395" s="42"/>
      <c r="C395" s="41"/>
      <c r="D395" s="41"/>
      <c r="E395" s="40"/>
      <c r="F395" s="40"/>
      <c r="G395" s="40"/>
      <c r="H395" s="40"/>
      <c r="I395" s="160"/>
      <c r="J395" s="41"/>
      <c r="K395" s="41"/>
      <c r="L395" s="41"/>
      <c r="M395" s="41"/>
      <c r="N395" s="41"/>
      <c r="O395" s="41"/>
      <c r="P395" s="188"/>
      <c r="Q395" s="221"/>
      <c r="R395" s="253"/>
      <c r="S395" s="179">
        <f t="shared" si="175"/>
        <v>3898.2066402109976</v>
      </c>
      <c r="T395" s="259"/>
      <c r="U395" s="179">
        <f t="shared" si="176"/>
        <v>79</v>
      </c>
      <c r="V395" s="259"/>
      <c r="W395" s="179">
        <f t="shared" si="177"/>
        <v>0</v>
      </c>
      <c r="X395" s="259"/>
      <c r="Y395" s="179">
        <f t="shared" si="178"/>
        <v>1099.9999518559998</v>
      </c>
      <c r="Z395" s="259"/>
      <c r="AA395" s="179">
        <f t="shared" si="179"/>
        <v>412.42479377000001</v>
      </c>
      <c r="AB395" s="259"/>
      <c r="AC395" s="179">
        <f t="shared" si="180"/>
        <v>0</v>
      </c>
      <c r="AD395" s="189">
        <f t="shared" si="174"/>
        <v>0</v>
      </c>
      <c r="AE395" s="179">
        <f t="shared" si="181"/>
        <v>1512.424745626</v>
      </c>
      <c r="AF395" s="264"/>
      <c r="AG395" s="179">
        <f t="shared" si="182"/>
        <v>999.99995185600005</v>
      </c>
      <c r="AH395" s="268"/>
      <c r="AI395" s="179">
        <f t="shared" si="183"/>
        <v>0</v>
      </c>
      <c r="AJ395" s="268"/>
      <c r="AK395" s="179">
        <f t="shared" si="184"/>
        <v>100</v>
      </c>
      <c r="AL395" s="268"/>
      <c r="AM395" s="179">
        <f t="shared" si="185"/>
        <v>0</v>
      </c>
      <c r="AN395" s="268"/>
      <c r="AO395" s="179">
        <f t="shared" si="186"/>
        <v>0</v>
      </c>
      <c r="AP395" s="268"/>
      <c r="AQ395" s="179">
        <f t="shared" si="187"/>
        <v>0</v>
      </c>
      <c r="AR395" s="273"/>
      <c r="AS395" s="209">
        <f t="shared" si="188"/>
        <v>0</v>
      </c>
      <c r="AT395" s="273"/>
      <c r="AU395" s="226">
        <f t="shared" si="189"/>
        <v>0</v>
      </c>
      <c r="AV395" s="273"/>
      <c r="AW395" s="209">
        <f t="shared" si="190"/>
        <v>0</v>
      </c>
      <c r="AX395" s="273"/>
      <c r="AY395" s="209">
        <f t="shared" si="191"/>
        <v>0</v>
      </c>
      <c r="AZ395" s="273"/>
      <c r="BA395" s="179">
        <f t="shared" si="192"/>
        <v>0</v>
      </c>
      <c r="BB395"/>
      <c r="BC395"/>
      <c r="BD395"/>
    </row>
    <row r="396" spans="1:56" s="34" customFormat="1" hidden="1" x14ac:dyDescent="0.25">
      <c r="A396" s="87"/>
      <c r="B396" s="42"/>
      <c r="C396" s="41"/>
      <c r="D396" s="41"/>
      <c r="E396" s="40"/>
      <c r="F396" s="40"/>
      <c r="G396" s="40"/>
      <c r="H396" s="40"/>
      <c r="I396" s="160"/>
      <c r="J396" s="41"/>
      <c r="K396" s="41"/>
      <c r="L396" s="41"/>
      <c r="M396" s="41"/>
      <c r="N396" s="41"/>
      <c r="O396" s="41"/>
      <c r="P396" s="188"/>
      <c r="Q396" s="221"/>
      <c r="R396" s="253"/>
      <c r="S396" s="179">
        <f t="shared" si="175"/>
        <v>3898.2066402109976</v>
      </c>
      <c r="T396" s="259"/>
      <c r="U396" s="179">
        <f t="shared" si="176"/>
        <v>79</v>
      </c>
      <c r="V396" s="259"/>
      <c r="W396" s="179">
        <f t="shared" si="177"/>
        <v>0</v>
      </c>
      <c r="X396" s="259"/>
      <c r="Y396" s="179">
        <f t="shared" si="178"/>
        <v>1099.9999518559998</v>
      </c>
      <c r="Z396" s="259"/>
      <c r="AA396" s="179">
        <f t="shared" si="179"/>
        <v>412.42479377000001</v>
      </c>
      <c r="AB396" s="259"/>
      <c r="AC396" s="179">
        <f t="shared" si="180"/>
        <v>0</v>
      </c>
      <c r="AD396" s="189">
        <f t="shared" si="174"/>
        <v>0</v>
      </c>
      <c r="AE396" s="179">
        <f t="shared" si="181"/>
        <v>1512.424745626</v>
      </c>
      <c r="AF396" s="264"/>
      <c r="AG396" s="179">
        <f t="shared" si="182"/>
        <v>999.99995185600005</v>
      </c>
      <c r="AH396" s="268"/>
      <c r="AI396" s="179">
        <f t="shared" si="183"/>
        <v>0</v>
      </c>
      <c r="AJ396" s="268"/>
      <c r="AK396" s="179">
        <f t="shared" si="184"/>
        <v>100</v>
      </c>
      <c r="AL396" s="268"/>
      <c r="AM396" s="179">
        <f t="shared" si="185"/>
        <v>0</v>
      </c>
      <c r="AN396" s="268"/>
      <c r="AO396" s="179">
        <f t="shared" si="186"/>
        <v>0</v>
      </c>
      <c r="AP396" s="268"/>
      <c r="AQ396" s="179">
        <f t="shared" si="187"/>
        <v>0</v>
      </c>
      <c r="AR396" s="273"/>
      <c r="AS396" s="209">
        <f t="shared" si="188"/>
        <v>0</v>
      </c>
      <c r="AT396" s="273"/>
      <c r="AU396" s="226">
        <f t="shared" si="189"/>
        <v>0</v>
      </c>
      <c r="AV396" s="273"/>
      <c r="AW396" s="209">
        <f t="shared" si="190"/>
        <v>0</v>
      </c>
      <c r="AX396" s="273"/>
      <c r="AY396" s="209">
        <f t="shared" si="191"/>
        <v>0</v>
      </c>
      <c r="AZ396" s="273"/>
      <c r="BA396" s="179">
        <f t="shared" si="192"/>
        <v>0</v>
      </c>
      <c r="BB396"/>
      <c r="BC396"/>
      <c r="BD396"/>
    </row>
    <row r="397" spans="1:56" s="34" customFormat="1" hidden="1" x14ac:dyDescent="0.25">
      <c r="A397" s="87"/>
      <c r="B397" s="42"/>
      <c r="C397" s="41"/>
      <c r="D397" s="41"/>
      <c r="E397" s="40"/>
      <c r="F397" s="40"/>
      <c r="G397" s="40"/>
      <c r="H397" s="40"/>
      <c r="I397" s="160"/>
      <c r="J397" s="41"/>
      <c r="K397" s="41"/>
      <c r="L397" s="41"/>
      <c r="M397" s="41"/>
      <c r="N397" s="41"/>
      <c r="O397" s="41"/>
      <c r="P397" s="188"/>
      <c r="Q397" s="221"/>
      <c r="R397" s="253"/>
      <c r="S397" s="179">
        <f t="shared" si="175"/>
        <v>3898.2066402109976</v>
      </c>
      <c r="T397" s="259"/>
      <c r="U397" s="179">
        <f t="shared" si="176"/>
        <v>79</v>
      </c>
      <c r="V397" s="259"/>
      <c r="W397" s="179">
        <f t="shared" si="177"/>
        <v>0</v>
      </c>
      <c r="X397" s="259"/>
      <c r="Y397" s="179">
        <f t="shared" si="178"/>
        <v>1099.9999518559998</v>
      </c>
      <c r="Z397" s="259"/>
      <c r="AA397" s="179">
        <f t="shared" si="179"/>
        <v>412.42479377000001</v>
      </c>
      <c r="AB397" s="259"/>
      <c r="AC397" s="179">
        <f t="shared" si="180"/>
        <v>0</v>
      </c>
      <c r="AD397" s="189">
        <f t="shared" si="174"/>
        <v>0</v>
      </c>
      <c r="AE397" s="179">
        <f t="shared" si="181"/>
        <v>1512.424745626</v>
      </c>
      <c r="AF397" s="264"/>
      <c r="AG397" s="179">
        <f t="shared" si="182"/>
        <v>999.99995185600005</v>
      </c>
      <c r="AH397" s="268"/>
      <c r="AI397" s="179">
        <f t="shared" si="183"/>
        <v>0</v>
      </c>
      <c r="AJ397" s="268"/>
      <c r="AK397" s="179">
        <f t="shared" si="184"/>
        <v>100</v>
      </c>
      <c r="AL397" s="268"/>
      <c r="AM397" s="179">
        <f t="shared" si="185"/>
        <v>0</v>
      </c>
      <c r="AN397" s="268"/>
      <c r="AO397" s="179">
        <f t="shared" si="186"/>
        <v>0</v>
      </c>
      <c r="AP397" s="268"/>
      <c r="AQ397" s="179">
        <f t="shared" si="187"/>
        <v>0</v>
      </c>
      <c r="AR397" s="273"/>
      <c r="AS397" s="209">
        <f t="shared" si="188"/>
        <v>0</v>
      </c>
      <c r="AT397" s="273"/>
      <c r="AU397" s="226">
        <f t="shared" si="189"/>
        <v>0</v>
      </c>
      <c r="AV397" s="273"/>
      <c r="AW397" s="209">
        <f t="shared" si="190"/>
        <v>0</v>
      </c>
      <c r="AX397" s="273"/>
      <c r="AY397" s="209">
        <f t="shared" si="191"/>
        <v>0</v>
      </c>
      <c r="AZ397" s="273"/>
      <c r="BA397" s="179">
        <f t="shared" si="192"/>
        <v>0</v>
      </c>
      <c r="BB397"/>
      <c r="BC397"/>
      <c r="BD397"/>
    </row>
    <row r="398" spans="1:56" s="34" customFormat="1" hidden="1" x14ac:dyDescent="0.25">
      <c r="A398" s="87"/>
      <c r="B398" s="42"/>
      <c r="C398" s="41"/>
      <c r="D398" s="41"/>
      <c r="E398" s="40"/>
      <c r="F398" s="40"/>
      <c r="G398" s="40"/>
      <c r="H398" s="40"/>
      <c r="I398" s="160"/>
      <c r="J398" s="41"/>
      <c r="K398" s="41"/>
      <c r="L398" s="41"/>
      <c r="M398" s="41"/>
      <c r="N398" s="41"/>
      <c r="O398" s="41"/>
      <c r="P398" s="188"/>
      <c r="Q398" s="221"/>
      <c r="R398" s="253"/>
      <c r="S398" s="179">
        <f t="shared" si="175"/>
        <v>3898.2066402109976</v>
      </c>
      <c r="T398" s="259"/>
      <c r="U398" s="179">
        <f t="shared" si="176"/>
        <v>79</v>
      </c>
      <c r="V398" s="259"/>
      <c r="W398" s="179">
        <f t="shared" si="177"/>
        <v>0</v>
      </c>
      <c r="X398" s="259"/>
      <c r="Y398" s="179">
        <f t="shared" si="178"/>
        <v>1099.9999518559998</v>
      </c>
      <c r="Z398" s="259"/>
      <c r="AA398" s="179">
        <f t="shared" si="179"/>
        <v>412.42479377000001</v>
      </c>
      <c r="AB398" s="259"/>
      <c r="AC398" s="179">
        <f t="shared" si="180"/>
        <v>0</v>
      </c>
      <c r="AD398" s="189">
        <f t="shared" si="174"/>
        <v>0</v>
      </c>
      <c r="AE398" s="179">
        <f t="shared" si="181"/>
        <v>1512.424745626</v>
      </c>
      <c r="AF398" s="264"/>
      <c r="AG398" s="179">
        <f t="shared" si="182"/>
        <v>999.99995185600005</v>
      </c>
      <c r="AH398" s="268"/>
      <c r="AI398" s="179">
        <f t="shared" si="183"/>
        <v>0</v>
      </c>
      <c r="AJ398" s="268"/>
      <c r="AK398" s="179">
        <f t="shared" si="184"/>
        <v>100</v>
      </c>
      <c r="AL398" s="268"/>
      <c r="AM398" s="179">
        <f t="shared" si="185"/>
        <v>0</v>
      </c>
      <c r="AN398" s="268"/>
      <c r="AO398" s="179">
        <f t="shared" si="186"/>
        <v>0</v>
      </c>
      <c r="AP398" s="268"/>
      <c r="AQ398" s="179">
        <f t="shared" si="187"/>
        <v>0</v>
      </c>
      <c r="AR398" s="273"/>
      <c r="AS398" s="209">
        <f t="shared" si="188"/>
        <v>0</v>
      </c>
      <c r="AT398" s="273"/>
      <c r="AU398" s="226">
        <f t="shared" si="189"/>
        <v>0</v>
      </c>
      <c r="AV398" s="273"/>
      <c r="AW398" s="209">
        <f t="shared" si="190"/>
        <v>0</v>
      </c>
      <c r="AX398" s="273"/>
      <c r="AY398" s="209">
        <f t="shared" si="191"/>
        <v>0</v>
      </c>
      <c r="AZ398" s="273"/>
      <c r="BA398" s="179">
        <f t="shared" si="192"/>
        <v>0</v>
      </c>
      <c r="BB398"/>
      <c r="BC398"/>
      <c r="BD398"/>
    </row>
    <row r="399" spans="1:56" s="34" customFormat="1" hidden="1" x14ac:dyDescent="0.25">
      <c r="A399" s="87"/>
      <c r="B399" s="42"/>
      <c r="C399" s="41"/>
      <c r="D399" s="41"/>
      <c r="E399" s="40"/>
      <c r="F399" s="40"/>
      <c r="G399" s="40"/>
      <c r="H399" s="40"/>
      <c r="I399" s="160"/>
      <c r="J399" s="41"/>
      <c r="K399" s="41"/>
      <c r="L399" s="41"/>
      <c r="M399" s="41"/>
      <c r="N399" s="41"/>
      <c r="O399" s="41"/>
      <c r="P399" s="188"/>
      <c r="Q399" s="221"/>
      <c r="R399" s="253"/>
      <c r="S399" s="179">
        <f t="shared" si="175"/>
        <v>3898.2066402109976</v>
      </c>
      <c r="T399" s="259"/>
      <c r="U399" s="179">
        <f t="shared" si="176"/>
        <v>79</v>
      </c>
      <c r="V399" s="259"/>
      <c r="W399" s="179">
        <f t="shared" si="177"/>
        <v>0</v>
      </c>
      <c r="X399" s="259"/>
      <c r="Y399" s="179">
        <f t="shared" si="178"/>
        <v>1099.9999518559998</v>
      </c>
      <c r="Z399" s="259"/>
      <c r="AA399" s="179">
        <f t="shared" si="179"/>
        <v>412.42479377000001</v>
      </c>
      <c r="AB399" s="259"/>
      <c r="AC399" s="179">
        <f t="shared" si="180"/>
        <v>0</v>
      </c>
      <c r="AD399" s="189">
        <f t="shared" si="174"/>
        <v>0</v>
      </c>
      <c r="AE399" s="179">
        <f t="shared" si="181"/>
        <v>1512.424745626</v>
      </c>
      <c r="AF399" s="264"/>
      <c r="AG399" s="179">
        <f t="shared" si="182"/>
        <v>999.99995185600005</v>
      </c>
      <c r="AH399" s="268"/>
      <c r="AI399" s="179">
        <f t="shared" si="183"/>
        <v>0</v>
      </c>
      <c r="AJ399" s="268"/>
      <c r="AK399" s="179">
        <f t="shared" si="184"/>
        <v>100</v>
      </c>
      <c r="AL399" s="268"/>
      <c r="AM399" s="179">
        <f t="shared" si="185"/>
        <v>0</v>
      </c>
      <c r="AN399" s="268"/>
      <c r="AO399" s="179">
        <f t="shared" si="186"/>
        <v>0</v>
      </c>
      <c r="AP399" s="268"/>
      <c r="AQ399" s="179">
        <f t="shared" si="187"/>
        <v>0</v>
      </c>
      <c r="AR399" s="273"/>
      <c r="AS399" s="209">
        <f t="shared" si="188"/>
        <v>0</v>
      </c>
      <c r="AT399" s="273"/>
      <c r="AU399" s="226">
        <f t="shared" si="189"/>
        <v>0</v>
      </c>
      <c r="AV399" s="273"/>
      <c r="AW399" s="209">
        <f t="shared" si="190"/>
        <v>0</v>
      </c>
      <c r="AX399" s="273"/>
      <c r="AY399" s="209">
        <f t="shared" si="191"/>
        <v>0</v>
      </c>
      <c r="AZ399" s="273"/>
      <c r="BA399" s="179">
        <f t="shared" si="192"/>
        <v>0</v>
      </c>
      <c r="BB399"/>
      <c r="BC399"/>
      <c r="BD399"/>
    </row>
    <row r="400" spans="1:56" s="34" customFormat="1" hidden="1" x14ac:dyDescent="0.25">
      <c r="A400" s="87"/>
      <c r="B400" s="42"/>
      <c r="C400" s="41"/>
      <c r="D400" s="41"/>
      <c r="E400" s="40"/>
      <c r="F400" s="40"/>
      <c r="G400" s="40"/>
      <c r="H400" s="40"/>
      <c r="I400" s="160"/>
      <c r="J400" s="41"/>
      <c r="K400" s="41"/>
      <c r="L400" s="41"/>
      <c r="M400" s="41"/>
      <c r="N400" s="41"/>
      <c r="O400" s="41"/>
      <c r="P400" s="188"/>
      <c r="Q400" s="221"/>
      <c r="R400" s="253"/>
      <c r="S400" s="179">
        <f t="shared" si="175"/>
        <v>3898.2066402109976</v>
      </c>
      <c r="T400" s="259"/>
      <c r="U400" s="179">
        <f t="shared" si="176"/>
        <v>79</v>
      </c>
      <c r="V400" s="259"/>
      <c r="W400" s="179">
        <f t="shared" si="177"/>
        <v>0</v>
      </c>
      <c r="X400" s="259"/>
      <c r="Y400" s="179">
        <f t="shared" si="178"/>
        <v>1099.9999518559998</v>
      </c>
      <c r="Z400" s="259"/>
      <c r="AA400" s="179">
        <f t="shared" si="179"/>
        <v>412.42479377000001</v>
      </c>
      <c r="AB400" s="259"/>
      <c r="AC400" s="179">
        <f t="shared" si="180"/>
        <v>0</v>
      </c>
      <c r="AD400" s="189">
        <f t="shared" si="174"/>
        <v>0</v>
      </c>
      <c r="AE400" s="179">
        <f t="shared" si="181"/>
        <v>1512.424745626</v>
      </c>
      <c r="AF400" s="264"/>
      <c r="AG400" s="179">
        <f t="shared" si="182"/>
        <v>999.99995185600005</v>
      </c>
      <c r="AH400" s="268"/>
      <c r="AI400" s="179">
        <f t="shared" si="183"/>
        <v>0</v>
      </c>
      <c r="AJ400" s="268"/>
      <c r="AK400" s="179">
        <f t="shared" si="184"/>
        <v>100</v>
      </c>
      <c r="AL400" s="268"/>
      <c r="AM400" s="179">
        <f t="shared" si="185"/>
        <v>0</v>
      </c>
      <c r="AN400" s="268"/>
      <c r="AO400" s="179">
        <f t="shared" si="186"/>
        <v>0</v>
      </c>
      <c r="AP400" s="268"/>
      <c r="AQ400" s="179">
        <f t="shared" si="187"/>
        <v>0</v>
      </c>
      <c r="AR400" s="273"/>
      <c r="AS400" s="209">
        <f t="shared" si="188"/>
        <v>0</v>
      </c>
      <c r="AT400" s="273"/>
      <c r="AU400" s="226">
        <f t="shared" si="189"/>
        <v>0</v>
      </c>
      <c r="AV400" s="273"/>
      <c r="AW400" s="209">
        <f t="shared" si="190"/>
        <v>0</v>
      </c>
      <c r="AX400" s="273"/>
      <c r="AY400" s="209">
        <f t="shared" si="191"/>
        <v>0</v>
      </c>
      <c r="AZ400" s="273"/>
      <c r="BA400" s="179">
        <f t="shared" si="192"/>
        <v>0</v>
      </c>
      <c r="BB400"/>
      <c r="BC400"/>
      <c r="BD400"/>
    </row>
    <row r="401" spans="1:56" s="34" customFormat="1" ht="15.75" hidden="1" thickBot="1" x14ac:dyDescent="0.3">
      <c r="A401" s="87"/>
      <c r="B401" s="42"/>
      <c r="C401" s="41"/>
      <c r="D401" s="41"/>
      <c r="E401" s="40"/>
      <c r="F401" s="40"/>
      <c r="G401" s="40"/>
      <c r="H401" s="40"/>
      <c r="I401" s="160"/>
      <c r="J401" s="41"/>
      <c r="K401" s="41"/>
      <c r="L401" s="41"/>
      <c r="M401" s="41"/>
      <c r="N401" s="41"/>
      <c r="O401" s="41"/>
      <c r="P401" s="188"/>
      <c r="Q401" s="229"/>
      <c r="R401" s="254"/>
      <c r="S401" s="223">
        <f t="shared" si="175"/>
        <v>3898.2066402109976</v>
      </c>
      <c r="T401" s="260"/>
      <c r="U401" s="223">
        <f t="shared" si="176"/>
        <v>79</v>
      </c>
      <c r="V401" s="260"/>
      <c r="W401" s="223">
        <f t="shared" si="177"/>
        <v>0</v>
      </c>
      <c r="X401" s="260"/>
      <c r="Y401" s="223">
        <f t="shared" si="178"/>
        <v>1099.9999518559998</v>
      </c>
      <c r="Z401" s="260"/>
      <c r="AA401" s="223">
        <f t="shared" si="179"/>
        <v>412.42479377000001</v>
      </c>
      <c r="AB401" s="260"/>
      <c r="AC401" s="223">
        <f t="shared" si="180"/>
        <v>0</v>
      </c>
      <c r="AD401" s="190">
        <f t="shared" si="174"/>
        <v>0</v>
      </c>
      <c r="AE401" s="223">
        <f t="shared" si="181"/>
        <v>1512.424745626</v>
      </c>
      <c r="AF401" s="265"/>
      <c r="AG401" s="223">
        <f t="shared" si="182"/>
        <v>999.99995185600005</v>
      </c>
      <c r="AH401" s="269"/>
      <c r="AI401" s="223">
        <f t="shared" si="183"/>
        <v>0</v>
      </c>
      <c r="AJ401" s="269"/>
      <c r="AK401" s="223">
        <f t="shared" si="184"/>
        <v>100</v>
      </c>
      <c r="AL401" s="269"/>
      <c r="AM401" s="223">
        <f t="shared" si="185"/>
        <v>0</v>
      </c>
      <c r="AN401" s="269"/>
      <c r="AO401" s="223">
        <f t="shared" si="186"/>
        <v>0</v>
      </c>
      <c r="AP401" s="269"/>
      <c r="AQ401" s="223">
        <f t="shared" si="187"/>
        <v>0</v>
      </c>
      <c r="AR401" s="274"/>
      <c r="AS401" s="224">
        <f t="shared" si="188"/>
        <v>0</v>
      </c>
      <c r="AT401" s="274"/>
      <c r="AU401" s="227">
        <f t="shared" si="189"/>
        <v>0</v>
      </c>
      <c r="AV401" s="274"/>
      <c r="AW401" s="224">
        <f t="shared" si="190"/>
        <v>0</v>
      </c>
      <c r="AX401" s="274"/>
      <c r="AY401" s="224">
        <f t="shared" si="191"/>
        <v>0</v>
      </c>
      <c r="AZ401" s="274"/>
      <c r="BA401" s="179">
        <f t="shared" si="192"/>
        <v>0</v>
      </c>
      <c r="BB401"/>
      <c r="BC401"/>
      <c r="BD401"/>
    </row>
    <row r="402" spans="1:56" s="34" customFormat="1" ht="15.75" thickBot="1" x14ac:dyDescent="0.3">
      <c r="A402" s="244"/>
      <c r="B402" s="244"/>
      <c r="C402" s="244"/>
      <c r="D402" s="244"/>
      <c r="E402" s="244"/>
      <c r="F402" s="244"/>
      <c r="G402" s="244"/>
      <c r="H402" s="244"/>
      <c r="I402" s="244"/>
      <c r="J402" s="244"/>
      <c r="K402" s="244"/>
      <c r="L402" s="244"/>
      <c r="M402" s="244"/>
      <c r="N402" s="244"/>
      <c r="O402" s="244"/>
      <c r="P402" s="244"/>
      <c r="Q402" s="5"/>
      <c r="R402" s="255">
        <f>SUM(Dia_Col_Insurer)</f>
        <v>3898.2066402109976</v>
      </c>
      <c r="S402" s="242" t="s">
        <v>235</v>
      </c>
      <c r="T402" s="261">
        <f>SUM(Dia_Col_Excl)</f>
        <v>79</v>
      </c>
      <c r="U402" s="232" t="s">
        <v>235</v>
      </c>
      <c r="V402" s="261">
        <f>SUM(Dia_Col_Limit)</f>
        <v>0</v>
      </c>
      <c r="W402" s="232" t="s">
        <v>235</v>
      </c>
      <c r="X402" s="261">
        <f>SUM(Dia_Col_Deduct)</f>
        <v>1099.9999518559998</v>
      </c>
      <c r="Y402" s="232" t="s">
        <v>235</v>
      </c>
      <c r="Z402" s="261">
        <f>SUM(Dia_Col_Copay)</f>
        <v>412.42479377000001</v>
      </c>
      <c r="AA402" s="232" t="s">
        <v>235</v>
      </c>
      <c r="AB402" s="261">
        <f>SUM(Dia_Col_Coinsur)</f>
        <v>0</v>
      </c>
      <c r="AC402" s="232" t="s">
        <v>235</v>
      </c>
      <c r="AD402" s="231">
        <f>Dia_Prior_Deduct+Dia_Prior_Copay+Dia_Prior_Coinsur</f>
        <v>1512.4247456259998</v>
      </c>
      <c r="AE402" s="230" t="s">
        <v>235</v>
      </c>
      <c r="AF402" s="255">
        <f>SUM(Dia_Col_Deduct_Overall)</f>
        <v>999.99995185600005</v>
      </c>
      <c r="AG402" s="232" t="s">
        <v>235</v>
      </c>
      <c r="AH402" s="261">
        <f>SUM(Dia_Col_Deduct_DME)</f>
        <v>0</v>
      </c>
      <c r="AI402" s="232" t="s">
        <v>235</v>
      </c>
      <c r="AJ402" s="261">
        <f>SUM(Dia_Col_Deduct_RX)</f>
        <v>100</v>
      </c>
      <c r="AK402" s="232" t="s">
        <v>235</v>
      </c>
      <c r="AL402" s="261">
        <f>SUM(Dia_Col_Deduct_Hospital)</f>
        <v>0</v>
      </c>
      <c r="AM402" s="232" t="s">
        <v>235</v>
      </c>
      <c r="AN402" s="261">
        <f>SUM(Dia_Col_Deduct_Obst)</f>
        <v>0</v>
      </c>
      <c r="AO402" s="232" t="s">
        <v>235</v>
      </c>
      <c r="AP402" s="261">
        <f>SUM(Dia_Col_Deduct_Vaccine)</f>
        <v>0</v>
      </c>
      <c r="AQ402" s="232" t="s">
        <v>235</v>
      </c>
      <c r="AR402" s="275" t="s">
        <v>235</v>
      </c>
      <c r="AS402" s="232" t="s">
        <v>235</v>
      </c>
      <c r="AT402" s="278">
        <f>SUM(Dia_Col_Limit_RX_Yr)</f>
        <v>0</v>
      </c>
      <c r="AU402" s="232" t="s">
        <v>235</v>
      </c>
      <c r="AV402" s="278" t="s">
        <v>235</v>
      </c>
      <c r="AW402" s="232" t="s">
        <v>235</v>
      </c>
      <c r="AX402" s="278">
        <f>SUM(Dia_Col_Limit_DME_Yr)</f>
        <v>0</v>
      </c>
      <c r="AY402" s="232" t="s">
        <v>235</v>
      </c>
      <c r="AZ402" s="279">
        <f>SUM(Dia_Col_Limit_Visit_Yr)</f>
        <v>0</v>
      </c>
      <c r="BA402" s="232" t="s">
        <v>235</v>
      </c>
      <c r="BB402"/>
      <c r="BC402"/>
      <c r="BD402"/>
    </row>
  </sheetData>
  <customSheetViews>
    <customSheetView guid="{04C50C76-DBA5-4B8F-A929-D0E997573BFE}" scale="75" fitToPage="1" printArea="1" hiddenRows="1" hiddenColumns="1" topLeftCell="D1">
      <pane ySplit="2" topLeftCell="A111" activePane="bottomLeft" state="frozen"/>
      <selection pane="bottomLeft" activeCell="D120" sqref="D120"/>
      <pageMargins left="0.25" right="0.25" top="0.5" bottom="0.18" header="0.3" footer="0.18"/>
      <pageSetup paperSize="3" scale="66" fitToHeight="0" orientation="landscape" r:id="rId1"/>
    </customSheetView>
    <customSheetView guid="{B93E95F7-2207-4982-B8B5-4CD0F87DD17C}" scale="75" fitToPage="1" printArea="1" hiddenRows="1" hiddenColumns="1">
      <pane ySplit="2" topLeftCell="A98" activePane="bottomLeft" state="frozen"/>
      <selection pane="bottomLeft" activeCell="Q110" sqref="Q110"/>
      <pageMargins left="0.25" right="0.25" top="0.5" bottom="0.18" header="0.3" footer="0.18"/>
      <pageSetup paperSize="3" scale="66" fitToHeight="0" orientation="landscape" r:id="rId2"/>
    </customSheetView>
  </customSheetViews>
  <mergeCells count="4">
    <mergeCell ref="I1:P1"/>
    <mergeCell ref="R1:AE1"/>
    <mergeCell ref="AF1:AQ1"/>
    <mergeCell ref="AR1:AZ1"/>
  </mergeCells>
  <conditionalFormatting sqref="D3:D401">
    <cfRule type="expression" dxfId="1" priority="1">
      <formula>D3="OTC"</formula>
    </cfRule>
  </conditionalFormatting>
  <pageMargins left="0.25" right="0.25" top="0.5" bottom="0.18" header="0.3" footer="0.18"/>
  <pageSetup paperSize="3" scale="66" fitToHeight="0" orientation="landscape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CC"/>
    <outlinePr summaryRight="0"/>
    <pageSetUpPr autoPageBreaks="0" fitToPage="1"/>
  </sheetPr>
  <dimension ref="A1:AU402"/>
  <sheetViews>
    <sheetView zoomScale="75" zoomScaleNormal="75" workbookViewId="0">
      <pane ySplit="2" topLeftCell="A3" activePane="bottomLeft" state="frozen"/>
      <selection pane="bottomLeft" activeCell="G21" sqref="G21"/>
    </sheetView>
  </sheetViews>
  <sheetFormatPr defaultColWidth="0" defaultRowHeight="15" zeroHeight="1" x14ac:dyDescent="0.25"/>
  <cols>
    <col min="1" max="1" width="8" customWidth="1"/>
    <col min="2" max="2" width="10.5703125" hidden="1" customWidth="1"/>
    <col min="3" max="3" width="10.42578125" customWidth="1"/>
    <col min="4" max="4" width="14.7109375" customWidth="1"/>
    <col min="5" max="5" width="10.140625" customWidth="1"/>
    <col min="6" max="6" width="14.7109375" customWidth="1"/>
    <col min="7" max="7" width="26.7109375" customWidth="1"/>
    <col min="8" max="8" width="31.7109375" hidden="1" customWidth="1"/>
    <col min="9" max="16" width="5.5703125" customWidth="1"/>
    <col min="17" max="17" width="12.28515625" style="241" customWidth="1"/>
    <col min="18" max="18" width="12.28515625" style="282" customWidth="1"/>
    <col min="19" max="19" width="12.28515625" style="241" hidden="1" customWidth="1"/>
    <col min="20" max="20" width="11" style="282" customWidth="1"/>
    <col min="21" max="21" width="10.7109375" style="241" hidden="1" customWidth="1"/>
    <col min="22" max="22" width="11.28515625" style="282" bestFit="1" customWidth="1"/>
    <col min="23" max="23" width="10.140625" style="241" hidden="1" customWidth="1"/>
    <col min="24" max="24" width="11.7109375" style="282" customWidth="1"/>
    <col min="25" max="25" width="9.85546875" style="241" hidden="1" customWidth="1"/>
    <col min="26" max="26" width="10.7109375" style="282" customWidth="1"/>
    <col min="27" max="27" width="10.7109375" style="241" hidden="1" customWidth="1"/>
    <col min="28" max="28" width="11.28515625" style="282" customWidth="1"/>
    <col min="29" max="29" width="11.28515625" style="241" hidden="1" customWidth="1"/>
    <col min="30" max="30" width="12" style="241" customWidth="1"/>
    <col min="31" max="31" width="11.85546875" style="241" customWidth="1"/>
    <col min="32" max="32" width="10" style="282" customWidth="1"/>
    <col min="33" max="33" width="10" style="241" hidden="1" customWidth="1"/>
    <col min="34" max="34" width="9" style="282" customWidth="1"/>
    <col min="35" max="35" width="9" style="241" hidden="1" customWidth="1"/>
    <col min="36" max="36" width="10.140625" style="282" customWidth="1"/>
    <col min="37" max="37" width="9" style="241" hidden="1" customWidth="1"/>
    <col min="38" max="38" width="11.85546875" style="282" customWidth="1"/>
    <col min="39" max="39" width="9.7109375" style="241" hidden="1" customWidth="1"/>
    <col min="40" max="40" width="10.28515625" style="282" bestFit="1" customWidth="1"/>
    <col min="41" max="41" width="10" style="241" hidden="1" customWidth="1"/>
    <col min="42" max="42" width="9" style="282" customWidth="1"/>
    <col min="43" max="43" width="9" style="241" hidden="1" customWidth="1"/>
    <col min="44" max="44" width="8.85546875" style="256" customWidth="1"/>
    <col min="45" max="45" width="8.85546875" hidden="1" customWidth="1"/>
    <col min="46" max="46" width="8.85546875" style="256" customWidth="1"/>
    <col min="47" max="16384" width="8.85546875" hidden="1"/>
  </cols>
  <sheetData>
    <row r="1" spans="1:47" s="183" customFormat="1" ht="15.75" thickBot="1" x14ac:dyDescent="0.3">
      <c r="A1" s="180"/>
      <c r="B1" s="181"/>
      <c r="C1" s="182"/>
      <c r="D1" s="182"/>
      <c r="E1" s="181"/>
      <c r="F1" s="181"/>
      <c r="G1" s="181"/>
      <c r="H1" s="181"/>
      <c r="I1" s="329" t="s">
        <v>223</v>
      </c>
      <c r="J1" s="329"/>
      <c r="K1" s="329"/>
      <c r="L1" s="329"/>
      <c r="M1" s="329"/>
      <c r="N1" s="329"/>
      <c r="O1" s="329"/>
      <c r="P1" s="329"/>
      <c r="Q1" s="233"/>
      <c r="R1" s="322" t="s">
        <v>222</v>
      </c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7" t="s">
        <v>4</v>
      </c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8" t="s">
        <v>151</v>
      </c>
      <c r="AS1" s="328"/>
      <c r="AT1" s="328"/>
      <c r="AU1" s="328"/>
    </row>
    <row r="2" spans="1:47" s="37" customFormat="1" ht="52.9" customHeight="1" thickBot="1" x14ac:dyDescent="0.25">
      <c r="A2" s="177" t="s">
        <v>127</v>
      </c>
      <c r="B2" s="177" t="s">
        <v>129</v>
      </c>
      <c r="C2" s="177" t="s">
        <v>122</v>
      </c>
      <c r="D2" s="177" t="s">
        <v>121</v>
      </c>
      <c r="E2" s="177" t="s">
        <v>124</v>
      </c>
      <c r="F2" s="177" t="s">
        <v>27</v>
      </c>
      <c r="G2" s="178" t="s">
        <v>28</v>
      </c>
      <c r="H2" s="177" t="s">
        <v>29</v>
      </c>
      <c r="I2" s="203" t="s">
        <v>144</v>
      </c>
      <c r="J2" s="204" t="s">
        <v>136</v>
      </c>
      <c r="K2" s="204" t="s">
        <v>137</v>
      </c>
      <c r="L2" s="204" t="s">
        <v>145</v>
      </c>
      <c r="M2" s="204" t="s">
        <v>95</v>
      </c>
      <c r="N2" s="204" t="s">
        <v>146</v>
      </c>
      <c r="O2" s="204" t="s">
        <v>148</v>
      </c>
      <c r="P2" s="205" t="s">
        <v>147</v>
      </c>
      <c r="Q2" s="234" t="s">
        <v>134</v>
      </c>
      <c r="R2" s="251" t="s">
        <v>184</v>
      </c>
      <c r="S2" s="194" t="s">
        <v>202</v>
      </c>
      <c r="T2" s="257" t="s">
        <v>170</v>
      </c>
      <c r="U2" s="194" t="s">
        <v>203</v>
      </c>
      <c r="V2" s="257" t="s">
        <v>185</v>
      </c>
      <c r="W2" s="194" t="s">
        <v>204</v>
      </c>
      <c r="X2" s="257" t="s">
        <v>182</v>
      </c>
      <c r="Y2" s="194" t="s">
        <v>205</v>
      </c>
      <c r="Z2" s="257" t="s">
        <v>183</v>
      </c>
      <c r="AA2" s="194" t="s">
        <v>206</v>
      </c>
      <c r="AB2" s="257" t="s">
        <v>173</v>
      </c>
      <c r="AC2" s="194" t="s">
        <v>207</v>
      </c>
      <c r="AD2" s="235" t="s">
        <v>189</v>
      </c>
      <c r="AE2" s="199" t="s">
        <v>208</v>
      </c>
      <c r="AF2" s="262" t="s">
        <v>190</v>
      </c>
      <c r="AG2" s="194" t="s">
        <v>209</v>
      </c>
      <c r="AH2" s="266" t="s">
        <v>144</v>
      </c>
      <c r="AI2" s="195" t="s">
        <v>210</v>
      </c>
      <c r="AJ2" s="270" t="s">
        <v>136</v>
      </c>
      <c r="AK2" s="194" t="s">
        <v>211</v>
      </c>
      <c r="AL2" s="270" t="s">
        <v>137</v>
      </c>
      <c r="AM2" s="194" t="s">
        <v>212</v>
      </c>
      <c r="AN2" s="270" t="s">
        <v>146</v>
      </c>
      <c r="AO2" s="194" t="s">
        <v>213</v>
      </c>
      <c r="AP2" s="270" t="s">
        <v>148</v>
      </c>
      <c r="AQ2" s="199" t="s">
        <v>214</v>
      </c>
      <c r="AR2" s="285" t="s">
        <v>191</v>
      </c>
      <c r="AS2" s="206" t="s">
        <v>215</v>
      </c>
      <c r="AT2" s="286" t="s">
        <v>192</v>
      </c>
      <c r="AU2" s="207" t="s">
        <v>216</v>
      </c>
    </row>
    <row r="3" spans="1:47" s="34" customFormat="1" x14ac:dyDescent="0.25">
      <c r="A3" s="87">
        <v>40550</v>
      </c>
      <c r="B3" s="42">
        <v>8</v>
      </c>
      <c r="C3" s="41" t="str">
        <f t="shared" ref="C3:C34" si="0">IF(ISBLANK(VLOOKUP(Mat_Claim,Mat_UniqueLine,2,FALSE)),"",VLOOKUP(Mat_Claim,Mat_UniqueLine,2,FALSE))</f>
        <v/>
      </c>
      <c r="D3" s="41" t="str">
        <f t="shared" ref="D3:D34" si="1">IF(ISBLANK(VLOOKUP(Mat_Claim,Mat_UniqueLine,3,FALSE)),"",VLOOKUP(Mat_Claim,Mat_UniqueLine,3,FALSE))</f>
        <v>OTC</v>
      </c>
      <c r="E3" s="40" t="str">
        <f t="shared" ref="E3:E34" si="2">IF(ISBLANK(VLOOKUP(Mat_Claim,Mat_UniqueLine,4,FALSE)),"",VLOOKUP(Mat_Claim,Mat_UniqueLine,4,FALSE))</f>
        <v>Pharmacy Retail</v>
      </c>
      <c r="F3" s="40" t="str">
        <f t="shared" ref="F3:F34" si="3">IF(ISBLANK(VLOOKUP(Mat_Claim,Mat_UniqueLine,5,FALSE)),"",VLOOKUP(Mat_Claim,Mat_UniqueLine,5,FALSE))</f>
        <v>Pharmacy</v>
      </c>
      <c r="G3" s="40" t="str">
        <f t="shared" ref="G3:G34" si="4">IF(ISBLANK(VLOOKUP(Mat_Claim,Mat_UniqueLine,6,FALSE)),"",VLOOKUP(Mat_Claim,Mat_UniqueLine,6,FALSE))</f>
        <v>Prenatal Vitamins (OTC - Bottle of 100) [1 pill daily; 30 pills/month]</v>
      </c>
      <c r="H3" s="40" t="str">
        <f t="shared" ref="H3:H34" si="5">IF(ISBLANK(VLOOKUP(Mat_Claim,Mat_UniqueLine,8,FALSE)),"",VLOOKUP(Mat_Claim,Mat_UniqueLine,8,FALSE))</f>
        <v/>
      </c>
      <c r="I3" s="200" t="str">
        <f t="shared" ref="I3:I34" si="6">IF(Mat_Col_Category="Medical equipment and supplies",1,"")</f>
        <v/>
      </c>
      <c r="J3" s="201" t="str">
        <f t="shared" ref="J3:J34" si="7">IF(AND(Mat_Col_Category="Pharmacy",Mat_Col_BillCode&lt;&gt;"OTC"),1,"")</f>
        <v/>
      </c>
      <c r="K3" s="201" t="str">
        <f t="shared" ref="K3:K34" si="8">IF(OR(Mat_Col_Category="Anesthesia",Mat_Col_Provider="Inpatient Facility"),1,"")</f>
        <v/>
      </c>
      <c r="L3" s="201" t="str">
        <f t="shared" ref="L3:L34" si="9">IF(Mat_Col_Category="Laboratory tests",1,"")</f>
        <v/>
      </c>
      <c r="M3" s="201" t="str">
        <f t="shared" ref="M3:M34" si="10">IF(Mat_Col_Category="Radiology",1,"")</f>
        <v/>
      </c>
      <c r="N3" s="201" t="str">
        <f t="shared" ref="N3:N34" si="11">IF(Mat_Col_BillCode="Bundled in global OB package - 59400",1,"")</f>
        <v/>
      </c>
      <c r="O3" s="201" t="str">
        <f t="shared" ref="O3:O34" si="12">IF(Mat_Col_Category="Vaccines, other preventive",1,"")</f>
        <v/>
      </c>
      <c r="P3" s="202" t="str">
        <f t="shared" ref="P3:P34" si="13">IF(Mat_Col_Category="Office visits &amp; procedures",1,"")</f>
        <v/>
      </c>
      <c r="Q3" s="236">
        <f t="shared" ref="Q3:Q34" si="14">IF(ISBLANK(VLOOKUP(Mat_Claim,Mat_UniqueLine,7,FALSE)),"",VLOOKUP(Mat_Claim,Mat_UniqueLine,7,FALSE))</f>
        <v>30</v>
      </c>
      <c r="R3" s="252"/>
      <c r="S3" s="193">
        <f>R3</f>
        <v>0</v>
      </c>
      <c r="T3" s="283">
        <v>30</v>
      </c>
      <c r="U3" s="193">
        <f>T3</f>
        <v>30</v>
      </c>
      <c r="V3" s="258"/>
      <c r="W3" s="193">
        <f>V3</f>
        <v>0</v>
      </c>
      <c r="X3" s="258"/>
      <c r="Y3" s="193">
        <f>X3</f>
        <v>0</v>
      </c>
      <c r="Z3" s="258"/>
      <c r="AA3" s="193">
        <f>Z3</f>
        <v>0</v>
      </c>
      <c r="AB3" s="258"/>
      <c r="AC3" s="193">
        <f>AB3</f>
        <v>0</v>
      </c>
      <c r="AD3" s="237">
        <f t="shared" ref="AD3:AD64" si="15">Mat_Col_Deduct+Mat_Col_Copay+Mat_Col_Coinsur</f>
        <v>0</v>
      </c>
      <c r="AE3" s="193">
        <f>AD3</f>
        <v>0</v>
      </c>
      <c r="AF3" s="263"/>
      <c r="AG3" s="193">
        <f>AF3</f>
        <v>0</v>
      </c>
      <c r="AH3" s="267"/>
      <c r="AI3" s="193">
        <f>AH3</f>
        <v>0</v>
      </c>
      <c r="AJ3" s="267"/>
      <c r="AK3" s="193">
        <f>AJ3</f>
        <v>0</v>
      </c>
      <c r="AL3" s="267"/>
      <c r="AM3" s="193">
        <f>AL3</f>
        <v>0</v>
      </c>
      <c r="AN3" s="267"/>
      <c r="AO3" s="193">
        <f>AN3</f>
        <v>0</v>
      </c>
      <c r="AP3" s="267"/>
      <c r="AQ3" s="193">
        <f>AP3</f>
        <v>0</v>
      </c>
      <c r="AR3" s="272"/>
      <c r="AS3" s="304">
        <f>AR3</f>
        <v>0</v>
      </c>
      <c r="AT3" s="272"/>
      <c r="AU3" s="304">
        <f>AT3</f>
        <v>0</v>
      </c>
    </row>
    <row r="4" spans="1:47" s="34" customFormat="1" x14ac:dyDescent="0.25">
      <c r="A4" s="87">
        <v>40634</v>
      </c>
      <c r="B4" s="42">
        <v>14</v>
      </c>
      <c r="C4" s="41" t="str">
        <f t="shared" si="0"/>
        <v>V22.0</v>
      </c>
      <c r="D4" s="41">
        <f t="shared" si="1"/>
        <v>80055</v>
      </c>
      <c r="E4" s="40" t="str">
        <f t="shared" si="2"/>
        <v>OBGYN</v>
      </c>
      <c r="F4" s="40" t="str">
        <f t="shared" si="3"/>
        <v>Laboratory tests</v>
      </c>
      <c r="G4" s="40" t="str">
        <f t="shared" si="4"/>
        <v>Obstetric Panel</v>
      </c>
      <c r="H4" s="40" t="str">
        <f t="shared" si="5"/>
        <v>80055 - Global OB panel code</v>
      </c>
      <c r="I4" s="160" t="str">
        <f t="shared" si="6"/>
        <v/>
      </c>
      <c r="J4" s="41" t="str">
        <f t="shared" si="7"/>
        <v/>
      </c>
      <c r="K4" s="41" t="str">
        <f t="shared" si="8"/>
        <v/>
      </c>
      <c r="L4" s="41">
        <f t="shared" si="9"/>
        <v>1</v>
      </c>
      <c r="M4" s="41" t="str">
        <f t="shared" si="10"/>
        <v/>
      </c>
      <c r="N4" s="41" t="str">
        <f t="shared" si="11"/>
        <v/>
      </c>
      <c r="O4" s="41" t="str">
        <f t="shared" si="12"/>
        <v/>
      </c>
      <c r="P4" s="188" t="str">
        <f t="shared" si="13"/>
        <v/>
      </c>
      <c r="Q4" s="236">
        <f t="shared" si="14"/>
        <v>54.239906423000001</v>
      </c>
      <c r="R4" s="253">
        <v>54.239906423000001</v>
      </c>
      <c r="S4" s="179">
        <f>S3+R4</f>
        <v>54.239906423000001</v>
      </c>
      <c r="T4" s="284"/>
      <c r="U4" s="179">
        <f>U3+T4</f>
        <v>30</v>
      </c>
      <c r="V4" s="259"/>
      <c r="W4" s="179">
        <f>W3+V4</f>
        <v>0</v>
      </c>
      <c r="X4" s="259"/>
      <c r="Y4" s="179">
        <f>Y3+X4</f>
        <v>0</v>
      </c>
      <c r="Z4" s="259"/>
      <c r="AA4" s="179">
        <f>AA3+Z4</f>
        <v>0</v>
      </c>
      <c r="AB4" s="259"/>
      <c r="AC4" s="179">
        <f>AC3+AB4</f>
        <v>0</v>
      </c>
      <c r="AD4" s="238">
        <f t="shared" si="15"/>
        <v>0</v>
      </c>
      <c r="AE4" s="179">
        <f>AE3+AD4</f>
        <v>0</v>
      </c>
      <c r="AF4" s="264"/>
      <c r="AG4" s="179">
        <f>AG3+AF4</f>
        <v>0</v>
      </c>
      <c r="AH4" s="268"/>
      <c r="AI4" s="179">
        <f>AI3+AH4</f>
        <v>0</v>
      </c>
      <c r="AJ4" s="268"/>
      <c r="AK4" s="179">
        <f>AK3+AJ4</f>
        <v>0</v>
      </c>
      <c r="AL4" s="268"/>
      <c r="AM4" s="179">
        <f>AM3+AL4</f>
        <v>0</v>
      </c>
      <c r="AN4" s="268"/>
      <c r="AO4" s="179">
        <f>AO3+AN4</f>
        <v>0</v>
      </c>
      <c r="AP4" s="268"/>
      <c r="AQ4" s="179">
        <f>AQ3+AP4</f>
        <v>0</v>
      </c>
      <c r="AR4" s="273"/>
      <c r="AS4" s="305">
        <f>AS3+AR4</f>
        <v>0</v>
      </c>
      <c r="AT4" s="273"/>
      <c r="AU4" s="305">
        <f>AU3+AT4</f>
        <v>0</v>
      </c>
    </row>
    <row r="5" spans="1:47" s="34" customFormat="1" x14ac:dyDescent="0.25">
      <c r="A5" s="87">
        <v>40634</v>
      </c>
      <c r="B5" s="42">
        <v>30</v>
      </c>
      <c r="C5" s="41" t="str">
        <f t="shared" si="0"/>
        <v>V22.0</v>
      </c>
      <c r="D5" s="41" t="str">
        <f t="shared" si="1"/>
        <v>87801 x2</v>
      </c>
      <c r="E5" s="40" t="str">
        <f t="shared" si="2"/>
        <v>OBGYN</v>
      </c>
      <c r="F5" s="40" t="str">
        <f t="shared" si="3"/>
        <v>Laboratory tests</v>
      </c>
      <c r="G5" s="40" t="str">
        <f t="shared" si="4"/>
        <v xml:space="preserve">Detect agnt mult dna ampli </v>
      </c>
      <c r="H5" s="40" t="str">
        <f t="shared" si="5"/>
        <v>Gonorrhea / Chlamydia screen</v>
      </c>
      <c r="I5" s="160" t="str">
        <f t="shared" si="6"/>
        <v/>
      </c>
      <c r="J5" s="41" t="str">
        <f t="shared" si="7"/>
        <v/>
      </c>
      <c r="K5" s="41" t="str">
        <f t="shared" si="8"/>
        <v/>
      </c>
      <c r="L5" s="41">
        <f t="shared" si="9"/>
        <v>1</v>
      </c>
      <c r="M5" s="41" t="str">
        <f t="shared" si="10"/>
        <v/>
      </c>
      <c r="N5" s="41" t="str">
        <f t="shared" si="11"/>
        <v/>
      </c>
      <c r="O5" s="41" t="str">
        <f t="shared" si="12"/>
        <v/>
      </c>
      <c r="P5" s="188" t="str">
        <f t="shared" si="13"/>
        <v/>
      </c>
      <c r="Q5" s="236">
        <f t="shared" si="14"/>
        <v>9.4479524864000002</v>
      </c>
      <c r="R5" s="253">
        <v>9.4479524864000002</v>
      </c>
      <c r="S5" s="179">
        <f t="shared" ref="S5:S66" si="16">S4+R5</f>
        <v>63.687858909399999</v>
      </c>
      <c r="T5" s="259"/>
      <c r="U5" s="179">
        <f t="shared" ref="U5:U68" si="17">U4+T5</f>
        <v>30</v>
      </c>
      <c r="V5" s="259"/>
      <c r="W5" s="179">
        <f t="shared" ref="W5:W66" si="18">W4+V5</f>
        <v>0</v>
      </c>
      <c r="X5" s="259"/>
      <c r="Y5" s="179">
        <f t="shared" ref="Y5:Y66" si="19">Y4+X5</f>
        <v>0</v>
      </c>
      <c r="Z5" s="259"/>
      <c r="AA5" s="179">
        <f t="shared" ref="AA5:AA66" si="20">AA4+Z5</f>
        <v>0</v>
      </c>
      <c r="AB5" s="259"/>
      <c r="AC5" s="179">
        <f t="shared" ref="AC5:AC66" si="21">AC4+AB5</f>
        <v>0</v>
      </c>
      <c r="AD5" s="238">
        <f t="shared" si="15"/>
        <v>0</v>
      </c>
      <c r="AE5" s="179">
        <f t="shared" ref="AE5:AE66" si="22">AE4+AD5</f>
        <v>0</v>
      </c>
      <c r="AF5" s="264"/>
      <c r="AG5" s="179">
        <f t="shared" ref="AG5:AG66" si="23">AG4+AF5</f>
        <v>0</v>
      </c>
      <c r="AH5" s="268"/>
      <c r="AI5" s="179">
        <f t="shared" ref="AI5:AI66" si="24">AI4+AH5</f>
        <v>0</v>
      </c>
      <c r="AJ5" s="268"/>
      <c r="AK5" s="179">
        <f t="shared" ref="AK5:AK66" si="25">AK4+AJ5</f>
        <v>0</v>
      </c>
      <c r="AL5" s="268"/>
      <c r="AM5" s="179">
        <f t="shared" ref="AM5:AM66" si="26">AM4+AL5</f>
        <v>0</v>
      </c>
      <c r="AN5" s="268"/>
      <c r="AO5" s="179">
        <f t="shared" ref="AO5:AO66" si="27">AO4+AN5</f>
        <v>0</v>
      </c>
      <c r="AP5" s="268"/>
      <c r="AQ5" s="179">
        <f t="shared" ref="AQ5:AQ68" si="28">AQ4+AP5</f>
        <v>0</v>
      </c>
      <c r="AR5" s="273"/>
      <c r="AS5" s="305">
        <f t="shared" ref="AS5:AS66" si="29">AS4+AR5</f>
        <v>0</v>
      </c>
      <c r="AT5" s="273"/>
      <c r="AU5" s="305">
        <f t="shared" ref="AU5:AU66" si="30">AU4+AT5</f>
        <v>0</v>
      </c>
    </row>
    <row r="6" spans="1:47" s="34" customFormat="1" x14ac:dyDescent="0.25">
      <c r="A6" s="87">
        <v>40634</v>
      </c>
      <c r="B6" s="42">
        <v>31</v>
      </c>
      <c r="C6" s="41" t="str">
        <f t="shared" si="0"/>
        <v>V22.0</v>
      </c>
      <c r="D6" s="41">
        <f t="shared" si="1"/>
        <v>88164</v>
      </c>
      <c r="E6" s="40" t="str">
        <f t="shared" si="2"/>
        <v>OBGYN</v>
      </c>
      <c r="F6" s="40" t="str">
        <f t="shared" si="3"/>
        <v>Laboratory tests</v>
      </c>
      <c r="G6" s="40" t="str">
        <f t="shared" si="4"/>
        <v>Cytopath TBS C/V Manual</v>
      </c>
      <c r="H6" s="40" t="str">
        <f t="shared" si="5"/>
        <v>Pap smear</v>
      </c>
      <c r="I6" s="160" t="str">
        <f t="shared" si="6"/>
        <v/>
      </c>
      <c r="J6" s="41" t="str">
        <f t="shared" si="7"/>
        <v/>
      </c>
      <c r="K6" s="41" t="str">
        <f t="shared" si="8"/>
        <v/>
      </c>
      <c r="L6" s="41">
        <f t="shared" si="9"/>
        <v>1</v>
      </c>
      <c r="M6" s="41" t="str">
        <f t="shared" si="10"/>
        <v/>
      </c>
      <c r="N6" s="41" t="str">
        <f t="shared" si="11"/>
        <v/>
      </c>
      <c r="O6" s="41" t="str">
        <f t="shared" si="12"/>
        <v/>
      </c>
      <c r="P6" s="188" t="str">
        <f t="shared" si="13"/>
        <v/>
      </c>
      <c r="Q6" s="236">
        <f t="shared" si="14"/>
        <v>14.735122969000001</v>
      </c>
      <c r="R6" s="253">
        <v>14.735122969000001</v>
      </c>
      <c r="S6" s="179">
        <f t="shared" si="16"/>
        <v>78.422981878399995</v>
      </c>
      <c r="T6" s="259"/>
      <c r="U6" s="179">
        <f t="shared" si="17"/>
        <v>30</v>
      </c>
      <c r="V6" s="259"/>
      <c r="W6" s="179">
        <f t="shared" si="18"/>
        <v>0</v>
      </c>
      <c r="X6" s="259"/>
      <c r="Y6" s="179">
        <f t="shared" si="19"/>
        <v>0</v>
      </c>
      <c r="Z6" s="259"/>
      <c r="AA6" s="179">
        <f t="shared" si="20"/>
        <v>0</v>
      </c>
      <c r="AB6" s="259"/>
      <c r="AC6" s="179">
        <f t="shared" si="21"/>
        <v>0</v>
      </c>
      <c r="AD6" s="238">
        <f t="shared" si="15"/>
        <v>0</v>
      </c>
      <c r="AE6" s="179">
        <f t="shared" si="22"/>
        <v>0</v>
      </c>
      <c r="AF6" s="264"/>
      <c r="AG6" s="179">
        <f t="shared" si="23"/>
        <v>0</v>
      </c>
      <c r="AH6" s="268"/>
      <c r="AI6" s="179">
        <f t="shared" si="24"/>
        <v>0</v>
      </c>
      <c r="AJ6" s="268"/>
      <c r="AK6" s="179">
        <f t="shared" si="25"/>
        <v>0</v>
      </c>
      <c r="AL6" s="268"/>
      <c r="AM6" s="179">
        <f t="shared" si="26"/>
        <v>0</v>
      </c>
      <c r="AN6" s="268"/>
      <c r="AO6" s="179">
        <f t="shared" si="27"/>
        <v>0</v>
      </c>
      <c r="AP6" s="268"/>
      <c r="AQ6" s="179">
        <f t="shared" si="28"/>
        <v>0</v>
      </c>
      <c r="AR6" s="273"/>
      <c r="AS6" s="305">
        <f t="shared" si="29"/>
        <v>0</v>
      </c>
      <c r="AT6" s="273"/>
      <c r="AU6" s="305">
        <f t="shared" si="30"/>
        <v>0</v>
      </c>
    </row>
    <row r="7" spans="1:47" s="34" customFormat="1" x14ac:dyDescent="0.25">
      <c r="A7" s="87">
        <v>40634</v>
      </c>
      <c r="B7" s="42">
        <v>28</v>
      </c>
      <c r="C7" s="41" t="str">
        <f t="shared" si="0"/>
        <v>V22.0</v>
      </c>
      <c r="D7" s="41">
        <f t="shared" si="1"/>
        <v>86701</v>
      </c>
      <c r="E7" s="40" t="str">
        <f t="shared" si="2"/>
        <v>OBGYN</v>
      </c>
      <c r="F7" s="40" t="str">
        <f t="shared" si="3"/>
        <v>Laboratory tests</v>
      </c>
      <c r="G7" s="40" t="str">
        <f t="shared" si="4"/>
        <v>HIV-1</v>
      </c>
      <c r="H7" s="40" t="str">
        <f t="shared" si="5"/>
        <v/>
      </c>
      <c r="I7" s="160" t="str">
        <f t="shared" si="6"/>
        <v/>
      </c>
      <c r="J7" s="41" t="str">
        <f t="shared" si="7"/>
        <v/>
      </c>
      <c r="K7" s="41" t="str">
        <f t="shared" si="8"/>
        <v/>
      </c>
      <c r="L7" s="41">
        <f t="shared" si="9"/>
        <v>1</v>
      </c>
      <c r="M7" s="41" t="str">
        <f t="shared" si="10"/>
        <v/>
      </c>
      <c r="N7" s="41" t="str">
        <f t="shared" si="11"/>
        <v/>
      </c>
      <c r="O7" s="41" t="str">
        <f t="shared" si="12"/>
        <v/>
      </c>
      <c r="P7" s="188" t="str">
        <f t="shared" si="13"/>
        <v/>
      </c>
      <c r="Q7" s="236">
        <f t="shared" si="14"/>
        <v>12.935806004</v>
      </c>
      <c r="R7" s="253">
        <v>12.935806004</v>
      </c>
      <c r="S7" s="179">
        <f t="shared" si="16"/>
        <v>91.358787882399994</v>
      </c>
      <c r="T7" s="259"/>
      <c r="U7" s="179">
        <f t="shared" si="17"/>
        <v>30</v>
      </c>
      <c r="V7" s="259"/>
      <c r="W7" s="179">
        <f t="shared" si="18"/>
        <v>0</v>
      </c>
      <c r="X7" s="259"/>
      <c r="Y7" s="179">
        <f t="shared" si="19"/>
        <v>0</v>
      </c>
      <c r="Z7" s="259"/>
      <c r="AA7" s="179">
        <f t="shared" si="20"/>
        <v>0</v>
      </c>
      <c r="AB7" s="259"/>
      <c r="AC7" s="179">
        <f t="shared" si="21"/>
        <v>0</v>
      </c>
      <c r="AD7" s="238">
        <f t="shared" si="15"/>
        <v>0</v>
      </c>
      <c r="AE7" s="179">
        <f t="shared" si="22"/>
        <v>0</v>
      </c>
      <c r="AF7" s="264"/>
      <c r="AG7" s="179">
        <f t="shared" si="23"/>
        <v>0</v>
      </c>
      <c r="AH7" s="268"/>
      <c r="AI7" s="179">
        <f t="shared" si="24"/>
        <v>0</v>
      </c>
      <c r="AJ7" s="268"/>
      <c r="AK7" s="179">
        <f t="shared" si="25"/>
        <v>0</v>
      </c>
      <c r="AL7" s="268"/>
      <c r="AM7" s="179">
        <f t="shared" si="26"/>
        <v>0</v>
      </c>
      <c r="AN7" s="268"/>
      <c r="AO7" s="179">
        <f t="shared" si="27"/>
        <v>0</v>
      </c>
      <c r="AP7" s="268"/>
      <c r="AQ7" s="179">
        <f t="shared" si="28"/>
        <v>0</v>
      </c>
      <c r="AR7" s="273"/>
      <c r="AS7" s="305">
        <f t="shared" si="29"/>
        <v>0</v>
      </c>
      <c r="AT7" s="273"/>
      <c r="AU7" s="305">
        <f t="shared" si="30"/>
        <v>0</v>
      </c>
    </row>
    <row r="8" spans="1:47" s="34" customFormat="1" x14ac:dyDescent="0.25">
      <c r="A8" s="87">
        <v>40634</v>
      </c>
      <c r="B8" s="42">
        <v>12</v>
      </c>
      <c r="C8" s="41" t="str">
        <f t="shared" si="0"/>
        <v>V22.0</v>
      </c>
      <c r="D8" s="41">
        <f t="shared" si="1"/>
        <v>36415</v>
      </c>
      <c r="E8" s="40" t="str">
        <f t="shared" si="2"/>
        <v>OBGYN</v>
      </c>
      <c r="F8" s="40" t="str">
        <f t="shared" si="3"/>
        <v>Laboratory tests</v>
      </c>
      <c r="G8" s="40" t="str">
        <f t="shared" si="4"/>
        <v>Routine Venipuncture</v>
      </c>
      <c r="H8" s="40" t="str">
        <f t="shared" si="5"/>
        <v>Cystic fibrosis screen</v>
      </c>
      <c r="I8" s="160" t="str">
        <f t="shared" si="6"/>
        <v/>
      </c>
      <c r="J8" s="41" t="str">
        <f t="shared" si="7"/>
        <v/>
      </c>
      <c r="K8" s="41" t="str">
        <f t="shared" si="8"/>
        <v/>
      </c>
      <c r="L8" s="41">
        <f t="shared" si="9"/>
        <v>1</v>
      </c>
      <c r="M8" s="41" t="str">
        <f t="shared" si="10"/>
        <v/>
      </c>
      <c r="N8" s="41" t="str">
        <f t="shared" si="11"/>
        <v/>
      </c>
      <c r="O8" s="41" t="str">
        <f t="shared" si="12"/>
        <v/>
      </c>
      <c r="P8" s="188" t="str">
        <f t="shared" si="13"/>
        <v/>
      </c>
      <c r="Q8" s="236">
        <f t="shared" si="14"/>
        <v>4.1312550556999996</v>
      </c>
      <c r="R8" s="253">
        <v>4.1312550556999996</v>
      </c>
      <c r="S8" s="179">
        <f t="shared" si="16"/>
        <v>95.49004293809999</v>
      </c>
      <c r="T8" s="259"/>
      <c r="U8" s="179">
        <f t="shared" si="17"/>
        <v>30</v>
      </c>
      <c r="V8" s="259"/>
      <c r="W8" s="179">
        <f t="shared" si="18"/>
        <v>0</v>
      </c>
      <c r="X8" s="259"/>
      <c r="Y8" s="179">
        <f t="shared" si="19"/>
        <v>0</v>
      </c>
      <c r="Z8" s="259"/>
      <c r="AA8" s="179">
        <f t="shared" si="20"/>
        <v>0</v>
      </c>
      <c r="AB8" s="259"/>
      <c r="AC8" s="179">
        <f t="shared" si="21"/>
        <v>0</v>
      </c>
      <c r="AD8" s="238">
        <f t="shared" si="15"/>
        <v>0</v>
      </c>
      <c r="AE8" s="179">
        <f t="shared" si="22"/>
        <v>0</v>
      </c>
      <c r="AF8" s="264"/>
      <c r="AG8" s="179">
        <f t="shared" si="23"/>
        <v>0</v>
      </c>
      <c r="AH8" s="268"/>
      <c r="AI8" s="179">
        <f t="shared" si="24"/>
        <v>0</v>
      </c>
      <c r="AJ8" s="268"/>
      <c r="AK8" s="179">
        <f t="shared" si="25"/>
        <v>0</v>
      </c>
      <c r="AL8" s="268"/>
      <c r="AM8" s="179">
        <f t="shared" si="26"/>
        <v>0</v>
      </c>
      <c r="AN8" s="268"/>
      <c r="AO8" s="179">
        <f t="shared" si="27"/>
        <v>0</v>
      </c>
      <c r="AP8" s="268"/>
      <c r="AQ8" s="179">
        <f t="shared" si="28"/>
        <v>0</v>
      </c>
      <c r="AR8" s="273"/>
      <c r="AS8" s="305">
        <f t="shared" si="29"/>
        <v>0</v>
      </c>
      <c r="AT8" s="273"/>
      <c r="AU8" s="305">
        <f t="shared" si="30"/>
        <v>0</v>
      </c>
    </row>
    <row r="9" spans="1:47" s="34" customFormat="1" x14ac:dyDescent="0.25">
      <c r="A9" s="87">
        <v>40634</v>
      </c>
      <c r="B9" s="42">
        <v>35</v>
      </c>
      <c r="C9" s="41" t="str">
        <f t="shared" si="0"/>
        <v>V72.42</v>
      </c>
      <c r="D9" s="41">
        <f t="shared" si="1"/>
        <v>81025</v>
      </c>
      <c r="E9" s="40" t="str">
        <f t="shared" si="2"/>
        <v>OBGYN</v>
      </c>
      <c r="F9" s="40" t="str">
        <f t="shared" si="3"/>
        <v>Laboratory tests</v>
      </c>
      <c r="G9" s="40" t="str">
        <f t="shared" si="4"/>
        <v>Urine Pregnancy Test</v>
      </c>
      <c r="H9" s="40" t="str">
        <f t="shared" si="5"/>
        <v/>
      </c>
      <c r="I9" s="160" t="str">
        <f t="shared" si="6"/>
        <v/>
      </c>
      <c r="J9" s="41" t="str">
        <f t="shared" si="7"/>
        <v/>
      </c>
      <c r="K9" s="41" t="str">
        <f t="shared" si="8"/>
        <v/>
      </c>
      <c r="L9" s="41">
        <f t="shared" si="9"/>
        <v>1</v>
      </c>
      <c r="M9" s="41" t="str">
        <f t="shared" si="10"/>
        <v/>
      </c>
      <c r="N9" s="41" t="str">
        <f t="shared" si="11"/>
        <v/>
      </c>
      <c r="O9" s="41" t="str">
        <f t="shared" si="12"/>
        <v/>
      </c>
      <c r="P9" s="188" t="str">
        <f t="shared" si="13"/>
        <v/>
      </c>
      <c r="Q9" s="236">
        <f t="shared" si="14"/>
        <v>8.8680026237000007</v>
      </c>
      <c r="R9" s="280">
        <v>8.8680026237000007</v>
      </c>
      <c r="S9" s="179">
        <f t="shared" si="16"/>
        <v>104.3580455618</v>
      </c>
      <c r="T9" s="259"/>
      <c r="U9" s="179">
        <f t="shared" si="17"/>
        <v>30</v>
      </c>
      <c r="V9" s="259"/>
      <c r="W9" s="179">
        <f t="shared" si="18"/>
        <v>0</v>
      </c>
      <c r="X9" s="259"/>
      <c r="Y9" s="179">
        <f t="shared" si="19"/>
        <v>0</v>
      </c>
      <c r="Z9" s="259"/>
      <c r="AA9" s="179">
        <f t="shared" si="20"/>
        <v>0</v>
      </c>
      <c r="AB9" s="259"/>
      <c r="AC9" s="179">
        <f t="shared" si="21"/>
        <v>0</v>
      </c>
      <c r="AD9" s="238">
        <f t="shared" si="15"/>
        <v>0</v>
      </c>
      <c r="AE9" s="179">
        <f t="shared" si="22"/>
        <v>0</v>
      </c>
      <c r="AF9" s="264"/>
      <c r="AG9" s="179">
        <f t="shared" si="23"/>
        <v>0</v>
      </c>
      <c r="AH9" s="268"/>
      <c r="AI9" s="179">
        <f t="shared" si="24"/>
        <v>0</v>
      </c>
      <c r="AJ9" s="268"/>
      <c r="AK9" s="179">
        <f t="shared" si="25"/>
        <v>0</v>
      </c>
      <c r="AL9" s="268"/>
      <c r="AM9" s="179">
        <f t="shared" si="26"/>
        <v>0</v>
      </c>
      <c r="AN9" s="268"/>
      <c r="AO9" s="179">
        <f t="shared" si="27"/>
        <v>0</v>
      </c>
      <c r="AP9" s="268"/>
      <c r="AQ9" s="179">
        <f t="shared" si="28"/>
        <v>0</v>
      </c>
      <c r="AR9" s="273"/>
      <c r="AS9" s="305">
        <f t="shared" si="29"/>
        <v>0</v>
      </c>
      <c r="AT9" s="273"/>
      <c r="AU9" s="305">
        <f t="shared" si="30"/>
        <v>0</v>
      </c>
    </row>
    <row r="10" spans="1:47" s="34" customFormat="1" x14ac:dyDescent="0.25">
      <c r="A10" s="87">
        <v>40634</v>
      </c>
      <c r="B10" s="42">
        <v>32</v>
      </c>
      <c r="C10" s="41" t="str">
        <f t="shared" si="0"/>
        <v>V22.0</v>
      </c>
      <c r="D10" s="41" t="str">
        <f t="shared" si="1"/>
        <v>Bundled in global OB package - 59400</v>
      </c>
      <c r="E10" s="40" t="str">
        <f t="shared" si="2"/>
        <v>OBGYN</v>
      </c>
      <c r="F10" s="40" t="str">
        <f t="shared" si="3"/>
        <v>Routine Obstetric Care</v>
      </c>
      <c r="G10" s="40" t="str">
        <f t="shared" si="4"/>
        <v>Office/Outpatient Visit Est</v>
      </c>
      <c r="H10" s="40" t="str">
        <f t="shared" si="5"/>
        <v/>
      </c>
      <c r="I10" s="160" t="str">
        <f t="shared" si="6"/>
        <v/>
      </c>
      <c r="J10" s="41" t="str">
        <f t="shared" si="7"/>
        <v/>
      </c>
      <c r="K10" s="41" t="str">
        <f t="shared" si="8"/>
        <v/>
      </c>
      <c r="L10" s="41" t="str">
        <f t="shared" si="9"/>
        <v/>
      </c>
      <c r="M10" s="41" t="str">
        <f t="shared" si="10"/>
        <v/>
      </c>
      <c r="N10" s="41">
        <f t="shared" si="11"/>
        <v>1</v>
      </c>
      <c r="O10" s="41" t="str">
        <f t="shared" si="12"/>
        <v/>
      </c>
      <c r="P10" s="188" t="str">
        <f t="shared" si="13"/>
        <v/>
      </c>
      <c r="Q10" s="236">
        <f t="shared" si="14"/>
        <v>2084.2800000000002</v>
      </c>
      <c r="R10" s="280">
        <v>1044.2800000000002</v>
      </c>
      <c r="S10" s="179">
        <f t="shared" si="16"/>
        <v>1148.6380455618003</v>
      </c>
      <c r="T10" s="259"/>
      <c r="U10" s="179">
        <f t="shared" si="17"/>
        <v>30</v>
      </c>
      <c r="V10" s="259"/>
      <c r="W10" s="179">
        <f t="shared" si="18"/>
        <v>0</v>
      </c>
      <c r="X10" s="259">
        <v>1000</v>
      </c>
      <c r="Y10" s="179">
        <f t="shared" si="19"/>
        <v>1000</v>
      </c>
      <c r="Z10" s="259">
        <v>40</v>
      </c>
      <c r="AA10" s="179">
        <f t="shared" si="20"/>
        <v>40</v>
      </c>
      <c r="AB10" s="259"/>
      <c r="AC10" s="179">
        <f t="shared" si="21"/>
        <v>0</v>
      </c>
      <c r="AD10" s="238">
        <f t="shared" si="15"/>
        <v>1040</v>
      </c>
      <c r="AE10" s="179">
        <f t="shared" si="22"/>
        <v>1040</v>
      </c>
      <c r="AF10" s="264">
        <v>1000</v>
      </c>
      <c r="AG10" s="179">
        <f t="shared" si="23"/>
        <v>1000</v>
      </c>
      <c r="AH10" s="268"/>
      <c r="AI10" s="179">
        <f t="shared" si="24"/>
        <v>0</v>
      </c>
      <c r="AJ10" s="268"/>
      <c r="AK10" s="179">
        <f t="shared" si="25"/>
        <v>0</v>
      </c>
      <c r="AL10" s="268"/>
      <c r="AM10" s="179">
        <f t="shared" si="26"/>
        <v>0</v>
      </c>
      <c r="AN10" s="268"/>
      <c r="AO10" s="179">
        <f t="shared" si="27"/>
        <v>0</v>
      </c>
      <c r="AP10" s="268"/>
      <c r="AQ10" s="179">
        <f t="shared" si="28"/>
        <v>0</v>
      </c>
      <c r="AR10" s="273"/>
      <c r="AS10" s="305">
        <f t="shared" si="29"/>
        <v>0</v>
      </c>
      <c r="AT10" s="273"/>
      <c r="AU10" s="305">
        <f t="shared" si="30"/>
        <v>0</v>
      </c>
    </row>
    <row r="11" spans="1:47" s="34" customFormat="1" x14ac:dyDescent="0.25">
      <c r="A11" s="87">
        <v>40640</v>
      </c>
      <c r="B11" s="42">
        <v>32</v>
      </c>
      <c r="C11" s="41" t="str">
        <f t="shared" si="0"/>
        <v>V22.0</v>
      </c>
      <c r="D11" s="41" t="str">
        <f t="shared" si="1"/>
        <v>Bundled in global OB package - 59400</v>
      </c>
      <c r="E11" s="40" t="str">
        <f t="shared" si="2"/>
        <v>OBGYN</v>
      </c>
      <c r="F11" s="40" t="str">
        <f t="shared" si="3"/>
        <v>Routine Obstetric Care</v>
      </c>
      <c r="G11" s="40" t="str">
        <f t="shared" si="4"/>
        <v>Office/Outpatient Visit Est</v>
      </c>
      <c r="H11" s="40" t="str">
        <f t="shared" si="5"/>
        <v/>
      </c>
      <c r="I11" s="160" t="str">
        <f t="shared" si="6"/>
        <v/>
      </c>
      <c r="J11" s="41" t="str">
        <f t="shared" si="7"/>
        <v/>
      </c>
      <c r="K11" s="41" t="str">
        <f t="shared" si="8"/>
        <v/>
      </c>
      <c r="L11" s="41" t="str">
        <f t="shared" si="9"/>
        <v/>
      </c>
      <c r="M11" s="41" t="str">
        <f t="shared" si="10"/>
        <v/>
      </c>
      <c r="N11" s="41">
        <f t="shared" si="11"/>
        <v>1</v>
      </c>
      <c r="O11" s="41" t="str">
        <f t="shared" si="12"/>
        <v/>
      </c>
      <c r="P11" s="188" t="str">
        <f t="shared" si="13"/>
        <v/>
      </c>
      <c r="Q11" s="236">
        <f t="shared" si="14"/>
        <v>2084.2800000000002</v>
      </c>
      <c r="R11" s="280"/>
      <c r="S11" s="179">
        <f t="shared" si="16"/>
        <v>1148.6380455618003</v>
      </c>
      <c r="T11" s="259"/>
      <c r="U11" s="179">
        <f t="shared" si="17"/>
        <v>30</v>
      </c>
      <c r="V11" s="259"/>
      <c r="W11" s="179">
        <f t="shared" si="18"/>
        <v>0</v>
      </c>
      <c r="X11" s="259"/>
      <c r="Y11" s="179">
        <f t="shared" si="19"/>
        <v>1000</v>
      </c>
      <c r="Z11" s="259"/>
      <c r="AA11" s="179">
        <f t="shared" si="20"/>
        <v>40</v>
      </c>
      <c r="AB11" s="259"/>
      <c r="AC11" s="179">
        <f t="shared" si="21"/>
        <v>0</v>
      </c>
      <c r="AD11" s="238">
        <f t="shared" si="15"/>
        <v>0</v>
      </c>
      <c r="AE11" s="179">
        <f t="shared" si="22"/>
        <v>1040</v>
      </c>
      <c r="AF11" s="264"/>
      <c r="AG11" s="179">
        <f t="shared" si="23"/>
        <v>1000</v>
      </c>
      <c r="AH11" s="268"/>
      <c r="AI11" s="179">
        <f t="shared" si="24"/>
        <v>0</v>
      </c>
      <c r="AJ11" s="268"/>
      <c r="AK11" s="179">
        <f t="shared" si="25"/>
        <v>0</v>
      </c>
      <c r="AL11" s="268"/>
      <c r="AM11" s="179">
        <f t="shared" si="26"/>
        <v>0</v>
      </c>
      <c r="AN11" s="268"/>
      <c r="AO11" s="179">
        <f t="shared" si="27"/>
        <v>0</v>
      </c>
      <c r="AP11" s="268"/>
      <c r="AQ11" s="179">
        <f t="shared" si="28"/>
        <v>0</v>
      </c>
      <c r="AR11" s="273"/>
      <c r="AS11" s="305">
        <f t="shared" si="29"/>
        <v>0</v>
      </c>
      <c r="AT11" s="273"/>
      <c r="AU11" s="305">
        <f t="shared" si="30"/>
        <v>0</v>
      </c>
    </row>
    <row r="12" spans="1:47" s="34" customFormat="1" x14ac:dyDescent="0.25">
      <c r="A12" s="87">
        <v>40640</v>
      </c>
      <c r="B12" s="42">
        <v>8</v>
      </c>
      <c r="C12" s="41" t="str">
        <f t="shared" si="0"/>
        <v/>
      </c>
      <c r="D12" s="41" t="str">
        <f t="shared" si="1"/>
        <v>OTC</v>
      </c>
      <c r="E12" s="40" t="str">
        <f t="shared" si="2"/>
        <v>Pharmacy Retail</v>
      </c>
      <c r="F12" s="40" t="str">
        <f t="shared" si="3"/>
        <v>Pharmacy</v>
      </c>
      <c r="G12" s="40" t="str">
        <f t="shared" si="4"/>
        <v>Prenatal Vitamins (OTC - Bottle of 100) [1 pill daily; 30 pills/month]</v>
      </c>
      <c r="H12" s="40" t="str">
        <f t="shared" si="5"/>
        <v/>
      </c>
      <c r="I12" s="160" t="str">
        <f t="shared" si="6"/>
        <v/>
      </c>
      <c r="J12" s="41" t="str">
        <f t="shared" si="7"/>
        <v/>
      </c>
      <c r="K12" s="41" t="str">
        <f t="shared" si="8"/>
        <v/>
      </c>
      <c r="L12" s="41" t="str">
        <f t="shared" si="9"/>
        <v/>
      </c>
      <c r="M12" s="41" t="str">
        <f t="shared" si="10"/>
        <v/>
      </c>
      <c r="N12" s="41" t="str">
        <f t="shared" si="11"/>
        <v/>
      </c>
      <c r="O12" s="41" t="str">
        <f t="shared" si="12"/>
        <v/>
      </c>
      <c r="P12" s="188" t="str">
        <f t="shared" si="13"/>
        <v/>
      </c>
      <c r="Q12" s="236">
        <f t="shared" si="14"/>
        <v>30</v>
      </c>
      <c r="R12" s="280"/>
      <c r="S12" s="179">
        <f t="shared" si="16"/>
        <v>1148.6380455618003</v>
      </c>
      <c r="T12" s="259">
        <v>30</v>
      </c>
      <c r="U12" s="179">
        <f t="shared" si="17"/>
        <v>60</v>
      </c>
      <c r="V12" s="259"/>
      <c r="W12" s="179">
        <f t="shared" si="18"/>
        <v>0</v>
      </c>
      <c r="X12" s="259"/>
      <c r="Y12" s="179">
        <f t="shared" si="19"/>
        <v>1000</v>
      </c>
      <c r="Z12" s="259"/>
      <c r="AA12" s="179">
        <f t="shared" si="20"/>
        <v>40</v>
      </c>
      <c r="AB12" s="259"/>
      <c r="AC12" s="179">
        <f t="shared" si="21"/>
        <v>0</v>
      </c>
      <c r="AD12" s="238">
        <f t="shared" si="15"/>
        <v>0</v>
      </c>
      <c r="AE12" s="179">
        <f t="shared" si="22"/>
        <v>1040</v>
      </c>
      <c r="AF12" s="264"/>
      <c r="AG12" s="179">
        <f t="shared" si="23"/>
        <v>1000</v>
      </c>
      <c r="AH12" s="268"/>
      <c r="AI12" s="179">
        <f t="shared" si="24"/>
        <v>0</v>
      </c>
      <c r="AJ12" s="268"/>
      <c r="AK12" s="179">
        <f t="shared" si="25"/>
        <v>0</v>
      </c>
      <c r="AL12" s="268"/>
      <c r="AM12" s="179">
        <f t="shared" si="26"/>
        <v>0</v>
      </c>
      <c r="AN12" s="268"/>
      <c r="AO12" s="179">
        <f t="shared" si="27"/>
        <v>0</v>
      </c>
      <c r="AP12" s="268"/>
      <c r="AQ12" s="179">
        <f t="shared" si="28"/>
        <v>0</v>
      </c>
      <c r="AR12" s="273"/>
      <c r="AS12" s="305">
        <f t="shared" si="29"/>
        <v>0</v>
      </c>
      <c r="AT12" s="273"/>
      <c r="AU12" s="305">
        <f t="shared" si="30"/>
        <v>0</v>
      </c>
    </row>
    <row r="13" spans="1:47" s="34" customFormat="1" x14ac:dyDescent="0.25">
      <c r="A13" s="87">
        <v>40690</v>
      </c>
      <c r="B13" s="42">
        <v>32</v>
      </c>
      <c r="C13" s="41" t="str">
        <f t="shared" si="0"/>
        <v>V22.0</v>
      </c>
      <c r="D13" s="41" t="str">
        <f t="shared" si="1"/>
        <v>Bundled in global OB package - 59400</v>
      </c>
      <c r="E13" s="40" t="str">
        <f t="shared" si="2"/>
        <v>OBGYN</v>
      </c>
      <c r="F13" s="40" t="str">
        <f t="shared" si="3"/>
        <v>Routine Obstetric Care</v>
      </c>
      <c r="G13" s="40" t="str">
        <f t="shared" si="4"/>
        <v>Office/Outpatient Visit Est</v>
      </c>
      <c r="H13" s="40" t="str">
        <f t="shared" si="5"/>
        <v/>
      </c>
      <c r="I13" s="160" t="str">
        <f t="shared" si="6"/>
        <v/>
      </c>
      <c r="J13" s="41" t="str">
        <f t="shared" si="7"/>
        <v/>
      </c>
      <c r="K13" s="41" t="str">
        <f t="shared" si="8"/>
        <v/>
      </c>
      <c r="L13" s="41" t="str">
        <f t="shared" si="9"/>
        <v/>
      </c>
      <c r="M13" s="41" t="str">
        <f t="shared" si="10"/>
        <v/>
      </c>
      <c r="N13" s="41">
        <f t="shared" si="11"/>
        <v>1</v>
      </c>
      <c r="O13" s="41" t="str">
        <f t="shared" si="12"/>
        <v/>
      </c>
      <c r="P13" s="188" t="str">
        <f t="shared" si="13"/>
        <v/>
      </c>
      <c r="Q13" s="236">
        <f t="shared" si="14"/>
        <v>2084.2800000000002</v>
      </c>
      <c r="R13" s="280"/>
      <c r="S13" s="179">
        <f t="shared" si="16"/>
        <v>1148.6380455618003</v>
      </c>
      <c r="T13" s="259"/>
      <c r="U13" s="179">
        <f t="shared" si="17"/>
        <v>60</v>
      </c>
      <c r="V13" s="259"/>
      <c r="W13" s="179">
        <f t="shared" si="18"/>
        <v>0</v>
      </c>
      <c r="X13" s="259"/>
      <c r="Y13" s="179">
        <f t="shared" si="19"/>
        <v>1000</v>
      </c>
      <c r="Z13" s="259"/>
      <c r="AA13" s="179">
        <f t="shared" si="20"/>
        <v>40</v>
      </c>
      <c r="AB13" s="259"/>
      <c r="AC13" s="179">
        <f t="shared" si="21"/>
        <v>0</v>
      </c>
      <c r="AD13" s="238">
        <f t="shared" si="15"/>
        <v>0</v>
      </c>
      <c r="AE13" s="179">
        <f t="shared" si="22"/>
        <v>1040</v>
      </c>
      <c r="AF13" s="264"/>
      <c r="AG13" s="179">
        <f t="shared" si="23"/>
        <v>1000</v>
      </c>
      <c r="AH13" s="268"/>
      <c r="AI13" s="179">
        <f t="shared" si="24"/>
        <v>0</v>
      </c>
      <c r="AJ13" s="268"/>
      <c r="AK13" s="179">
        <f t="shared" si="25"/>
        <v>0</v>
      </c>
      <c r="AL13" s="268"/>
      <c r="AM13" s="179">
        <f t="shared" si="26"/>
        <v>0</v>
      </c>
      <c r="AN13" s="268"/>
      <c r="AO13" s="179">
        <f t="shared" si="27"/>
        <v>0</v>
      </c>
      <c r="AP13" s="268"/>
      <c r="AQ13" s="179">
        <f t="shared" si="28"/>
        <v>0</v>
      </c>
      <c r="AR13" s="273"/>
      <c r="AS13" s="305">
        <f t="shared" si="29"/>
        <v>0</v>
      </c>
      <c r="AT13" s="273"/>
      <c r="AU13" s="305">
        <f t="shared" si="30"/>
        <v>0</v>
      </c>
    </row>
    <row r="14" spans="1:47" s="34" customFormat="1" x14ac:dyDescent="0.25">
      <c r="A14" s="87">
        <v>40718</v>
      </c>
      <c r="B14" s="42">
        <v>15</v>
      </c>
      <c r="C14" s="41" t="str">
        <f t="shared" si="0"/>
        <v>V22.0</v>
      </c>
      <c r="D14" s="41">
        <f t="shared" si="1"/>
        <v>82105</v>
      </c>
      <c r="E14" s="40" t="str">
        <f t="shared" si="2"/>
        <v>OBGYN</v>
      </c>
      <c r="F14" s="40" t="str">
        <f t="shared" si="3"/>
        <v>Laboratory tests</v>
      </c>
      <c r="G14" s="40" t="str">
        <f t="shared" si="4"/>
        <v>Alpha-fetoprotein serum</v>
      </c>
      <c r="H14" s="40" t="str">
        <f t="shared" si="5"/>
        <v>Maternal serum quad screen</v>
      </c>
      <c r="I14" s="160" t="str">
        <f t="shared" si="6"/>
        <v/>
      </c>
      <c r="J14" s="41" t="str">
        <f t="shared" si="7"/>
        <v/>
      </c>
      <c r="K14" s="41" t="str">
        <f t="shared" si="8"/>
        <v/>
      </c>
      <c r="L14" s="41">
        <f t="shared" si="9"/>
        <v>1</v>
      </c>
      <c r="M14" s="41" t="str">
        <f t="shared" si="10"/>
        <v/>
      </c>
      <c r="N14" s="41" t="str">
        <f t="shared" si="11"/>
        <v/>
      </c>
      <c r="O14" s="41" t="str">
        <f t="shared" si="12"/>
        <v/>
      </c>
      <c r="P14" s="188" t="str">
        <f t="shared" si="13"/>
        <v/>
      </c>
      <c r="Q14" s="236">
        <f t="shared" si="14"/>
        <v>27.859090028000001</v>
      </c>
      <c r="R14" s="280">
        <v>27.859090028000001</v>
      </c>
      <c r="S14" s="179">
        <f t="shared" si="16"/>
        <v>1176.4971355898003</v>
      </c>
      <c r="T14" s="259"/>
      <c r="U14" s="179">
        <f t="shared" si="17"/>
        <v>60</v>
      </c>
      <c r="V14" s="259"/>
      <c r="W14" s="179">
        <f t="shared" si="18"/>
        <v>0</v>
      </c>
      <c r="X14" s="259"/>
      <c r="Y14" s="179">
        <f t="shared" si="19"/>
        <v>1000</v>
      </c>
      <c r="Z14" s="259"/>
      <c r="AA14" s="179">
        <f t="shared" si="20"/>
        <v>40</v>
      </c>
      <c r="AB14" s="259"/>
      <c r="AC14" s="179">
        <f t="shared" si="21"/>
        <v>0</v>
      </c>
      <c r="AD14" s="238">
        <f t="shared" si="15"/>
        <v>0</v>
      </c>
      <c r="AE14" s="179">
        <f t="shared" si="22"/>
        <v>1040</v>
      </c>
      <c r="AF14" s="264"/>
      <c r="AG14" s="179">
        <f t="shared" si="23"/>
        <v>1000</v>
      </c>
      <c r="AH14" s="268"/>
      <c r="AI14" s="179">
        <f t="shared" si="24"/>
        <v>0</v>
      </c>
      <c r="AJ14" s="268"/>
      <c r="AK14" s="179">
        <f t="shared" si="25"/>
        <v>0</v>
      </c>
      <c r="AL14" s="268"/>
      <c r="AM14" s="179">
        <f t="shared" si="26"/>
        <v>0</v>
      </c>
      <c r="AN14" s="268"/>
      <c r="AO14" s="179">
        <f t="shared" si="27"/>
        <v>0</v>
      </c>
      <c r="AP14" s="268"/>
      <c r="AQ14" s="179">
        <f t="shared" si="28"/>
        <v>0</v>
      </c>
      <c r="AR14" s="273"/>
      <c r="AS14" s="305">
        <f t="shared" si="29"/>
        <v>0</v>
      </c>
      <c r="AT14" s="273"/>
      <c r="AU14" s="305">
        <f t="shared" si="30"/>
        <v>0</v>
      </c>
    </row>
    <row r="15" spans="1:47" s="34" customFormat="1" x14ac:dyDescent="0.25">
      <c r="A15" s="87">
        <v>40718</v>
      </c>
      <c r="B15" s="42">
        <v>16</v>
      </c>
      <c r="C15" s="41" t="str">
        <f t="shared" si="0"/>
        <v>V22.0</v>
      </c>
      <c r="D15" s="41" t="str">
        <f t="shared" si="1"/>
        <v>82677</v>
      </c>
      <c r="E15" s="40" t="str">
        <f t="shared" si="2"/>
        <v>OBGYN</v>
      </c>
      <c r="F15" s="40" t="str">
        <f t="shared" si="3"/>
        <v>Laboratory tests</v>
      </c>
      <c r="G15" s="40" t="str">
        <f t="shared" si="4"/>
        <v>Alssay of estriol</v>
      </c>
      <c r="H15" s="40" t="str">
        <f t="shared" si="5"/>
        <v>Maternal serum quad screen</v>
      </c>
      <c r="I15" s="160" t="str">
        <f t="shared" si="6"/>
        <v/>
      </c>
      <c r="J15" s="41" t="str">
        <f t="shared" si="7"/>
        <v/>
      </c>
      <c r="K15" s="41" t="str">
        <f t="shared" si="8"/>
        <v/>
      </c>
      <c r="L15" s="41">
        <f t="shared" si="9"/>
        <v>1</v>
      </c>
      <c r="M15" s="41" t="str">
        <f t="shared" si="10"/>
        <v/>
      </c>
      <c r="N15" s="41" t="str">
        <f t="shared" si="11"/>
        <v/>
      </c>
      <c r="O15" s="41" t="str">
        <f t="shared" si="12"/>
        <v/>
      </c>
      <c r="P15" s="188" t="str">
        <f t="shared" si="13"/>
        <v/>
      </c>
      <c r="Q15" s="236">
        <f t="shared" si="14"/>
        <v>26.628776623</v>
      </c>
      <c r="R15" s="280">
        <v>26.628776623</v>
      </c>
      <c r="S15" s="179">
        <f t="shared" si="16"/>
        <v>1203.1259122128004</v>
      </c>
      <c r="T15" s="259"/>
      <c r="U15" s="179">
        <f t="shared" si="17"/>
        <v>60</v>
      </c>
      <c r="V15" s="259"/>
      <c r="W15" s="179">
        <f t="shared" si="18"/>
        <v>0</v>
      </c>
      <c r="X15" s="259"/>
      <c r="Y15" s="179">
        <f t="shared" si="19"/>
        <v>1000</v>
      </c>
      <c r="Z15" s="259"/>
      <c r="AA15" s="179">
        <f t="shared" si="20"/>
        <v>40</v>
      </c>
      <c r="AB15" s="259"/>
      <c r="AC15" s="179">
        <f t="shared" si="21"/>
        <v>0</v>
      </c>
      <c r="AD15" s="238">
        <f t="shared" si="15"/>
        <v>0</v>
      </c>
      <c r="AE15" s="179">
        <f t="shared" si="22"/>
        <v>1040</v>
      </c>
      <c r="AF15" s="264"/>
      <c r="AG15" s="179">
        <f t="shared" si="23"/>
        <v>1000</v>
      </c>
      <c r="AH15" s="268"/>
      <c r="AI15" s="179">
        <f t="shared" si="24"/>
        <v>0</v>
      </c>
      <c r="AJ15" s="268"/>
      <c r="AK15" s="179">
        <f t="shared" si="25"/>
        <v>0</v>
      </c>
      <c r="AL15" s="268"/>
      <c r="AM15" s="179">
        <f t="shared" si="26"/>
        <v>0</v>
      </c>
      <c r="AN15" s="268"/>
      <c r="AO15" s="179">
        <f t="shared" si="27"/>
        <v>0</v>
      </c>
      <c r="AP15" s="268"/>
      <c r="AQ15" s="179">
        <f t="shared" si="28"/>
        <v>0</v>
      </c>
      <c r="AR15" s="273"/>
      <c r="AS15" s="305">
        <f t="shared" si="29"/>
        <v>0</v>
      </c>
      <c r="AT15" s="273"/>
      <c r="AU15" s="305">
        <f t="shared" si="30"/>
        <v>0</v>
      </c>
    </row>
    <row r="16" spans="1:47" s="34" customFormat="1" x14ac:dyDescent="0.25">
      <c r="A16" s="87">
        <v>40718</v>
      </c>
      <c r="B16" s="42">
        <v>25</v>
      </c>
      <c r="C16" s="41" t="str">
        <f t="shared" si="0"/>
        <v>V22.0</v>
      </c>
      <c r="D16" s="41" t="str">
        <f t="shared" si="1"/>
        <v>84702</v>
      </c>
      <c r="E16" s="40" t="str">
        <f t="shared" si="2"/>
        <v>OBGYN</v>
      </c>
      <c r="F16" s="40" t="str">
        <f t="shared" si="3"/>
        <v>Laboratory tests</v>
      </c>
      <c r="G16" s="40" t="str">
        <f t="shared" si="4"/>
        <v>Chorionic gonadotropin test</v>
      </c>
      <c r="H16" s="40" t="str">
        <f t="shared" si="5"/>
        <v>Maternal serum quad screen</v>
      </c>
      <c r="I16" s="160" t="str">
        <f t="shared" si="6"/>
        <v/>
      </c>
      <c r="J16" s="41" t="str">
        <f t="shared" si="7"/>
        <v/>
      </c>
      <c r="K16" s="41" t="str">
        <f t="shared" si="8"/>
        <v/>
      </c>
      <c r="L16" s="41">
        <f t="shared" si="9"/>
        <v>1</v>
      </c>
      <c r="M16" s="41" t="str">
        <f t="shared" si="10"/>
        <v/>
      </c>
      <c r="N16" s="41" t="str">
        <f t="shared" si="11"/>
        <v/>
      </c>
      <c r="O16" s="41" t="str">
        <f t="shared" si="12"/>
        <v/>
      </c>
      <c r="P16" s="188" t="str">
        <f t="shared" si="13"/>
        <v/>
      </c>
      <c r="Q16" s="236">
        <f t="shared" si="14"/>
        <v>21.473647412999998</v>
      </c>
      <c r="R16" s="280">
        <v>21.473647412999998</v>
      </c>
      <c r="S16" s="179">
        <f t="shared" si="16"/>
        <v>1224.5995596258003</v>
      </c>
      <c r="T16" s="259"/>
      <c r="U16" s="179">
        <f t="shared" si="17"/>
        <v>60</v>
      </c>
      <c r="V16" s="259"/>
      <c r="W16" s="179">
        <f t="shared" si="18"/>
        <v>0</v>
      </c>
      <c r="X16" s="259"/>
      <c r="Y16" s="179">
        <f t="shared" si="19"/>
        <v>1000</v>
      </c>
      <c r="Z16" s="259"/>
      <c r="AA16" s="179">
        <f t="shared" si="20"/>
        <v>40</v>
      </c>
      <c r="AB16" s="259"/>
      <c r="AC16" s="179">
        <f t="shared" si="21"/>
        <v>0</v>
      </c>
      <c r="AD16" s="238">
        <f t="shared" si="15"/>
        <v>0</v>
      </c>
      <c r="AE16" s="179">
        <f t="shared" si="22"/>
        <v>1040</v>
      </c>
      <c r="AF16" s="264"/>
      <c r="AG16" s="179">
        <f t="shared" si="23"/>
        <v>1000</v>
      </c>
      <c r="AH16" s="268"/>
      <c r="AI16" s="179">
        <f t="shared" si="24"/>
        <v>0</v>
      </c>
      <c r="AJ16" s="268"/>
      <c r="AK16" s="179">
        <f t="shared" si="25"/>
        <v>0</v>
      </c>
      <c r="AL16" s="268"/>
      <c r="AM16" s="179">
        <f t="shared" si="26"/>
        <v>0</v>
      </c>
      <c r="AN16" s="268"/>
      <c r="AO16" s="179">
        <f t="shared" si="27"/>
        <v>0</v>
      </c>
      <c r="AP16" s="268"/>
      <c r="AQ16" s="179">
        <f t="shared" si="28"/>
        <v>0</v>
      </c>
      <c r="AR16" s="273"/>
      <c r="AS16" s="305">
        <f t="shared" si="29"/>
        <v>0</v>
      </c>
      <c r="AT16" s="273"/>
      <c r="AU16" s="305">
        <f t="shared" si="30"/>
        <v>0</v>
      </c>
    </row>
    <row r="17" spans="1:47" s="34" customFormat="1" x14ac:dyDescent="0.25">
      <c r="A17" s="87">
        <v>40718</v>
      </c>
      <c r="B17" s="42">
        <v>27</v>
      </c>
      <c r="C17" s="41" t="str">
        <f t="shared" si="0"/>
        <v>V22.0</v>
      </c>
      <c r="D17" s="41" t="str">
        <f t="shared" si="1"/>
        <v>86336</v>
      </c>
      <c r="E17" s="40" t="str">
        <f t="shared" si="2"/>
        <v>OBGYN</v>
      </c>
      <c r="F17" s="40" t="str">
        <f t="shared" si="3"/>
        <v>Laboratory tests</v>
      </c>
      <c r="G17" s="40" t="str">
        <f t="shared" si="4"/>
        <v>Inhibin A</v>
      </c>
      <c r="H17" s="40" t="str">
        <f t="shared" si="5"/>
        <v>Maternal serum quad screen</v>
      </c>
      <c r="I17" s="160" t="str">
        <f t="shared" si="6"/>
        <v/>
      </c>
      <c r="J17" s="41" t="str">
        <f t="shared" si="7"/>
        <v/>
      </c>
      <c r="K17" s="41" t="str">
        <f t="shared" si="8"/>
        <v/>
      </c>
      <c r="L17" s="41">
        <f t="shared" si="9"/>
        <v>1</v>
      </c>
      <c r="M17" s="41" t="str">
        <f t="shared" si="10"/>
        <v/>
      </c>
      <c r="N17" s="41" t="str">
        <f t="shared" si="11"/>
        <v/>
      </c>
      <c r="O17" s="41" t="str">
        <f t="shared" si="12"/>
        <v/>
      </c>
      <c r="P17" s="188" t="str">
        <f t="shared" si="13"/>
        <v/>
      </c>
      <c r="Q17" s="236">
        <f t="shared" si="14"/>
        <v>22.502594885000001</v>
      </c>
      <c r="R17" s="280">
        <v>22.502594885000001</v>
      </c>
      <c r="S17" s="179">
        <f t="shared" si="16"/>
        <v>1247.1021545108003</v>
      </c>
      <c r="T17" s="259"/>
      <c r="U17" s="179">
        <f t="shared" si="17"/>
        <v>60</v>
      </c>
      <c r="V17" s="259"/>
      <c r="W17" s="179">
        <f t="shared" si="18"/>
        <v>0</v>
      </c>
      <c r="X17" s="259"/>
      <c r="Y17" s="179">
        <f t="shared" si="19"/>
        <v>1000</v>
      </c>
      <c r="Z17" s="259"/>
      <c r="AA17" s="179">
        <f t="shared" si="20"/>
        <v>40</v>
      </c>
      <c r="AB17" s="259"/>
      <c r="AC17" s="179">
        <f t="shared" si="21"/>
        <v>0</v>
      </c>
      <c r="AD17" s="238">
        <f t="shared" si="15"/>
        <v>0</v>
      </c>
      <c r="AE17" s="179">
        <f t="shared" si="22"/>
        <v>1040</v>
      </c>
      <c r="AF17" s="264"/>
      <c r="AG17" s="179">
        <f t="shared" si="23"/>
        <v>1000</v>
      </c>
      <c r="AH17" s="268"/>
      <c r="AI17" s="179">
        <f t="shared" si="24"/>
        <v>0</v>
      </c>
      <c r="AJ17" s="268"/>
      <c r="AK17" s="179">
        <f t="shared" si="25"/>
        <v>0</v>
      </c>
      <c r="AL17" s="268"/>
      <c r="AM17" s="179">
        <f t="shared" si="26"/>
        <v>0</v>
      </c>
      <c r="AN17" s="268"/>
      <c r="AO17" s="179">
        <f t="shared" si="27"/>
        <v>0</v>
      </c>
      <c r="AP17" s="268"/>
      <c r="AQ17" s="179">
        <f t="shared" si="28"/>
        <v>0</v>
      </c>
      <c r="AR17" s="273"/>
      <c r="AS17" s="305">
        <f t="shared" si="29"/>
        <v>0</v>
      </c>
      <c r="AT17" s="273"/>
      <c r="AU17" s="305">
        <f t="shared" si="30"/>
        <v>0</v>
      </c>
    </row>
    <row r="18" spans="1:47" s="34" customFormat="1" x14ac:dyDescent="0.25">
      <c r="A18" s="87">
        <v>40718</v>
      </c>
      <c r="B18" s="42">
        <v>23</v>
      </c>
      <c r="C18" s="41" t="str">
        <f t="shared" si="0"/>
        <v>V22.0</v>
      </c>
      <c r="D18" s="41">
        <f t="shared" si="1"/>
        <v>83912</v>
      </c>
      <c r="E18" s="40" t="str">
        <f t="shared" si="2"/>
        <v>OBGYN</v>
      </c>
      <c r="F18" s="40" t="str">
        <f t="shared" si="3"/>
        <v>Laboratory tests</v>
      </c>
      <c r="G18" s="40" t="str">
        <f t="shared" si="4"/>
        <v>Genetic examination</v>
      </c>
      <c r="H18" s="40" t="str">
        <f t="shared" si="5"/>
        <v>Cystic fibrosis screen</v>
      </c>
      <c r="I18" s="160" t="str">
        <f t="shared" si="6"/>
        <v/>
      </c>
      <c r="J18" s="41" t="str">
        <f t="shared" si="7"/>
        <v/>
      </c>
      <c r="K18" s="41" t="str">
        <f t="shared" si="8"/>
        <v/>
      </c>
      <c r="L18" s="41">
        <f t="shared" si="9"/>
        <v>1</v>
      </c>
      <c r="M18" s="41" t="str">
        <f t="shared" si="10"/>
        <v/>
      </c>
      <c r="N18" s="41" t="str">
        <f t="shared" si="11"/>
        <v/>
      </c>
      <c r="O18" s="41" t="str">
        <f t="shared" si="12"/>
        <v/>
      </c>
      <c r="P18" s="188" t="str">
        <f t="shared" si="13"/>
        <v/>
      </c>
      <c r="Q18" s="236">
        <f t="shared" si="14"/>
        <v>11.780489834999999</v>
      </c>
      <c r="R18" s="280">
        <v>11.780489834999999</v>
      </c>
      <c r="S18" s="179">
        <f t="shared" si="16"/>
        <v>1258.8826443458004</v>
      </c>
      <c r="T18" s="259"/>
      <c r="U18" s="179">
        <f t="shared" si="17"/>
        <v>60</v>
      </c>
      <c r="V18" s="259"/>
      <c r="W18" s="179">
        <f t="shared" si="18"/>
        <v>0</v>
      </c>
      <c r="X18" s="259"/>
      <c r="Y18" s="179">
        <f t="shared" si="19"/>
        <v>1000</v>
      </c>
      <c r="Z18" s="259"/>
      <c r="AA18" s="179">
        <f t="shared" si="20"/>
        <v>40</v>
      </c>
      <c r="AB18" s="259"/>
      <c r="AC18" s="179">
        <f t="shared" si="21"/>
        <v>0</v>
      </c>
      <c r="AD18" s="238">
        <f t="shared" si="15"/>
        <v>0</v>
      </c>
      <c r="AE18" s="179">
        <f t="shared" si="22"/>
        <v>1040</v>
      </c>
      <c r="AF18" s="264"/>
      <c r="AG18" s="179">
        <f t="shared" si="23"/>
        <v>1000</v>
      </c>
      <c r="AH18" s="268"/>
      <c r="AI18" s="179">
        <f t="shared" si="24"/>
        <v>0</v>
      </c>
      <c r="AJ18" s="268"/>
      <c r="AK18" s="179">
        <f t="shared" si="25"/>
        <v>0</v>
      </c>
      <c r="AL18" s="268"/>
      <c r="AM18" s="179">
        <f t="shared" si="26"/>
        <v>0</v>
      </c>
      <c r="AN18" s="268"/>
      <c r="AO18" s="179">
        <f t="shared" si="27"/>
        <v>0</v>
      </c>
      <c r="AP18" s="268"/>
      <c r="AQ18" s="179">
        <f t="shared" si="28"/>
        <v>0</v>
      </c>
      <c r="AR18" s="273"/>
      <c r="AS18" s="305">
        <f t="shared" si="29"/>
        <v>0</v>
      </c>
      <c r="AT18" s="273"/>
      <c r="AU18" s="305">
        <f t="shared" si="30"/>
        <v>0</v>
      </c>
    </row>
    <row r="19" spans="1:47" s="34" customFormat="1" x14ac:dyDescent="0.25">
      <c r="A19" s="87">
        <v>40718</v>
      </c>
      <c r="B19" s="42">
        <v>19</v>
      </c>
      <c r="C19" s="41" t="str">
        <f t="shared" si="0"/>
        <v>V22.0</v>
      </c>
      <c r="D19" s="41">
        <f t="shared" si="1"/>
        <v>83891</v>
      </c>
      <c r="E19" s="40" t="str">
        <f t="shared" si="2"/>
        <v>OBGYN</v>
      </c>
      <c r="F19" s="40" t="str">
        <f t="shared" si="3"/>
        <v>Laboratory tests</v>
      </c>
      <c r="G19" s="40" t="str">
        <f t="shared" si="4"/>
        <v>Molecule isolate nucleic</v>
      </c>
      <c r="H19" s="40" t="str">
        <f t="shared" si="5"/>
        <v>Cystic fibrosis screen</v>
      </c>
      <c r="I19" s="160" t="str">
        <f t="shared" si="6"/>
        <v/>
      </c>
      <c r="J19" s="41" t="str">
        <f t="shared" si="7"/>
        <v/>
      </c>
      <c r="K19" s="41" t="str">
        <f t="shared" si="8"/>
        <v/>
      </c>
      <c r="L19" s="41">
        <f t="shared" si="9"/>
        <v>1</v>
      </c>
      <c r="M19" s="41" t="str">
        <f t="shared" si="10"/>
        <v/>
      </c>
      <c r="N19" s="41" t="str">
        <f t="shared" si="11"/>
        <v/>
      </c>
      <c r="O19" s="41" t="str">
        <f t="shared" si="12"/>
        <v/>
      </c>
      <c r="P19" s="188" t="str">
        <f t="shared" si="13"/>
        <v/>
      </c>
      <c r="Q19" s="236">
        <f t="shared" si="14"/>
        <v>7.1985144897</v>
      </c>
      <c r="R19" s="280">
        <v>7.1985144897</v>
      </c>
      <c r="S19" s="179">
        <f t="shared" si="16"/>
        <v>1266.0811588355004</v>
      </c>
      <c r="T19" s="259"/>
      <c r="U19" s="179">
        <f t="shared" si="17"/>
        <v>60</v>
      </c>
      <c r="V19" s="259"/>
      <c r="W19" s="179">
        <f t="shared" si="18"/>
        <v>0</v>
      </c>
      <c r="X19" s="259"/>
      <c r="Y19" s="179">
        <f t="shared" si="19"/>
        <v>1000</v>
      </c>
      <c r="Z19" s="259"/>
      <c r="AA19" s="179">
        <f t="shared" si="20"/>
        <v>40</v>
      </c>
      <c r="AB19" s="259"/>
      <c r="AC19" s="179">
        <f t="shared" si="21"/>
        <v>0</v>
      </c>
      <c r="AD19" s="238">
        <f t="shared" si="15"/>
        <v>0</v>
      </c>
      <c r="AE19" s="179">
        <f t="shared" si="22"/>
        <v>1040</v>
      </c>
      <c r="AF19" s="264"/>
      <c r="AG19" s="179">
        <f t="shared" si="23"/>
        <v>1000</v>
      </c>
      <c r="AH19" s="268"/>
      <c r="AI19" s="179">
        <f t="shared" si="24"/>
        <v>0</v>
      </c>
      <c r="AJ19" s="268"/>
      <c r="AK19" s="179">
        <f t="shared" si="25"/>
        <v>0</v>
      </c>
      <c r="AL19" s="268"/>
      <c r="AM19" s="179">
        <f t="shared" si="26"/>
        <v>0</v>
      </c>
      <c r="AN19" s="268"/>
      <c r="AO19" s="179">
        <f t="shared" si="27"/>
        <v>0</v>
      </c>
      <c r="AP19" s="268"/>
      <c r="AQ19" s="179">
        <f t="shared" si="28"/>
        <v>0</v>
      </c>
      <c r="AR19" s="273"/>
      <c r="AS19" s="305">
        <f t="shared" si="29"/>
        <v>0</v>
      </c>
      <c r="AT19" s="273"/>
      <c r="AU19" s="305">
        <f t="shared" si="30"/>
        <v>0</v>
      </c>
    </row>
    <row r="20" spans="1:47" s="34" customFormat="1" x14ac:dyDescent="0.25">
      <c r="A20" s="87">
        <v>40718</v>
      </c>
      <c r="B20" s="42">
        <v>20</v>
      </c>
      <c r="C20" s="41" t="str">
        <f t="shared" si="0"/>
        <v>V22.0</v>
      </c>
      <c r="D20" s="41">
        <f t="shared" si="1"/>
        <v>83900</v>
      </c>
      <c r="E20" s="40" t="str">
        <f t="shared" si="2"/>
        <v>OBGYN</v>
      </c>
      <c r="F20" s="40" t="str">
        <f t="shared" si="3"/>
        <v>Laboratory tests</v>
      </c>
      <c r="G20" s="40" t="str">
        <f t="shared" si="4"/>
        <v>Molecule nucleic ampli 2 seq</v>
      </c>
      <c r="H20" s="40" t="str">
        <f t="shared" si="5"/>
        <v>Cystic fibrosis screen</v>
      </c>
      <c r="I20" s="160" t="str">
        <f t="shared" si="6"/>
        <v/>
      </c>
      <c r="J20" s="41" t="str">
        <f t="shared" si="7"/>
        <v/>
      </c>
      <c r="K20" s="41" t="str">
        <f t="shared" si="8"/>
        <v/>
      </c>
      <c r="L20" s="41">
        <f t="shared" si="9"/>
        <v>1</v>
      </c>
      <c r="M20" s="41" t="str">
        <f t="shared" si="10"/>
        <v/>
      </c>
      <c r="N20" s="41" t="str">
        <f t="shared" si="11"/>
        <v/>
      </c>
      <c r="O20" s="41" t="str">
        <f t="shared" si="12"/>
        <v/>
      </c>
      <c r="P20" s="188" t="str">
        <f t="shared" si="13"/>
        <v/>
      </c>
      <c r="Q20" s="236">
        <f t="shared" si="14"/>
        <v>31.840380951</v>
      </c>
      <c r="R20" s="280">
        <v>31.840380951</v>
      </c>
      <c r="S20" s="179">
        <f t="shared" si="16"/>
        <v>1297.9215397865005</v>
      </c>
      <c r="T20" s="259"/>
      <c r="U20" s="179">
        <f t="shared" si="17"/>
        <v>60</v>
      </c>
      <c r="V20" s="259"/>
      <c r="W20" s="179">
        <f t="shared" si="18"/>
        <v>0</v>
      </c>
      <c r="X20" s="259"/>
      <c r="Y20" s="179">
        <f t="shared" si="19"/>
        <v>1000</v>
      </c>
      <c r="Z20" s="259"/>
      <c r="AA20" s="179">
        <f t="shared" si="20"/>
        <v>40</v>
      </c>
      <c r="AB20" s="259"/>
      <c r="AC20" s="179">
        <f t="shared" si="21"/>
        <v>0</v>
      </c>
      <c r="AD20" s="238">
        <f t="shared" si="15"/>
        <v>0</v>
      </c>
      <c r="AE20" s="179">
        <f t="shared" si="22"/>
        <v>1040</v>
      </c>
      <c r="AF20" s="264"/>
      <c r="AG20" s="179">
        <f t="shared" si="23"/>
        <v>1000</v>
      </c>
      <c r="AH20" s="268"/>
      <c r="AI20" s="179">
        <f t="shared" si="24"/>
        <v>0</v>
      </c>
      <c r="AJ20" s="268"/>
      <c r="AK20" s="179">
        <f t="shared" si="25"/>
        <v>0</v>
      </c>
      <c r="AL20" s="268"/>
      <c r="AM20" s="179">
        <f t="shared" si="26"/>
        <v>0</v>
      </c>
      <c r="AN20" s="268"/>
      <c r="AO20" s="179">
        <f t="shared" si="27"/>
        <v>0</v>
      </c>
      <c r="AP20" s="268"/>
      <c r="AQ20" s="179">
        <f t="shared" si="28"/>
        <v>0</v>
      </c>
      <c r="AR20" s="273"/>
      <c r="AS20" s="305">
        <f t="shared" si="29"/>
        <v>0</v>
      </c>
      <c r="AT20" s="273"/>
      <c r="AU20" s="305">
        <f t="shared" si="30"/>
        <v>0</v>
      </c>
    </row>
    <row r="21" spans="1:47" s="34" customFormat="1" x14ac:dyDescent="0.25">
      <c r="A21" s="87">
        <v>40718</v>
      </c>
      <c r="B21" s="42">
        <v>21</v>
      </c>
      <c r="C21" s="41" t="str">
        <f t="shared" si="0"/>
        <v>V22.0</v>
      </c>
      <c r="D21" s="41" t="str">
        <f t="shared" si="1"/>
        <v>83901 x13</v>
      </c>
      <c r="E21" s="40" t="str">
        <f t="shared" si="2"/>
        <v>OBGYN</v>
      </c>
      <c r="F21" s="40" t="str">
        <f t="shared" si="3"/>
        <v>Laboratory tests</v>
      </c>
      <c r="G21" s="40" t="str">
        <f t="shared" si="4"/>
        <v>Molecule nucleic ampli addon</v>
      </c>
      <c r="H21" s="40" t="str">
        <f t="shared" si="5"/>
        <v>Cystic fibrosis screen</v>
      </c>
      <c r="I21" s="160" t="str">
        <f t="shared" si="6"/>
        <v/>
      </c>
      <c r="J21" s="41" t="str">
        <f t="shared" si="7"/>
        <v/>
      </c>
      <c r="K21" s="41" t="str">
        <f t="shared" si="8"/>
        <v/>
      </c>
      <c r="L21" s="41">
        <f t="shared" si="9"/>
        <v>1</v>
      </c>
      <c r="M21" s="41" t="str">
        <f t="shared" si="10"/>
        <v/>
      </c>
      <c r="N21" s="41" t="str">
        <f t="shared" si="11"/>
        <v/>
      </c>
      <c r="O21" s="41" t="str">
        <f t="shared" si="12"/>
        <v/>
      </c>
      <c r="P21" s="188" t="str">
        <f t="shared" si="13"/>
        <v/>
      </c>
      <c r="Q21" s="236">
        <f t="shared" si="14"/>
        <v>129.52352633000001</v>
      </c>
      <c r="R21" s="280">
        <v>129.52352633000001</v>
      </c>
      <c r="S21" s="179">
        <f t="shared" si="16"/>
        <v>1427.4450661165006</v>
      </c>
      <c r="T21" s="259"/>
      <c r="U21" s="179">
        <f t="shared" si="17"/>
        <v>60</v>
      </c>
      <c r="V21" s="259"/>
      <c r="W21" s="179">
        <f t="shared" si="18"/>
        <v>0</v>
      </c>
      <c r="X21" s="259"/>
      <c r="Y21" s="179">
        <f t="shared" si="19"/>
        <v>1000</v>
      </c>
      <c r="Z21" s="259"/>
      <c r="AA21" s="179">
        <f t="shared" si="20"/>
        <v>40</v>
      </c>
      <c r="AB21" s="259"/>
      <c r="AC21" s="179">
        <f t="shared" si="21"/>
        <v>0</v>
      </c>
      <c r="AD21" s="238">
        <f t="shared" si="15"/>
        <v>0</v>
      </c>
      <c r="AE21" s="179">
        <f t="shared" si="22"/>
        <v>1040</v>
      </c>
      <c r="AF21" s="264"/>
      <c r="AG21" s="179">
        <f t="shared" si="23"/>
        <v>1000</v>
      </c>
      <c r="AH21" s="268"/>
      <c r="AI21" s="179">
        <f t="shared" si="24"/>
        <v>0</v>
      </c>
      <c r="AJ21" s="268"/>
      <c r="AK21" s="179">
        <f t="shared" si="25"/>
        <v>0</v>
      </c>
      <c r="AL21" s="268"/>
      <c r="AM21" s="179">
        <f t="shared" si="26"/>
        <v>0</v>
      </c>
      <c r="AN21" s="268"/>
      <c r="AO21" s="179">
        <f t="shared" si="27"/>
        <v>0</v>
      </c>
      <c r="AP21" s="268"/>
      <c r="AQ21" s="179">
        <f t="shared" si="28"/>
        <v>0</v>
      </c>
      <c r="AR21" s="273"/>
      <c r="AS21" s="305">
        <f t="shared" si="29"/>
        <v>0</v>
      </c>
      <c r="AT21" s="273"/>
      <c r="AU21" s="305">
        <f t="shared" si="30"/>
        <v>0</v>
      </c>
    </row>
    <row r="22" spans="1:47" s="34" customFormat="1" x14ac:dyDescent="0.25">
      <c r="A22" s="87">
        <v>40718</v>
      </c>
      <c r="B22" s="42">
        <v>24</v>
      </c>
      <c r="C22" s="41" t="str">
        <f t="shared" si="0"/>
        <v>V22.0</v>
      </c>
      <c r="D22" s="41" t="str">
        <f t="shared" si="1"/>
        <v>83914 x32</v>
      </c>
      <c r="E22" s="40" t="str">
        <f t="shared" si="2"/>
        <v>OBGYN</v>
      </c>
      <c r="F22" s="40" t="str">
        <f t="shared" si="3"/>
        <v>Laboratory tests</v>
      </c>
      <c r="G22" s="40" t="str">
        <f t="shared" si="4"/>
        <v>Mutation ident ola/sbce/aspe</v>
      </c>
      <c r="H22" s="40" t="str">
        <f t="shared" si="5"/>
        <v>Cystic fibrosis screen</v>
      </c>
      <c r="I22" s="160" t="str">
        <f t="shared" si="6"/>
        <v/>
      </c>
      <c r="J22" s="41" t="str">
        <f t="shared" si="7"/>
        <v/>
      </c>
      <c r="K22" s="41" t="str">
        <f t="shared" si="8"/>
        <v/>
      </c>
      <c r="L22" s="41">
        <f t="shared" si="9"/>
        <v>1</v>
      </c>
      <c r="M22" s="41" t="str">
        <f t="shared" si="10"/>
        <v/>
      </c>
      <c r="N22" s="41" t="str">
        <f t="shared" si="11"/>
        <v/>
      </c>
      <c r="O22" s="41" t="str">
        <f t="shared" si="12"/>
        <v/>
      </c>
      <c r="P22" s="188" t="str">
        <f t="shared" si="13"/>
        <v/>
      </c>
      <c r="Q22" s="236">
        <f t="shared" si="14"/>
        <v>50.061243402999999</v>
      </c>
      <c r="R22" s="280">
        <v>50.061243402999999</v>
      </c>
      <c r="S22" s="179">
        <f t="shared" si="16"/>
        <v>1477.5063095195005</v>
      </c>
      <c r="T22" s="259"/>
      <c r="U22" s="179">
        <f t="shared" si="17"/>
        <v>60</v>
      </c>
      <c r="V22" s="259"/>
      <c r="W22" s="179">
        <f t="shared" si="18"/>
        <v>0</v>
      </c>
      <c r="X22" s="259"/>
      <c r="Y22" s="179">
        <f t="shared" si="19"/>
        <v>1000</v>
      </c>
      <c r="Z22" s="259"/>
      <c r="AA22" s="179">
        <f t="shared" si="20"/>
        <v>40</v>
      </c>
      <c r="AB22" s="259"/>
      <c r="AC22" s="179">
        <f t="shared" si="21"/>
        <v>0</v>
      </c>
      <c r="AD22" s="238">
        <f t="shared" si="15"/>
        <v>0</v>
      </c>
      <c r="AE22" s="179">
        <f t="shared" si="22"/>
        <v>1040</v>
      </c>
      <c r="AF22" s="264"/>
      <c r="AG22" s="179">
        <f t="shared" si="23"/>
        <v>1000</v>
      </c>
      <c r="AH22" s="268"/>
      <c r="AI22" s="179">
        <f t="shared" si="24"/>
        <v>0</v>
      </c>
      <c r="AJ22" s="268"/>
      <c r="AK22" s="179">
        <f t="shared" si="25"/>
        <v>0</v>
      </c>
      <c r="AL22" s="268"/>
      <c r="AM22" s="179">
        <f t="shared" si="26"/>
        <v>0</v>
      </c>
      <c r="AN22" s="268"/>
      <c r="AO22" s="179">
        <f t="shared" si="27"/>
        <v>0</v>
      </c>
      <c r="AP22" s="268"/>
      <c r="AQ22" s="179">
        <f t="shared" si="28"/>
        <v>0</v>
      </c>
      <c r="AR22" s="273"/>
      <c r="AS22" s="305">
        <f t="shared" si="29"/>
        <v>0</v>
      </c>
      <c r="AT22" s="273"/>
      <c r="AU22" s="305">
        <f t="shared" si="30"/>
        <v>0</v>
      </c>
    </row>
    <row r="23" spans="1:47" s="34" customFormat="1" x14ac:dyDescent="0.25">
      <c r="A23" s="87">
        <v>40718</v>
      </c>
      <c r="B23" s="42">
        <v>22</v>
      </c>
      <c r="C23" s="41" t="str">
        <f t="shared" si="0"/>
        <v>V22.0</v>
      </c>
      <c r="D23" s="41">
        <f t="shared" si="1"/>
        <v>83909</v>
      </c>
      <c r="E23" s="40" t="str">
        <f t="shared" si="2"/>
        <v>OBGYN</v>
      </c>
      <c r="F23" s="40" t="str">
        <f t="shared" si="3"/>
        <v>Laboratory tests</v>
      </c>
      <c r="G23" s="40" t="str">
        <f t="shared" si="4"/>
        <v>Nucleic acid high resolute</v>
      </c>
      <c r="H23" s="40" t="str">
        <f t="shared" si="5"/>
        <v>Cystic fibrosis screen</v>
      </c>
      <c r="I23" s="160" t="str">
        <f t="shared" si="6"/>
        <v/>
      </c>
      <c r="J23" s="41" t="str">
        <f t="shared" si="7"/>
        <v/>
      </c>
      <c r="K23" s="41" t="str">
        <f t="shared" si="8"/>
        <v/>
      </c>
      <c r="L23" s="41">
        <f t="shared" si="9"/>
        <v>1</v>
      </c>
      <c r="M23" s="41" t="str">
        <f t="shared" si="10"/>
        <v/>
      </c>
      <c r="N23" s="41" t="str">
        <f t="shared" si="11"/>
        <v/>
      </c>
      <c r="O23" s="41" t="str">
        <f t="shared" si="12"/>
        <v/>
      </c>
      <c r="P23" s="188" t="str">
        <f t="shared" si="13"/>
        <v/>
      </c>
      <c r="Q23" s="236">
        <f t="shared" si="14"/>
        <v>18.976676401999999</v>
      </c>
      <c r="R23" s="280">
        <v>18.976676401999999</v>
      </c>
      <c r="S23" s="179">
        <f t="shared" si="16"/>
        <v>1496.4829859215006</v>
      </c>
      <c r="T23" s="259"/>
      <c r="U23" s="179">
        <f t="shared" si="17"/>
        <v>60</v>
      </c>
      <c r="V23" s="259"/>
      <c r="W23" s="179">
        <f t="shared" si="18"/>
        <v>0</v>
      </c>
      <c r="X23" s="259"/>
      <c r="Y23" s="179">
        <f t="shared" si="19"/>
        <v>1000</v>
      </c>
      <c r="Z23" s="259"/>
      <c r="AA23" s="179">
        <f t="shared" si="20"/>
        <v>40</v>
      </c>
      <c r="AB23" s="259"/>
      <c r="AC23" s="179">
        <f t="shared" si="21"/>
        <v>0</v>
      </c>
      <c r="AD23" s="238">
        <f t="shared" si="15"/>
        <v>0</v>
      </c>
      <c r="AE23" s="179">
        <f t="shared" si="22"/>
        <v>1040</v>
      </c>
      <c r="AF23" s="264"/>
      <c r="AG23" s="179">
        <f t="shared" si="23"/>
        <v>1000</v>
      </c>
      <c r="AH23" s="268"/>
      <c r="AI23" s="179">
        <f t="shared" si="24"/>
        <v>0</v>
      </c>
      <c r="AJ23" s="268"/>
      <c r="AK23" s="179">
        <f t="shared" si="25"/>
        <v>0</v>
      </c>
      <c r="AL23" s="268"/>
      <c r="AM23" s="179">
        <f t="shared" si="26"/>
        <v>0</v>
      </c>
      <c r="AN23" s="268"/>
      <c r="AO23" s="179">
        <f t="shared" si="27"/>
        <v>0</v>
      </c>
      <c r="AP23" s="268"/>
      <c r="AQ23" s="179">
        <f t="shared" si="28"/>
        <v>0</v>
      </c>
      <c r="AR23" s="273"/>
      <c r="AS23" s="305">
        <f t="shared" si="29"/>
        <v>0</v>
      </c>
      <c r="AT23" s="273"/>
      <c r="AU23" s="305">
        <f t="shared" si="30"/>
        <v>0</v>
      </c>
    </row>
    <row r="24" spans="1:47" s="34" customFormat="1" x14ac:dyDescent="0.25">
      <c r="A24" s="87">
        <v>40718</v>
      </c>
      <c r="B24" s="42">
        <v>12</v>
      </c>
      <c r="C24" s="41" t="str">
        <f t="shared" si="0"/>
        <v>V22.0</v>
      </c>
      <c r="D24" s="41">
        <f t="shared" si="1"/>
        <v>36415</v>
      </c>
      <c r="E24" s="40" t="str">
        <f t="shared" si="2"/>
        <v>OBGYN</v>
      </c>
      <c r="F24" s="40" t="str">
        <f t="shared" si="3"/>
        <v>Laboratory tests</v>
      </c>
      <c r="G24" s="40" t="str">
        <f t="shared" si="4"/>
        <v>Routine Venipuncture</v>
      </c>
      <c r="H24" s="40" t="str">
        <f t="shared" si="5"/>
        <v>Cystic fibrosis screen</v>
      </c>
      <c r="I24" s="160" t="str">
        <f t="shared" si="6"/>
        <v/>
      </c>
      <c r="J24" s="41" t="str">
        <f t="shared" si="7"/>
        <v/>
      </c>
      <c r="K24" s="41" t="str">
        <f t="shared" si="8"/>
        <v/>
      </c>
      <c r="L24" s="41">
        <f t="shared" si="9"/>
        <v>1</v>
      </c>
      <c r="M24" s="41" t="str">
        <f t="shared" si="10"/>
        <v/>
      </c>
      <c r="N24" s="41" t="str">
        <f t="shared" si="11"/>
        <v/>
      </c>
      <c r="O24" s="41" t="str">
        <f t="shared" si="12"/>
        <v/>
      </c>
      <c r="P24" s="188" t="str">
        <f t="shared" si="13"/>
        <v/>
      </c>
      <c r="Q24" s="236">
        <f t="shared" si="14"/>
        <v>4.1312550556999996</v>
      </c>
      <c r="R24" s="280">
        <v>4.1312550556999996</v>
      </c>
      <c r="S24" s="179">
        <f t="shared" si="16"/>
        <v>1500.6142409772006</v>
      </c>
      <c r="T24" s="259"/>
      <c r="U24" s="179">
        <f t="shared" si="17"/>
        <v>60</v>
      </c>
      <c r="V24" s="259"/>
      <c r="W24" s="179">
        <f t="shared" si="18"/>
        <v>0</v>
      </c>
      <c r="X24" s="259"/>
      <c r="Y24" s="179">
        <f t="shared" si="19"/>
        <v>1000</v>
      </c>
      <c r="Z24" s="259"/>
      <c r="AA24" s="179">
        <f t="shared" si="20"/>
        <v>40</v>
      </c>
      <c r="AB24" s="259"/>
      <c r="AC24" s="179">
        <f t="shared" si="21"/>
        <v>0</v>
      </c>
      <c r="AD24" s="238">
        <f t="shared" si="15"/>
        <v>0</v>
      </c>
      <c r="AE24" s="179">
        <f t="shared" si="22"/>
        <v>1040</v>
      </c>
      <c r="AF24" s="264"/>
      <c r="AG24" s="179">
        <f t="shared" si="23"/>
        <v>1000</v>
      </c>
      <c r="AH24" s="268"/>
      <c r="AI24" s="179">
        <f t="shared" si="24"/>
        <v>0</v>
      </c>
      <c r="AJ24" s="268"/>
      <c r="AK24" s="179">
        <f t="shared" si="25"/>
        <v>0</v>
      </c>
      <c r="AL24" s="268"/>
      <c r="AM24" s="179">
        <f t="shared" si="26"/>
        <v>0</v>
      </c>
      <c r="AN24" s="268"/>
      <c r="AO24" s="179">
        <f t="shared" si="27"/>
        <v>0</v>
      </c>
      <c r="AP24" s="268"/>
      <c r="AQ24" s="179">
        <f t="shared" si="28"/>
        <v>0</v>
      </c>
      <c r="AR24" s="273"/>
      <c r="AS24" s="305">
        <f t="shared" si="29"/>
        <v>0</v>
      </c>
      <c r="AT24" s="273"/>
      <c r="AU24" s="305">
        <f t="shared" si="30"/>
        <v>0</v>
      </c>
    </row>
    <row r="25" spans="1:47" s="34" customFormat="1" x14ac:dyDescent="0.25">
      <c r="A25" s="87">
        <v>40718</v>
      </c>
      <c r="B25" s="42">
        <v>32</v>
      </c>
      <c r="C25" s="41" t="str">
        <f t="shared" si="0"/>
        <v>V22.0</v>
      </c>
      <c r="D25" s="41" t="str">
        <f t="shared" si="1"/>
        <v>Bundled in global OB package - 59400</v>
      </c>
      <c r="E25" s="40" t="str">
        <f t="shared" si="2"/>
        <v>OBGYN</v>
      </c>
      <c r="F25" s="40" t="str">
        <f t="shared" si="3"/>
        <v>Routine Obstetric Care</v>
      </c>
      <c r="G25" s="40" t="str">
        <f t="shared" si="4"/>
        <v>Office/Outpatient Visit Est</v>
      </c>
      <c r="H25" s="40" t="str">
        <f t="shared" si="5"/>
        <v/>
      </c>
      <c r="I25" s="160" t="str">
        <f t="shared" si="6"/>
        <v/>
      </c>
      <c r="J25" s="41" t="str">
        <f t="shared" si="7"/>
        <v/>
      </c>
      <c r="K25" s="41" t="str">
        <f t="shared" si="8"/>
        <v/>
      </c>
      <c r="L25" s="41" t="str">
        <f t="shared" si="9"/>
        <v/>
      </c>
      <c r="M25" s="41" t="str">
        <f t="shared" si="10"/>
        <v/>
      </c>
      <c r="N25" s="41">
        <f t="shared" si="11"/>
        <v>1</v>
      </c>
      <c r="O25" s="41" t="str">
        <f t="shared" si="12"/>
        <v/>
      </c>
      <c r="P25" s="188" t="str">
        <f t="shared" si="13"/>
        <v/>
      </c>
      <c r="Q25" s="236">
        <f t="shared" si="14"/>
        <v>2084.2800000000002</v>
      </c>
      <c r="R25" s="280"/>
      <c r="S25" s="179">
        <f t="shared" si="16"/>
        <v>1500.6142409772006</v>
      </c>
      <c r="T25" s="259"/>
      <c r="U25" s="179">
        <f t="shared" si="17"/>
        <v>60</v>
      </c>
      <c r="V25" s="259"/>
      <c r="W25" s="179">
        <f t="shared" si="18"/>
        <v>0</v>
      </c>
      <c r="X25" s="259"/>
      <c r="Y25" s="179">
        <f t="shared" si="19"/>
        <v>1000</v>
      </c>
      <c r="Z25" s="259"/>
      <c r="AA25" s="179">
        <f t="shared" si="20"/>
        <v>40</v>
      </c>
      <c r="AB25" s="259"/>
      <c r="AC25" s="179">
        <f t="shared" si="21"/>
        <v>0</v>
      </c>
      <c r="AD25" s="238">
        <f t="shared" si="15"/>
        <v>0</v>
      </c>
      <c r="AE25" s="179">
        <f t="shared" si="22"/>
        <v>1040</v>
      </c>
      <c r="AF25" s="264"/>
      <c r="AG25" s="179">
        <f t="shared" si="23"/>
        <v>1000</v>
      </c>
      <c r="AH25" s="268"/>
      <c r="AI25" s="179">
        <f t="shared" si="24"/>
        <v>0</v>
      </c>
      <c r="AJ25" s="268"/>
      <c r="AK25" s="179">
        <f t="shared" si="25"/>
        <v>0</v>
      </c>
      <c r="AL25" s="268"/>
      <c r="AM25" s="179">
        <f t="shared" si="26"/>
        <v>0</v>
      </c>
      <c r="AN25" s="268"/>
      <c r="AO25" s="179">
        <f t="shared" si="27"/>
        <v>0</v>
      </c>
      <c r="AP25" s="268"/>
      <c r="AQ25" s="179">
        <f t="shared" si="28"/>
        <v>0</v>
      </c>
      <c r="AR25" s="273"/>
      <c r="AS25" s="305">
        <f t="shared" si="29"/>
        <v>0</v>
      </c>
      <c r="AT25" s="273"/>
      <c r="AU25" s="305">
        <f t="shared" si="30"/>
        <v>0</v>
      </c>
    </row>
    <row r="26" spans="1:47" s="34" customFormat="1" x14ac:dyDescent="0.25">
      <c r="A26" s="87">
        <v>40730</v>
      </c>
      <c r="B26" s="42">
        <v>8</v>
      </c>
      <c r="C26" s="41" t="str">
        <f t="shared" si="0"/>
        <v/>
      </c>
      <c r="D26" s="41" t="str">
        <f t="shared" si="1"/>
        <v>OTC</v>
      </c>
      <c r="E26" s="40" t="str">
        <f t="shared" si="2"/>
        <v>Pharmacy Retail</v>
      </c>
      <c r="F26" s="40" t="str">
        <f t="shared" si="3"/>
        <v>Pharmacy</v>
      </c>
      <c r="G26" s="40" t="str">
        <f t="shared" si="4"/>
        <v>Prenatal Vitamins (OTC - Bottle of 100) [1 pill daily; 30 pills/month]</v>
      </c>
      <c r="H26" s="40" t="str">
        <f t="shared" si="5"/>
        <v/>
      </c>
      <c r="I26" s="160" t="str">
        <f t="shared" si="6"/>
        <v/>
      </c>
      <c r="J26" s="41" t="str">
        <f t="shared" si="7"/>
        <v/>
      </c>
      <c r="K26" s="41" t="str">
        <f t="shared" si="8"/>
        <v/>
      </c>
      <c r="L26" s="41" t="str">
        <f t="shared" si="9"/>
        <v/>
      </c>
      <c r="M26" s="41" t="str">
        <f t="shared" si="10"/>
        <v/>
      </c>
      <c r="N26" s="41" t="str">
        <f t="shared" si="11"/>
        <v/>
      </c>
      <c r="O26" s="41" t="str">
        <f t="shared" si="12"/>
        <v/>
      </c>
      <c r="P26" s="188" t="str">
        <f t="shared" si="13"/>
        <v/>
      </c>
      <c r="Q26" s="236">
        <f t="shared" si="14"/>
        <v>30</v>
      </c>
      <c r="R26" s="280"/>
      <c r="S26" s="179">
        <f t="shared" si="16"/>
        <v>1500.6142409772006</v>
      </c>
      <c r="T26" s="259">
        <v>30</v>
      </c>
      <c r="U26" s="179">
        <f t="shared" si="17"/>
        <v>90</v>
      </c>
      <c r="V26" s="259"/>
      <c r="W26" s="179">
        <f t="shared" si="18"/>
        <v>0</v>
      </c>
      <c r="X26" s="259"/>
      <c r="Y26" s="179">
        <f t="shared" si="19"/>
        <v>1000</v>
      </c>
      <c r="Z26" s="259"/>
      <c r="AA26" s="179">
        <f t="shared" si="20"/>
        <v>40</v>
      </c>
      <c r="AB26" s="259"/>
      <c r="AC26" s="179">
        <f t="shared" si="21"/>
        <v>0</v>
      </c>
      <c r="AD26" s="238">
        <f t="shared" si="15"/>
        <v>0</v>
      </c>
      <c r="AE26" s="179">
        <f t="shared" si="22"/>
        <v>1040</v>
      </c>
      <c r="AF26" s="264"/>
      <c r="AG26" s="179">
        <f t="shared" si="23"/>
        <v>1000</v>
      </c>
      <c r="AH26" s="268"/>
      <c r="AI26" s="179">
        <f t="shared" si="24"/>
        <v>0</v>
      </c>
      <c r="AJ26" s="268"/>
      <c r="AK26" s="179">
        <f t="shared" si="25"/>
        <v>0</v>
      </c>
      <c r="AL26" s="268"/>
      <c r="AM26" s="179">
        <f t="shared" si="26"/>
        <v>0</v>
      </c>
      <c r="AN26" s="268"/>
      <c r="AO26" s="179">
        <f t="shared" si="27"/>
        <v>0</v>
      </c>
      <c r="AP26" s="268"/>
      <c r="AQ26" s="179">
        <f t="shared" si="28"/>
        <v>0</v>
      </c>
      <c r="AR26" s="273"/>
      <c r="AS26" s="305">
        <f t="shared" si="29"/>
        <v>0</v>
      </c>
      <c r="AT26" s="273"/>
      <c r="AU26" s="305">
        <f t="shared" si="30"/>
        <v>0</v>
      </c>
    </row>
    <row r="27" spans="1:47" s="34" customFormat="1" x14ac:dyDescent="0.25">
      <c r="A27" s="87">
        <v>40746</v>
      </c>
      <c r="B27" s="42">
        <v>32</v>
      </c>
      <c r="C27" s="41" t="str">
        <f t="shared" si="0"/>
        <v>V22.0</v>
      </c>
      <c r="D27" s="41" t="str">
        <f t="shared" si="1"/>
        <v>Bundled in global OB package - 59400</v>
      </c>
      <c r="E27" s="40" t="str">
        <f t="shared" si="2"/>
        <v>OBGYN</v>
      </c>
      <c r="F27" s="40" t="str">
        <f t="shared" si="3"/>
        <v>Routine Obstetric Care</v>
      </c>
      <c r="G27" s="40" t="str">
        <f t="shared" si="4"/>
        <v>Office/Outpatient Visit Est</v>
      </c>
      <c r="H27" s="40" t="str">
        <f t="shared" si="5"/>
        <v/>
      </c>
      <c r="I27" s="160" t="str">
        <f t="shared" si="6"/>
        <v/>
      </c>
      <c r="J27" s="41" t="str">
        <f t="shared" si="7"/>
        <v/>
      </c>
      <c r="K27" s="41" t="str">
        <f t="shared" si="8"/>
        <v/>
      </c>
      <c r="L27" s="41" t="str">
        <f t="shared" si="9"/>
        <v/>
      </c>
      <c r="M27" s="41" t="str">
        <f t="shared" si="10"/>
        <v/>
      </c>
      <c r="N27" s="41">
        <f t="shared" si="11"/>
        <v>1</v>
      </c>
      <c r="O27" s="41" t="str">
        <f t="shared" si="12"/>
        <v/>
      </c>
      <c r="P27" s="188" t="str">
        <f t="shared" si="13"/>
        <v/>
      </c>
      <c r="Q27" s="236">
        <f t="shared" si="14"/>
        <v>2084.2800000000002</v>
      </c>
      <c r="R27" s="280"/>
      <c r="S27" s="179">
        <f t="shared" si="16"/>
        <v>1500.6142409772006</v>
      </c>
      <c r="T27" s="259"/>
      <c r="U27" s="179">
        <f t="shared" si="17"/>
        <v>90</v>
      </c>
      <c r="V27" s="259"/>
      <c r="W27" s="179">
        <f t="shared" si="18"/>
        <v>0</v>
      </c>
      <c r="X27" s="259"/>
      <c r="Y27" s="179">
        <f t="shared" si="19"/>
        <v>1000</v>
      </c>
      <c r="Z27" s="259"/>
      <c r="AA27" s="179">
        <f t="shared" si="20"/>
        <v>40</v>
      </c>
      <c r="AB27" s="259"/>
      <c r="AC27" s="179">
        <f t="shared" si="21"/>
        <v>0</v>
      </c>
      <c r="AD27" s="238">
        <f t="shared" si="15"/>
        <v>0</v>
      </c>
      <c r="AE27" s="179">
        <f t="shared" si="22"/>
        <v>1040</v>
      </c>
      <c r="AF27" s="264"/>
      <c r="AG27" s="179">
        <f t="shared" si="23"/>
        <v>1000</v>
      </c>
      <c r="AH27" s="268"/>
      <c r="AI27" s="179">
        <f t="shared" si="24"/>
        <v>0</v>
      </c>
      <c r="AJ27" s="268"/>
      <c r="AK27" s="179">
        <f t="shared" si="25"/>
        <v>0</v>
      </c>
      <c r="AL27" s="268"/>
      <c r="AM27" s="179">
        <f t="shared" si="26"/>
        <v>0</v>
      </c>
      <c r="AN27" s="268"/>
      <c r="AO27" s="179">
        <f t="shared" si="27"/>
        <v>0</v>
      </c>
      <c r="AP27" s="268"/>
      <c r="AQ27" s="179">
        <f t="shared" si="28"/>
        <v>0</v>
      </c>
      <c r="AR27" s="273"/>
      <c r="AS27" s="305">
        <f t="shared" si="29"/>
        <v>0</v>
      </c>
      <c r="AT27" s="273"/>
      <c r="AU27" s="305">
        <f t="shared" si="30"/>
        <v>0</v>
      </c>
    </row>
    <row r="28" spans="1:47" s="34" customFormat="1" x14ac:dyDescent="0.25">
      <c r="A28" s="87">
        <v>40746</v>
      </c>
      <c r="B28" s="42">
        <v>13</v>
      </c>
      <c r="C28" s="41" t="str">
        <f t="shared" si="0"/>
        <v>V22.0</v>
      </c>
      <c r="D28" s="41">
        <f t="shared" si="1"/>
        <v>76805</v>
      </c>
      <c r="E28" s="40" t="str">
        <f t="shared" si="2"/>
        <v>Radiology</v>
      </c>
      <c r="F28" s="40" t="str">
        <f t="shared" si="3"/>
        <v>Radiology</v>
      </c>
      <c r="G28" s="40" t="str">
        <f t="shared" si="4"/>
        <v>OB US &gt;/= 14 WKS SNGL FETUS</v>
      </c>
      <c r="H28" s="40" t="str">
        <f t="shared" si="5"/>
        <v/>
      </c>
      <c r="I28" s="160" t="str">
        <f t="shared" si="6"/>
        <v/>
      </c>
      <c r="J28" s="41" t="str">
        <f t="shared" si="7"/>
        <v/>
      </c>
      <c r="K28" s="41" t="str">
        <f t="shared" si="8"/>
        <v/>
      </c>
      <c r="L28" s="41" t="str">
        <f t="shared" si="9"/>
        <v/>
      </c>
      <c r="M28" s="41">
        <f t="shared" si="10"/>
        <v>1</v>
      </c>
      <c r="N28" s="41" t="str">
        <f t="shared" si="11"/>
        <v/>
      </c>
      <c r="O28" s="41" t="str">
        <f t="shared" si="12"/>
        <v/>
      </c>
      <c r="P28" s="188" t="str">
        <f t="shared" si="13"/>
        <v/>
      </c>
      <c r="Q28" s="236">
        <f t="shared" si="14"/>
        <v>176.11339355000001</v>
      </c>
      <c r="R28" s="280">
        <v>123.279375485</v>
      </c>
      <c r="S28" s="179">
        <f t="shared" si="16"/>
        <v>1623.8936164622005</v>
      </c>
      <c r="T28" s="259"/>
      <c r="U28" s="179">
        <f t="shared" si="17"/>
        <v>90</v>
      </c>
      <c r="V28" s="259"/>
      <c r="W28" s="179">
        <f t="shared" si="18"/>
        <v>0</v>
      </c>
      <c r="X28" s="259">
        <v>0</v>
      </c>
      <c r="Y28" s="179">
        <f t="shared" si="19"/>
        <v>1000</v>
      </c>
      <c r="Z28" s="259"/>
      <c r="AA28" s="179">
        <f t="shared" si="20"/>
        <v>40</v>
      </c>
      <c r="AB28" s="259">
        <v>52.834018065000002</v>
      </c>
      <c r="AC28" s="179">
        <f t="shared" si="21"/>
        <v>52.834018065000002</v>
      </c>
      <c r="AD28" s="238">
        <f t="shared" si="15"/>
        <v>52.834018065000002</v>
      </c>
      <c r="AE28" s="179">
        <f t="shared" si="22"/>
        <v>1092.834018065</v>
      </c>
      <c r="AF28" s="264">
        <v>0</v>
      </c>
      <c r="AG28" s="179">
        <f t="shared" si="23"/>
        <v>1000</v>
      </c>
      <c r="AH28" s="268"/>
      <c r="AI28" s="179">
        <f t="shared" si="24"/>
        <v>0</v>
      </c>
      <c r="AJ28" s="268"/>
      <c r="AK28" s="179">
        <f t="shared" si="25"/>
        <v>0</v>
      </c>
      <c r="AL28" s="268"/>
      <c r="AM28" s="179">
        <f t="shared" si="26"/>
        <v>0</v>
      </c>
      <c r="AN28" s="268"/>
      <c r="AO28" s="179">
        <f t="shared" si="27"/>
        <v>0</v>
      </c>
      <c r="AP28" s="268"/>
      <c r="AQ28" s="179">
        <f t="shared" si="28"/>
        <v>0</v>
      </c>
      <c r="AR28" s="273"/>
      <c r="AS28" s="305">
        <f t="shared" si="29"/>
        <v>0</v>
      </c>
      <c r="AT28" s="273"/>
      <c r="AU28" s="305">
        <f t="shared" si="30"/>
        <v>0</v>
      </c>
    </row>
    <row r="29" spans="1:47" s="34" customFormat="1" x14ac:dyDescent="0.25">
      <c r="A29" s="87">
        <v>40774</v>
      </c>
      <c r="B29" s="42">
        <v>32</v>
      </c>
      <c r="C29" s="41" t="str">
        <f t="shared" si="0"/>
        <v>V22.0</v>
      </c>
      <c r="D29" s="41" t="str">
        <f t="shared" si="1"/>
        <v>Bundled in global OB package - 59400</v>
      </c>
      <c r="E29" s="40" t="str">
        <f t="shared" si="2"/>
        <v>OBGYN</v>
      </c>
      <c r="F29" s="40" t="str">
        <f t="shared" si="3"/>
        <v>Routine Obstetric Care</v>
      </c>
      <c r="G29" s="40" t="str">
        <f t="shared" si="4"/>
        <v>Office/Outpatient Visit Est</v>
      </c>
      <c r="H29" s="40" t="str">
        <f t="shared" si="5"/>
        <v/>
      </c>
      <c r="I29" s="160" t="str">
        <f t="shared" si="6"/>
        <v/>
      </c>
      <c r="J29" s="41" t="str">
        <f t="shared" si="7"/>
        <v/>
      </c>
      <c r="K29" s="41" t="str">
        <f t="shared" si="8"/>
        <v/>
      </c>
      <c r="L29" s="41" t="str">
        <f t="shared" si="9"/>
        <v/>
      </c>
      <c r="M29" s="41" t="str">
        <f t="shared" si="10"/>
        <v/>
      </c>
      <c r="N29" s="41">
        <f t="shared" si="11"/>
        <v>1</v>
      </c>
      <c r="O29" s="41" t="str">
        <f t="shared" si="12"/>
        <v/>
      </c>
      <c r="P29" s="188" t="str">
        <f t="shared" si="13"/>
        <v/>
      </c>
      <c r="Q29" s="236">
        <f t="shared" si="14"/>
        <v>2084.2800000000002</v>
      </c>
      <c r="R29" s="280"/>
      <c r="S29" s="179">
        <f t="shared" si="16"/>
        <v>1623.8936164622005</v>
      </c>
      <c r="T29" s="259"/>
      <c r="U29" s="179">
        <f t="shared" si="17"/>
        <v>90</v>
      </c>
      <c r="V29" s="259"/>
      <c r="W29" s="179">
        <f t="shared" si="18"/>
        <v>0</v>
      </c>
      <c r="X29" s="259"/>
      <c r="Y29" s="179">
        <f t="shared" si="19"/>
        <v>1000</v>
      </c>
      <c r="Z29" s="259"/>
      <c r="AA29" s="179">
        <f t="shared" si="20"/>
        <v>40</v>
      </c>
      <c r="AB29" s="259"/>
      <c r="AC29" s="179">
        <f t="shared" si="21"/>
        <v>52.834018065000002</v>
      </c>
      <c r="AD29" s="238">
        <f t="shared" si="15"/>
        <v>0</v>
      </c>
      <c r="AE29" s="179">
        <f t="shared" si="22"/>
        <v>1092.834018065</v>
      </c>
      <c r="AF29" s="264"/>
      <c r="AG29" s="179">
        <f t="shared" si="23"/>
        <v>1000</v>
      </c>
      <c r="AH29" s="268"/>
      <c r="AI29" s="179">
        <f t="shared" si="24"/>
        <v>0</v>
      </c>
      <c r="AJ29" s="268"/>
      <c r="AK29" s="179">
        <f t="shared" si="25"/>
        <v>0</v>
      </c>
      <c r="AL29" s="268"/>
      <c r="AM29" s="179">
        <f t="shared" si="26"/>
        <v>0</v>
      </c>
      <c r="AN29" s="268"/>
      <c r="AO29" s="179">
        <f t="shared" si="27"/>
        <v>0</v>
      </c>
      <c r="AP29" s="268"/>
      <c r="AQ29" s="179">
        <f t="shared" si="28"/>
        <v>0</v>
      </c>
      <c r="AR29" s="273"/>
      <c r="AS29" s="305">
        <f t="shared" si="29"/>
        <v>0</v>
      </c>
      <c r="AT29" s="273"/>
      <c r="AU29" s="305">
        <f t="shared" si="30"/>
        <v>0</v>
      </c>
    </row>
    <row r="30" spans="1:47" s="34" customFormat="1" x14ac:dyDescent="0.25">
      <c r="A30" s="87">
        <v>40802</v>
      </c>
      <c r="B30" s="42">
        <v>17</v>
      </c>
      <c r="C30" s="41" t="str">
        <f t="shared" si="0"/>
        <v>V22.0</v>
      </c>
      <c r="D30" s="41">
        <f t="shared" si="1"/>
        <v>82947</v>
      </c>
      <c r="E30" s="40" t="str">
        <f t="shared" si="2"/>
        <v>OBGYN</v>
      </c>
      <c r="F30" s="40" t="str">
        <f t="shared" si="3"/>
        <v>Laboratory tests</v>
      </c>
      <c r="G30" s="40" t="str">
        <f t="shared" si="4"/>
        <v>Assay Glucose Blood Quant</v>
      </c>
      <c r="H30" s="40" t="str">
        <f t="shared" si="5"/>
        <v/>
      </c>
      <c r="I30" s="160" t="str">
        <f t="shared" si="6"/>
        <v/>
      </c>
      <c r="J30" s="41" t="str">
        <f t="shared" si="7"/>
        <v/>
      </c>
      <c r="K30" s="41" t="str">
        <f t="shared" si="8"/>
        <v/>
      </c>
      <c r="L30" s="41">
        <f t="shared" si="9"/>
        <v>1</v>
      </c>
      <c r="M30" s="41" t="str">
        <f t="shared" si="10"/>
        <v/>
      </c>
      <c r="N30" s="41" t="str">
        <f t="shared" si="11"/>
        <v/>
      </c>
      <c r="O30" s="41" t="str">
        <f t="shared" si="12"/>
        <v/>
      </c>
      <c r="P30" s="188" t="str">
        <f t="shared" si="13"/>
        <v/>
      </c>
      <c r="Q30" s="236">
        <f t="shared" si="14"/>
        <v>6.4317604084999997</v>
      </c>
      <c r="R30" s="280">
        <v>6.4317604084999997</v>
      </c>
      <c r="S30" s="179">
        <f t="shared" si="16"/>
        <v>1630.3253768707004</v>
      </c>
      <c r="T30" s="259"/>
      <c r="U30" s="179">
        <f t="shared" si="17"/>
        <v>90</v>
      </c>
      <c r="V30" s="259"/>
      <c r="W30" s="179">
        <f t="shared" si="18"/>
        <v>0</v>
      </c>
      <c r="X30" s="259"/>
      <c r="Y30" s="179">
        <f t="shared" si="19"/>
        <v>1000</v>
      </c>
      <c r="Z30" s="259"/>
      <c r="AA30" s="179">
        <f t="shared" si="20"/>
        <v>40</v>
      </c>
      <c r="AB30" s="259"/>
      <c r="AC30" s="179">
        <f t="shared" si="21"/>
        <v>52.834018065000002</v>
      </c>
      <c r="AD30" s="238">
        <f t="shared" si="15"/>
        <v>0</v>
      </c>
      <c r="AE30" s="179">
        <f t="shared" si="22"/>
        <v>1092.834018065</v>
      </c>
      <c r="AF30" s="264"/>
      <c r="AG30" s="179">
        <f t="shared" si="23"/>
        <v>1000</v>
      </c>
      <c r="AH30" s="268"/>
      <c r="AI30" s="179">
        <f t="shared" si="24"/>
        <v>0</v>
      </c>
      <c r="AJ30" s="268"/>
      <c r="AK30" s="179">
        <f t="shared" si="25"/>
        <v>0</v>
      </c>
      <c r="AL30" s="268"/>
      <c r="AM30" s="179">
        <f t="shared" si="26"/>
        <v>0</v>
      </c>
      <c r="AN30" s="268"/>
      <c r="AO30" s="179">
        <f t="shared" si="27"/>
        <v>0</v>
      </c>
      <c r="AP30" s="268"/>
      <c r="AQ30" s="179">
        <f t="shared" si="28"/>
        <v>0</v>
      </c>
      <c r="AR30" s="273"/>
      <c r="AS30" s="305">
        <f t="shared" si="29"/>
        <v>0</v>
      </c>
      <c r="AT30" s="273"/>
      <c r="AU30" s="305">
        <f t="shared" si="30"/>
        <v>0</v>
      </c>
    </row>
    <row r="31" spans="1:47" s="34" customFormat="1" x14ac:dyDescent="0.25">
      <c r="A31" s="87">
        <v>40802</v>
      </c>
      <c r="B31" s="42">
        <v>26</v>
      </c>
      <c r="C31" s="41" t="str">
        <f t="shared" si="0"/>
        <v>V22.0</v>
      </c>
      <c r="D31" s="41">
        <f t="shared" si="1"/>
        <v>85025</v>
      </c>
      <c r="E31" s="40" t="str">
        <f t="shared" si="2"/>
        <v>OBGYN</v>
      </c>
      <c r="F31" s="40" t="str">
        <f t="shared" si="3"/>
        <v>Laboratory tests</v>
      </c>
      <c r="G31" s="40" t="str">
        <f t="shared" si="4"/>
        <v>Complete cbc w/auto diff wbc</v>
      </c>
      <c r="H31" s="40" t="str">
        <f t="shared" si="5"/>
        <v/>
      </c>
      <c r="I31" s="160" t="str">
        <f t="shared" si="6"/>
        <v/>
      </c>
      <c r="J31" s="41" t="str">
        <f t="shared" si="7"/>
        <v/>
      </c>
      <c r="K31" s="41" t="str">
        <f t="shared" si="8"/>
        <v/>
      </c>
      <c r="L31" s="41">
        <f t="shared" si="9"/>
        <v>1</v>
      </c>
      <c r="M31" s="41" t="str">
        <f t="shared" si="10"/>
        <v/>
      </c>
      <c r="N31" s="41" t="str">
        <f t="shared" si="11"/>
        <v/>
      </c>
      <c r="O31" s="41" t="str">
        <f t="shared" si="12"/>
        <v/>
      </c>
      <c r="P31" s="188" t="str">
        <f t="shared" si="13"/>
        <v/>
      </c>
      <c r="Q31" s="236">
        <f t="shared" si="14"/>
        <v>12.282662974999999</v>
      </c>
      <c r="R31" s="280">
        <v>12.282662974999999</v>
      </c>
      <c r="S31" s="179">
        <f t="shared" si="16"/>
        <v>1642.6080398457004</v>
      </c>
      <c r="T31" s="259"/>
      <c r="U31" s="179">
        <f t="shared" si="17"/>
        <v>90</v>
      </c>
      <c r="V31" s="259"/>
      <c r="W31" s="179">
        <f t="shared" si="18"/>
        <v>0</v>
      </c>
      <c r="X31" s="259"/>
      <c r="Y31" s="179">
        <f t="shared" si="19"/>
        <v>1000</v>
      </c>
      <c r="Z31" s="259"/>
      <c r="AA31" s="179">
        <f t="shared" si="20"/>
        <v>40</v>
      </c>
      <c r="AB31" s="259"/>
      <c r="AC31" s="179">
        <f t="shared" si="21"/>
        <v>52.834018065000002</v>
      </c>
      <c r="AD31" s="238">
        <f t="shared" si="15"/>
        <v>0</v>
      </c>
      <c r="AE31" s="179">
        <f t="shared" si="22"/>
        <v>1092.834018065</v>
      </c>
      <c r="AF31" s="264"/>
      <c r="AG31" s="179">
        <f t="shared" si="23"/>
        <v>1000</v>
      </c>
      <c r="AH31" s="268"/>
      <c r="AI31" s="179">
        <f t="shared" si="24"/>
        <v>0</v>
      </c>
      <c r="AJ31" s="268"/>
      <c r="AK31" s="179">
        <f t="shared" si="25"/>
        <v>0</v>
      </c>
      <c r="AL31" s="268"/>
      <c r="AM31" s="179">
        <f t="shared" si="26"/>
        <v>0</v>
      </c>
      <c r="AN31" s="268"/>
      <c r="AO31" s="179">
        <f t="shared" si="27"/>
        <v>0</v>
      </c>
      <c r="AP31" s="268"/>
      <c r="AQ31" s="179">
        <f t="shared" si="28"/>
        <v>0</v>
      </c>
      <c r="AR31" s="273"/>
      <c r="AS31" s="305">
        <f t="shared" si="29"/>
        <v>0</v>
      </c>
      <c r="AT31" s="273"/>
      <c r="AU31" s="305">
        <f t="shared" si="30"/>
        <v>0</v>
      </c>
    </row>
    <row r="32" spans="1:47" s="34" customFormat="1" x14ac:dyDescent="0.25">
      <c r="A32" s="87">
        <v>40802</v>
      </c>
      <c r="B32" s="42">
        <v>18</v>
      </c>
      <c r="C32" s="41" t="str">
        <f t="shared" si="0"/>
        <v>V22.0</v>
      </c>
      <c r="D32" s="41">
        <f t="shared" si="1"/>
        <v>82950</v>
      </c>
      <c r="E32" s="40" t="str">
        <f t="shared" si="2"/>
        <v>OBGYN</v>
      </c>
      <c r="F32" s="40" t="str">
        <f t="shared" si="3"/>
        <v>Laboratory tests</v>
      </c>
      <c r="G32" s="40" t="str">
        <f t="shared" si="4"/>
        <v>Glucose Test</v>
      </c>
      <c r="H32" s="40" t="str">
        <f t="shared" si="5"/>
        <v/>
      </c>
      <c r="I32" s="160" t="str">
        <f t="shared" si="6"/>
        <v/>
      </c>
      <c r="J32" s="41" t="str">
        <f t="shared" si="7"/>
        <v/>
      </c>
      <c r="K32" s="41" t="str">
        <f t="shared" si="8"/>
        <v/>
      </c>
      <c r="L32" s="41">
        <f t="shared" si="9"/>
        <v>1</v>
      </c>
      <c r="M32" s="41" t="str">
        <f t="shared" si="10"/>
        <v/>
      </c>
      <c r="N32" s="41" t="str">
        <f t="shared" si="11"/>
        <v/>
      </c>
      <c r="O32" s="41" t="str">
        <f t="shared" si="12"/>
        <v/>
      </c>
      <c r="P32" s="188" t="str">
        <f t="shared" si="13"/>
        <v/>
      </c>
      <c r="Q32" s="236">
        <f t="shared" si="14"/>
        <v>6.9532965180000001</v>
      </c>
      <c r="R32" s="280">
        <v>6.9532965180000001</v>
      </c>
      <c r="S32" s="179">
        <f t="shared" si="16"/>
        <v>1649.5613363637003</v>
      </c>
      <c r="T32" s="259"/>
      <c r="U32" s="179">
        <f t="shared" si="17"/>
        <v>90</v>
      </c>
      <c r="V32" s="259"/>
      <c r="W32" s="179">
        <f t="shared" si="18"/>
        <v>0</v>
      </c>
      <c r="X32" s="259"/>
      <c r="Y32" s="179">
        <f t="shared" si="19"/>
        <v>1000</v>
      </c>
      <c r="Z32" s="259"/>
      <c r="AA32" s="179">
        <f t="shared" si="20"/>
        <v>40</v>
      </c>
      <c r="AB32" s="259"/>
      <c r="AC32" s="179">
        <f t="shared" si="21"/>
        <v>52.834018065000002</v>
      </c>
      <c r="AD32" s="238">
        <f t="shared" si="15"/>
        <v>0</v>
      </c>
      <c r="AE32" s="179">
        <f t="shared" si="22"/>
        <v>1092.834018065</v>
      </c>
      <c r="AF32" s="264"/>
      <c r="AG32" s="179">
        <f t="shared" si="23"/>
        <v>1000</v>
      </c>
      <c r="AH32" s="268"/>
      <c r="AI32" s="179">
        <f t="shared" si="24"/>
        <v>0</v>
      </c>
      <c r="AJ32" s="268"/>
      <c r="AK32" s="179">
        <f t="shared" si="25"/>
        <v>0</v>
      </c>
      <c r="AL32" s="268"/>
      <c r="AM32" s="179">
        <f t="shared" si="26"/>
        <v>0</v>
      </c>
      <c r="AN32" s="268"/>
      <c r="AO32" s="179">
        <f t="shared" si="27"/>
        <v>0</v>
      </c>
      <c r="AP32" s="268"/>
      <c r="AQ32" s="179">
        <f t="shared" si="28"/>
        <v>0</v>
      </c>
      <c r="AR32" s="273"/>
      <c r="AS32" s="305">
        <f t="shared" si="29"/>
        <v>0</v>
      </c>
      <c r="AT32" s="273"/>
      <c r="AU32" s="305">
        <f t="shared" si="30"/>
        <v>0</v>
      </c>
    </row>
    <row r="33" spans="1:47" s="34" customFormat="1" x14ac:dyDescent="0.25">
      <c r="A33" s="87">
        <v>40802</v>
      </c>
      <c r="B33" s="42">
        <v>12</v>
      </c>
      <c r="C33" s="41" t="str">
        <f t="shared" si="0"/>
        <v>V22.0</v>
      </c>
      <c r="D33" s="41">
        <f t="shared" si="1"/>
        <v>36415</v>
      </c>
      <c r="E33" s="40" t="str">
        <f t="shared" si="2"/>
        <v>OBGYN</v>
      </c>
      <c r="F33" s="40" t="str">
        <f t="shared" si="3"/>
        <v>Laboratory tests</v>
      </c>
      <c r="G33" s="40" t="str">
        <f t="shared" si="4"/>
        <v>Routine Venipuncture</v>
      </c>
      <c r="H33" s="40" t="str">
        <f t="shared" si="5"/>
        <v>Cystic fibrosis screen</v>
      </c>
      <c r="I33" s="160" t="str">
        <f t="shared" si="6"/>
        <v/>
      </c>
      <c r="J33" s="41" t="str">
        <f t="shared" si="7"/>
        <v/>
      </c>
      <c r="K33" s="41" t="str">
        <f t="shared" si="8"/>
        <v/>
      </c>
      <c r="L33" s="41">
        <f t="shared" si="9"/>
        <v>1</v>
      </c>
      <c r="M33" s="41" t="str">
        <f t="shared" si="10"/>
        <v/>
      </c>
      <c r="N33" s="41" t="str">
        <f t="shared" si="11"/>
        <v/>
      </c>
      <c r="O33" s="41" t="str">
        <f t="shared" si="12"/>
        <v/>
      </c>
      <c r="P33" s="188" t="str">
        <f t="shared" si="13"/>
        <v/>
      </c>
      <c r="Q33" s="236">
        <f t="shared" si="14"/>
        <v>4.1312550556999996</v>
      </c>
      <c r="R33" s="280">
        <v>4.1312550556999996</v>
      </c>
      <c r="S33" s="179">
        <f t="shared" si="16"/>
        <v>1653.6925914194003</v>
      </c>
      <c r="T33" s="259"/>
      <c r="U33" s="179">
        <f t="shared" si="17"/>
        <v>90</v>
      </c>
      <c r="V33" s="259"/>
      <c r="W33" s="179">
        <f t="shared" si="18"/>
        <v>0</v>
      </c>
      <c r="X33" s="259"/>
      <c r="Y33" s="179">
        <f t="shared" si="19"/>
        <v>1000</v>
      </c>
      <c r="Z33" s="259"/>
      <c r="AA33" s="179">
        <f t="shared" si="20"/>
        <v>40</v>
      </c>
      <c r="AB33" s="259"/>
      <c r="AC33" s="179">
        <f t="shared" si="21"/>
        <v>52.834018065000002</v>
      </c>
      <c r="AD33" s="238">
        <f t="shared" si="15"/>
        <v>0</v>
      </c>
      <c r="AE33" s="179">
        <f t="shared" si="22"/>
        <v>1092.834018065</v>
      </c>
      <c r="AF33" s="264"/>
      <c r="AG33" s="179">
        <f t="shared" si="23"/>
        <v>1000</v>
      </c>
      <c r="AH33" s="268"/>
      <c r="AI33" s="179">
        <f t="shared" si="24"/>
        <v>0</v>
      </c>
      <c r="AJ33" s="268"/>
      <c r="AK33" s="179">
        <f t="shared" si="25"/>
        <v>0</v>
      </c>
      <c r="AL33" s="268"/>
      <c r="AM33" s="179">
        <f t="shared" si="26"/>
        <v>0</v>
      </c>
      <c r="AN33" s="268"/>
      <c r="AO33" s="179">
        <f t="shared" si="27"/>
        <v>0</v>
      </c>
      <c r="AP33" s="268"/>
      <c r="AQ33" s="179">
        <f t="shared" si="28"/>
        <v>0</v>
      </c>
      <c r="AR33" s="273"/>
      <c r="AS33" s="305">
        <f t="shared" si="29"/>
        <v>0</v>
      </c>
      <c r="AT33" s="273"/>
      <c r="AU33" s="305">
        <f t="shared" si="30"/>
        <v>0</v>
      </c>
    </row>
    <row r="34" spans="1:47" s="34" customFormat="1" x14ac:dyDescent="0.25">
      <c r="A34" s="87">
        <v>40802</v>
      </c>
      <c r="B34" s="42">
        <v>32</v>
      </c>
      <c r="C34" s="41" t="str">
        <f t="shared" si="0"/>
        <v>V22.0</v>
      </c>
      <c r="D34" s="41" t="str">
        <f t="shared" si="1"/>
        <v>Bundled in global OB package - 59400</v>
      </c>
      <c r="E34" s="40" t="str">
        <f t="shared" si="2"/>
        <v>OBGYN</v>
      </c>
      <c r="F34" s="40" t="str">
        <f t="shared" si="3"/>
        <v>Routine Obstetric Care</v>
      </c>
      <c r="G34" s="40" t="str">
        <f t="shared" si="4"/>
        <v>Office/Outpatient Visit Est</v>
      </c>
      <c r="H34" s="40" t="str">
        <f t="shared" si="5"/>
        <v/>
      </c>
      <c r="I34" s="160" t="str">
        <f t="shared" si="6"/>
        <v/>
      </c>
      <c r="J34" s="41" t="str">
        <f t="shared" si="7"/>
        <v/>
      </c>
      <c r="K34" s="41" t="str">
        <f t="shared" si="8"/>
        <v/>
      </c>
      <c r="L34" s="41" t="str">
        <f t="shared" si="9"/>
        <v/>
      </c>
      <c r="M34" s="41" t="str">
        <f t="shared" si="10"/>
        <v/>
      </c>
      <c r="N34" s="41">
        <f t="shared" si="11"/>
        <v>1</v>
      </c>
      <c r="O34" s="41" t="str">
        <f t="shared" si="12"/>
        <v/>
      </c>
      <c r="P34" s="188" t="str">
        <f t="shared" si="13"/>
        <v/>
      </c>
      <c r="Q34" s="236">
        <f t="shared" si="14"/>
        <v>2084.2800000000002</v>
      </c>
      <c r="R34" s="280"/>
      <c r="S34" s="179">
        <f t="shared" si="16"/>
        <v>1653.6925914194003</v>
      </c>
      <c r="T34" s="259"/>
      <c r="U34" s="179">
        <f t="shared" si="17"/>
        <v>90</v>
      </c>
      <c r="V34" s="259"/>
      <c r="W34" s="179">
        <f t="shared" si="18"/>
        <v>0</v>
      </c>
      <c r="X34" s="259"/>
      <c r="Y34" s="179">
        <f t="shared" si="19"/>
        <v>1000</v>
      </c>
      <c r="Z34" s="259"/>
      <c r="AA34" s="179">
        <f t="shared" si="20"/>
        <v>40</v>
      </c>
      <c r="AB34" s="259"/>
      <c r="AC34" s="179">
        <f t="shared" si="21"/>
        <v>52.834018065000002</v>
      </c>
      <c r="AD34" s="238">
        <f t="shared" si="15"/>
        <v>0</v>
      </c>
      <c r="AE34" s="179">
        <f t="shared" si="22"/>
        <v>1092.834018065</v>
      </c>
      <c r="AF34" s="264"/>
      <c r="AG34" s="179">
        <f t="shared" si="23"/>
        <v>1000</v>
      </c>
      <c r="AH34" s="268"/>
      <c r="AI34" s="179">
        <f t="shared" si="24"/>
        <v>0</v>
      </c>
      <c r="AJ34" s="268"/>
      <c r="AK34" s="179">
        <f t="shared" si="25"/>
        <v>0</v>
      </c>
      <c r="AL34" s="268"/>
      <c r="AM34" s="179">
        <f t="shared" si="26"/>
        <v>0</v>
      </c>
      <c r="AN34" s="268"/>
      <c r="AO34" s="179">
        <f t="shared" si="27"/>
        <v>0</v>
      </c>
      <c r="AP34" s="268"/>
      <c r="AQ34" s="179">
        <f t="shared" si="28"/>
        <v>0</v>
      </c>
      <c r="AR34" s="273"/>
      <c r="AS34" s="305">
        <f t="shared" si="29"/>
        <v>0</v>
      </c>
      <c r="AT34" s="273"/>
      <c r="AU34" s="305">
        <f t="shared" si="30"/>
        <v>0</v>
      </c>
    </row>
    <row r="35" spans="1:47" s="34" customFormat="1" x14ac:dyDescent="0.25">
      <c r="A35" s="87">
        <v>40816</v>
      </c>
      <c r="B35" s="42">
        <v>32</v>
      </c>
      <c r="C35" s="41" t="str">
        <f t="shared" ref="C35:C56" si="31">IF(ISBLANK(VLOOKUP(Mat_Claim,Mat_UniqueLine,2,FALSE)),"",VLOOKUP(Mat_Claim,Mat_UniqueLine,2,FALSE))</f>
        <v>V22.0</v>
      </c>
      <c r="D35" s="41" t="str">
        <f t="shared" ref="D35:D56" si="32">IF(ISBLANK(VLOOKUP(Mat_Claim,Mat_UniqueLine,3,FALSE)),"",VLOOKUP(Mat_Claim,Mat_UniqueLine,3,FALSE))</f>
        <v>Bundled in global OB package - 59400</v>
      </c>
      <c r="E35" s="40" t="str">
        <f t="shared" ref="E35:E56" si="33">IF(ISBLANK(VLOOKUP(Mat_Claim,Mat_UniqueLine,4,FALSE)),"",VLOOKUP(Mat_Claim,Mat_UniqueLine,4,FALSE))</f>
        <v>OBGYN</v>
      </c>
      <c r="F35" s="40" t="str">
        <f t="shared" ref="F35:F56" si="34">IF(ISBLANK(VLOOKUP(Mat_Claim,Mat_UniqueLine,5,FALSE)),"",VLOOKUP(Mat_Claim,Mat_UniqueLine,5,FALSE))</f>
        <v>Routine Obstetric Care</v>
      </c>
      <c r="G35" s="40" t="str">
        <f t="shared" ref="G35:G56" si="35">IF(ISBLANK(VLOOKUP(Mat_Claim,Mat_UniqueLine,6,FALSE)),"",VLOOKUP(Mat_Claim,Mat_UniqueLine,6,FALSE))</f>
        <v>Office/Outpatient Visit Est</v>
      </c>
      <c r="H35" s="40" t="str">
        <f t="shared" ref="H35:H56" si="36">IF(ISBLANK(VLOOKUP(Mat_Claim,Mat_UniqueLine,8,FALSE)),"",VLOOKUP(Mat_Claim,Mat_UniqueLine,8,FALSE))</f>
        <v/>
      </c>
      <c r="I35" s="160" t="str">
        <f t="shared" ref="I35:I56" si="37">IF(Mat_Col_Category="Medical equipment and supplies",1,"")</f>
        <v/>
      </c>
      <c r="J35" s="41" t="str">
        <f t="shared" ref="J35:J56" si="38">IF(AND(Mat_Col_Category="Pharmacy",Mat_Col_BillCode&lt;&gt;"OTC"),1,"")</f>
        <v/>
      </c>
      <c r="K35" s="41" t="str">
        <f t="shared" ref="K35:K56" si="39">IF(OR(Mat_Col_Category="Anesthesia",Mat_Col_Provider="Inpatient Facility"),1,"")</f>
        <v/>
      </c>
      <c r="L35" s="41" t="str">
        <f t="shared" ref="L35:L56" si="40">IF(Mat_Col_Category="Laboratory tests",1,"")</f>
        <v/>
      </c>
      <c r="M35" s="41" t="str">
        <f t="shared" ref="M35:M56" si="41">IF(Mat_Col_Category="Radiology",1,"")</f>
        <v/>
      </c>
      <c r="N35" s="41">
        <f t="shared" ref="N35:N56" si="42">IF(Mat_Col_BillCode="Bundled in global OB package - 59400",1,"")</f>
        <v>1</v>
      </c>
      <c r="O35" s="41" t="str">
        <f t="shared" ref="O35:O56" si="43">IF(Mat_Col_Category="Vaccines, other preventive",1,"")</f>
        <v/>
      </c>
      <c r="P35" s="188" t="str">
        <f t="shared" ref="P35:P56" si="44">IF(Mat_Col_Category="Office visits &amp; procedures",1,"")</f>
        <v/>
      </c>
      <c r="Q35" s="236">
        <f t="shared" ref="Q35:Q56" si="45">IF(ISBLANK(VLOOKUP(Mat_Claim,Mat_UniqueLine,7,FALSE)),"",VLOOKUP(Mat_Claim,Mat_UniqueLine,7,FALSE))</f>
        <v>2084.2800000000002</v>
      </c>
      <c r="R35" s="280"/>
      <c r="S35" s="179">
        <f t="shared" si="16"/>
        <v>1653.6925914194003</v>
      </c>
      <c r="T35" s="259"/>
      <c r="U35" s="179">
        <f t="shared" si="17"/>
        <v>90</v>
      </c>
      <c r="V35" s="259"/>
      <c r="W35" s="179">
        <f t="shared" si="18"/>
        <v>0</v>
      </c>
      <c r="X35" s="259"/>
      <c r="Y35" s="179">
        <f t="shared" si="19"/>
        <v>1000</v>
      </c>
      <c r="Z35" s="259"/>
      <c r="AA35" s="179">
        <f t="shared" si="20"/>
        <v>40</v>
      </c>
      <c r="AB35" s="259"/>
      <c r="AC35" s="179">
        <f t="shared" si="21"/>
        <v>52.834018065000002</v>
      </c>
      <c r="AD35" s="238">
        <f t="shared" si="15"/>
        <v>0</v>
      </c>
      <c r="AE35" s="179">
        <f t="shared" si="22"/>
        <v>1092.834018065</v>
      </c>
      <c r="AF35" s="264"/>
      <c r="AG35" s="179">
        <f t="shared" si="23"/>
        <v>1000</v>
      </c>
      <c r="AH35" s="268"/>
      <c r="AI35" s="179">
        <f t="shared" si="24"/>
        <v>0</v>
      </c>
      <c r="AJ35" s="268"/>
      <c r="AK35" s="179">
        <f t="shared" si="25"/>
        <v>0</v>
      </c>
      <c r="AL35" s="268"/>
      <c r="AM35" s="179">
        <f t="shared" si="26"/>
        <v>0</v>
      </c>
      <c r="AN35" s="268"/>
      <c r="AO35" s="179">
        <f t="shared" si="27"/>
        <v>0</v>
      </c>
      <c r="AP35" s="268"/>
      <c r="AQ35" s="179">
        <f t="shared" si="28"/>
        <v>0</v>
      </c>
      <c r="AR35" s="273"/>
      <c r="AS35" s="305">
        <f t="shared" si="29"/>
        <v>0</v>
      </c>
      <c r="AT35" s="273"/>
      <c r="AU35" s="305">
        <f t="shared" si="30"/>
        <v>0</v>
      </c>
    </row>
    <row r="36" spans="1:47" s="34" customFormat="1" x14ac:dyDescent="0.25">
      <c r="A36" s="87">
        <v>40820</v>
      </c>
      <c r="B36" s="42">
        <v>8</v>
      </c>
      <c r="C36" s="41" t="str">
        <f t="shared" si="31"/>
        <v/>
      </c>
      <c r="D36" s="41" t="str">
        <f t="shared" si="32"/>
        <v>OTC</v>
      </c>
      <c r="E36" s="40" t="str">
        <f t="shared" si="33"/>
        <v>Pharmacy Retail</v>
      </c>
      <c r="F36" s="40" t="str">
        <f t="shared" si="34"/>
        <v>Pharmacy</v>
      </c>
      <c r="G36" s="40" t="str">
        <f t="shared" si="35"/>
        <v>Prenatal Vitamins (OTC - Bottle of 100) [1 pill daily; 30 pills/month]</v>
      </c>
      <c r="H36" s="40" t="str">
        <f t="shared" si="36"/>
        <v/>
      </c>
      <c r="I36" s="160" t="str">
        <f t="shared" si="37"/>
        <v/>
      </c>
      <c r="J36" s="41" t="str">
        <f t="shared" si="38"/>
        <v/>
      </c>
      <c r="K36" s="41" t="str">
        <f t="shared" si="39"/>
        <v/>
      </c>
      <c r="L36" s="41" t="str">
        <f t="shared" si="40"/>
        <v/>
      </c>
      <c r="M36" s="41" t="str">
        <f t="shared" si="41"/>
        <v/>
      </c>
      <c r="N36" s="41" t="str">
        <f t="shared" si="42"/>
        <v/>
      </c>
      <c r="O36" s="41" t="str">
        <f t="shared" si="43"/>
        <v/>
      </c>
      <c r="P36" s="188" t="str">
        <f t="shared" si="44"/>
        <v/>
      </c>
      <c r="Q36" s="236">
        <f t="shared" si="45"/>
        <v>30</v>
      </c>
      <c r="R36" s="280"/>
      <c r="S36" s="179">
        <f t="shared" si="16"/>
        <v>1653.6925914194003</v>
      </c>
      <c r="T36" s="259">
        <v>30</v>
      </c>
      <c r="U36" s="179">
        <f t="shared" si="17"/>
        <v>120</v>
      </c>
      <c r="V36" s="259"/>
      <c r="W36" s="179">
        <f t="shared" si="18"/>
        <v>0</v>
      </c>
      <c r="X36" s="259"/>
      <c r="Y36" s="179">
        <f t="shared" si="19"/>
        <v>1000</v>
      </c>
      <c r="Z36" s="259"/>
      <c r="AA36" s="179">
        <f t="shared" si="20"/>
        <v>40</v>
      </c>
      <c r="AB36" s="259"/>
      <c r="AC36" s="179">
        <f t="shared" si="21"/>
        <v>52.834018065000002</v>
      </c>
      <c r="AD36" s="238">
        <f t="shared" si="15"/>
        <v>0</v>
      </c>
      <c r="AE36" s="179">
        <f t="shared" si="22"/>
        <v>1092.834018065</v>
      </c>
      <c r="AF36" s="264"/>
      <c r="AG36" s="179">
        <f t="shared" si="23"/>
        <v>1000</v>
      </c>
      <c r="AH36" s="268"/>
      <c r="AI36" s="179">
        <f t="shared" si="24"/>
        <v>0</v>
      </c>
      <c r="AJ36" s="268"/>
      <c r="AK36" s="179">
        <f t="shared" si="25"/>
        <v>0</v>
      </c>
      <c r="AL36" s="268"/>
      <c r="AM36" s="179">
        <f t="shared" si="26"/>
        <v>0</v>
      </c>
      <c r="AN36" s="268"/>
      <c r="AO36" s="179">
        <f t="shared" si="27"/>
        <v>0</v>
      </c>
      <c r="AP36" s="268"/>
      <c r="AQ36" s="179">
        <f t="shared" si="28"/>
        <v>0</v>
      </c>
      <c r="AR36" s="273"/>
      <c r="AS36" s="305">
        <f t="shared" si="29"/>
        <v>0</v>
      </c>
      <c r="AT36" s="273"/>
      <c r="AU36" s="305">
        <f t="shared" si="30"/>
        <v>0</v>
      </c>
    </row>
    <row r="37" spans="1:47" s="34" customFormat="1" x14ac:dyDescent="0.25">
      <c r="A37" s="87">
        <v>40830</v>
      </c>
      <c r="B37" s="42">
        <v>32</v>
      </c>
      <c r="C37" s="41" t="str">
        <f t="shared" si="31"/>
        <v>V22.0</v>
      </c>
      <c r="D37" s="41" t="str">
        <f t="shared" si="32"/>
        <v>Bundled in global OB package - 59400</v>
      </c>
      <c r="E37" s="40" t="str">
        <f t="shared" si="33"/>
        <v>OBGYN</v>
      </c>
      <c r="F37" s="40" t="str">
        <f t="shared" si="34"/>
        <v>Routine Obstetric Care</v>
      </c>
      <c r="G37" s="40" t="str">
        <f t="shared" si="35"/>
        <v>Office/Outpatient Visit Est</v>
      </c>
      <c r="H37" s="40" t="str">
        <f t="shared" si="36"/>
        <v/>
      </c>
      <c r="I37" s="160" t="str">
        <f t="shared" si="37"/>
        <v/>
      </c>
      <c r="J37" s="41" t="str">
        <f t="shared" si="38"/>
        <v/>
      </c>
      <c r="K37" s="41" t="str">
        <f t="shared" si="39"/>
        <v/>
      </c>
      <c r="L37" s="41" t="str">
        <f t="shared" si="40"/>
        <v/>
      </c>
      <c r="M37" s="41" t="str">
        <f t="shared" si="41"/>
        <v/>
      </c>
      <c r="N37" s="41">
        <f t="shared" si="42"/>
        <v>1</v>
      </c>
      <c r="O37" s="41" t="str">
        <f t="shared" si="43"/>
        <v/>
      </c>
      <c r="P37" s="188" t="str">
        <f t="shared" si="44"/>
        <v/>
      </c>
      <c r="Q37" s="236">
        <f t="shared" si="45"/>
        <v>2084.2800000000002</v>
      </c>
      <c r="R37" s="280"/>
      <c r="S37" s="179">
        <f t="shared" si="16"/>
        <v>1653.6925914194003</v>
      </c>
      <c r="T37" s="259"/>
      <c r="U37" s="179">
        <f t="shared" si="17"/>
        <v>120</v>
      </c>
      <c r="V37" s="259"/>
      <c r="W37" s="179">
        <f t="shared" si="18"/>
        <v>0</v>
      </c>
      <c r="X37" s="259"/>
      <c r="Y37" s="179">
        <f t="shared" si="19"/>
        <v>1000</v>
      </c>
      <c r="Z37" s="259"/>
      <c r="AA37" s="179">
        <f t="shared" si="20"/>
        <v>40</v>
      </c>
      <c r="AB37" s="259"/>
      <c r="AC37" s="179">
        <f t="shared" si="21"/>
        <v>52.834018065000002</v>
      </c>
      <c r="AD37" s="238">
        <f t="shared" si="15"/>
        <v>0</v>
      </c>
      <c r="AE37" s="179">
        <f t="shared" si="22"/>
        <v>1092.834018065</v>
      </c>
      <c r="AF37" s="264"/>
      <c r="AG37" s="179">
        <f t="shared" si="23"/>
        <v>1000</v>
      </c>
      <c r="AH37" s="268"/>
      <c r="AI37" s="179">
        <f t="shared" si="24"/>
        <v>0</v>
      </c>
      <c r="AJ37" s="268"/>
      <c r="AK37" s="179">
        <f t="shared" si="25"/>
        <v>0</v>
      </c>
      <c r="AL37" s="268"/>
      <c r="AM37" s="179">
        <f t="shared" si="26"/>
        <v>0</v>
      </c>
      <c r="AN37" s="268"/>
      <c r="AO37" s="179">
        <f t="shared" si="27"/>
        <v>0</v>
      </c>
      <c r="AP37" s="268"/>
      <c r="AQ37" s="179">
        <f t="shared" si="28"/>
        <v>0</v>
      </c>
      <c r="AR37" s="273"/>
      <c r="AS37" s="305">
        <f t="shared" si="29"/>
        <v>0</v>
      </c>
      <c r="AT37" s="273"/>
      <c r="AU37" s="305">
        <f t="shared" si="30"/>
        <v>0</v>
      </c>
    </row>
    <row r="38" spans="1:47" s="34" customFormat="1" x14ac:dyDescent="0.25">
      <c r="A38" s="87">
        <v>40836</v>
      </c>
      <c r="B38" s="42">
        <v>9</v>
      </c>
      <c r="C38" s="41" t="str">
        <f t="shared" si="31"/>
        <v/>
      </c>
      <c r="D38" s="41" t="str">
        <f t="shared" si="32"/>
        <v>S9442</v>
      </c>
      <c r="E38" s="40" t="str">
        <f t="shared" si="33"/>
        <v>Alternative Provider</v>
      </c>
      <c r="F38" s="40" t="str">
        <f t="shared" si="34"/>
        <v>Education</v>
      </c>
      <c r="G38" s="40" t="str">
        <f t="shared" si="35"/>
        <v>Birthing class</v>
      </c>
      <c r="H38" s="40" t="str">
        <f t="shared" si="36"/>
        <v/>
      </c>
      <c r="I38" s="160" t="str">
        <f t="shared" si="37"/>
        <v/>
      </c>
      <c r="J38" s="41" t="str">
        <f t="shared" si="38"/>
        <v/>
      </c>
      <c r="K38" s="41" t="str">
        <f t="shared" si="39"/>
        <v/>
      </c>
      <c r="L38" s="41" t="str">
        <f t="shared" si="40"/>
        <v/>
      </c>
      <c r="M38" s="41" t="str">
        <f t="shared" si="41"/>
        <v/>
      </c>
      <c r="N38" s="41" t="str">
        <f t="shared" si="42"/>
        <v/>
      </c>
      <c r="O38" s="41" t="str">
        <f t="shared" si="43"/>
        <v/>
      </c>
      <c r="P38" s="188" t="str">
        <f t="shared" si="44"/>
        <v/>
      </c>
      <c r="Q38" s="236">
        <f t="shared" si="45"/>
        <v>0</v>
      </c>
      <c r="R38" s="280"/>
      <c r="S38" s="179">
        <f t="shared" si="16"/>
        <v>1653.6925914194003</v>
      </c>
      <c r="T38" s="259"/>
      <c r="U38" s="179">
        <f t="shared" si="17"/>
        <v>120</v>
      </c>
      <c r="V38" s="259"/>
      <c r="W38" s="179">
        <f t="shared" si="18"/>
        <v>0</v>
      </c>
      <c r="X38" s="259"/>
      <c r="Y38" s="179">
        <f t="shared" si="19"/>
        <v>1000</v>
      </c>
      <c r="Z38" s="259"/>
      <c r="AA38" s="179">
        <f t="shared" si="20"/>
        <v>40</v>
      </c>
      <c r="AB38" s="259"/>
      <c r="AC38" s="179">
        <f t="shared" si="21"/>
        <v>52.834018065000002</v>
      </c>
      <c r="AD38" s="238">
        <f t="shared" si="15"/>
        <v>0</v>
      </c>
      <c r="AE38" s="179">
        <f t="shared" si="22"/>
        <v>1092.834018065</v>
      </c>
      <c r="AF38" s="264"/>
      <c r="AG38" s="179">
        <f t="shared" si="23"/>
        <v>1000</v>
      </c>
      <c r="AH38" s="268"/>
      <c r="AI38" s="179">
        <f t="shared" si="24"/>
        <v>0</v>
      </c>
      <c r="AJ38" s="268"/>
      <c r="AK38" s="179">
        <f t="shared" si="25"/>
        <v>0</v>
      </c>
      <c r="AL38" s="268"/>
      <c r="AM38" s="179">
        <f t="shared" si="26"/>
        <v>0</v>
      </c>
      <c r="AN38" s="268"/>
      <c r="AO38" s="179">
        <f t="shared" si="27"/>
        <v>0</v>
      </c>
      <c r="AP38" s="268"/>
      <c r="AQ38" s="179">
        <f t="shared" si="28"/>
        <v>0</v>
      </c>
      <c r="AR38" s="273"/>
      <c r="AS38" s="305">
        <f t="shared" si="29"/>
        <v>0</v>
      </c>
      <c r="AT38" s="273"/>
      <c r="AU38" s="305">
        <f t="shared" si="30"/>
        <v>0</v>
      </c>
    </row>
    <row r="39" spans="1:47" s="34" customFormat="1" x14ac:dyDescent="0.25">
      <c r="A39" s="87">
        <v>40843</v>
      </c>
      <c r="B39" s="42">
        <v>9</v>
      </c>
      <c r="C39" s="41" t="str">
        <f t="shared" si="31"/>
        <v/>
      </c>
      <c r="D39" s="41" t="str">
        <f t="shared" si="32"/>
        <v>S9442</v>
      </c>
      <c r="E39" s="40" t="str">
        <f t="shared" si="33"/>
        <v>Alternative Provider</v>
      </c>
      <c r="F39" s="40" t="str">
        <f t="shared" si="34"/>
        <v>Education</v>
      </c>
      <c r="G39" s="40" t="str">
        <f t="shared" si="35"/>
        <v>Birthing class</v>
      </c>
      <c r="H39" s="40" t="str">
        <f t="shared" si="36"/>
        <v/>
      </c>
      <c r="I39" s="160" t="str">
        <f t="shared" si="37"/>
        <v/>
      </c>
      <c r="J39" s="41" t="str">
        <f t="shared" si="38"/>
        <v/>
      </c>
      <c r="K39" s="41" t="str">
        <f t="shared" si="39"/>
        <v/>
      </c>
      <c r="L39" s="41" t="str">
        <f t="shared" si="40"/>
        <v/>
      </c>
      <c r="M39" s="41" t="str">
        <f t="shared" si="41"/>
        <v/>
      </c>
      <c r="N39" s="41" t="str">
        <f t="shared" si="42"/>
        <v/>
      </c>
      <c r="O39" s="41" t="str">
        <f t="shared" si="43"/>
        <v/>
      </c>
      <c r="P39" s="188" t="str">
        <f t="shared" si="44"/>
        <v/>
      </c>
      <c r="Q39" s="236">
        <f t="shared" si="45"/>
        <v>0</v>
      </c>
      <c r="R39" s="280"/>
      <c r="S39" s="179">
        <f t="shared" si="16"/>
        <v>1653.6925914194003</v>
      </c>
      <c r="T39" s="259"/>
      <c r="U39" s="179">
        <f t="shared" si="17"/>
        <v>120</v>
      </c>
      <c r="V39" s="259"/>
      <c r="W39" s="179">
        <f t="shared" si="18"/>
        <v>0</v>
      </c>
      <c r="X39" s="259"/>
      <c r="Y39" s="179">
        <f t="shared" si="19"/>
        <v>1000</v>
      </c>
      <c r="Z39" s="259"/>
      <c r="AA39" s="179">
        <f t="shared" si="20"/>
        <v>40</v>
      </c>
      <c r="AB39" s="259"/>
      <c r="AC39" s="179">
        <f t="shared" si="21"/>
        <v>52.834018065000002</v>
      </c>
      <c r="AD39" s="238">
        <f t="shared" si="15"/>
        <v>0</v>
      </c>
      <c r="AE39" s="179">
        <f t="shared" si="22"/>
        <v>1092.834018065</v>
      </c>
      <c r="AF39" s="264"/>
      <c r="AG39" s="179">
        <f t="shared" si="23"/>
        <v>1000</v>
      </c>
      <c r="AH39" s="268"/>
      <c r="AI39" s="179">
        <f t="shared" si="24"/>
        <v>0</v>
      </c>
      <c r="AJ39" s="268"/>
      <c r="AK39" s="179">
        <f t="shared" si="25"/>
        <v>0</v>
      </c>
      <c r="AL39" s="268"/>
      <c r="AM39" s="179">
        <f t="shared" si="26"/>
        <v>0</v>
      </c>
      <c r="AN39" s="268"/>
      <c r="AO39" s="179">
        <f t="shared" si="27"/>
        <v>0</v>
      </c>
      <c r="AP39" s="268"/>
      <c r="AQ39" s="179">
        <f t="shared" si="28"/>
        <v>0</v>
      </c>
      <c r="AR39" s="273"/>
      <c r="AS39" s="305">
        <f t="shared" si="29"/>
        <v>0</v>
      </c>
      <c r="AT39" s="273"/>
      <c r="AU39" s="305">
        <f t="shared" si="30"/>
        <v>0</v>
      </c>
    </row>
    <row r="40" spans="1:47" s="34" customFormat="1" x14ac:dyDescent="0.25">
      <c r="A40" s="87">
        <v>40844</v>
      </c>
      <c r="B40" s="42">
        <v>29</v>
      </c>
      <c r="C40" s="41" t="str">
        <f t="shared" si="31"/>
        <v>V22.0</v>
      </c>
      <c r="D40" s="41">
        <f t="shared" si="32"/>
        <v>87653</v>
      </c>
      <c r="E40" s="40" t="str">
        <f t="shared" si="33"/>
        <v>OBGYN</v>
      </c>
      <c r="F40" s="40" t="str">
        <f t="shared" si="34"/>
        <v>Laboratory tests</v>
      </c>
      <c r="G40" s="40" t="str">
        <f t="shared" si="35"/>
        <v>Strep B DNA Amp Probe</v>
      </c>
      <c r="H40" s="40" t="str">
        <f t="shared" si="36"/>
        <v/>
      </c>
      <c r="I40" s="160" t="str">
        <f t="shared" si="37"/>
        <v/>
      </c>
      <c r="J40" s="41" t="str">
        <f t="shared" si="38"/>
        <v/>
      </c>
      <c r="K40" s="41" t="str">
        <f t="shared" si="39"/>
        <v/>
      </c>
      <c r="L40" s="41">
        <f t="shared" si="40"/>
        <v>1</v>
      </c>
      <c r="M40" s="41" t="str">
        <f t="shared" si="41"/>
        <v/>
      </c>
      <c r="N40" s="41" t="str">
        <f t="shared" si="42"/>
        <v/>
      </c>
      <c r="O40" s="41" t="str">
        <f t="shared" si="43"/>
        <v/>
      </c>
      <c r="P40" s="188" t="str">
        <f t="shared" si="44"/>
        <v/>
      </c>
      <c r="Q40" s="236">
        <f t="shared" si="45"/>
        <v>40.612070811000002</v>
      </c>
      <c r="R40" s="280">
        <v>40.612070811000002</v>
      </c>
      <c r="S40" s="179">
        <f t="shared" si="16"/>
        <v>1694.3046622304003</v>
      </c>
      <c r="T40" s="259"/>
      <c r="U40" s="179">
        <f t="shared" si="17"/>
        <v>120</v>
      </c>
      <c r="V40" s="259"/>
      <c r="W40" s="179">
        <f t="shared" si="18"/>
        <v>0</v>
      </c>
      <c r="X40" s="259"/>
      <c r="Y40" s="179">
        <f t="shared" si="19"/>
        <v>1000</v>
      </c>
      <c r="Z40" s="259"/>
      <c r="AA40" s="179">
        <f t="shared" si="20"/>
        <v>40</v>
      </c>
      <c r="AB40" s="259"/>
      <c r="AC40" s="179">
        <f t="shared" si="21"/>
        <v>52.834018065000002</v>
      </c>
      <c r="AD40" s="238">
        <f t="shared" si="15"/>
        <v>0</v>
      </c>
      <c r="AE40" s="179">
        <f t="shared" si="22"/>
        <v>1092.834018065</v>
      </c>
      <c r="AF40" s="264"/>
      <c r="AG40" s="179">
        <f t="shared" si="23"/>
        <v>1000</v>
      </c>
      <c r="AH40" s="268"/>
      <c r="AI40" s="179">
        <f t="shared" si="24"/>
        <v>0</v>
      </c>
      <c r="AJ40" s="268"/>
      <c r="AK40" s="179">
        <f t="shared" si="25"/>
        <v>0</v>
      </c>
      <c r="AL40" s="268"/>
      <c r="AM40" s="179">
        <f t="shared" si="26"/>
        <v>0</v>
      </c>
      <c r="AN40" s="268"/>
      <c r="AO40" s="179">
        <f t="shared" si="27"/>
        <v>0</v>
      </c>
      <c r="AP40" s="268"/>
      <c r="AQ40" s="179">
        <f t="shared" si="28"/>
        <v>0</v>
      </c>
      <c r="AR40" s="273"/>
      <c r="AS40" s="305">
        <f t="shared" si="29"/>
        <v>0</v>
      </c>
      <c r="AT40" s="273"/>
      <c r="AU40" s="305">
        <f t="shared" si="30"/>
        <v>0</v>
      </c>
    </row>
    <row r="41" spans="1:47" s="34" customFormat="1" x14ac:dyDescent="0.25">
      <c r="A41" s="87">
        <v>40844</v>
      </c>
      <c r="B41" s="42">
        <v>32</v>
      </c>
      <c r="C41" s="41" t="str">
        <f t="shared" si="31"/>
        <v>V22.0</v>
      </c>
      <c r="D41" s="41" t="str">
        <f t="shared" si="32"/>
        <v>Bundled in global OB package - 59400</v>
      </c>
      <c r="E41" s="40" t="str">
        <f t="shared" si="33"/>
        <v>OBGYN</v>
      </c>
      <c r="F41" s="40" t="str">
        <f t="shared" si="34"/>
        <v>Routine Obstetric Care</v>
      </c>
      <c r="G41" s="40" t="str">
        <f t="shared" si="35"/>
        <v>Office/Outpatient Visit Est</v>
      </c>
      <c r="H41" s="40" t="str">
        <f t="shared" si="36"/>
        <v/>
      </c>
      <c r="I41" s="160" t="str">
        <f t="shared" si="37"/>
        <v/>
      </c>
      <c r="J41" s="41" t="str">
        <f t="shared" si="38"/>
        <v/>
      </c>
      <c r="K41" s="41" t="str">
        <f t="shared" si="39"/>
        <v/>
      </c>
      <c r="L41" s="41" t="str">
        <f t="shared" si="40"/>
        <v/>
      </c>
      <c r="M41" s="41" t="str">
        <f t="shared" si="41"/>
        <v/>
      </c>
      <c r="N41" s="41">
        <f t="shared" si="42"/>
        <v>1</v>
      </c>
      <c r="O41" s="41" t="str">
        <f t="shared" si="43"/>
        <v/>
      </c>
      <c r="P41" s="188" t="str">
        <f t="shared" si="44"/>
        <v/>
      </c>
      <c r="Q41" s="236">
        <f t="shared" si="45"/>
        <v>2084.2800000000002</v>
      </c>
      <c r="R41" s="280"/>
      <c r="S41" s="179">
        <f t="shared" si="16"/>
        <v>1694.3046622304003</v>
      </c>
      <c r="T41" s="259"/>
      <c r="U41" s="179">
        <f t="shared" si="17"/>
        <v>120</v>
      </c>
      <c r="V41" s="259"/>
      <c r="W41" s="179">
        <f t="shared" si="18"/>
        <v>0</v>
      </c>
      <c r="X41" s="259"/>
      <c r="Y41" s="179">
        <f t="shared" si="19"/>
        <v>1000</v>
      </c>
      <c r="Z41" s="259"/>
      <c r="AA41" s="179">
        <f t="shared" si="20"/>
        <v>40</v>
      </c>
      <c r="AB41" s="259"/>
      <c r="AC41" s="179">
        <f t="shared" si="21"/>
        <v>52.834018065000002</v>
      </c>
      <c r="AD41" s="238">
        <f t="shared" si="15"/>
        <v>0</v>
      </c>
      <c r="AE41" s="179">
        <f t="shared" si="22"/>
        <v>1092.834018065</v>
      </c>
      <c r="AF41" s="264"/>
      <c r="AG41" s="179">
        <f t="shared" si="23"/>
        <v>1000</v>
      </c>
      <c r="AH41" s="268"/>
      <c r="AI41" s="179">
        <f t="shared" si="24"/>
        <v>0</v>
      </c>
      <c r="AJ41" s="268"/>
      <c r="AK41" s="179">
        <f t="shared" si="25"/>
        <v>0</v>
      </c>
      <c r="AL41" s="268"/>
      <c r="AM41" s="179">
        <f t="shared" si="26"/>
        <v>0</v>
      </c>
      <c r="AN41" s="268"/>
      <c r="AO41" s="179">
        <f t="shared" si="27"/>
        <v>0</v>
      </c>
      <c r="AP41" s="268"/>
      <c r="AQ41" s="179">
        <f t="shared" si="28"/>
        <v>0</v>
      </c>
      <c r="AR41" s="273"/>
      <c r="AS41" s="305">
        <f t="shared" si="29"/>
        <v>0</v>
      </c>
      <c r="AT41" s="273"/>
      <c r="AU41" s="305">
        <f t="shared" si="30"/>
        <v>0</v>
      </c>
    </row>
    <row r="42" spans="1:47" s="34" customFormat="1" x14ac:dyDescent="0.25">
      <c r="A42" s="87">
        <v>40844</v>
      </c>
      <c r="B42" s="42">
        <v>10</v>
      </c>
      <c r="C42" s="41" t="str">
        <f t="shared" si="31"/>
        <v>V04.81</v>
      </c>
      <c r="D42" s="41">
        <f t="shared" si="32"/>
        <v>90471</v>
      </c>
      <c r="E42" s="40" t="str">
        <f t="shared" si="33"/>
        <v>OBGYN</v>
      </c>
      <c r="F42" s="40" t="str">
        <f t="shared" si="34"/>
        <v>Vaccines, other preventive</v>
      </c>
      <c r="G42" s="40" t="str">
        <f t="shared" si="35"/>
        <v xml:space="preserve"> Immunization Admin</v>
      </c>
      <c r="H42" s="40" t="str">
        <f t="shared" si="36"/>
        <v/>
      </c>
      <c r="I42" s="160" t="str">
        <f t="shared" si="37"/>
        <v/>
      </c>
      <c r="J42" s="41" t="str">
        <f t="shared" si="38"/>
        <v/>
      </c>
      <c r="K42" s="41" t="str">
        <f t="shared" si="39"/>
        <v/>
      </c>
      <c r="L42" s="41" t="str">
        <f t="shared" si="40"/>
        <v/>
      </c>
      <c r="M42" s="41" t="str">
        <f t="shared" si="41"/>
        <v/>
      </c>
      <c r="N42" s="41" t="str">
        <f t="shared" si="42"/>
        <v/>
      </c>
      <c r="O42" s="41">
        <f t="shared" si="43"/>
        <v>1</v>
      </c>
      <c r="P42" s="188" t="str">
        <f t="shared" si="44"/>
        <v/>
      </c>
      <c r="Q42" s="236">
        <f t="shared" si="45"/>
        <v>20.038710250000001</v>
      </c>
      <c r="R42" s="280">
        <v>20.038710250000001</v>
      </c>
      <c r="S42" s="179">
        <f t="shared" si="16"/>
        <v>1714.3433724804001</v>
      </c>
      <c r="T42" s="259"/>
      <c r="U42" s="179">
        <f t="shared" si="17"/>
        <v>120</v>
      </c>
      <c r="V42" s="259"/>
      <c r="W42" s="179">
        <f t="shared" si="18"/>
        <v>0</v>
      </c>
      <c r="X42" s="259"/>
      <c r="Y42" s="179">
        <f t="shared" si="19"/>
        <v>1000</v>
      </c>
      <c r="Z42" s="259"/>
      <c r="AA42" s="179">
        <f t="shared" si="20"/>
        <v>40</v>
      </c>
      <c r="AB42" s="259"/>
      <c r="AC42" s="179">
        <f t="shared" si="21"/>
        <v>52.834018065000002</v>
      </c>
      <c r="AD42" s="238">
        <f t="shared" si="15"/>
        <v>0</v>
      </c>
      <c r="AE42" s="179">
        <f t="shared" si="22"/>
        <v>1092.834018065</v>
      </c>
      <c r="AF42" s="264"/>
      <c r="AG42" s="179">
        <f t="shared" si="23"/>
        <v>1000</v>
      </c>
      <c r="AH42" s="268"/>
      <c r="AI42" s="179">
        <f t="shared" si="24"/>
        <v>0</v>
      </c>
      <c r="AJ42" s="268"/>
      <c r="AK42" s="179">
        <f t="shared" si="25"/>
        <v>0</v>
      </c>
      <c r="AL42" s="268"/>
      <c r="AM42" s="179">
        <f t="shared" si="26"/>
        <v>0</v>
      </c>
      <c r="AN42" s="268"/>
      <c r="AO42" s="179">
        <f t="shared" si="27"/>
        <v>0</v>
      </c>
      <c r="AP42" s="268"/>
      <c r="AQ42" s="179">
        <f t="shared" si="28"/>
        <v>0</v>
      </c>
      <c r="AR42" s="273"/>
      <c r="AS42" s="305">
        <f t="shared" si="29"/>
        <v>0</v>
      </c>
      <c r="AT42" s="273"/>
      <c r="AU42" s="305">
        <f t="shared" si="30"/>
        <v>0</v>
      </c>
    </row>
    <row r="43" spans="1:47" s="34" customFormat="1" x14ac:dyDescent="0.25">
      <c r="A43" s="87">
        <v>40844</v>
      </c>
      <c r="B43" s="42">
        <v>11</v>
      </c>
      <c r="C43" s="41" t="str">
        <f t="shared" si="31"/>
        <v>V04.81</v>
      </c>
      <c r="D43" s="41">
        <f t="shared" si="32"/>
        <v>90656</v>
      </c>
      <c r="E43" s="40" t="str">
        <f t="shared" si="33"/>
        <v>OBGYN</v>
      </c>
      <c r="F43" s="40" t="str">
        <f t="shared" si="34"/>
        <v>Vaccines, other preventive</v>
      </c>
      <c r="G43" s="40" t="str">
        <f t="shared" si="35"/>
        <v>Flu Vaccine N0 Preserv 3 &amp; &gt;</v>
      </c>
      <c r="H43" s="40" t="str">
        <f t="shared" si="36"/>
        <v/>
      </c>
      <c r="I43" s="160" t="str">
        <f t="shared" si="37"/>
        <v/>
      </c>
      <c r="J43" s="41" t="str">
        <f t="shared" si="38"/>
        <v/>
      </c>
      <c r="K43" s="41" t="str">
        <f t="shared" si="39"/>
        <v/>
      </c>
      <c r="L43" s="41" t="str">
        <f t="shared" si="40"/>
        <v/>
      </c>
      <c r="M43" s="41" t="str">
        <f t="shared" si="41"/>
        <v/>
      </c>
      <c r="N43" s="41" t="str">
        <f t="shared" si="42"/>
        <v/>
      </c>
      <c r="O43" s="41">
        <f t="shared" si="43"/>
        <v>1</v>
      </c>
      <c r="P43" s="188" t="str">
        <f t="shared" si="44"/>
        <v/>
      </c>
      <c r="Q43" s="236">
        <f t="shared" si="45"/>
        <v>15.03511905</v>
      </c>
      <c r="R43" s="280">
        <v>15.03511905</v>
      </c>
      <c r="S43" s="179">
        <f t="shared" si="16"/>
        <v>1729.3784915304002</v>
      </c>
      <c r="T43" s="259"/>
      <c r="U43" s="179">
        <f t="shared" si="17"/>
        <v>120</v>
      </c>
      <c r="V43" s="259"/>
      <c r="W43" s="179">
        <f t="shared" si="18"/>
        <v>0</v>
      </c>
      <c r="X43" s="259"/>
      <c r="Y43" s="179">
        <f t="shared" si="19"/>
        <v>1000</v>
      </c>
      <c r="Z43" s="259"/>
      <c r="AA43" s="179">
        <f t="shared" si="20"/>
        <v>40</v>
      </c>
      <c r="AB43" s="259"/>
      <c r="AC43" s="179">
        <f t="shared" si="21"/>
        <v>52.834018065000002</v>
      </c>
      <c r="AD43" s="238">
        <f t="shared" si="15"/>
        <v>0</v>
      </c>
      <c r="AE43" s="179">
        <f t="shared" si="22"/>
        <v>1092.834018065</v>
      </c>
      <c r="AF43" s="264"/>
      <c r="AG43" s="179">
        <f t="shared" si="23"/>
        <v>1000</v>
      </c>
      <c r="AH43" s="268"/>
      <c r="AI43" s="179">
        <f t="shared" si="24"/>
        <v>0</v>
      </c>
      <c r="AJ43" s="268"/>
      <c r="AK43" s="179">
        <f t="shared" si="25"/>
        <v>0</v>
      </c>
      <c r="AL43" s="268"/>
      <c r="AM43" s="179">
        <f t="shared" si="26"/>
        <v>0</v>
      </c>
      <c r="AN43" s="268"/>
      <c r="AO43" s="179">
        <f t="shared" si="27"/>
        <v>0</v>
      </c>
      <c r="AP43" s="268"/>
      <c r="AQ43" s="179">
        <f t="shared" si="28"/>
        <v>0</v>
      </c>
      <c r="AR43" s="273"/>
      <c r="AS43" s="305">
        <f t="shared" si="29"/>
        <v>0</v>
      </c>
      <c r="AT43" s="273"/>
      <c r="AU43" s="305">
        <f t="shared" si="30"/>
        <v>0</v>
      </c>
    </row>
    <row r="44" spans="1:47" s="34" customFormat="1" x14ac:dyDescent="0.25">
      <c r="A44" s="87">
        <v>40848</v>
      </c>
      <c r="B44" s="42">
        <v>9</v>
      </c>
      <c r="C44" s="41" t="str">
        <f t="shared" si="31"/>
        <v/>
      </c>
      <c r="D44" s="41" t="str">
        <f t="shared" si="32"/>
        <v>S9442</v>
      </c>
      <c r="E44" s="40" t="str">
        <f t="shared" si="33"/>
        <v>Alternative Provider</v>
      </c>
      <c r="F44" s="40" t="str">
        <f t="shared" si="34"/>
        <v>Education</v>
      </c>
      <c r="G44" s="40" t="str">
        <f t="shared" si="35"/>
        <v>Birthing class</v>
      </c>
      <c r="H44" s="40" t="str">
        <f t="shared" si="36"/>
        <v/>
      </c>
      <c r="I44" s="160" t="str">
        <f t="shared" si="37"/>
        <v/>
      </c>
      <c r="J44" s="41" t="str">
        <f t="shared" si="38"/>
        <v/>
      </c>
      <c r="K44" s="41" t="str">
        <f t="shared" si="39"/>
        <v/>
      </c>
      <c r="L44" s="41" t="str">
        <f t="shared" si="40"/>
        <v/>
      </c>
      <c r="M44" s="41" t="str">
        <f t="shared" si="41"/>
        <v/>
      </c>
      <c r="N44" s="41" t="str">
        <f t="shared" si="42"/>
        <v/>
      </c>
      <c r="O44" s="41" t="str">
        <f t="shared" si="43"/>
        <v/>
      </c>
      <c r="P44" s="188" t="str">
        <f t="shared" si="44"/>
        <v/>
      </c>
      <c r="Q44" s="236">
        <f t="shared" si="45"/>
        <v>0</v>
      </c>
      <c r="R44" s="280"/>
      <c r="S44" s="179">
        <f t="shared" si="16"/>
        <v>1729.3784915304002</v>
      </c>
      <c r="T44" s="259"/>
      <c r="U44" s="179">
        <f t="shared" si="17"/>
        <v>120</v>
      </c>
      <c r="V44" s="259"/>
      <c r="W44" s="179">
        <f t="shared" si="18"/>
        <v>0</v>
      </c>
      <c r="X44" s="259"/>
      <c r="Y44" s="179">
        <f t="shared" si="19"/>
        <v>1000</v>
      </c>
      <c r="Z44" s="259"/>
      <c r="AA44" s="179">
        <f t="shared" si="20"/>
        <v>40</v>
      </c>
      <c r="AB44" s="259"/>
      <c r="AC44" s="179">
        <f t="shared" si="21"/>
        <v>52.834018065000002</v>
      </c>
      <c r="AD44" s="238">
        <f t="shared" si="15"/>
        <v>0</v>
      </c>
      <c r="AE44" s="179">
        <f t="shared" si="22"/>
        <v>1092.834018065</v>
      </c>
      <c r="AF44" s="264"/>
      <c r="AG44" s="179">
        <f t="shared" si="23"/>
        <v>1000</v>
      </c>
      <c r="AH44" s="268"/>
      <c r="AI44" s="179">
        <f t="shared" si="24"/>
        <v>0</v>
      </c>
      <c r="AJ44" s="268"/>
      <c r="AK44" s="179">
        <f t="shared" si="25"/>
        <v>0</v>
      </c>
      <c r="AL44" s="268"/>
      <c r="AM44" s="179">
        <f t="shared" si="26"/>
        <v>0</v>
      </c>
      <c r="AN44" s="268"/>
      <c r="AO44" s="179">
        <f t="shared" si="27"/>
        <v>0</v>
      </c>
      <c r="AP44" s="268"/>
      <c r="AQ44" s="179">
        <f t="shared" si="28"/>
        <v>0</v>
      </c>
      <c r="AR44" s="273"/>
      <c r="AS44" s="305">
        <f t="shared" si="29"/>
        <v>0</v>
      </c>
      <c r="AT44" s="273"/>
      <c r="AU44" s="305">
        <f t="shared" si="30"/>
        <v>0</v>
      </c>
    </row>
    <row r="45" spans="1:47" s="34" customFormat="1" x14ac:dyDescent="0.25">
      <c r="A45" s="87">
        <v>40855</v>
      </c>
      <c r="B45" s="42">
        <v>9</v>
      </c>
      <c r="C45" s="41" t="str">
        <f t="shared" si="31"/>
        <v/>
      </c>
      <c r="D45" s="41" t="str">
        <f t="shared" si="32"/>
        <v>S9442</v>
      </c>
      <c r="E45" s="40" t="str">
        <f t="shared" si="33"/>
        <v>Alternative Provider</v>
      </c>
      <c r="F45" s="40" t="str">
        <f t="shared" si="34"/>
        <v>Education</v>
      </c>
      <c r="G45" s="40" t="str">
        <f t="shared" si="35"/>
        <v>Birthing class</v>
      </c>
      <c r="H45" s="40" t="str">
        <f t="shared" si="36"/>
        <v/>
      </c>
      <c r="I45" s="160" t="str">
        <f t="shared" si="37"/>
        <v/>
      </c>
      <c r="J45" s="41" t="str">
        <f t="shared" si="38"/>
        <v/>
      </c>
      <c r="K45" s="41" t="str">
        <f t="shared" si="39"/>
        <v/>
      </c>
      <c r="L45" s="41" t="str">
        <f t="shared" si="40"/>
        <v/>
      </c>
      <c r="M45" s="41" t="str">
        <f t="shared" si="41"/>
        <v/>
      </c>
      <c r="N45" s="41" t="str">
        <f t="shared" si="42"/>
        <v/>
      </c>
      <c r="O45" s="41" t="str">
        <f t="shared" si="43"/>
        <v/>
      </c>
      <c r="P45" s="188" t="str">
        <f t="shared" si="44"/>
        <v/>
      </c>
      <c r="Q45" s="236">
        <f t="shared" si="45"/>
        <v>0</v>
      </c>
      <c r="R45" s="280"/>
      <c r="S45" s="179">
        <f t="shared" si="16"/>
        <v>1729.3784915304002</v>
      </c>
      <c r="T45" s="259"/>
      <c r="U45" s="179">
        <f t="shared" si="17"/>
        <v>120</v>
      </c>
      <c r="V45" s="259"/>
      <c r="W45" s="179">
        <f t="shared" si="18"/>
        <v>0</v>
      </c>
      <c r="X45" s="259"/>
      <c r="Y45" s="179">
        <f t="shared" si="19"/>
        <v>1000</v>
      </c>
      <c r="Z45" s="259"/>
      <c r="AA45" s="179">
        <f t="shared" si="20"/>
        <v>40</v>
      </c>
      <c r="AB45" s="259"/>
      <c r="AC45" s="179">
        <f t="shared" si="21"/>
        <v>52.834018065000002</v>
      </c>
      <c r="AD45" s="238">
        <f t="shared" si="15"/>
        <v>0</v>
      </c>
      <c r="AE45" s="179">
        <f t="shared" si="22"/>
        <v>1092.834018065</v>
      </c>
      <c r="AF45" s="264"/>
      <c r="AG45" s="179">
        <f t="shared" si="23"/>
        <v>1000</v>
      </c>
      <c r="AH45" s="268"/>
      <c r="AI45" s="179">
        <f t="shared" si="24"/>
        <v>0</v>
      </c>
      <c r="AJ45" s="268"/>
      <c r="AK45" s="179">
        <f t="shared" si="25"/>
        <v>0</v>
      </c>
      <c r="AL45" s="268"/>
      <c r="AM45" s="179">
        <f t="shared" si="26"/>
        <v>0</v>
      </c>
      <c r="AN45" s="268"/>
      <c r="AO45" s="179">
        <f t="shared" si="27"/>
        <v>0</v>
      </c>
      <c r="AP45" s="268"/>
      <c r="AQ45" s="179">
        <f t="shared" si="28"/>
        <v>0</v>
      </c>
      <c r="AR45" s="273"/>
      <c r="AS45" s="305">
        <f t="shared" si="29"/>
        <v>0</v>
      </c>
      <c r="AT45" s="273"/>
      <c r="AU45" s="305">
        <f t="shared" si="30"/>
        <v>0</v>
      </c>
    </row>
    <row r="46" spans="1:47" s="34" customFormat="1" x14ac:dyDescent="0.25">
      <c r="A46" s="87">
        <v>40858</v>
      </c>
      <c r="B46" s="42">
        <v>32</v>
      </c>
      <c r="C46" s="41" t="str">
        <f t="shared" si="31"/>
        <v>V22.0</v>
      </c>
      <c r="D46" s="41" t="str">
        <f t="shared" si="32"/>
        <v>Bundled in global OB package - 59400</v>
      </c>
      <c r="E46" s="40" t="str">
        <f t="shared" si="33"/>
        <v>OBGYN</v>
      </c>
      <c r="F46" s="40" t="str">
        <f t="shared" si="34"/>
        <v>Routine Obstetric Care</v>
      </c>
      <c r="G46" s="40" t="str">
        <f t="shared" si="35"/>
        <v>Office/Outpatient Visit Est</v>
      </c>
      <c r="H46" s="40" t="str">
        <f t="shared" si="36"/>
        <v/>
      </c>
      <c r="I46" s="160" t="str">
        <f t="shared" si="37"/>
        <v/>
      </c>
      <c r="J46" s="41" t="str">
        <f t="shared" si="38"/>
        <v/>
      </c>
      <c r="K46" s="41" t="str">
        <f t="shared" si="39"/>
        <v/>
      </c>
      <c r="L46" s="41" t="str">
        <f t="shared" si="40"/>
        <v/>
      </c>
      <c r="M46" s="41" t="str">
        <f t="shared" si="41"/>
        <v/>
      </c>
      <c r="N46" s="41">
        <f t="shared" si="42"/>
        <v>1</v>
      </c>
      <c r="O46" s="41" t="str">
        <f t="shared" si="43"/>
        <v/>
      </c>
      <c r="P46" s="188" t="str">
        <f t="shared" si="44"/>
        <v/>
      </c>
      <c r="Q46" s="236">
        <f t="shared" si="45"/>
        <v>2084.2800000000002</v>
      </c>
      <c r="R46" s="280"/>
      <c r="S46" s="179">
        <f t="shared" si="16"/>
        <v>1729.3784915304002</v>
      </c>
      <c r="T46" s="259"/>
      <c r="U46" s="179">
        <f t="shared" si="17"/>
        <v>120</v>
      </c>
      <c r="V46" s="259"/>
      <c r="W46" s="179">
        <f t="shared" si="18"/>
        <v>0</v>
      </c>
      <c r="X46" s="259"/>
      <c r="Y46" s="179">
        <f t="shared" si="19"/>
        <v>1000</v>
      </c>
      <c r="Z46" s="259"/>
      <c r="AA46" s="179">
        <f t="shared" si="20"/>
        <v>40</v>
      </c>
      <c r="AB46" s="259"/>
      <c r="AC46" s="179">
        <f t="shared" si="21"/>
        <v>52.834018065000002</v>
      </c>
      <c r="AD46" s="238">
        <f t="shared" si="15"/>
        <v>0</v>
      </c>
      <c r="AE46" s="179">
        <f t="shared" si="22"/>
        <v>1092.834018065</v>
      </c>
      <c r="AF46" s="264"/>
      <c r="AG46" s="179">
        <f t="shared" si="23"/>
        <v>1000</v>
      </c>
      <c r="AH46" s="268"/>
      <c r="AI46" s="179">
        <f t="shared" si="24"/>
        <v>0</v>
      </c>
      <c r="AJ46" s="268"/>
      <c r="AK46" s="179">
        <f t="shared" si="25"/>
        <v>0</v>
      </c>
      <c r="AL46" s="268"/>
      <c r="AM46" s="179">
        <f t="shared" si="26"/>
        <v>0</v>
      </c>
      <c r="AN46" s="268"/>
      <c r="AO46" s="179">
        <f t="shared" si="27"/>
        <v>0</v>
      </c>
      <c r="AP46" s="268"/>
      <c r="AQ46" s="179">
        <f t="shared" si="28"/>
        <v>0</v>
      </c>
      <c r="AR46" s="273"/>
      <c r="AS46" s="305">
        <f t="shared" si="29"/>
        <v>0</v>
      </c>
      <c r="AT46" s="273"/>
      <c r="AU46" s="305">
        <f t="shared" si="30"/>
        <v>0</v>
      </c>
    </row>
    <row r="47" spans="1:47" s="34" customFormat="1" x14ac:dyDescent="0.25">
      <c r="A47" s="87">
        <v>40865</v>
      </c>
      <c r="B47" s="42">
        <v>32</v>
      </c>
      <c r="C47" s="41" t="str">
        <f t="shared" si="31"/>
        <v>V22.0</v>
      </c>
      <c r="D47" s="41" t="str">
        <f t="shared" si="32"/>
        <v>Bundled in global OB package - 59400</v>
      </c>
      <c r="E47" s="40" t="str">
        <f t="shared" si="33"/>
        <v>OBGYN</v>
      </c>
      <c r="F47" s="40" t="str">
        <f t="shared" si="34"/>
        <v>Routine Obstetric Care</v>
      </c>
      <c r="G47" s="40" t="str">
        <f t="shared" si="35"/>
        <v>Office/Outpatient Visit Est</v>
      </c>
      <c r="H47" s="40" t="str">
        <f t="shared" si="36"/>
        <v/>
      </c>
      <c r="I47" s="160" t="str">
        <f t="shared" si="37"/>
        <v/>
      </c>
      <c r="J47" s="41" t="str">
        <f t="shared" si="38"/>
        <v/>
      </c>
      <c r="K47" s="41" t="str">
        <f t="shared" si="39"/>
        <v/>
      </c>
      <c r="L47" s="41" t="str">
        <f t="shared" si="40"/>
        <v/>
      </c>
      <c r="M47" s="41" t="str">
        <f t="shared" si="41"/>
        <v/>
      </c>
      <c r="N47" s="41">
        <f t="shared" si="42"/>
        <v>1</v>
      </c>
      <c r="O47" s="41" t="str">
        <f t="shared" si="43"/>
        <v/>
      </c>
      <c r="P47" s="188" t="str">
        <f t="shared" si="44"/>
        <v/>
      </c>
      <c r="Q47" s="236">
        <f t="shared" si="45"/>
        <v>2084.2800000000002</v>
      </c>
      <c r="R47" s="280"/>
      <c r="S47" s="179">
        <f t="shared" si="16"/>
        <v>1729.3784915304002</v>
      </c>
      <c r="T47" s="259"/>
      <c r="U47" s="179">
        <f t="shared" si="17"/>
        <v>120</v>
      </c>
      <c r="V47" s="259"/>
      <c r="W47" s="179">
        <f t="shared" si="18"/>
        <v>0</v>
      </c>
      <c r="X47" s="259"/>
      <c r="Y47" s="179">
        <f t="shared" si="19"/>
        <v>1000</v>
      </c>
      <c r="Z47" s="259"/>
      <c r="AA47" s="179">
        <f t="shared" si="20"/>
        <v>40</v>
      </c>
      <c r="AB47" s="259"/>
      <c r="AC47" s="179">
        <f t="shared" si="21"/>
        <v>52.834018065000002</v>
      </c>
      <c r="AD47" s="238">
        <f t="shared" si="15"/>
        <v>0</v>
      </c>
      <c r="AE47" s="179">
        <f t="shared" si="22"/>
        <v>1092.834018065</v>
      </c>
      <c r="AF47" s="264"/>
      <c r="AG47" s="179">
        <f t="shared" si="23"/>
        <v>1000</v>
      </c>
      <c r="AH47" s="268"/>
      <c r="AI47" s="179">
        <f t="shared" si="24"/>
        <v>0</v>
      </c>
      <c r="AJ47" s="268"/>
      <c r="AK47" s="179">
        <f t="shared" si="25"/>
        <v>0</v>
      </c>
      <c r="AL47" s="268"/>
      <c r="AM47" s="179">
        <f t="shared" si="26"/>
        <v>0</v>
      </c>
      <c r="AN47" s="268"/>
      <c r="AO47" s="179">
        <f t="shared" si="27"/>
        <v>0</v>
      </c>
      <c r="AP47" s="268"/>
      <c r="AQ47" s="179">
        <f t="shared" si="28"/>
        <v>0</v>
      </c>
      <c r="AR47" s="273"/>
      <c r="AS47" s="305">
        <f t="shared" si="29"/>
        <v>0</v>
      </c>
      <c r="AT47" s="273"/>
      <c r="AU47" s="305">
        <f t="shared" si="30"/>
        <v>0</v>
      </c>
    </row>
    <row r="48" spans="1:47" s="34" customFormat="1" x14ac:dyDescent="0.25">
      <c r="A48" s="87">
        <v>40872</v>
      </c>
      <c r="B48" s="42">
        <v>32</v>
      </c>
      <c r="C48" s="41" t="str">
        <f t="shared" si="31"/>
        <v>V22.0</v>
      </c>
      <c r="D48" s="41" t="str">
        <f t="shared" si="32"/>
        <v>Bundled in global OB package - 59400</v>
      </c>
      <c r="E48" s="40" t="str">
        <f t="shared" si="33"/>
        <v>OBGYN</v>
      </c>
      <c r="F48" s="40" t="str">
        <f t="shared" si="34"/>
        <v>Routine Obstetric Care</v>
      </c>
      <c r="G48" s="40" t="str">
        <f t="shared" si="35"/>
        <v>Office/Outpatient Visit Est</v>
      </c>
      <c r="H48" s="40" t="str">
        <f t="shared" si="36"/>
        <v/>
      </c>
      <c r="I48" s="160" t="str">
        <f t="shared" si="37"/>
        <v/>
      </c>
      <c r="J48" s="41" t="str">
        <f t="shared" si="38"/>
        <v/>
      </c>
      <c r="K48" s="41" t="str">
        <f t="shared" si="39"/>
        <v/>
      </c>
      <c r="L48" s="41" t="str">
        <f t="shared" si="40"/>
        <v/>
      </c>
      <c r="M48" s="41" t="str">
        <f t="shared" si="41"/>
        <v/>
      </c>
      <c r="N48" s="41">
        <f t="shared" si="42"/>
        <v>1</v>
      </c>
      <c r="O48" s="41" t="str">
        <f t="shared" si="43"/>
        <v/>
      </c>
      <c r="P48" s="188" t="str">
        <f t="shared" si="44"/>
        <v/>
      </c>
      <c r="Q48" s="236">
        <f t="shared" si="45"/>
        <v>2084.2800000000002</v>
      </c>
      <c r="R48" s="280"/>
      <c r="S48" s="179">
        <f t="shared" si="16"/>
        <v>1729.3784915304002</v>
      </c>
      <c r="T48" s="259"/>
      <c r="U48" s="179">
        <f t="shared" si="17"/>
        <v>120</v>
      </c>
      <c r="V48" s="259"/>
      <c r="W48" s="179">
        <f t="shared" si="18"/>
        <v>0</v>
      </c>
      <c r="X48" s="259"/>
      <c r="Y48" s="179">
        <f t="shared" si="19"/>
        <v>1000</v>
      </c>
      <c r="Z48" s="259"/>
      <c r="AA48" s="179">
        <f t="shared" si="20"/>
        <v>40</v>
      </c>
      <c r="AB48" s="259"/>
      <c r="AC48" s="179">
        <f t="shared" si="21"/>
        <v>52.834018065000002</v>
      </c>
      <c r="AD48" s="238">
        <f t="shared" si="15"/>
        <v>0</v>
      </c>
      <c r="AE48" s="179">
        <f t="shared" si="22"/>
        <v>1092.834018065</v>
      </c>
      <c r="AF48" s="264"/>
      <c r="AG48" s="179">
        <f t="shared" si="23"/>
        <v>1000</v>
      </c>
      <c r="AH48" s="268"/>
      <c r="AI48" s="179">
        <f t="shared" si="24"/>
        <v>0</v>
      </c>
      <c r="AJ48" s="268"/>
      <c r="AK48" s="179">
        <f t="shared" si="25"/>
        <v>0</v>
      </c>
      <c r="AL48" s="268"/>
      <c r="AM48" s="179">
        <f t="shared" si="26"/>
        <v>0</v>
      </c>
      <c r="AN48" s="268"/>
      <c r="AO48" s="179">
        <f t="shared" si="27"/>
        <v>0</v>
      </c>
      <c r="AP48" s="268"/>
      <c r="AQ48" s="179">
        <f t="shared" si="28"/>
        <v>0</v>
      </c>
      <c r="AR48" s="273"/>
      <c r="AS48" s="305">
        <f t="shared" si="29"/>
        <v>0</v>
      </c>
      <c r="AT48" s="273"/>
      <c r="AU48" s="305">
        <f t="shared" si="30"/>
        <v>0</v>
      </c>
    </row>
    <row r="49" spans="1:47" s="34" customFormat="1" x14ac:dyDescent="0.25">
      <c r="A49" s="87">
        <v>40879</v>
      </c>
      <c r="B49" s="42">
        <v>32</v>
      </c>
      <c r="C49" s="41" t="str">
        <f t="shared" si="31"/>
        <v>V22.0</v>
      </c>
      <c r="D49" s="41" t="str">
        <f t="shared" si="32"/>
        <v>Bundled in global OB package - 59400</v>
      </c>
      <c r="E49" s="40" t="str">
        <f t="shared" si="33"/>
        <v>OBGYN</v>
      </c>
      <c r="F49" s="40" t="str">
        <f t="shared" si="34"/>
        <v>Routine Obstetric Care</v>
      </c>
      <c r="G49" s="40" t="str">
        <f t="shared" si="35"/>
        <v>Office/Outpatient Visit Est</v>
      </c>
      <c r="H49" s="40" t="str">
        <f t="shared" si="36"/>
        <v/>
      </c>
      <c r="I49" s="160" t="str">
        <f t="shared" si="37"/>
        <v/>
      </c>
      <c r="J49" s="41" t="str">
        <f t="shared" si="38"/>
        <v/>
      </c>
      <c r="K49" s="41" t="str">
        <f t="shared" si="39"/>
        <v/>
      </c>
      <c r="L49" s="41" t="str">
        <f t="shared" si="40"/>
        <v/>
      </c>
      <c r="M49" s="41" t="str">
        <f t="shared" si="41"/>
        <v/>
      </c>
      <c r="N49" s="41">
        <f t="shared" si="42"/>
        <v>1</v>
      </c>
      <c r="O49" s="41" t="str">
        <f t="shared" si="43"/>
        <v/>
      </c>
      <c r="P49" s="188" t="str">
        <f t="shared" si="44"/>
        <v/>
      </c>
      <c r="Q49" s="236">
        <f t="shared" si="45"/>
        <v>2084.2800000000002</v>
      </c>
      <c r="R49" s="280"/>
      <c r="S49" s="179">
        <f t="shared" si="16"/>
        <v>1729.3784915304002</v>
      </c>
      <c r="T49" s="259"/>
      <c r="U49" s="179">
        <f t="shared" si="17"/>
        <v>120</v>
      </c>
      <c r="V49" s="259"/>
      <c r="W49" s="179">
        <f t="shared" si="18"/>
        <v>0</v>
      </c>
      <c r="X49" s="259"/>
      <c r="Y49" s="179">
        <f t="shared" si="19"/>
        <v>1000</v>
      </c>
      <c r="Z49" s="259"/>
      <c r="AA49" s="179">
        <f t="shared" si="20"/>
        <v>40</v>
      </c>
      <c r="AB49" s="259"/>
      <c r="AC49" s="179">
        <f t="shared" si="21"/>
        <v>52.834018065000002</v>
      </c>
      <c r="AD49" s="238">
        <f t="shared" si="15"/>
        <v>0</v>
      </c>
      <c r="AE49" s="179">
        <f t="shared" si="22"/>
        <v>1092.834018065</v>
      </c>
      <c r="AF49" s="264"/>
      <c r="AG49" s="179">
        <f t="shared" si="23"/>
        <v>1000</v>
      </c>
      <c r="AH49" s="268"/>
      <c r="AI49" s="179">
        <f t="shared" si="24"/>
        <v>0</v>
      </c>
      <c r="AJ49" s="268"/>
      <c r="AK49" s="179">
        <f t="shared" si="25"/>
        <v>0</v>
      </c>
      <c r="AL49" s="268"/>
      <c r="AM49" s="179">
        <f t="shared" si="26"/>
        <v>0</v>
      </c>
      <c r="AN49" s="268"/>
      <c r="AO49" s="179">
        <f t="shared" si="27"/>
        <v>0</v>
      </c>
      <c r="AP49" s="268"/>
      <c r="AQ49" s="179">
        <f t="shared" si="28"/>
        <v>0</v>
      </c>
      <c r="AR49" s="273"/>
      <c r="AS49" s="305">
        <f t="shared" si="29"/>
        <v>0</v>
      </c>
      <c r="AT49" s="273"/>
      <c r="AU49" s="305">
        <f t="shared" si="30"/>
        <v>0</v>
      </c>
    </row>
    <row r="50" spans="1:47" s="34" customFormat="1" x14ac:dyDescent="0.25">
      <c r="A50" s="87">
        <v>40886</v>
      </c>
      <c r="B50" s="42">
        <v>36</v>
      </c>
      <c r="C50" s="41" t="str">
        <f t="shared" si="31"/>
        <v/>
      </c>
      <c r="D50" s="41" t="str">
        <f t="shared" si="32"/>
        <v/>
      </c>
      <c r="E50" s="40" t="str">
        <f t="shared" si="33"/>
        <v>Inpatient Facility</v>
      </c>
      <c r="F50" s="40" t="str">
        <f t="shared" si="34"/>
        <v>Hospital charges (bundle)</v>
      </c>
      <c r="G50" s="40" t="str">
        <f t="shared" si="35"/>
        <v>Inpatient Maternity Bundle (Bundled line items 4, 5, 34)</v>
      </c>
      <c r="H50" s="40" t="str">
        <f t="shared" si="36"/>
        <v>see individual line items on Line Item Maternity tab</v>
      </c>
      <c r="I50" s="160" t="str">
        <f t="shared" si="37"/>
        <v/>
      </c>
      <c r="J50" s="41" t="str">
        <f t="shared" si="38"/>
        <v/>
      </c>
      <c r="K50" s="41">
        <f t="shared" si="39"/>
        <v>1</v>
      </c>
      <c r="L50" s="41" t="str">
        <f t="shared" si="40"/>
        <v/>
      </c>
      <c r="M50" s="41" t="str">
        <f t="shared" si="41"/>
        <v/>
      </c>
      <c r="N50" s="41" t="str">
        <f t="shared" si="42"/>
        <v/>
      </c>
      <c r="O50" s="41" t="str">
        <f t="shared" si="43"/>
        <v/>
      </c>
      <c r="P50" s="188" t="str">
        <f t="shared" si="44"/>
        <v/>
      </c>
      <c r="Q50" s="236">
        <f t="shared" si="45"/>
        <v>4471.4400000000005</v>
      </c>
      <c r="R50" s="280">
        <v>3130.0080000000007</v>
      </c>
      <c r="S50" s="179">
        <f t="shared" si="16"/>
        <v>4859.3864915304011</v>
      </c>
      <c r="T50" s="259"/>
      <c r="U50" s="179">
        <f t="shared" si="17"/>
        <v>120</v>
      </c>
      <c r="V50" s="259"/>
      <c r="W50" s="179">
        <f t="shared" si="18"/>
        <v>0</v>
      </c>
      <c r="X50" s="259">
        <v>0</v>
      </c>
      <c r="Y50" s="179">
        <f t="shared" si="19"/>
        <v>1000</v>
      </c>
      <c r="Z50" s="259"/>
      <c r="AA50" s="179">
        <f t="shared" si="20"/>
        <v>40</v>
      </c>
      <c r="AB50" s="259">
        <v>1341.432</v>
      </c>
      <c r="AC50" s="179">
        <f t="shared" si="21"/>
        <v>1394.266018065</v>
      </c>
      <c r="AD50" s="238">
        <f t="shared" si="15"/>
        <v>1341.432</v>
      </c>
      <c r="AE50" s="179">
        <f t="shared" si="22"/>
        <v>2434.266018065</v>
      </c>
      <c r="AF50" s="264">
        <v>0</v>
      </c>
      <c r="AG50" s="179">
        <f t="shared" si="23"/>
        <v>1000</v>
      </c>
      <c r="AH50" s="268"/>
      <c r="AI50" s="179">
        <f t="shared" si="24"/>
        <v>0</v>
      </c>
      <c r="AJ50" s="268"/>
      <c r="AK50" s="179">
        <f t="shared" si="25"/>
        <v>0</v>
      </c>
      <c r="AL50" s="268"/>
      <c r="AM50" s="179">
        <f t="shared" si="26"/>
        <v>0</v>
      </c>
      <c r="AN50" s="268"/>
      <c r="AO50" s="179">
        <f t="shared" si="27"/>
        <v>0</v>
      </c>
      <c r="AP50" s="268"/>
      <c r="AQ50" s="179">
        <f t="shared" si="28"/>
        <v>0</v>
      </c>
      <c r="AR50" s="273"/>
      <c r="AS50" s="305">
        <f t="shared" si="29"/>
        <v>0</v>
      </c>
      <c r="AT50" s="273"/>
      <c r="AU50" s="305">
        <f t="shared" si="30"/>
        <v>0</v>
      </c>
    </row>
    <row r="51" spans="1:47" s="34" customFormat="1" ht="15.6" customHeight="1" x14ac:dyDescent="0.25">
      <c r="A51" s="87">
        <v>40886</v>
      </c>
      <c r="B51" s="42">
        <v>6</v>
      </c>
      <c r="C51" s="41" t="str">
        <f t="shared" si="31"/>
        <v>650, V27.0, Proc: 73.59</v>
      </c>
      <c r="D51" s="41" t="str">
        <f t="shared" si="32"/>
        <v>Bundled in global OB package - 59400</v>
      </c>
      <c r="E51" s="40" t="str">
        <f t="shared" si="33"/>
        <v>OBGYN</v>
      </c>
      <c r="F51" s="40" t="str">
        <f t="shared" si="34"/>
        <v>Routine Obstetric Care</v>
      </c>
      <c r="G51" s="40" t="str">
        <f t="shared" si="35"/>
        <v>Obstetrical Care</v>
      </c>
      <c r="H51" s="86" t="str">
        <f t="shared" si="36"/>
        <v>59400 - Global OB package description/code</v>
      </c>
      <c r="I51" s="160" t="str">
        <f t="shared" si="37"/>
        <v/>
      </c>
      <c r="J51" s="41" t="str">
        <f t="shared" si="38"/>
        <v/>
      </c>
      <c r="K51" s="41" t="str">
        <f t="shared" si="39"/>
        <v/>
      </c>
      <c r="L51" s="41" t="str">
        <f t="shared" si="40"/>
        <v/>
      </c>
      <c r="M51" s="41" t="str">
        <f t="shared" si="41"/>
        <v/>
      </c>
      <c r="N51" s="41">
        <f t="shared" si="42"/>
        <v>1</v>
      </c>
      <c r="O51" s="41" t="str">
        <f t="shared" si="43"/>
        <v/>
      </c>
      <c r="P51" s="188" t="str">
        <f t="shared" si="44"/>
        <v/>
      </c>
      <c r="Q51" s="236">
        <f t="shared" si="45"/>
        <v>2084.2829046000002</v>
      </c>
      <c r="R51" s="280"/>
      <c r="S51" s="179">
        <f t="shared" si="16"/>
        <v>4859.3864915304011</v>
      </c>
      <c r="T51" s="259"/>
      <c r="U51" s="179">
        <f t="shared" si="17"/>
        <v>120</v>
      </c>
      <c r="V51" s="259"/>
      <c r="W51" s="179">
        <f t="shared" si="18"/>
        <v>0</v>
      </c>
      <c r="X51" s="259"/>
      <c r="Y51" s="179">
        <f t="shared" si="19"/>
        <v>1000</v>
      </c>
      <c r="Z51" s="259"/>
      <c r="AA51" s="179">
        <f t="shared" si="20"/>
        <v>40</v>
      </c>
      <c r="AB51" s="259"/>
      <c r="AC51" s="179">
        <f t="shared" si="21"/>
        <v>1394.266018065</v>
      </c>
      <c r="AD51" s="238">
        <f t="shared" si="15"/>
        <v>0</v>
      </c>
      <c r="AE51" s="179">
        <f t="shared" si="22"/>
        <v>2434.266018065</v>
      </c>
      <c r="AF51" s="264"/>
      <c r="AG51" s="179">
        <f t="shared" si="23"/>
        <v>1000</v>
      </c>
      <c r="AH51" s="268"/>
      <c r="AI51" s="179">
        <f t="shared" si="24"/>
        <v>0</v>
      </c>
      <c r="AJ51" s="268"/>
      <c r="AK51" s="179">
        <f t="shared" si="25"/>
        <v>0</v>
      </c>
      <c r="AL51" s="268"/>
      <c r="AM51" s="179">
        <f t="shared" si="26"/>
        <v>0</v>
      </c>
      <c r="AN51" s="268"/>
      <c r="AO51" s="179">
        <f t="shared" si="27"/>
        <v>0</v>
      </c>
      <c r="AP51" s="268"/>
      <c r="AQ51" s="179">
        <f t="shared" si="28"/>
        <v>0</v>
      </c>
      <c r="AR51" s="273"/>
      <c r="AS51" s="305">
        <f t="shared" si="29"/>
        <v>0</v>
      </c>
      <c r="AT51" s="273"/>
      <c r="AU51" s="305">
        <f t="shared" si="30"/>
        <v>0</v>
      </c>
    </row>
    <row r="52" spans="1:47" s="34" customFormat="1" x14ac:dyDescent="0.25">
      <c r="A52" s="87">
        <v>40886</v>
      </c>
      <c r="B52" s="42">
        <v>3</v>
      </c>
      <c r="C52" s="41" t="str">
        <f t="shared" si="31"/>
        <v>650, V27.0</v>
      </c>
      <c r="D52" s="41" t="str">
        <f t="shared" si="32"/>
        <v>S9443</v>
      </c>
      <c r="E52" s="40" t="str">
        <f t="shared" si="33"/>
        <v>Inpatient Facility</v>
      </c>
      <c r="F52" s="40" t="str">
        <f t="shared" si="34"/>
        <v>Education</v>
      </c>
      <c r="G52" s="40" t="str">
        <f t="shared" si="35"/>
        <v>Lactation class</v>
      </c>
      <c r="H52" s="40" t="str">
        <f t="shared" si="36"/>
        <v>Included in hospital rate**</v>
      </c>
      <c r="I52" s="160" t="str">
        <f t="shared" si="37"/>
        <v/>
      </c>
      <c r="J52" s="41" t="str">
        <f t="shared" si="38"/>
        <v/>
      </c>
      <c r="K52" s="41">
        <f t="shared" si="39"/>
        <v>1</v>
      </c>
      <c r="L52" s="41" t="str">
        <f t="shared" si="40"/>
        <v/>
      </c>
      <c r="M52" s="41" t="str">
        <f t="shared" si="41"/>
        <v/>
      </c>
      <c r="N52" s="41" t="str">
        <f t="shared" si="42"/>
        <v/>
      </c>
      <c r="O52" s="41" t="str">
        <f t="shared" si="43"/>
        <v/>
      </c>
      <c r="P52" s="188" t="str">
        <f t="shared" si="44"/>
        <v/>
      </c>
      <c r="Q52" s="236">
        <f t="shared" si="45"/>
        <v>0</v>
      </c>
      <c r="R52" s="280"/>
      <c r="S52" s="179">
        <f t="shared" si="16"/>
        <v>4859.3864915304011</v>
      </c>
      <c r="T52" s="259"/>
      <c r="U52" s="179">
        <f t="shared" si="17"/>
        <v>120</v>
      </c>
      <c r="V52" s="259"/>
      <c r="W52" s="179">
        <f t="shared" si="18"/>
        <v>0</v>
      </c>
      <c r="X52" s="259"/>
      <c r="Y52" s="179">
        <f t="shared" si="19"/>
        <v>1000</v>
      </c>
      <c r="Z52" s="259"/>
      <c r="AA52" s="179">
        <f t="shared" si="20"/>
        <v>40</v>
      </c>
      <c r="AB52" s="259"/>
      <c r="AC52" s="179">
        <f t="shared" si="21"/>
        <v>1394.266018065</v>
      </c>
      <c r="AD52" s="238">
        <f t="shared" si="15"/>
        <v>0</v>
      </c>
      <c r="AE52" s="179">
        <f t="shared" si="22"/>
        <v>2434.266018065</v>
      </c>
      <c r="AF52" s="264"/>
      <c r="AG52" s="179">
        <f t="shared" si="23"/>
        <v>1000</v>
      </c>
      <c r="AH52" s="268"/>
      <c r="AI52" s="179">
        <f t="shared" si="24"/>
        <v>0</v>
      </c>
      <c r="AJ52" s="268"/>
      <c r="AK52" s="179">
        <f t="shared" si="25"/>
        <v>0</v>
      </c>
      <c r="AL52" s="268"/>
      <c r="AM52" s="179">
        <f t="shared" si="26"/>
        <v>0</v>
      </c>
      <c r="AN52" s="268"/>
      <c r="AO52" s="179">
        <f t="shared" si="27"/>
        <v>0</v>
      </c>
      <c r="AP52" s="268"/>
      <c r="AQ52" s="179">
        <f t="shared" si="28"/>
        <v>0</v>
      </c>
      <c r="AR52" s="273"/>
      <c r="AS52" s="305">
        <f t="shared" si="29"/>
        <v>0</v>
      </c>
      <c r="AT52" s="273"/>
      <c r="AU52" s="305">
        <f t="shared" si="30"/>
        <v>0</v>
      </c>
    </row>
    <row r="53" spans="1:47" s="34" customFormat="1" x14ac:dyDescent="0.25">
      <c r="A53" s="87">
        <v>40888</v>
      </c>
      <c r="B53" s="42">
        <v>7</v>
      </c>
      <c r="C53" s="41" t="str">
        <f t="shared" si="31"/>
        <v/>
      </c>
      <c r="D53" s="41" t="str">
        <f t="shared" si="32"/>
        <v>OTC</v>
      </c>
      <c r="E53" s="40" t="str">
        <f t="shared" si="33"/>
        <v>Pharmacy Retail</v>
      </c>
      <c r="F53" s="40" t="str">
        <f t="shared" si="34"/>
        <v>Pharmacy</v>
      </c>
      <c r="G53" s="40" t="str">
        <f t="shared" si="35"/>
        <v>Docusate sodium (OTC) [1 pill QD]</v>
      </c>
      <c r="H53" s="40" t="str">
        <f t="shared" si="36"/>
        <v/>
      </c>
      <c r="I53" s="160" t="str">
        <f t="shared" si="37"/>
        <v/>
      </c>
      <c r="J53" s="41" t="str">
        <f t="shared" si="38"/>
        <v/>
      </c>
      <c r="K53" s="41" t="str">
        <f t="shared" si="39"/>
        <v/>
      </c>
      <c r="L53" s="41" t="str">
        <f t="shared" si="40"/>
        <v/>
      </c>
      <c r="M53" s="41" t="str">
        <f t="shared" si="41"/>
        <v/>
      </c>
      <c r="N53" s="41" t="str">
        <f t="shared" si="42"/>
        <v/>
      </c>
      <c r="O53" s="41" t="str">
        <f t="shared" si="43"/>
        <v/>
      </c>
      <c r="P53" s="188" t="str">
        <f t="shared" si="44"/>
        <v/>
      </c>
      <c r="Q53" s="236">
        <f t="shared" si="45"/>
        <v>30</v>
      </c>
      <c r="R53" s="280"/>
      <c r="S53" s="179">
        <f t="shared" si="16"/>
        <v>4859.3864915304011</v>
      </c>
      <c r="T53" s="259">
        <v>30</v>
      </c>
      <c r="U53" s="179">
        <f t="shared" si="17"/>
        <v>150</v>
      </c>
      <c r="V53" s="259"/>
      <c r="W53" s="179">
        <f t="shared" si="18"/>
        <v>0</v>
      </c>
      <c r="X53" s="259"/>
      <c r="Y53" s="179">
        <f t="shared" si="19"/>
        <v>1000</v>
      </c>
      <c r="Z53" s="259"/>
      <c r="AA53" s="179">
        <f t="shared" si="20"/>
        <v>40</v>
      </c>
      <c r="AB53" s="259"/>
      <c r="AC53" s="179">
        <f t="shared" si="21"/>
        <v>1394.266018065</v>
      </c>
      <c r="AD53" s="238">
        <f t="shared" si="15"/>
        <v>0</v>
      </c>
      <c r="AE53" s="179">
        <f t="shared" si="22"/>
        <v>2434.266018065</v>
      </c>
      <c r="AF53" s="264"/>
      <c r="AG53" s="179">
        <f t="shared" si="23"/>
        <v>1000</v>
      </c>
      <c r="AH53" s="268"/>
      <c r="AI53" s="179">
        <f t="shared" si="24"/>
        <v>0</v>
      </c>
      <c r="AJ53" s="268"/>
      <c r="AK53" s="179">
        <f t="shared" si="25"/>
        <v>0</v>
      </c>
      <c r="AL53" s="268"/>
      <c r="AM53" s="179">
        <f t="shared" si="26"/>
        <v>0</v>
      </c>
      <c r="AN53" s="268"/>
      <c r="AO53" s="179">
        <f t="shared" si="27"/>
        <v>0</v>
      </c>
      <c r="AP53" s="268"/>
      <c r="AQ53" s="179">
        <f t="shared" si="28"/>
        <v>0</v>
      </c>
      <c r="AR53" s="273"/>
      <c r="AS53" s="305">
        <f t="shared" si="29"/>
        <v>0</v>
      </c>
      <c r="AT53" s="273"/>
      <c r="AU53" s="305">
        <f t="shared" si="30"/>
        <v>0</v>
      </c>
    </row>
    <row r="54" spans="1:47" s="34" customFormat="1" x14ac:dyDescent="0.25">
      <c r="A54" s="87">
        <v>40888</v>
      </c>
      <c r="B54" s="42">
        <v>2</v>
      </c>
      <c r="C54" s="41" t="str">
        <f t="shared" si="31"/>
        <v/>
      </c>
      <c r="D54" s="41">
        <f t="shared" si="32"/>
        <v>591346601</v>
      </c>
      <c r="E54" s="40" t="str">
        <f t="shared" si="33"/>
        <v>Pharmacy Retail</v>
      </c>
      <c r="F54" s="40" t="str">
        <f t="shared" si="34"/>
        <v>Pharmacy</v>
      </c>
      <c r="G54" s="40" t="str">
        <f t="shared" si="35"/>
        <v>Ibuprofen 800mg (Rx) [1 pill Q8H PRN; 60 pills]</v>
      </c>
      <c r="H54" s="40" t="str">
        <f t="shared" si="36"/>
        <v/>
      </c>
      <c r="I54" s="160" t="str">
        <f t="shared" si="37"/>
        <v/>
      </c>
      <c r="J54" s="41">
        <f t="shared" si="38"/>
        <v>1</v>
      </c>
      <c r="K54" s="41" t="str">
        <f t="shared" si="39"/>
        <v/>
      </c>
      <c r="L54" s="41" t="str">
        <f t="shared" si="40"/>
        <v/>
      </c>
      <c r="M54" s="41" t="str">
        <f t="shared" si="41"/>
        <v/>
      </c>
      <c r="N54" s="41" t="str">
        <f t="shared" si="42"/>
        <v/>
      </c>
      <c r="O54" s="41" t="str">
        <f t="shared" si="43"/>
        <v/>
      </c>
      <c r="P54" s="188" t="str">
        <f t="shared" si="44"/>
        <v/>
      </c>
      <c r="Q54" s="236">
        <f t="shared" si="45"/>
        <v>17.52</v>
      </c>
      <c r="R54" s="280">
        <v>0</v>
      </c>
      <c r="S54" s="179">
        <f t="shared" si="16"/>
        <v>4859.3864915304011</v>
      </c>
      <c r="T54" s="259"/>
      <c r="U54" s="179">
        <f t="shared" si="17"/>
        <v>150</v>
      </c>
      <c r="V54" s="259"/>
      <c r="W54" s="179">
        <f t="shared" si="18"/>
        <v>0</v>
      </c>
      <c r="X54" s="259">
        <v>17.52</v>
      </c>
      <c r="Y54" s="179">
        <f t="shared" si="19"/>
        <v>1017.52</v>
      </c>
      <c r="Z54" s="259">
        <v>0</v>
      </c>
      <c r="AA54" s="179">
        <f t="shared" si="20"/>
        <v>40</v>
      </c>
      <c r="AB54" s="259"/>
      <c r="AC54" s="179">
        <f t="shared" si="21"/>
        <v>1394.266018065</v>
      </c>
      <c r="AD54" s="238">
        <f t="shared" si="15"/>
        <v>17.52</v>
      </c>
      <c r="AE54" s="179">
        <f t="shared" si="22"/>
        <v>2451.786018065</v>
      </c>
      <c r="AF54" s="264"/>
      <c r="AG54" s="179">
        <f t="shared" si="23"/>
        <v>1000</v>
      </c>
      <c r="AH54" s="268"/>
      <c r="AI54" s="179">
        <f t="shared" si="24"/>
        <v>0</v>
      </c>
      <c r="AJ54" s="268">
        <v>17.52</v>
      </c>
      <c r="AK54" s="179">
        <f t="shared" si="25"/>
        <v>17.52</v>
      </c>
      <c r="AL54" s="268"/>
      <c r="AM54" s="179">
        <f t="shared" si="26"/>
        <v>0</v>
      </c>
      <c r="AN54" s="268"/>
      <c r="AO54" s="179">
        <f t="shared" si="27"/>
        <v>0</v>
      </c>
      <c r="AP54" s="268"/>
      <c r="AQ54" s="179">
        <f t="shared" si="28"/>
        <v>0</v>
      </c>
      <c r="AR54" s="273"/>
      <c r="AS54" s="305">
        <f t="shared" si="29"/>
        <v>0</v>
      </c>
      <c r="AT54" s="273"/>
      <c r="AU54" s="305">
        <f t="shared" si="30"/>
        <v>0</v>
      </c>
    </row>
    <row r="55" spans="1:47" s="34" customFormat="1" x14ac:dyDescent="0.25">
      <c r="A55" s="87">
        <v>40888</v>
      </c>
      <c r="B55" s="42">
        <v>1</v>
      </c>
      <c r="C55" s="41" t="str">
        <f t="shared" si="31"/>
        <v/>
      </c>
      <c r="D55" s="41">
        <f t="shared" si="32"/>
        <v>378710401</v>
      </c>
      <c r="E55" s="40" t="str">
        <f t="shared" si="33"/>
        <v>Pharmacy Retail</v>
      </c>
      <c r="F55" s="40" t="str">
        <f t="shared" si="34"/>
        <v>Pharmacy</v>
      </c>
      <c r="G55" s="40" t="str">
        <f t="shared" si="35"/>
        <v>Oxycodone/APAP 5mg/325mg (Rx) [1 pill Q6H PRN; 15 pills]</v>
      </c>
      <c r="H55" s="40" t="str">
        <f t="shared" si="36"/>
        <v/>
      </c>
      <c r="I55" s="160" t="str">
        <f t="shared" si="37"/>
        <v/>
      </c>
      <c r="J55" s="41">
        <f t="shared" si="38"/>
        <v>1</v>
      </c>
      <c r="K55" s="41" t="str">
        <f t="shared" si="39"/>
        <v/>
      </c>
      <c r="L55" s="41" t="str">
        <f t="shared" si="40"/>
        <v/>
      </c>
      <c r="M55" s="41" t="str">
        <f t="shared" si="41"/>
        <v/>
      </c>
      <c r="N55" s="41" t="str">
        <f t="shared" si="42"/>
        <v/>
      </c>
      <c r="O55" s="41" t="str">
        <f t="shared" si="43"/>
        <v/>
      </c>
      <c r="P55" s="188" t="str">
        <f t="shared" si="44"/>
        <v/>
      </c>
      <c r="Q55" s="236">
        <f t="shared" si="45"/>
        <v>5.21</v>
      </c>
      <c r="R55" s="280">
        <v>0</v>
      </c>
      <c r="S55" s="179">
        <f t="shared" si="16"/>
        <v>4859.3864915304011</v>
      </c>
      <c r="T55" s="259"/>
      <c r="U55" s="179">
        <f t="shared" si="17"/>
        <v>150</v>
      </c>
      <c r="V55" s="259"/>
      <c r="W55" s="179">
        <f t="shared" si="18"/>
        <v>0</v>
      </c>
      <c r="X55" s="259">
        <v>5.21</v>
      </c>
      <c r="Y55" s="179">
        <f t="shared" si="19"/>
        <v>1022.73</v>
      </c>
      <c r="Z55" s="259">
        <v>0</v>
      </c>
      <c r="AA55" s="179">
        <f t="shared" si="20"/>
        <v>40</v>
      </c>
      <c r="AB55" s="259"/>
      <c r="AC55" s="179">
        <f t="shared" si="21"/>
        <v>1394.266018065</v>
      </c>
      <c r="AD55" s="238">
        <f t="shared" si="15"/>
        <v>5.21</v>
      </c>
      <c r="AE55" s="179">
        <f t="shared" si="22"/>
        <v>2456.996018065</v>
      </c>
      <c r="AF55" s="264"/>
      <c r="AG55" s="179">
        <f t="shared" si="23"/>
        <v>1000</v>
      </c>
      <c r="AH55" s="268"/>
      <c r="AI55" s="179">
        <f t="shared" si="24"/>
        <v>0</v>
      </c>
      <c r="AJ55" s="268">
        <v>5.21</v>
      </c>
      <c r="AK55" s="179">
        <f t="shared" si="25"/>
        <v>22.73</v>
      </c>
      <c r="AL55" s="268"/>
      <c r="AM55" s="179">
        <f t="shared" si="26"/>
        <v>0</v>
      </c>
      <c r="AN55" s="268"/>
      <c r="AO55" s="179">
        <f t="shared" si="27"/>
        <v>0</v>
      </c>
      <c r="AP55" s="268"/>
      <c r="AQ55" s="179">
        <f t="shared" si="28"/>
        <v>0</v>
      </c>
      <c r="AR55" s="273"/>
      <c r="AS55" s="305">
        <f t="shared" si="29"/>
        <v>0</v>
      </c>
      <c r="AT55" s="273"/>
      <c r="AU55" s="305">
        <f t="shared" si="30"/>
        <v>0</v>
      </c>
    </row>
    <row r="56" spans="1:47" s="34" customFormat="1" ht="15.75" thickBot="1" x14ac:dyDescent="0.3">
      <c r="A56" s="87">
        <v>40900</v>
      </c>
      <c r="B56" s="42">
        <v>33</v>
      </c>
      <c r="C56" s="41" t="str">
        <f t="shared" si="31"/>
        <v>V24.2</v>
      </c>
      <c r="D56" s="41" t="str">
        <f t="shared" si="32"/>
        <v>Bundled in global OB package - 59400</v>
      </c>
      <c r="E56" s="40" t="str">
        <f t="shared" si="33"/>
        <v>OBGYN</v>
      </c>
      <c r="F56" s="40" t="str">
        <f t="shared" si="34"/>
        <v>Routine Obstetric Care</v>
      </c>
      <c r="G56" s="40" t="str">
        <f t="shared" si="35"/>
        <v>Office/Outpatient Visit Est</v>
      </c>
      <c r="H56" s="40" t="str">
        <f t="shared" si="36"/>
        <v>Post partum visit</v>
      </c>
      <c r="I56" s="160" t="str">
        <f t="shared" si="37"/>
        <v/>
      </c>
      <c r="J56" s="41" t="str">
        <f t="shared" si="38"/>
        <v/>
      </c>
      <c r="K56" s="41" t="str">
        <f t="shared" si="39"/>
        <v/>
      </c>
      <c r="L56" s="41" t="str">
        <f t="shared" si="40"/>
        <v/>
      </c>
      <c r="M56" s="41" t="str">
        <f t="shared" si="41"/>
        <v/>
      </c>
      <c r="N56" s="41">
        <f t="shared" si="42"/>
        <v>1</v>
      </c>
      <c r="O56" s="41" t="str">
        <f t="shared" si="43"/>
        <v/>
      </c>
      <c r="P56" s="188" t="str">
        <f t="shared" si="44"/>
        <v/>
      </c>
      <c r="Q56" s="236">
        <f t="shared" si="45"/>
        <v>2084.2800000000002</v>
      </c>
      <c r="R56" s="280"/>
      <c r="S56" s="179">
        <f t="shared" si="16"/>
        <v>4859.3864915304011</v>
      </c>
      <c r="T56" s="259"/>
      <c r="U56" s="179">
        <f t="shared" si="17"/>
        <v>150</v>
      </c>
      <c r="V56" s="259"/>
      <c r="W56" s="179">
        <f t="shared" si="18"/>
        <v>0</v>
      </c>
      <c r="X56" s="259"/>
      <c r="Y56" s="179">
        <f t="shared" si="19"/>
        <v>1022.73</v>
      </c>
      <c r="Z56" s="259"/>
      <c r="AA56" s="179">
        <f t="shared" si="20"/>
        <v>40</v>
      </c>
      <c r="AB56" s="259"/>
      <c r="AC56" s="179">
        <f t="shared" si="21"/>
        <v>1394.266018065</v>
      </c>
      <c r="AD56" s="238">
        <f t="shared" si="15"/>
        <v>0</v>
      </c>
      <c r="AE56" s="179">
        <f t="shared" si="22"/>
        <v>2456.996018065</v>
      </c>
      <c r="AF56" s="264"/>
      <c r="AG56" s="179">
        <f t="shared" si="23"/>
        <v>1000</v>
      </c>
      <c r="AH56" s="268"/>
      <c r="AI56" s="179">
        <f t="shared" si="24"/>
        <v>0</v>
      </c>
      <c r="AJ56" s="268"/>
      <c r="AK56" s="179">
        <f t="shared" si="25"/>
        <v>22.73</v>
      </c>
      <c r="AL56" s="268"/>
      <c r="AM56" s="179">
        <f t="shared" si="26"/>
        <v>0</v>
      </c>
      <c r="AN56" s="268"/>
      <c r="AO56" s="179">
        <f t="shared" si="27"/>
        <v>0</v>
      </c>
      <c r="AP56" s="268"/>
      <c r="AQ56" s="179">
        <f t="shared" si="28"/>
        <v>0</v>
      </c>
      <c r="AR56" s="273"/>
      <c r="AS56" s="305">
        <f t="shared" si="29"/>
        <v>0</v>
      </c>
      <c r="AT56" s="273"/>
      <c r="AU56" s="305">
        <f t="shared" si="30"/>
        <v>0</v>
      </c>
    </row>
    <row r="57" spans="1:47" s="34" customFormat="1" hidden="1" x14ac:dyDescent="0.25">
      <c r="A57" s="87"/>
      <c r="B57" s="42"/>
      <c r="C57" s="41"/>
      <c r="D57" s="41"/>
      <c r="E57" s="40"/>
      <c r="F57" s="40"/>
      <c r="G57" s="40"/>
      <c r="H57" s="40"/>
      <c r="I57" s="160"/>
      <c r="J57" s="41"/>
      <c r="K57" s="41"/>
      <c r="L57" s="41"/>
      <c r="M57" s="41"/>
      <c r="N57" s="41"/>
      <c r="O57" s="41"/>
      <c r="P57" s="188"/>
      <c r="Q57" s="236"/>
      <c r="R57" s="280"/>
      <c r="S57" s="179">
        <f t="shared" si="16"/>
        <v>4859.3864915304011</v>
      </c>
      <c r="T57" s="259"/>
      <c r="U57" s="179">
        <f t="shared" si="17"/>
        <v>150</v>
      </c>
      <c r="V57" s="259"/>
      <c r="W57" s="179">
        <f t="shared" si="18"/>
        <v>0</v>
      </c>
      <c r="X57" s="259"/>
      <c r="Y57" s="179">
        <f t="shared" si="19"/>
        <v>1022.73</v>
      </c>
      <c r="Z57" s="259"/>
      <c r="AA57" s="179">
        <f t="shared" si="20"/>
        <v>40</v>
      </c>
      <c r="AB57" s="259"/>
      <c r="AC57" s="179">
        <f t="shared" si="21"/>
        <v>1394.266018065</v>
      </c>
      <c r="AD57" s="238">
        <f t="shared" si="15"/>
        <v>0</v>
      </c>
      <c r="AE57" s="179">
        <f t="shared" si="22"/>
        <v>2456.996018065</v>
      </c>
      <c r="AF57" s="264"/>
      <c r="AG57" s="179">
        <f t="shared" si="23"/>
        <v>1000</v>
      </c>
      <c r="AH57" s="268"/>
      <c r="AI57" s="179">
        <f t="shared" si="24"/>
        <v>0</v>
      </c>
      <c r="AJ57" s="268"/>
      <c r="AK57" s="179">
        <f t="shared" si="25"/>
        <v>22.73</v>
      </c>
      <c r="AL57" s="268"/>
      <c r="AM57" s="179">
        <f t="shared" si="26"/>
        <v>0</v>
      </c>
      <c r="AN57" s="268"/>
      <c r="AO57" s="179">
        <f t="shared" si="27"/>
        <v>0</v>
      </c>
      <c r="AP57" s="268"/>
      <c r="AQ57" s="179">
        <f t="shared" si="28"/>
        <v>0</v>
      </c>
      <c r="AR57" s="273"/>
      <c r="AS57" s="305">
        <f t="shared" si="29"/>
        <v>0</v>
      </c>
      <c r="AT57" s="273"/>
      <c r="AU57" s="305">
        <f t="shared" si="30"/>
        <v>0</v>
      </c>
    </row>
    <row r="58" spans="1:47" s="34" customFormat="1" hidden="1" x14ac:dyDescent="0.25">
      <c r="A58" s="87"/>
      <c r="B58" s="42"/>
      <c r="C58" s="41"/>
      <c r="D58" s="41"/>
      <c r="E58" s="40"/>
      <c r="F58" s="40"/>
      <c r="G58" s="40"/>
      <c r="H58" s="40"/>
      <c r="I58" s="160"/>
      <c r="J58" s="41"/>
      <c r="K58" s="41"/>
      <c r="L58" s="41"/>
      <c r="M58" s="41"/>
      <c r="N58" s="41"/>
      <c r="O58" s="41"/>
      <c r="P58" s="188"/>
      <c r="Q58" s="236"/>
      <c r="R58" s="280"/>
      <c r="S58" s="179">
        <f t="shared" si="16"/>
        <v>4859.3864915304011</v>
      </c>
      <c r="T58" s="259"/>
      <c r="U58" s="179">
        <f t="shared" si="17"/>
        <v>150</v>
      </c>
      <c r="V58" s="259"/>
      <c r="W58" s="179">
        <f t="shared" si="18"/>
        <v>0</v>
      </c>
      <c r="X58" s="259"/>
      <c r="Y58" s="179">
        <f t="shared" si="19"/>
        <v>1022.73</v>
      </c>
      <c r="Z58" s="259"/>
      <c r="AA58" s="179">
        <f t="shared" si="20"/>
        <v>40</v>
      </c>
      <c r="AB58" s="259"/>
      <c r="AC58" s="179">
        <f t="shared" si="21"/>
        <v>1394.266018065</v>
      </c>
      <c r="AD58" s="238">
        <f t="shared" si="15"/>
        <v>0</v>
      </c>
      <c r="AE58" s="179">
        <f t="shared" si="22"/>
        <v>2456.996018065</v>
      </c>
      <c r="AF58" s="264"/>
      <c r="AG58" s="179">
        <f t="shared" si="23"/>
        <v>1000</v>
      </c>
      <c r="AH58" s="268"/>
      <c r="AI58" s="179">
        <f t="shared" si="24"/>
        <v>0</v>
      </c>
      <c r="AJ58" s="268"/>
      <c r="AK58" s="179">
        <f t="shared" si="25"/>
        <v>22.73</v>
      </c>
      <c r="AL58" s="268"/>
      <c r="AM58" s="179">
        <f t="shared" si="26"/>
        <v>0</v>
      </c>
      <c r="AN58" s="268"/>
      <c r="AO58" s="179">
        <f t="shared" si="27"/>
        <v>0</v>
      </c>
      <c r="AP58" s="268"/>
      <c r="AQ58" s="179">
        <f t="shared" si="28"/>
        <v>0</v>
      </c>
      <c r="AR58" s="273"/>
      <c r="AS58" s="305">
        <f t="shared" si="29"/>
        <v>0</v>
      </c>
      <c r="AT58" s="273"/>
      <c r="AU58" s="305">
        <f t="shared" si="30"/>
        <v>0</v>
      </c>
    </row>
    <row r="59" spans="1:47" s="34" customFormat="1" hidden="1" x14ac:dyDescent="0.25">
      <c r="A59" s="87"/>
      <c r="B59" s="42"/>
      <c r="C59" s="41"/>
      <c r="D59" s="41"/>
      <c r="E59" s="40"/>
      <c r="F59" s="40"/>
      <c r="G59" s="40"/>
      <c r="H59" s="40"/>
      <c r="I59" s="160"/>
      <c r="J59" s="41"/>
      <c r="K59" s="41"/>
      <c r="L59" s="41"/>
      <c r="M59" s="41"/>
      <c r="N59" s="41"/>
      <c r="O59" s="41"/>
      <c r="P59" s="188"/>
      <c r="Q59" s="236"/>
      <c r="R59" s="280"/>
      <c r="S59" s="179">
        <f t="shared" si="16"/>
        <v>4859.3864915304011</v>
      </c>
      <c r="T59" s="259"/>
      <c r="U59" s="179">
        <f t="shared" si="17"/>
        <v>150</v>
      </c>
      <c r="V59" s="259"/>
      <c r="W59" s="179">
        <f t="shared" si="18"/>
        <v>0</v>
      </c>
      <c r="X59" s="259"/>
      <c r="Y59" s="179">
        <f t="shared" si="19"/>
        <v>1022.73</v>
      </c>
      <c r="Z59" s="259"/>
      <c r="AA59" s="179">
        <f t="shared" si="20"/>
        <v>40</v>
      </c>
      <c r="AB59" s="259"/>
      <c r="AC59" s="179">
        <f t="shared" si="21"/>
        <v>1394.266018065</v>
      </c>
      <c r="AD59" s="238">
        <f t="shared" si="15"/>
        <v>0</v>
      </c>
      <c r="AE59" s="179">
        <f t="shared" si="22"/>
        <v>2456.996018065</v>
      </c>
      <c r="AF59" s="264"/>
      <c r="AG59" s="179">
        <f t="shared" si="23"/>
        <v>1000</v>
      </c>
      <c r="AH59" s="268"/>
      <c r="AI59" s="179">
        <f t="shared" si="24"/>
        <v>0</v>
      </c>
      <c r="AJ59" s="268"/>
      <c r="AK59" s="179">
        <f t="shared" si="25"/>
        <v>22.73</v>
      </c>
      <c r="AL59" s="268"/>
      <c r="AM59" s="179">
        <f t="shared" si="26"/>
        <v>0</v>
      </c>
      <c r="AN59" s="268"/>
      <c r="AO59" s="179">
        <f t="shared" si="27"/>
        <v>0</v>
      </c>
      <c r="AP59" s="268"/>
      <c r="AQ59" s="179">
        <f t="shared" si="28"/>
        <v>0</v>
      </c>
      <c r="AR59" s="273"/>
      <c r="AS59" s="305">
        <f t="shared" si="29"/>
        <v>0</v>
      </c>
      <c r="AT59" s="273"/>
      <c r="AU59" s="305">
        <f t="shared" si="30"/>
        <v>0</v>
      </c>
    </row>
    <row r="60" spans="1:47" s="34" customFormat="1" hidden="1" x14ac:dyDescent="0.25">
      <c r="A60" s="87"/>
      <c r="B60" s="42"/>
      <c r="C60" s="41"/>
      <c r="D60" s="41"/>
      <c r="E60" s="40"/>
      <c r="F60" s="40"/>
      <c r="G60" s="40"/>
      <c r="H60" s="40"/>
      <c r="I60" s="160"/>
      <c r="J60" s="41"/>
      <c r="K60" s="41"/>
      <c r="L60" s="41"/>
      <c r="M60" s="41"/>
      <c r="N60" s="41"/>
      <c r="O60" s="41"/>
      <c r="P60" s="188"/>
      <c r="Q60" s="236"/>
      <c r="R60" s="280"/>
      <c r="S60" s="179">
        <f t="shared" si="16"/>
        <v>4859.3864915304011</v>
      </c>
      <c r="T60" s="259"/>
      <c r="U60" s="179">
        <f t="shared" si="17"/>
        <v>150</v>
      </c>
      <c r="V60" s="259"/>
      <c r="W60" s="179">
        <f t="shared" si="18"/>
        <v>0</v>
      </c>
      <c r="X60" s="259"/>
      <c r="Y60" s="179">
        <f t="shared" si="19"/>
        <v>1022.73</v>
      </c>
      <c r="Z60" s="259"/>
      <c r="AA60" s="179">
        <f t="shared" si="20"/>
        <v>40</v>
      </c>
      <c r="AB60" s="259"/>
      <c r="AC60" s="179">
        <f t="shared" si="21"/>
        <v>1394.266018065</v>
      </c>
      <c r="AD60" s="238">
        <f t="shared" si="15"/>
        <v>0</v>
      </c>
      <c r="AE60" s="179">
        <f t="shared" si="22"/>
        <v>2456.996018065</v>
      </c>
      <c r="AF60" s="264"/>
      <c r="AG60" s="179">
        <f t="shared" si="23"/>
        <v>1000</v>
      </c>
      <c r="AH60" s="268"/>
      <c r="AI60" s="179">
        <f t="shared" si="24"/>
        <v>0</v>
      </c>
      <c r="AJ60" s="268"/>
      <c r="AK60" s="179">
        <f t="shared" si="25"/>
        <v>22.73</v>
      </c>
      <c r="AL60" s="268"/>
      <c r="AM60" s="179">
        <f t="shared" si="26"/>
        <v>0</v>
      </c>
      <c r="AN60" s="268"/>
      <c r="AO60" s="179">
        <f t="shared" si="27"/>
        <v>0</v>
      </c>
      <c r="AP60" s="268"/>
      <c r="AQ60" s="179">
        <f t="shared" si="28"/>
        <v>0</v>
      </c>
      <c r="AR60" s="273"/>
      <c r="AS60" s="305">
        <f t="shared" si="29"/>
        <v>0</v>
      </c>
      <c r="AT60" s="273"/>
      <c r="AU60" s="305">
        <f t="shared" si="30"/>
        <v>0</v>
      </c>
    </row>
    <row r="61" spans="1:47" s="34" customFormat="1" hidden="1" x14ac:dyDescent="0.25">
      <c r="A61" s="87"/>
      <c r="B61" s="42"/>
      <c r="C61" s="41"/>
      <c r="D61" s="41"/>
      <c r="E61" s="40"/>
      <c r="F61" s="40"/>
      <c r="G61" s="40"/>
      <c r="H61" s="40"/>
      <c r="I61" s="160"/>
      <c r="J61" s="41"/>
      <c r="K61" s="41"/>
      <c r="L61" s="41"/>
      <c r="M61" s="41"/>
      <c r="N61" s="41"/>
      <c r="O61" s="41"/>
      <c r="P61" s="188"/>
      <c r="Q61" s="236"/>
      <c r="R61" s="280"/>
      <c r="S61" s="179">
        <f t="shared" si="16"/>
        <v>4859.3864915304011</v>
      </c>
      <c r="T61" s="259"/>
      <c r="U61" s="179">
        <f t="shared" si="17"/>
        <v>150</v>
      </c>
      <c r="V61" s="259"/>
      <c r="W61" s="179">
        <f t="shared" si="18"/>
        <v>0</v>
      </c>
      <c r="X61" s="259"/>
      <c r="Y61" s="179">
        <f t="shared" si="19"/>
        <v>1022.73</v>
      </c>
      <c r="Z61" s="259"/>
      <c r="AA61" s="179">
        <f t="shared" si="20"/>
        <v>40</v>
      </c>
      <c r="AB61" s="259"/>
      <c r="AC61" s="179">
        <f t="shared" si="21"/>
        <v>1394.266018065</v>
      </c>
      <c r="AD61" s="238">
        <f t="shared" si="15"/>
        <v>0</v>
      </c>
      <c r="AE61" s="179">
        <f t="shared" si="22"/>
        <v>2456.996018065</v>
      </c>
      <c r="AF61" s="264"/>
      <c r="AG61" s="179">
        <f t="shared" si="23"/>
        <v>1000</v>
      </c>
      <c r="AH61" s="268"/>
      <c r="AI61" s="179">
        <f t="shared" si="24"/>
        <v>0</v>
      </c>
      <c r="AJ61" s="268"/>
      <c r="AK61" s="179">
        <f t="shared" si="25"/>
        <v>22.73</v>
      </c>
      <c r="AL61" s="268"/>
      <c r="AM61" s="179">
        <f t="shared" si="26"/>
        <v>0</v>
      </c>
      <c r="AN61" s="268"/>
      <c r="AO61" s="179">
        <f t="shared" si="27"/>
        <v>0</v>
      </c>
      <c r="AP61" s="268"/>
      <c r="AQ61" s="179">
        <f t="shared" si="28"/>
        <v>0</v>
      </c>
      <c r="AR61" s="273"/>
      <c r="AS61" s="305">
        <f t="shared" si="29"/>
        <v>0</v>
      </c>
      <c r="AT61" s="273"/>
      <c r="AU61" s="305">
        <f t="shared" si="30"/>
        <v>0</v>
      </c>
    </row>
    <row r="62" spans="1:47" s="34" customFormat="1" hidden="1" x14ac:dyDescent="0.25">
      <c r="A62" s="87"/>
      <c r="B62" s="42"/>
      <c r="C62" s="41"/>
      <c r="D62" s="41"/>
      <c r="E62" s="40"/>
      <c r="F62" s="40"/>
      <c r="G62" s="40"/>
      <c r="H62" s="40"/>
      <c r="I62" s="160"/>
      <c r="J62" s="41"/>
      <c r="K62" s="41"/>
      <c r="L62" s="41"/>
      <c r="M62" s="41"/>
      <c r="N62" s="41"/>
      <c r="O62" s="41"/>
      <c r="P62" s="188"/>
      <c r="Q62" s="236"/>
      <c r="R62" s="280"/>
      <c r="S62" s="179">
        <f t="shared" si="16"/>
        <v>4859.3864915304011</v>
      </c>
      <c r="T62" s="259"/>
      <c r="U62" s="179">
        <f t="shared" si="17"/>
        <v>150</v>
      </c>
      <c r="V62" s="259"/>
      <c r="W62" s="179">
        <f t="shared" si="18"/>
        <v>0</v>
      </c>
      <c r="X62" s="259"/>
      <c r="Y62" s="179">
        <f t="shared" si="19"/>
        <v>1022.73</v>
      </c>
      <c r="Z62" s="259"/>
      <c r="AA62" s="179">
        <f t="shared" si="20"/>
        <v>40</v>
      </c>
      <c r="AB62" s="259"/>
      <c r="AC62" s="179">
        <f t="shared" si="21"/>
        <v>1394.266018065</v>
      </c>
      <c r="AD62" s="238">
        <f t="shared" si="15"/>
        <v>0</v>
      </c>
      <c r="AE62" s="179">
        <f t="shared" si="22"/>
        <v>2456.996018065</v>
      </c>
      <c r="AF62" s="264"/>
      <c r="AG62" s="179">
        <f t="shared" si="23"/>
        <v>1000</v>
      </c>
      <c r="AH62" s="268"/>
      <c r="AI62" s="179">
        <f t="shared" si="24"/>
        <v>0</v>
      </c>
      <c r="AJ62" s="268"/>
      <c r="AK62" s="179">
        <f t="shared" si="25"/>
        <v>22.73</v>
      </c>
      <c r="AL62" s="268"/>
      <c r="AM62" s="179">
        <f t="shared" si="26"/>
        <v>0</v>
      </c>
      <c r="AN62" s="268"/>
      <c r="AO62" s="179">
        <f t="shared" si="27"/>
        <v>0</v>
      </c>
      <c r="AP62" s="268"/>
      <c r="AQ62" s="179">
        <f t="shared" si="28"/>
        <v>0</v>
      </c>
      <c r="AR62" s="273"/>
      <c r="AS62" s="305">
        <f t="shared" si="29"/>
        <v>0</v>
      </c>
      <c r="AT62" s="273"/>
      <c r="AU62" s="305">
        <f t="shared" si="30"/>
        <v>0</v>
      </c>
    </row>
    <row r="63" spans="1:47" s="34" customFormat="1" hidden="1" x14ac:dyDescent="0.25">
      <c r="A63" s="87"/>
      <c r="B63" s="42"/>
      <c r="C63" s="41"/>
      <c r="D63" s="41"/>
      <c r="E63" s="40"/>
      <c r="F63" s="40"/>
      <c r="G63" s="40"/>
      <c r="H63" s="40"/>
      <c r="I63" s="160"/>
      <c r="J63" s="41"/>
      <c r="K63" s="41"/>
      <c r="L63" s="41"/>
      <c r="M63" s="41"/>
      <c r="N63" s="41"/>
      <c r="O63" s="41"/>
      <c r="P63" s="188"/>
      <c r="Q63" s="236"/>
      <c r="R63" s="280"/>
      <c r="S63" s="179">
        <f t="shared" si="16"/>
        <v>4859.3864915304011</v>
      </c>
      <c r="T63" s="259"/>
      <c r="U63" s="179">
        <f t="shared" si="17"/>
        <v>150</v>
      </c>
      <c r="V63" s="259"/>
      <c r="W63" s="179">
        <f t="shared" si="18"/>
        <v>0</v>
      </c>
      <c r="X63" s="259"/>
      <c r="Y63" s="179">
        <f t="shared" si="19"/>
        <v>1022.73</v>
      </c>
      <c r="Z63" s="259"/>
      <c r="AA63" s="179">
        <f t="shared" si="20"/>
        <v>40</v>
      </c>
      <c r="AB63" s="259"/>
      <c r="AC63" s="179">
        <f t="shared" si="21"/>
        <v>1394.266018065</v>
      </c>
      <c r="AD63" s="238">
        <f t="shared" si="15"/>
        <v>0</v>
      </c>
      <c r="AE63" s="179">
        <f t="shared" si="22"/>
        <v>2456.996018065</v>
      </c>
      <c r="AF63" s="264"/>
      <c r="AG63" s="179">
        <f t="shared" si="23"/>
        <v>1000</v>
      </c>
      <c r="AH63" s="268"/>
      <c r="AI63" s="179">
        <f t="shared" si="24"/>
        <v>0</v>
      </c>
      <c r="AJ63" s="268"/>
      <c r="AK63" s="179">
        <f t="shared" si="25"/>
        <v>22.73</v>
      </c>
      <c r="AL63" s="268"/>
      <c r="AM63" s="179">
        <f t="shared" si="26"/>
        <v>0</v>
      </c>
      <c r="AN63" s="268"/>
      <c r="AO63" s="179">
        <f t="shared" si="27"/>
        <v>0</v>
      </c>
      <c r="AP63" s="268"/>
      <c r="AQ63" s="179">
        <f t="shared" si="28"/>
        <v>0</v>
      </c>
      <c r="AR63" s="273"/>
      <c r="AS63" s="305">
        <f t="shared" si="29"/>
        <v>0</v>
      </c>
      <c r="AT63" s="273"/>
      <c r="AU63" s="305">
        <f t="shared" si="30"/>
        <v>0</v>
      </c>
    </row>
    <row r="64" spans="1:47" s="34" customFormat="1" hidden="1" x14ac:dyDescent="0.25">
      <c r="A64" s="87"/>
      <c r="B64" s="42"/>
      <c r="C64" s="41"/>
      <c r="D64" s="41"/>
      <c r="E64" s="40"/>
      <c r="F64" s="40"/>
      <c r="G64" s="40"/>
      <c r="H64" s="40"/>
      <c r="I64" s="160"/>
      <c r="J64" s="41"/>
      <c r="K64" s="41"/>
      <c r="L64" s="41"/>
      <c r="M64" s="41"/>
      <c r="N64" s="41"/>
      <c r="O64" s="41"/>
      <c r="P64" s="188"/>
      <c r="Q64" s="236"/>
      <c r="R64" s="280"/>
      <c r="S64" s="179">
        <f t="shared" si="16"/>
        <v>4859.3864915304011</v>
      </c>
      <c r="T64" s="259"/>
      <c r="U64" s="179">
        <f t="shared" si="17"/>
        <v>150</v>
      </c>
      <c r="V64" s="259"/>
      <c r="W64" s="179">
        <f t="shared" si="18"/>
        <v>0</v>
      </c>
      <c r="X64" s="259"/>
      <c r="Y64" s="179">
        <f t="shared" si="19"/>
        <v>1022.73</v>
      </c>
      <c r="Z64" s="259"/>
      <c r="AA64" s="179">
        <f t="shared" si="20"/>
        <v>40</v>
      </c>
      <c r="AB64" s="259"/>
      <c r="AC64" s="179">
        <f t="shared" si="21"/>
        <v>1394.266018065</v>
      </c>
      <c r="AD64" s="238">
        <f t="shared" si="15"/>
        <v>0</v>
      </c>
      <c r="AE64" s="179">
        <f t="shared" si="22"/>
        <v>2456.996018065</v>
      </c>
      <c r="AF64" s="264"/>
      <c r="AG64" s="179">
        <f t="shared" si="23"/>
        <v>1000</v>
      </c>
      <c r="AH64" s="268"/>
      <c r="AI64" s="179">
        <f t="shared" si="24"/>
        <v>0</v>
      </c>
      <c r="AJ64" s="268"/>
      <c r="AK64" s="179">
        <f t="shared" si="25"/>
        <v>22.73</v>
      </c>
      <c r="AL64" s="268"/>
      <c r="AM64" s="179">
        <f t="shared" si="26"/>
        <v>0</v>
      </c>
      <c r="AN64" s="268"/>
      <c r="AO64" s="179">
        <f t="shared" si="27"/>
        <v>0</v>
      </c>
      <c r="AP64" s="268"/>
      <c r="AQ64" s="179">
        <f t="shared" si="28"/>
        <v>0</v>
      </c>
      <c r="AR64" s="273"/>
      <c r="AS64" s="305">
        <f t="shared" si="29"/>
        <v>0</v>
      </c>
      <c r="AT64" s="273"/>
      <c r="AU64" s="305">
        <f t="shared" si="30"/>
        <v>0</v>
      </c>
    </row>
    <row r="65" spans="1:47" s="34" customFormat="1" hidden="1" x14ac:dyDescent="0.25">
      <c r="A65" s="87"/>
      <c r="B65" s="42"/>
      <c r="C65" s="41"/>
      <c r="D65" s="41"/>
      <c r="E65" s="40"/>
      <c r="F65" s="40"/>
      <c r="G65" s="40"/>
      <c r="H65" s="40"/>
      <c r="I65" s="160"/>
      <c r="J65" s="41"/>
      <c r="K65" s="41"/>
      <c r="L65" s="41"/>
      <c r="M65" s="41"/>
      <c r="N65" s="41"/>
      <c r="O65" s="41"/>
      <c r="P65" s="188"/>
      <c r="Q65" s="236"/>
      <c r="R65" s="280"/>
      <c r="S65" s="179">
        <f t="shared" si="16"/>
        <v>4859.3864915304011</v>
      </c>
      <c r="T65" s="259"/>
      <c r="U65" s="179">
        <f t="shared" si="17"/>
        <v>150</v>
      </c>
      <c r="V65" s="259"/>
      <c r="W65" s="179">
        <f t="shared" si="18"/>
        <v>0</v>
      </c>
      <c r="X65" s="259"/>
      <c r="Y65" s="179">
        <f t="shared" si="19"/>
        <v>1022.73</v>
      </c>
      <c r="Z65" s="259"/>
      <c r="AA65" s="179">
        <f t="shared" si="20"/>
        <v>40</v>
      </c>
      <c r="AB65" s="259"/>
      <c r="AC65" s="179">
        <f t="shared" si="21"/>
        <v>1394.266018065</v>
      </c>
      <c r="AD65" s="238">
        <f t="shared" ref="AD65:AD128" si="46">Mat_Col_Deduct+Mat_Col_Copay+Mat_Col_Coinsur</f>
        <v>0</v>
      </c>
      <c r="AE65" s="179">
        <f t="shared" si="22"/>
        <v>2456.996018065</v>
      </c>
      <c r="AF65" s="264"/>
      <c r="AG65" s="179">
        <f t="shared" si="23"/>
        <v>1000</v>
      </c>
      <c r="AH65" s="268"/>
      <c r="AI65" s="179">
        <f t="shared" si="24"/>
        <v>0</v>
      </c>
      <c r="AJ65" s="268"/>
      <c r="AK65" s="179">
        <f t="shared" si="25"/>
        <v>22.73</v>
      </c>
      <c r="AL65" s="268"/>
      <c r="AM65" s="179">
        <f t="shared" si="26"/>
        <v>0</v>
      </c>
      <c r="AN65" s="268"/>
      <c r="AO65" s="179">
        <f t="shared" si="27"/>
        <v>0</v>
      </c>
      <c r="AP65" s="268"/>
      <c r="AQ65" s="179">
        <f t="shared" si="28"/>
        <v>0</v>
      </c>
      <c r="AR65" s="273"/>
      <c r="AS65" s="305">
        <f t="shared" si="29"/>
        <v>0</v>
      </c>
      <c r="AT65" s="273"/>
      <c r="AU65" s="305">
        <f t="shared" si="30"/>
        <v>0</v>
      </c>
    </row>
    <row r="66" spans="1:47" s="34" customFormat="1" hidden="1" x14ac:dyDescent="0.25">
      <c r="A66" s="87"/>
      <c r="B66" s="42"/>
      <c r="C66" s="41"/>
      <c r="D66" s="41"/>
      <c r="E66" s="40"/>
      <c r="F66" s="40"/>
      <c r="G66" s="40"/>
      <c r="H66" s="40"/>
      <c r="I66" s="160"/>
      <c r="J66" s="41"/>
      <c r="K66" s="41"/>
      <c r="L66" s="41"/>
      <c r="M66" s="41"/>
      <c r="N66" s="41"/>
      <c r="O66" s="41"/>
      <c r="P66" s="188"/>
      <c r="Q66" s="236"/>
      <c r="R66" s="280"/>
      <c r="S66" s="179">
        <f t="shared" si="16"/>
        <v>4859.3864915304011</v>
      </c>
      <c r="T66" s="259"/>
      <c r="U66" s="179">
        <f t="shared" si="17"/>
        <v>150</v>
      </c>
      <c r="V66" s="259"/>
      <c r="W66" s="179">
        <f t="shared" si="18"/>
        <v>0</v>
      </c>
      <c r="X66" s="259"/>
      <c r="Y66" s="179">
        <f t="shared" si="19"/>
        <v>1022.73</v>
      </c>
      <c r="Z66" s="259"/>
      <c r="AA66" s="179">
        <f t="shared" si="20"/>
        <v>40</v>
      </c>
      <c r="AB66" s="259"/>
      <c r="AC66" s="179">
        <f t="shared" si="21"/>
        <v>1394.266018065</v>
      </c>
      <c r="AD66" s="238">
        <f t="shared" si="46"/>
        <v>0</v>
      </c>
      <c r="AE66" s="179">
        <f t="shared" si="22"/>
        <v>2456.996018065</v>
      </c>
      <c r="AF66" s="264"/>
      <c r="AG66" s="179">
        <f t="shared" si="23"/>
        <v>1000</v>
      </c>
      <c r="AH66" s="268"/>
      <c r="AI66" s="179">
        <f t="shared" si="24"/>
        <v>0</v>
      </c>
      <c r="AJ66" s="268"/>
      <c r="AK66" s="179">
        <f t="shared" si="25"/>
        <v>22.73</v>
      </c>
      <c r="AL66" s="268"/>
      <c r="AM66" s="179">
        <f t="shared" si="26"/>
        <v>0</v>
      </c>
      <c r="AN66" s="268"/>
      <c r="AO66" s="179">
        <f t="shared" si="27"/>
        <v>0</v>
      </c>
      <c r="AP66" s="268"/>
      <c r="AQ66" s="179">
        <f t="shared" si="28"/>
        <v>0</v>
      </c>
      <c r="AR66" s="273"/>
      <c r="AS66" s="305">
        <f t="shared" si="29"/>
        <v>0</v>
      </c>
      <c r="AT66" s="273"/>
      <c r="AU66" s="305">
        <f t="shared" si="30"/>
        <v>0</v>
      </c>
    </row>
    <row r="67" spans="1:47" s="34" customFormat="1" hidden="1" x14ac:dyDescent="0.25">
      <c r="A67" s="87"/>
      <c r="B67" s="42"/>
      <c r="C67" s="41"/>
      <c r="D67" s="41"/>
      <c r="E67" s="40"/>
      <c r="F67" s="40"/>
      <c r="G67" s="40"/>
      <c r="H67" s="40"/>
      <c r="I67" s="160"/>
      <c r="J67" s="41"/>
      <c r="K67" s="41"/>
      <c r="L67" s="41"/>
      <c r="M67" s="41"/>
      <c r="N67" s="41"/>
      <c r="O67" s="41"/>
      <c r="P67" s="188"/>
      <c r="Q67" s="236"/>
      <c r="R67" s="280"/>
      <c r="S67" s="179">
        <f t="shared" ref="S67:S130" si="47">S66+R67</f>
        <v>4859.3864915304011</v>
      </c>
      <c r="T67" s="259"/>
      <c r="U67" s="179">
        <f t="shared" si="17"/>
        <v>150</v>
      </c>
      <c r="V67" s="259"/>
      <c r="W67" s="179">
        <f t="shared" ref="W67:W130" si="48">W66+V67</f>
        <v>0</v>
      </c>
      <c r="X67" s="259"/>
      <c r="Y67" s="179">
        <f t="shared" ref="Y67:Y130" si="49">Y66+X67</f>
        <v>1022.73</v>
      </c>
      <c r="Z67" s="259"/>
      <c r="AA67" s="179">
        <f t="shared" ref="AA67:AA130" si="50">AA66+Z67</f>
        <v>40</v>
      </c>
      <c r="AB67" s="259"/>
      <c r="AC67" s="179">
        <f t="shared" ref="AC67:AC130" si="51">AC66+AB67</f>
        <v>1394.266018065</v>
      </c>
      <c r="AD67" s="238">
        <f t="shared" si="46"/>
        <v>0</v>
      </c>
      <c r="AE67" s="179">
        <f t="shared" ref="AE67:AE130" si="52">AE66+AD67</f>
        <v>2456.996018065</v>
      </c>
      <c r="AF67" s="264"/>
      <c r="AG67" s="179">
        <f t="shared" ref="AG67:AG130" si="53">AG66+AF67</f>
        <v>1000</v>
      </c>
      <c r="AH67" s="268"/>
      <c r="AI67" s="179">
        <f t="shared" ref="AI67:AI130" si="54">AI66+AH67</f>
        <v>0</v>
      </c>
      <c r="AJ67" s="268"/>
      <c r="AK67" s="179">
        <f t="shared" ref="AK67:AK130" si="55">AK66+AJ67</f>
        <v>22.73</v>
      </c>
      <c r="AL67" s="268"/>
      <c r="AM67" s="179">
        <f t="shared" ref="AM67:AM130" si="56">AM66+AL67</f>
        <v>0</v>
      </c>
      <c r="AN67" s="268"/>
      <c r="AO67" s="179">
        <f t="shared" ref="AO67:AO130" si="57">AO66+AN67</f>
        <v>0</v>
      </c>
      <c r="AP67" s="268"/>
      <c r="AQ67" s="179">
        <f t="shared" si="28"/>
        <v>0</v>
      </c>
      <c r="AR67" s="273"/>
      <c r="AS67" s="305">
        <f t="shared" ref="AS67:AS130" si="58">AS66+AR67</f>
        <v>0</v>
      </c>
      <c r="AT67" s="273"/>
      <c r="AU67" s="305">
        <f t="shared" ref="AU67:AU130" si="59">AU66+AT67</f>
        <v>0</v>
      </c>
    </row>
    <row r="68" spans="1:47" s="34" customFormat="1" hidden="1" x14ac:dyDescent="0.25">
      <c r="A68" s="87"/>
      <c r="B68" s="42"/>
      <c r="C68" s="41"/>
      <c r="D68" s="41"/>
      <c r="E68" s="40"/>
      <c r="F68" s="40"/>
      <c r="G68" s="40"/>
      <c r="H68" s="40"/>
      <c r="I68" s="160"/>
      <c r="J68" s="41"/>
      <c r="K68" s="41"/>
      <c r="L68" s="41"/>
      <c r="M68" s="41"/>
      <c r="N68" s="41"/>
      <c r="O68" s="41"/>
      <c r="P68" s="188"/>
      <c r="Q68" s="236"/>
      <c r="R68" s="280"/>
      <c r="S68" s="179">
        <f t="shared" si="47"/>
        <v>4859.3864915304011</v>
      </c>
      <c r="T68" s="259"/>
      <c r="U68" s="179">
        <f t="shared" si="17"/>
        <v>150</v>
      </c>
      <c r="V68" s="259"/>
      <c r="W68" s="179">
        <f t="shared" si="48"/>
        <v>0</v>
      </c>
      <c r="X68" s="259"/>
      <c r="Y68" s="179">
        <f t="shared" si="49"/>
        <v>1022.73</v>
      </c>
      <c r="Z68" s="259"/>
      <c r="AA68" s="179">
        <f t="shared" si="50"/>
        <v>40</v>
      </c>
      <c r="AB68" s="259"/>
      <c r="AC68" s="179">
        <f t="shared" si="51"/>
        <v>1394.266018065</v>
      </c>
      <c r="AD68" s="238">
        <f t="shared" si="46"/>
        <v>0</v>
      </c>
      <c r="AE68" s="179">
        <f t="shared" si="52"/>
        <v>2456.996018065</v>
      </c>
      <c r="AF68" s="264"/>
      <c r="AG68" s="179">
        <f t="shared" si="53"/>
        <v>1000</v>
      </c>
      <c r="AH68" s="268"/>
      <c r="AI68" s="179">
        <f t="shared" si="54"/>
        <v>0</v>
      </c>
      <c r="AJ68" s="268"/>
      <c r="AK68" s="179">
        <f t="shared" si="55"/>
        <v>22.73</v>
      </c>
      <c r="AL68" s="268"/>
      <c r="AM68" s="179">
        <f t="shared" si="56"/>
        <v>0</v>
      </c>
      <c r="AN68" s="268"/>
      <c r="AO68" s="179">
        <f t="shared" si="57"/>
        <v>0</v>
      </c>
      <c r="AP68" s="268"/>
      <c r="AQ68" s="179">
        <f t="shared" si="28"/>
        <v>0</v>
      </c>
      <c r="AR68" s="273"/>
      <c r="AS68" s="305">
        <f t="shared" si="58"/>
        <v>0</v>
      </c>
      <c r="AT68" s="273"/>
      <c r="AU68" s="305">
        <f t="shared" si="59"/>
        <v>0</v>
      </c>
    </row>
    <row r="69" spans="1:47" s="34" customFormat="1" hidden="1" x14ac:dyDescent="0.25">
      <c r="A69" s="87"/>
      <c r="B69" s="42"/>
      <c r="C69" s="41"/>
      <c r="D69" s="41"/>
      <c r="E69" s="40"/>
      <c r="F69" s="40"/>
      <c r="G69" s="40"/>
      <c r="H69" s="40"/>
      <c r="I69" s="160"/>
      <c r="J69" s="41"/>
      <c r="K69" s="41"/>
      <c r="L69" s="41"/>
      <c r="M69" s="41"/>
      <c r="N69" s="41"/>
      <c r="O69" s="41"/>
      <c r="P69" s="188"/>
      <c r="Q69" s="236"/>
      <c r="R69" s="280"/>
      <c r="S69" s="179">
        <f t="shared" si="47"/>
        <v>4859.3864915304011</v>
      </c>
      <c r="T69" s="259"/>
      <c r="U69" s="179">
        <f t="shared" ref="U69:U132" si="60">U68+T69</f>
        <v>150</v>
      </c>
      <c r="V69" s="259"/>
      <c r="W69" s="179">
        <f t="shared" si="48"/>
        <v>0</v>
      </c>
      <c r="X69" s="259"/>
      <c r="Y69" s="179">
        <f t="shared" si="49"/>
        <v>1022.73</v>
      </c>
      <c r="Z69" s="259"/>
      <c r="AA69" s="179">
        <f t="shared" si="50"/>
        <v>40</v>
      </c>
      <c r="AB69" s="259"/>
      <c r="AC69" s="179">
        <f t="shared" si="51"/>
        <v>1394.266018065</v>
      </c>
      <c r="AD69" s="238">
        <f t="shared" si="46"/>
        <v>0</v>
      </c>
      <c r="AE69" s="179">
        <f t="shared" si="52"/>
        <v>2456.996018065</v>
      </c>
      <c r="AF69" s="264"/>
      <c r="AG69" s="179">
        <f t="shared" si="53"/>
        <v>1000</v>
      </c>
      <c r="AH69" s="268"/>
      <c r="AI69" s="179">
        <f t="shared" si="54"/>
        <v>0</v>
      </c>
      <c r="AJ69" s="268"/>
      <c r="AK69" s="179">
        <f t="shared" si="55"/>
        <v>22.73</v>
      </c>
      <c r="AL69" s="268"/>
      <c r="AM69" s="179">
        <f t="shared" si="56"/>
        <v>0</v>
      </c>
      <c r="AN69" s="268"/>
      <c r="AO69" s="179">
        <f t="shared" si="57"/>
        <v>0</v>
      </c>
      <c r="AP69" s="268"/>
      <c r="AQ69" s="179">
        <f t="shared" ref="AQ69:AQ132" si="61">AQ68+AP69</f>
        <v>0</v>
      </c>
      <c r="AR69" s="273"/>
      <c r="AS69" s="305">
        <f t="shared" si="58"/>
        <v>0</v>
      </c>
      <c r="AT69" s="273"/>
      <c r="AU69" s="305">
        <f t="shared" si="59"/>
        <v>0</v>
      </c>
    </row>
    <row r="70" spans="1:47" s="34" customFormat="1" hidden="1" x14ac:dyDescent="0.25">
      <c r="A70" s="87"/>
      <c r="B70" s="42"/>
      <c r="C70" s="41"/>
      <c r="D70" s="41"/>
      <c r="E70" s="40"/>
      <c r="F70" s="40"/>
      <c r="G70" s="40"/>
      <c r="H70" s="40"/>
      <c r="I70" s="160"/>
      <c r="J70" s="41"/>
      <c r="K70" s="41"/>
      <c r="L70" s="41"/>
      <c r="M70" s="41"/>
      <c r="N70" s="41"/>
      <c r="O70" s="41"/>
      <c r="P70" s="188"/>
      <c r="Q70" s="236"/>
      <c r="R70" s="280"/>
      <c r="S70" s="179">
        <f t="shared" si="47"/>
        <v>4859.3864915304011</v>
      </c>
      <c r="T70" s="259"/>
      <c r="U70" s="179">
        <f t="shared" si="60"/>
        <v>150</v>
      </c>
      <c r="V70" s="259"/>
      <c r="W70" s="179">
        <f t="shared" si="48"/>
        <v>0</v>
      </c>
      <c r="X70" s="259"/>
      <c r="Y70" s="179">
        <f t="shared" si="49"/>
        <v>1022.73</v>
      </c>
      <c r="Z70" s="259"/>
      <c r="AA70" s="179">
        <f t="shared" si="50"/>
        <v>40</v>
      </c>
      <c r="AB70" s="259"/>
      <c r="AC70" s="179">
        <f t="shared" si="51"/>
        <v>1394.266018065</v>
      </c>
      <c r="AD70" s="238">
        <f t="shared" si="46"/>
        <v>0</v>
      </c>
      <c r="AE70" s="179">
        <f t="shared" si="52"/>
        <v>2456.996018065</v>
      </c>
      <c r="AF70" s="264"/>
      <c r="AG70" s="179">
        <f t="shared" si="53"/>
        <v>1000</v>
      </c>
      <c r="AH70" s="268"/>
      <c r="AI70" s="179">
        <f t="shared" si="54"/>
        <v>0</v>
      </c>
      <c r="AJ70" s="268"/>
      <c r="AK70" s="179">
        <f t="shared" si="55"/>
        <v>22.73</v>
      </c>
      <c r="AL70" s="268"/>
      <c r="AM70" s="179">
        <f t="shared" si="56"/>
        <v>0</v>
      </c>
      <c r="AN70" s="268"/>
      <c r="AO70" s="179">
        <f t="shared" si="57"/>
        <v>0</v>
      </c>
      <c r="AP70" s="268"/>
      <c r="AQ70" s="179">
        <f t="shared" si="61"/>
        <v>0</v>
      </c>
      <c r="AR70" s="273"/>
      <c r="AS70" s="305">
        <f t="shared" si="58"/>
        <v>0</v>
      </c>
      <c r="AT70" s="273"/>
      <c r="AU70" s="305">
        <f t="shared" si="59"/>
        <v>0</v>
      </c>
    </row>
    <row r="71" spans="1:47" s="34" customFormat="1" hidden="1" x14ac:dyDescent="0.25">
      <c r="A71" s="87"/>
      <c r="B71" s="42"/>
      <c r="C71" s="41"/>
      <c r="D71" s="41"/>
      <c r="E71" s="40"/>
      <c r="F71" s="40"/>
      <c r="G71" s="40"/>
      <c r="H71" s="40"/>
      <c r="I71" s="160"/>
      <c r="J71" s="41"/>
      <c r="K71" s="41"/>
      <c r="L71" s="41"/>
      <c r="M71" s="41"/>
      <c r="N71" s="41"/>
      <c r="O71" s="41"/>
      <c r="P71" s="188"/>
      <c r="Q71" s="236"/>
      <c r="R71" s="280"/>
      <c r="S71" s="179">
        <f t="shared" si="47"/>
        <v>4859.3864915304011</v>
      </c>
      <c r="T71" s="259"/>
      <c r="U71" s="179">
        <f t="shared" si="60"/>
        <v>150</v>
      </c>
      <c r="V71" s="259"/>
      <c r="W71" s="179">
        <f t="shared" si="48"/>
        <v>0</v>
      </c>
      <c r="X71" s="259"/>
      <c r="Y71" s="179">
        <f t="shared" si="49"/>
        <v>1022.73</v>
      </c>
      <c r="Z71" s="259"/>
      <c r="AA71" s="179">
        <f t="shared" si="50"/>
        <v>40</v>
      </c>
      <c r="AB71" s="259"/>
      <c r="AC71" s="179">
        <f t="shared" si="51"/>
        <v>1394.266018065</v>
      </c>
      <c r="AD71" s="238">
        <f t="shared" si="46"/>
        <v>0</v>
      </c>
      <c r="AE71" s="179">
        <f t="shared" si="52"/>
        <v>2456.996018065</v>
      </c>
      <c r="AF71" s="264"/>
      <c r="AG71" s="179">
        <f t="shared" si="53"/>
        <v>1000</v>
      </c>
      <c r="AH71" s="268"/>
      <c r="AI71" s="179">
        <f t="shared" si="54"/>
        <v>0</v>
      </c>
      <c r="AJ71" s="268"/>
      <c r="AK71" s="179">
        <f t="shared" si="55"/>
        <v>22.73</v>
      </c>
      <c r="AL71" s="268"/>
      <c r="AM71" s="179">
        <f t="shared" si="56"/>
        <v>0</v>
      </c>
      <c r="AN71" s="268"/>
      <c r="AO71" s="179">
        <f t="shared" si="57"/>
        <v>0</v>
      </c>
      <c r="AP71" s="268"/>
      <c r="AQ71" s="179">
        <f t="shared" si="61"/>
        <v>0</v>
      </c>
      <c r="AR71" s="273"/>
      <c r="AS71" s="305">
        <f t="shared" si="58"/>
        <v>0</v>
      </c>
      <c r="AT71" s="273"/>
      <c r="AU71" s="305">
        <f t="shared" si="59"/>
        <v>0</v>
      </c>
    </row>
    <row r="72" spans="1:47" s="34" customFormat="1" hidden="1" x14ac:dyDescent="0.25">
      <c r="A72" s="87"/>
      <c r="B72" s="42"/>
      <c r="C72" s="41"/>
      <c r="D72" s="41"/>
      <c r="E72" s="40"/>
      <c r="F72" s="40"/>
      <c r="G72" s="40"/>
      <c r="H72" s="40"/>
      <c r="I72" s="160"/>
      <c r="J72" s="41"/>
      <c r="K72" s="41"/>
      <c r="L72" s="41"/>
      <c r="M72" s="41"/>
      <c r="N72" s="41"/>
      <c r="O72" s="41"/>
      <c r="P72" s="188"/>
      <c r="Q72" s="236"/>
      <c r="R72" s="280"/>
      <c r="S72" s="179">
        <f t="shared" si="47"/>
        <v>4859.3864915304011</v>
      </c>
      <c r="T72" s="259"/>
      <c r="U72" s="179">
        <f t="shared" si="60"/>
        <v>150</v>
      </c>
      <c r="V72" s="259"/>
      <c r="W72" s="179">
        <f t="shared" si="48"/>
        <v>0</v>
      </c>
      <c r="X72" s="259"/>
      <c r="Y72" s="179">
        <f t="shared" si="49"/>
        <v>1022.73</v>
      </c>
      <c r="Z72" s="259"/>
      <c r="AA72" s="179">
        <f t="shared" si="50"/>
        <v>40</v>
      </c>
      <c r="AB72" s="259"/>
      <c r="AC72" s="179">
        <f t="shared" si="51"/>
        <v>1394.266018065</v>
      </c>
      <c r="AD72" s="238">
        <f t="shared" si="46"/>
        <v>0</v>
      </c>
      <c r="AE72" s="179">
        <f t="shared" si="52"/>
        <v>2456.996018065</v>
      </c>
      <c r="AF72" s="264"/>
      <c r="AG72" s="179">
        <f t="shared" si="53"/>
        <v>1000</v>
      </c>
      <c r="AH72" s="268"/>
      <c r="AI72" s="179">
        <f t="shared" si="54"/>
        <v>0</v>
      </c>
      <c r="AJ72" s="268"/>
      <c r="AK72" s="179">
        <f t="shared" si="55"/>
        <v>22.73</v>
      </c>
      <c r="AL72" s="268"/>
      <c r="AM72" s="179">
        <f t="shared" si="56"/>
        <v>0</v>
      </c>
      <c r="AN72" s="268"/>
      <c r="AO72" s="179">
        <f t="shared" si="57"/>
        <v>0</v>
      </c>
      <c r="AP72" s="268"/>
      <c r="AQ72" s="179">
        <f t="shared" si="61"/>
        <v>0</v>
      </c>
      <c r="AR72" s="273"/>
      <c r="AS72" s="305">
        <f t="shared" si="58"/>
        <v>0</v>
      </c>
      <c r="AT72" s="273"/>
      <c r="AU72" s="305">
        <f t="shared" si="59"/>
        <v>0</v>
      </c>
    </row>
    <row r="73" spans="1:47" s="34" customFormat="1" hidden="1" x14ac:dyDescent="0.25">
      <c r="A73" s="87"/>
      <c r="B73" s="42"/>
      <c r="C73" s="41"/>
      <c r="D73" s="41"/>
      <c r="E73" s="40"/>
      <c r="F73" s="40"/>
      <c r="G73" s="40"/>
      <c r="H73" s="40"/>
      <c r="I73" s="160"/>
      <c r="J73" s="41"/>
      <c r="K73" s="41"/>
      <c r="L73" s="41"/>
      <c r="M73" s="41"/>
      <c r="N73" s="41"/>
      <c r="O73" s="41"/>
      <c r="P73" s="188"/>
      <c r="Q73" s="236"/>
      <c r="R73" s="280"/>
      <c r="S73" s="179">
        <f t="shared" si="47"/>
        <v>4859.3864915304011</v>
      </c>
      <c r="T73" s="259"/>
      <c r="U73" s="179">
        <f t="shared" si="60"/>
        <v>150</v>
      </c>
      <c r="V73" s="259"/>
      <c r="W73" s="179">
        <f t="shared" si="48"/>
        <v>0</v>
      </c>
      <c r="X73" s="259"/>
      <c r="Y73" s="179">
        <f t="shared" si="49"/>
        <v>1022.73</v>
      </c>
      <c r="Z73" s="259"/>
      <c r="AA73" s="179">
        <f t="shared" si="50"/>
        <v>40</v>
      </c>
      <c r="AB73" s="259"/>
      <c r="AC73" s="179">
        <f t="shared" si="51"/>
        <v>1394.266018065</v>
      </c>
      <c r="AD73" s="238">
        <f t="shared" si="46"/>
        <v>0</v>
      </c>
      <c r="AE73" s="179">
        <f t="shared" si="52"/>
        <v>2456.996018065</v>
      </c>
      <c r="AF73" s="264"/>
      <c r="AG73" s="179">
        <f t="shared" si="53"/>
        <v>1000</v>
      </c>
      <c r="AH73" s="268"/>
      <c r="AI73" s="179">
        <f t="shared" si="54"/>
        <v>0</v>
      </c>
      <c r="AJ73" s="268"/>
      <c r="AK73" s="179">
        <f t="shared" si="55"/>
        <v>22.73</v>
      </c>
      <c r="AL73" s="268"/>
      <c r="AM73" s="179">
        <f t="shared" si="56"/>
        <v>0</v>
      </c>
      <c r="AN73" s="268"/>
      <c r="AO73" s="179">
        <f t="shared" si="57"/>
        <v>0</v>
      </c>
      <c r="AP73" s="268"/>
      <c r="AQ73" s="179">
        <f t="shared" si="61"/>
        <v>0</v>
      </c>
      <c r="AR73" s="273"/>
      <c r="AS73" s="305">
        <f t="shared" si="58"/>
        <v>0</v>
      </c>
      <c r="AT73" s="273"/>
      <c r="AU73" s="305">
        <f t="shared" si="59"/>
        <v>0</v>
      </c>
    </row>
    <row r="74" spans="1:47" s="34" customFormat="1" hidden="1" x14ac:dyDescent="0.25">
      <c r="A74" s="87"/>
      <c r="B74" s="42"/>
      <c r="C74" s="41"/>
      <c r="D74" s="41"/>
      <c r="E74" s="40"/>
      <c r="F74" s="40"/>
      <c r="G74" s="40"/>
      <c r="H74" s="40"/>
      <c r="I74" s="160"/>
      <c r="J74" s="41"/>
      <c r="K74" s="41"/>
      <c r="L74" s="41"/>
      <c r="M74" s="41"/>
      <c r="N74" s="41"/>
      <c r="O74" s="41"/>
      <c r="P74" s="188"/>
      <c r="Q74" s="236"/>
      <c r="R74" s="280"/>
      <c r="S74" s="179">
        <f t="shared" si="47"/>
        <v>4859.3864915304011</v>
      </c>
      <c r="T74" s="259"/>
      <c r="U74" s="179">
        <f t="shared" si="60"/>
        <v>150</v>
      </c>
      <c r="V74" s="259"/>
      <c r="W74" s="179">
        <f t="shared" si="48"/>
        <v>0</v>
      </c>
      <c r="X74" s="259"/>
      <c r="Y74" s="179">
        <f t="shared" si="49"/>
        <v>1022.73</v>
      </c>
      <c r="Z74" s="259"/>
      <c r="AA74" s="179">
        <f t="shared" si="50"/>
        <v>40</v>
      </c>
      <c r="AB74" s="259"/>
      <c r="AC74" s="179">
        <f t="shared" si="51"/>
        <v>1394.266018065</v>
      </c>
      <c r="AD74" s="238">
        <f t="shared" si="46"/>
        <v>0</v>
      </c>
      <c r="AE74" s="179">
        <f t="shared" si="52"/>
        <v>2456.996018065</v>
      </c>
      <c r="AF74" s="264"/>
      <c r="AG74" s="179">
        <f t="shared" si="53"/>
        <v>1000</v>
      </c>
      <c r="AH74" s="268"/>
      <c r="AI74" s="179">
        <f t="shared" si="54"/>
        <v>0</v>
      </c>
      <c r="AJ74" s="268"/>
      <c r="AK74" s="179">
        <f t="shared" si="55"/>
        <v>22.73</v>
      </c>
      <c r="AL74" s="268"/>
      <c r="AM74" s="179">
        <f t="shared" si="56"/>
        <v>0</v>
      </c>
      <c r="AN74" s="268"/>
      <c r="AO74" s="179">
        <f t="shared" si="57"/>
        <v>0</v>
      </c>
      <c r="AP74" s="268"/>
      <c r="AQ74" s="179">
        <f t="shared" si="61"/>
        <v>0</v>
      </c>
      <c r="AR74" s="273"/>
      <c r="AS74" s="305">
        <f t="shared" si="58"/>
        <v>0</v>
      </c>
      <c r="AT74" s="273"/>
      <c r="AU74" s="305">
        <f t="shared" si="59"/>
        <v>0</v>
      </c>
    </row>
    <row r="75" spans="1:47" s="34" customFormat="1" hidden="1" x14ac:dyDescent="0.25">
      <c r="A75" s="87"/>
      <c r="B75" s="42"/>
      <c r="C75" s="41"/>
      <c r="D75" s="41"/>
      <c r="E75" s="40"/>
      <c r="F75" s="40"/>
      <c r="G75" s="40"/>
      <c r="H75" s="40"/>
      <c r="I75" s="160"/>
      <c r="J75" s="41"/>
      <c r="K75" s="41"/>
      <c r="L75" s="41"/>
      <c r="M75" s="41"/>
      <c r="N75" s="41"/>
      <c r="O75" s="41"/>
      <c r="P75" s="188"/>
      <c r="Q75" s="236"/>
      <c r="R75" s="280"/>
      <c r="S75" s="179">
        <f t="shared" si="47"/>
        <v>4859.3864915304011</v>
      </c>
      <c r="T75" s="259"/>
      <c r="U75" s="179">
        <f t="shared" si="60"/>
        <v>150</v>
      </c>
      <c r="V75" s="259"/>
      <c r="W75" s="179">
        <f t="shared" si="48"/>
        <v>0</v>
      </c>
      <c r="X75" s="259"/>
      <c r="Y75" s="179">
        <f t="shared" si="49"/>
        <v>1022.73</v>
      </c>
      <c r="Z75" s="259"/>
      <c r="AA75" s="179">
        <f t="shared" si="50"/>
        <v>40</v>
      </c>
      <c r="AB75" s="259"/>
      <c r="AC75" s="179">
        <f t="shared" si="51"/>
        <v>1394.266018065</v>
      </c>
      <c r="AD75" s="238">
        <f t="shared" si="46"/>
        <v>0</v>
      </c>
      <c r="AE75" s="179">
        <f t="shared" si="52"/>
        <v>2456.996018065</v>
      </c>
      <c r="AF75" s="264"/>
      <c r="AG75" s="179">
        <f t="shared" si="53"/>
        <v>1000</v>
      </c>
      <c r="AH75" s="268"/>
      <c r="AI75" s="179">
        <f t="shared" si="54"/>
        <v>0</v>
      </c>
      <c r="AJ75" s="268"/>
      <c r="AK75" s="179">
        <f t="shared" si="55"/>
        <v>22.73</v>
      </c>
      <c r="AL75" s="268"/>
      <c r="AM75" s="179">
        <f t="shared" si="56"/>
        <v>0</v>
      </c>
      <c r="AN75" s="268"/>
      <c r="AO75" s="179">
        <f t="shared" si="57"/>
        <v>0</v>
      </c>
      <c r="AP75" s="268"/>
      <c r="AQ75" s="179">
        <f t="shared" si="61"/>
        <v>0</v>
      </c>
      <c r="AR75" s="273"/>
      <c r="AS75" s="305">
        <f t="shared" si="58"/>
        <v>0</v>
      </c>
      <c r="AT75" s="273"/>
      <c r="AU75" s="305">
        <f t="shared" si="59"/>
        <v>0</v>
      </c>
    </row>
    <row r="76" spans="1:47" s="34" customFormat="1" hidden="1" x14ac:dyDescent="0.25">
      <c r="A76" s="87"/>
      <c r="B76" s="42"/>
      <c r="C76" s="41"/>
      <c r="D76" s="41"/>
      <c r="E76" s="40"/>
      <c r="F76" s="40"/>
      <c r="G76" s="40"/>
      <c r="H76" s="40"/>
      <c r="I76" s="160"/>
      <c r="J76" s="41"/>
      <c r="K76" s="41"/>
      <c r="L76" s="41"/>
      <c r="M76" s="41"/>
      <c r="N76" s="41"/>
      <c r="O76" s="41"/>
      <c r="P76" s="188"/>
      <c r="Q76" s="236"/>
      <c r="R76" s="280"/>
      <c r="S76" s="179">
        <f t="shared" si="47"/>
        <v>4859.3864915304011</v>
      </c>
      <c r="T76" s="259"/>
      <c r="U76" s="179">
        <f t="shared" si="60"/>
        <v>150</v>
      </c>
      <c r="V76" s="259"/>
      <c r="W76" s="179">
        <f t="shared" si="48"/>
        <v>0</v>
      </c>
      <c r="X76" s="259"/>
      <c r="Y76" s="179">
        <f t="shared" si="49"/>
        <v>1022.73</v>
      </c>
      <c r="Z76" s="259"/>
      <c r="AA76" s="179">
        <f t="shared" si="50"/>
        <v>40</v>
      </c>
      <c r="AB76" s="259"/>
      <c r="AC76" s="179">
        <f t="shared" si="51"/>
        <v>1394.266018065</v>
      </c>
      <c r="AD76" s="238">
        <f t="shared" si="46"/>
        <v>0</v>
      </c>
      <c r="AE76" s="179">
        <f t="shared" si="52"/>
        <v>2456.996018065</v>
      </c>
      <c r="AF76" s="264"/>
      <c r="AG76" s="179">
        <f t="shared" si="53"/>
        <v>1000</v>
      </c>
      <c r="AH76" s="268"/>
      <c r="AI76" s="179">
        <f t="shared" si="54"/>
        <v>0</v>
      </c>
      <c r="AJ76" s="268"/>
      <c r="AK76" s="179">
        <f t="shared" si="55"/>
        <v>22.73</v>
      </c>
      <c r="AL76" s="268"/>
      <c r="AM76" s="179">
        <f t="shared" si="56"/>
        <v>0</v>
      </c>
      <c r="AN76" s="268"/>
      <c r="AO76" s="179">
        <f t="shared" si="57"/>
        <v>0</v>
      </c>
      <c r="AP76" s="268"/>
      <c r="AQ76" s="179">
        <f t="shared" si="61"/>
        <v>0</v>
      </c>
      <c r="AR76" s="273"/>
      <c r="AS76" s="305">
        <f t="shared" si="58"/>
        <v>0</v>
      </c>
      <c r="AT76" s="273"/>
      <c r="AU76" s="305">
        <f t="shared" si="59"/>
        <v>0</v>
      </c>
    </row>
    <row r="77" spans="1:47" s="34" customFormat="1" hidden="1" x14ac:dyDescent="0.25">
      <c r="A77" s="87"/>
      <c r="B77" s="42"/>
      <c r="C77" s="41"/>
      <c r="D77" s="41"/>
      <c r="E77" s="40"/>
      <c r="F77" s="40"/>
      <c r="G77" s="40"/>
      <c r="H77" s="40"/>
      <c r="I77" s="160"/>
      <c r="J77" s="41"/>
      <c r="K77" s="41"/>
      <c r="L77" s="41"/>
      <c r="M77" s="41"/>
      <c r="N77" s="41"/>
      <c r="O77" s="41"/>
      <c r="P77" s="188"/>
      <c r="Q77" s="236"/>
      <c r="R77" s="280"/>
      <c r="S77" s="179">
        <f t="shared" si="47"/>
        <v>4859.3864915304011</v>
      </c>
      <c r="T77" s="259"/>
      <c r="U77" s="179">
        <f t="shared" si="60"/>
        <v>150</v>
      </c>
      <c r="V77" s="259"/>
      <c r="W77" s="179">
        <f t="shared" si="48"/>
        <v>0</v>
      </c>
      <c r="X77" s="259"/>
      <c r="Y77" s="179">
        <f t="shared" si="49"/>
        <v>1022.73</v>
      </c>
      <c r="Z77" s="259"/>
      <c r="AA77" s="179">
        <f t="shared" si="50"/>
        <v>40</v>
      </c>
      <c r="AB77" s="259"/>
      <c r="AC77" s="179">
        <f t="shared" si="51"/>
        <v>1394.266018065</v>
      </c>
      <c r="AD77" s="238">
        <f t="shared" si="46"/>
        <v>0</v>
      </c>
      <c r="AE77" s="179">
        <f t="shared" si="52"/>
        <v>2456.996018065</v>
      </c>
      <c r="AF77" s="264"/>
      <c r="AG77" s="179">
        <f t="shared" si="53"/>
        <v>1000</v>
      </c>
      <c r="AH77" s="268"/>
      <c r="AI77" s="179">
        <f t="shared" si="54"/>
        <v>0</v>
      </c>
      <c r="AJ77" s="268"/>
      <c r="AK77" s="179">
        <f t="shared" si="55"/>
        <v>22.73</v>
      </c>
      <c r="AL77" s="268"/>
      <c r="AM77" s="179">
        <f t="shared" si="56"/>
        <v>0</v>
      </c>
      <c r="AN77" s="268"/>
      <c r="AO77" s="179">
        <f t="shared" si="57"/>
        <v>0</v>
      </c>
      <c r="AP77" s="268"/>
      <c r="AQ77" s="179">
        <f t="shared" si="61"/>
        <v>0</v>
      </c>
      <c r="AR77" s="273"/>
      <c r="AS77" s="305">
        <f t="shared" si="58"/>
        <v>0</v>
      </c>
      <c r="AT77" s="273"/>
      <c r="AU77" s="305">
        <f t="shared" si="59"/>
        <v>0</v>
      </c>
    </row>
    <row r="78" spans="1:47" s="34" customFormat="1" hidden="1" x14ac:dyDescent="0.25">
      <c r="A78" s="87"/>
      <c r="B78" s="42"/>
      <c r="C78" s="41"/>
      <c r="D78" s="41"/>
      <c r="E78" s="40"/>
      <c r="F78" s="40"/>
      <c r="G78" s="40"/>
      <c r="H78" s="40"/>
      <c r="I78" s="160"/>
      <c r="J78" s="41"/>
      <c r="K78" s="41"/>
      <c r="L78" s="41"/>
      <c r="M78" s="41"/>
      <c r="N78" s="41"/>
      <c r="O78" s="41"/>
      <c r="P78" s="188"/>
      <c r="Q78" s="236"/>
      <c r="R78" s="280"/>
      <c r="S78" s="179">
        <f t="shared" si="47"/>
        <v>4859.3864915304011</v>
      </c>
      <c r="T78" s="259"/>
      <c r="U78" s="179">
        <f t="shared" si="60"/>
        <v>150</v>
      </c>
      <c r="V78" s="259"/>
      <c r="W78" s="179">
        <f t="shared" si="48"/>
        <v>0</v>
      </c>
      <c r="X78" s="259"/>
      <c r="Y78" s="179">
        <f t="shared" si="49"/>
        <v>1022.73</v>
      </c>
      <c r="Z78" s="259"/>
      <c r="AA78" s="179">
        <f t="shared" si="50"/>
        <v>40</v>
      </c>
      <c r="AB78" s="259"/>
      <c r="AC78" s="179">
        <f t="shared" si="51"/>
        <v>1394.266018065</v>
      </c>
      <c r="AD78" s="238">
        <f t="shared" si="46"/>
        <v>0</v>
      </c>
      <c r="AE78" s="179">
        <f t="shared" si="52"/>
        <v>2456.996018065</v>
      </c>
      <c r="AF78" s="264"/>
      <c r="AG78" s="179">
        <f t="shared" si="53"/>
        <v>1000</v>
      </c>
      <c r="AH78" s="268"/>
      <c r="AI78" s="179">
        <f t="shared" si="54"/>
        <v>0</v>
      </c>
      <c r="AJ78" s="268"/>
      <c r="AK78" s="179">
        <f t="shared" si="55"/>
        <v>22.73</v>
      </c>
      <c r="AL78" s="268"/>
      <c r="AM78" s="179">
        <f t="shared" si="56"/>
        <v>0</v>
      </c>
      <c r="AN78" s="268"/>
      <c r="AO78" s="179">
        <f t="shared" si="57"/>
        <v>0</v>
      </c>
      <c r="AP78" s="268"/>
      <c r="AQ78" s="179">
        <f t="shared" si="61"/>
        <v>0</v>
      </c>
      <c r="AR78" s="273"/>
      <c r="AS78" s="305">
        <f t="shared" si="58"/>
        <v>0</v>
      </c>
      <c r="AT78" s="273"/>
      <c r="AU78" s="305">
        <f t="shared" si="59"/>
        <v>0</v>
      </c>
    </row>
    <row r="79" spans="1:47" s="34" customFormat="1" hidden="1" x14ac:dyDescent="0.25">
      <c r="A79" s="87"/>
      <c r="B79" s="42"/>
      <c r="C79" s="41"/>
      <c r="D79" s="41"/>
      <c r="E79" s="40"/>
      <c r="F79" s="40"/>
      <c r="G79" s="40"/>
      <c r="H79" s="40"/>
      <c r="I79" s="160"/>
      <c r="J79" s="41"/>
      <c r="K79" s="41"/>
      <c r="L79" s="41"/>
      <c r="M79" s="41"/>
      <c r="N79" s="41"/>
      <c r="O79" s="41"/>
      <c r="P79" s="188"/>
      <c r="Q79" s="236"/>
      <c r="R79" s="280"/>
      <c r="S79" s="179">
        <f t="shared" si="47"/>
        <v>4859.3864915304011</v>
      </c>
      <c r="T79" s="259"/>
      <c r="U79" s="179">
        <f t="shared" si="60"/>
        <v>150</v>
      </c>
      <c r="V79" s="259"/>
      <c r="W79" s="179">
        <f t="shared" si="48"/>
        <v>0</v>
      </c>
      <c r="X79" s="259"/>
      <c r="Y79" s="179">
        <f t="shared" si="49"/>
        <v>1022.73</v>
      </c>
      <c r="Z79" s="259"/>
      <c r="AA79" s="179">
        <f t="shared" si="50"/>
        <v>40</v>
      </c>
      <c r="AB79" s="259"/>
      <c r="AC79" s="179">
        <f t="shared" si="51"/>
        <v>1394.266018065</v>
      </c>
      <c r="AD79" s="238">
        <f t="shared" si="46"/>
        <v>0</v>
      </c>
      <c r="AE79" s="179">
        <f t="shared" si="52"/>
        <v>2456.996018065</v>
      </c>
      <c r="AF79" s="264"/>
      <c r="AG79" s="179">
        <f t="shared" si="53"/>
        <v>1000</v>
      </c>
      <c r="AH79" s="268"/>
      <c r="AI79" s="179">
        <f t="shared" si="54"/>
        <v>0</v>
      </c>
      <c r="AJ79" s="268"/>
      <c r="AK79" s="179">
        <f t="shared" si="55"/>
        <v>22.73</v>
      </c>
      <c r="AL79" s="268"/>
      <c r="AM79" s="179">
        <f t="shared" si="56"/>
        <v>0</v>
      </c>
      <c r="AN79" s="268"/>
      <c r="AO79" s="179">
        <f t="shared" si="57"/>
        <v>0</v>
      </c>
      <c r="AP79" s="268"/>
      <c r="AQ79" s="179">
        <f t="shared" si="61"/>
        <v>0</v>
      </c>
      <c r="AR79" s="273"/>
      <c r="AS79" s="305">
        <f t="shared" si="58"/>
        <v>0</v>
      </c>
      <c r="AT79" s="273"/>
      <c r="AU79" s="305">
        <f t="shared" si="59"/>
        <v>0</v>
      </c>
    </row>
    <row r="80" spans="1:47" s="34" customFormat="1" hidden="1" x14ac:dyDescent="0.25">
      <c r="A80" s="87"/>
      <c r="B80" s="42"/>
      <c r="C80" s="41"/>
      <c r="D80" s="41"/>
      <c r="E80" s="40"/>
      <c r="F80" s="40"/>
      <c r="G80" s="40"/>
      <c r="H80" s="40"/>
      <c r="I80" s="160"/>
      <c r="J80" s="41"/>
      <c r="K80" s="41"/>
      <c r="L80" s="41"/>
      <c r="M80" s="41"/>
      <c r="N80" s="41"/>
      <c r="O80" s="41"/>
      <c r="P80" s="188"/>
      <c r="Q80" s="236"/>
      <c r="R80" s="280"/>
      <c r="S80" s="179">
        <f t="shared" si="47"/>
        <v>4859.3864915304011</v>
      </c>
      <c r="T80" s="259"/>
      <c r="U80" s="179">
        <f t="shared" si="60"/>
        <v>150</v>
      </c>
      <c r="V80" s="259"/>
      <c r="W80" s="179">
        <f t="shared" si="48"/>
        <v>0</v>
      </c>
      <c r="X80" s="259"/>
      <c r="Y80" s="179">
        <f t="shared" si="49"/>
        <v>1022.73</v>
      </c>
      <c r="Z80" s="259"/>
      <c r="AA80" s="179">
        <f t="shared" si="50"/>
        <v>40</v>
      </c>
      <c r="AB80" s="259"/>
      <c r="AC80" s="179">
        <f t="shared" si="51"/>
        <v>1394.266018065</v>
      </c>
      <c r="AD80" s="238">
        <f t="shared" si="46"/>
        <v>0</v>
      </c>
      <c r="AE80" s="179">
        <f t="shared" si="52"/>
        <v>2456.996018065</v>
      </c>
      <c r="AF80" s="264"/>
      <c r="AG80" s="179">
        <f t="shared" si="53"/>
        <v>1000</v>
      </c>
      <c r="AH80" s="268"/>
      <c r="AI80" s="179">
        <f t="shared" si="54"/>
        <v>0</v>
      </c>
      <c r="AJ80" s="268"/>
      <c r="AK80" s="179">
        <f t="shared" si="55"/>
        <v>22.73</v>
      </c>
      <c r="AL80" s="268"/>
      <c r="AM80" s="179">
        <f t="shared" si="56"/>
        <v>0</v>
      </c>
      <c r="AN80" s="268"/>
      <c r="AO80" s="179">
        <f t="shared" si="57"/>
        <v>0</v>
      </c>
      <c r="AP80" s="268"/>
      <c r="AQ80" s="179">
        <f t="shared" si="61"/>
        <v>0</v>
      </c>
      <c r="AR80" s="273"/>
      <c r="AS80" s="305">
        <f t="shared" si="58"/>
        <v>0</v>
      </c>
      <c r="AT80" s="273"/>
      <c r="AU80" s="305">
        <f t="shared" si="59"/>
        <v>0</v>
      </c>
    </row>
    <row r="81" spans="1:47" s="34" customFormat="1" hidden="1" x14ac:dyDescent="0.25">
      <c r="A81" s="87"/>
      <c r="B81" s="42"/>
      <c r="C81" s="41"/>
      <c r="D81" s="41"/>
      <c r="E81" s="40"/>
      <c r="F81" s="40"/>
      <c r="G81" s="40"/>
      <c r="H81" s="40"/>
      <c r="I81" s="160"/>
      <c r="J81" s="41"/>
      <c r="K81" s="41"/>
      <c r="L81" s="41"/>
      <c r="M81" s="41"/>
      <c r="N81" s="41"/>
      <c r="O81" s="41"/>
      <c r="P81" s="188"/>
      <c r="Q81" s="236"/>
      <c r="R81" s="280"/>
      <c r="S81" s="179">
        <f t="shared" si="47"/>
        <v>4859.3864915304011</v>
      </c>
      <c r="T81" s="259"/>
      <c r="U81" s="179">
        <f t="shared" si="60"/>
        <v>150</v>
      </c>
      <c r="V81" s="259"/>
      <c r="W81" s="179">
        <f t="shared" si="48"/>
        <v>0</v>
      </c>
      <c r="X81" s="259"/>
      <c r="Y81" s="179">
        <f t="shared" si="49"/>
        <v>1022.73</v>
      </c>
      <c r="Z81" s="259"/>
      <c r="AA81" s="179">
        <f t="shared" si="50"/>
        <v>40</v>
      </c>
      <c r="AB81" s="259"/>
      <c r="AC81" s="179">
        <f t="shared" si="51"/>
        <v>1394.266018065</v>
      </c>
      <c r="AD81" s="238">
        <f t="shared" si="46"/>
        <v>0</v>
      </c>
      <c r="AE81" s="179">
        <f t="shared" si="52"/>
        <v>2456.996018065</v>
      </c>
      <c r="AF81" s="264"/>
      <c r="AG81" s="179">
        <f t="shared" si="53"/>
        <v>1000</v>
      </c>
      <c r="AH81" s="268"/>
      <c r="AI81" s="179">
        <f t="shared" si="54"/>
        <v>0</v>
      </c>
      <c r="AJ81" s="268"/>
      <c r="AK81" s="179">
        <f t="shared" si="55"/>
        <v>22.73</v>
      </c>
      <c r="AL81" s="268"/>
      <c r="AM81" s="179">
        <f t="shared" si="56"/>
        <v>0</v>
      </c>
      <c r="AN81" s="268"/>
      <c r="AO81" s="179">
        <f t="shared" si="57"/>
        <v>0</v>
      </c>
      <c r="AP81" s="268"/>
      <c r="AQ81" s="179">
        <f t="shared" si="61"/>
        <v>0</v>
      </c>
      <c r="AR81" s="273"/>
      <c r="AS81" s="305">
        <f t="shared" si="58"/>
        <v>0</v>
      </c>
      <c r="AT81" s="273"/>
      <c r="AU81" s="305">
        <f t="shared" si="59"/>
        <v>0</v>
      </c>
    </row>
    <row r="82" spans="1:47" s="34" customFormat="1" hidden="1" x14ac:dyDescent="0.25">
      <c r="A82" s="87"/>
      <c r="B82" s="42"/>
      <c r="C82" s="41"/>
      <c r="D82" s="41"/>
      <c r="E82" s="40"/>
      <c r="F82" s="40"/>
      <c r="G82" s="40"/>
      <c r="H82" s="40"/>
      <c r="I82" s="160"/>
      <c r="J82" s="41"/>
      <c r="K82" s="41"/>
      <c r="L82" s="41"/>
      <c r="M82" s="41"/>
      <c r="N82" s="41"/>
      <c r="O82" s="41"/>
      <c r="P82" s="188"/>
      <c r="Q82" s="236"/>
      <c r="R82" s="280"/>
      <c r="S82" s="179">
        <f t="shared" si="47"/>
        <v>4859.3864915304011</v>
      </c>
      <c r="T82" s="259"/>
      <c r="U82" s="179">
        <f t="shared" si="60"/>
        <v>150</v>
      </c>
      <c r="V82" s="259"/>
      <c r="W82" s="179">
        <f t="shared" si="48"/>
        <v>0</v>
      </c>
      <c r="X82" s="259"/>
      <c r="Y82" s="179">
        <f t="shared" si="49"/>
        <v>1022.73</v>
      </c>
      <c r="Z82" s="259"/>
      <c r="AA82" s="179">
        <f t="shared" si="50"/>
        <v>40</v>
      </c>
      <c r="AB82" s="259"/>
      <c r="AC82" s="179">
        <f t="shared" si="51"/>
        <v>1394.266018065</v>
      </c>
      <c r="AD82" s="238">
        <f t="shared" si="46"/>
        <v>0</v>
      </c>
      <c r="AE82" s="179">
        <f t="shared" si="52"/>
        <v>2456.996018065</v>
      </c>
      <c r="AF82" s="264"/>
      <c r="AG82" s="179">
        <f t="shared" si="53"/>
        <v>1000</v>
      </c>
      <c r="AH82" s="268"/>
      <c r="AI82" s="179">
        <f t="shared" si="54"/>
        <v>0</v>
      </c>
      <c r="AJ82" s="268"/>
      <c r="AK82" s="179">
        <f t="shared" si="55"/>
        <v>22.73</v>
      </c>
      <c r="AL82" s="268"/>
      <c r="AM82" s="179">
        <f t="shared" si="56"/>
        <v>0</v>
      </c>
      <c r="AN82" s="268"/>
      <c r="AO82" s="179">
        <f t="shared" si="57"/>
        <v>0</v>
      </c>
      <c r="AP82" s="268"/>
      <c r="AQ82" s="179">
        <f t="shared" si="61"/>
        <v>0</v>
      </c>
      <c r="AR82" s="273"/>
      <c r="AS82" s="305">
        <f t="shared" si="58"/>
        <v>0</v>
      </c>
      <c r="AT82" s="273"/>
      <c r="AU82" s="305">
        <f t="shared" si="59"/>
        <v>0</v>
      </c>
    </row>
    <row r="83" spans="1:47" s="34" customFormat="1" hidden="1" x14ac:dyDescent="0.25">
      <c r="A83" s="87"/>
      <c r="B83" s="42"/>
      <c r="C83" s="41"/>
      <c r="D83" s="41"/>
      <c r="E83" s="40"/>
      <c r="F83" s="40"/>
      <c r="G83" s="40"/>
      <c r="H83" s="40"/>
      <c r="I83" s="160"/>
      <c r="J83" s="41"/>
      <c r="K83" s="41"/>
      <c r="L83" s="41"/>
      <c r="M83" s="41"/>
      <c r="N83" s="41"/>
      <c r="O83" s="41"/>
      <c r="P83" s="188"/>
      <c r="Q83" s="236"/>
      <c r="R83" s="280"/>
      <c r="S83" s="179">
        <f t="shared" si="47"/>
        <v>4859.3864915304011</v>
      </c>
      <c r="T83" s="259"/>
      <c r="U83" s="179">
        <f t="shared" si="60"/>
        <v>150</v>
      </c>
      <c r="V83" s="259"/>
      <c r="W83" s="179">
        <f t="shared" si="48"/>
        <v>0</v>
      </c>
      <c r="X83" s="259"/>
      <c r="Y83" s="179">
        <f t="shared" si="49"/>
        <v>1022.73</v>
      </c>
      <c r="Z83" s="259"/>
      <c r="AA83" s="179">
        <f t="shared" si="50"/>
        <v>40</v>
      </c>
      <c r="AB83" s="259"/>
      <c r="AC83" s="179">
        <f t="shared" si="51"/>
        <v>1394.266018065</v>
      </c>
      <c r="AD83" s="238">
        <f t="shared" si="46"/>
        <v>0</v>
      </c>
      <c r="AE83" s="179">
        <f t="shared" si="52"/>
        <v>2456.996018065</v>
      </c>
      <c r="AF83" s="264"/>
      <c r="AG83" s="179">
        <f t="shared" si="53"/>
        <v>1000</v>
      </c>
      <c r="AH83" s="268"/>
      <c r="AI83" s="179">
        <f t="shared" si="54"/>
        <v>0</v>
      </c>
      <c r="AJ83" s="268"/>
      <c r="AK83" s="179">
        <f t="shared" si="55"/>
        <v>22.73</v>
      </c>
      <c r="AL83" s="268"/>
      <c r="AM83" s="179">
        <f t="shared" si="56"/>
        <v>0</v>
      </c>
      <c r="AN83" s="268"/>
      <c r="AO83" s="179">
        <f t="shared" si="57"/>
        <v>0</v>
      </c>
      <c r="AP83" s="268"/>
      <c r="AQ83" s="179">
        <f t="shared" si="61"/>
        <v>0</v>
      </c>
      <c r="AR83" s="273"/>
      <c r="AS83" s="305">
        <f t="shared" si="58"/>
        <v>0</v>
      </c>
      <c r="AT83" s="273"/>
      <c r="AU83" s="305">
        <f t="shared" si="59"/>
        <v>0</v>
      </c>
    </row>
    <row r="84" spans="1:47" s="34" customFormat="1" hidden="1" x14ac:dyDescent="0.25">
      <c r="A84" s="87"/>
      <c r="B84" s="42"/>
      <c r="C84" s="41"/>
      <c r="D84" s="41"/>
      <c r="E84" s="40"/>
      <c r="F84" s="40"/>
      <c r="G84" s="40"/>
      <c r="H84" s="40"/>
      <c r="I84" s="160"/>
      <c r="J84" s="41"/>
      <c r="K84" s="41"/>
      <c r="L84" s="41"/>
      <c r="M84" s="41"/>
      <c r="N84" s="41"/>
      <c r="O84" s="41"/>
      <c r="P84" s="188"/>
      <c r="Q84" s="236"/>
      <c r="R84" s="280"/>
      <c r="S84" s="179">
        <f t="shared" si="47"/>
        <v>4859.3864915304011</v>
      </c>
      <c r="T84" s="259"/>
      <c r="U84" s="179">
        <f t="shared" si="60"/>
        <v>150</v>
      </c>
      <c r="V84" s="259"/>
      <c r="W84" s="179">
        <f t="shared" si="48"/>
        <v>0</v>
      </c>
      <c r="X84" s="259"/>
      <c r="Y84" s="179">
        <f t="shared" si="49"/>
        <v>1022.73</v>
      </c>
      <c r="Z84" s="259"/>
      <c r="AA84" s="179">
        <f t="shared" si="50"/>
        <v>40</v>
      </c>
      <c r="AB84" s="259"/>
      <c r="AC84" s="179">
        <f t="shared" si="51"/>
        <v>1394.266018065</v>
      </c>
      <c r="AD84" s="238">
        <f t="shared" si="46"/>
        <v>0</v>
      </c>
      <c r="AE84" s="179">
        <f t="shared" si="52"/>
        <v>2456.996018065</v>
      </c>
      <c r="AF84" s="264"/>
      <c r="AG84" s="179">
        <f t="shared" si="53"/>
        <v>1000</v>
      </c>
      <c r="AH84" s="268"/>
      <c r="AI84" s="179">
        <f t="shared" si="54"/>
        <v>0</v>
      </c>
      <c r="AJ84" s="268"/>
      <c r="AK84" s="179">
        <f t="shared" si="55"/>
        <v>22.73</v>
      </c>
      <c r="AL84" s="268"/>
      <c r="AM84" s="179">
        <f t="shared" si="56"/>
        <v>0</v>
      </c>
      <c r="AN84" s="268"/>
      <c r="AO84" s="179">
        <f t="shared" si="57"/>
        <v>0</v>
      </c>
      <c r="AP84" s="268"/>
      <c r="AQ84" s="179">
        <f t="shared" si="61"/>
        <v>0</v>
      </c>
      <c r="AR84" s="273"/>
      <c r="AS84" s="305">
        <f t="shared" si="58"/>
        <v>0</v>
      </c>
      <c r="AT84" s="273"/>
      <c r="AU84" s="305">
        <f t="shared" si="59"/>
        <v>0</v>
      </c>
    </row>
    <row r="85" spans="1:47" s="34" customFormat="1" hidden="1" x14ac:dyDescent="0.25">
      <c r="A85" s="87"/>
      <c r="B85" s="42"/>
      <c r="C85" s="41"/>
      <c r="D85" s="41"/>
      <c r="E85" s="40"/>
      <c r="F85" s="40"/>
      <c r="G85" s="40"/>
      <c r="H85" s="40"/>
      <c r="I85" s="160"/>
      <c r="J85" s="41"/>
      <c r="K85" s="41"/>
      <c r="L85" s="41"/>
      <c r="M85" s="41"/>
      <c r="N85" s="41"/>
      <c r="O85" s="41"/>
      <c r="P85" s="188"/>
      <c r="Q85" s="236"/>
      <c r="R85" s="280"/>
      <c r="S85" s="179">
        <f t="shared" si="47"/>
        <v>4859.3864915304011</v>
      </c>
      <c r="T85" s="259"/>
      <c r="U85" s="179">
        <f t="shared" si="60"/>
        <v>150</v>
      </c>
      <c r="V85" s="259"/>
      <c r="W85" s="179">
        <f t="shared" si="48"/>
        <v>0</v>
      </c>
      <c r="X85" s="259"/>
      <c r="Y85" s="179">
        <f t="shared" si="49"/>
        <v>1022.73</v>
      </c>
      <c r="Z85" s="259"/>
      <c r="AA85" s="179">
        <f t="shared" si="50"/>
        <v>40</v>
      </c>
      <c r="AB85" s="259"/>
      <c r="AC85" s="179">
        <f t="shared" si="51"/>
        <v>1394.266018065</v>
      </c>
      <c r="AD85" s="238">
        <f t="shared" si="46"/>
        <v>0</v>
      </c>
      <c r="AE85" s="179">
        <f t="shared" si="52"/>
        <v>2456.996018065</v>
      </c>
      <c r="AF85" s="264"/>
      <c r="AG85" s="179">
        <f t="shared" si="53"/>
        <v>1000</v>
      </c>
      <c r="AH85" s="268"/>
      <c r="AI85" s="179">
        <f t="shared" si="54"/>
        <v>0</v>
      </c>
      <c r="AJ85" s="268"/>
      <c r="AK85" s="179">
        <f t="shared" si="55"/>
        <v>22.73</v>
      </c>
      <c r="AL85" s="268"/>
      <c r="AM85" s="179">
        <f t="shared" si="56"/>
        <v>0</v>
      </c>
      <c r="AN85" s="268"/>
      <c r="AO85" s="179">
        <f t="shared" si="57"/>
        <v>0</v>
      </c>
      <c r="AP85" s="268"/>
      <c r="AQ85" s="179">
        <f t="shared" si="61"/>
        <v>0</v>
      </c>
      <c r="AR85" s="273"/>
      <c r="AS85" s="305">
        <f t="shared" si="58"/>
        <v>0</v>
      </c>
      <c r="AT85" s="273"/>
      <c r="AU85" s="305">
        <f t="shared" si="59"/>
        <v>0</v>
      </c>
    </row>
    <row r="86" spans="1:47" s="34" customFormat="1" hidden="1" x14ac:dyDescent="0.25">
      <c r="A86" s="87"/>
      <c r="B86" s="42"/>
      <c r="C86" s="41"/>
      <c r="D86" s="41"/>
      <c r="E86" s="40"/>
      <c r="F86" s="40"/>
      <c r="G86" s="40"/>
      <c r="H86" s="40"/>
      <c r="I86" s="160"/>
      <c r="J86" s="41"/>
      <c r="K86" s="41"/>
      <c r="L86" s="41"/>
      <c r="M86" s="41"/>
      <c r="N86" s="41"/>
      <c r="O86" s="41"/>
      <c r="P86" s="188"/>
      <c r="Q86" s="236"/>
      <c r="R86" s="280"/>
      <c r="S86" s="179">
        <f t="shared" si="47"/>
        <v>4859.3864915304011</v>
      </c>
      <c r="T86" s="259"/>
      <c r="U86" s="179">
        <f t="shared" si="60"/>
        <v>150</v>
      </c>
      <c r="V86" s="259"/>
      <c r="W86" s="179">
        <f t="shared" si="48"/>
        <v>0</v>
      </c>
      <c r="X86" s="259"/>
      <c r="Y86" s="179">
        <f t="shared" si="49"/>
        <v>1022.73</v>
      </c>
      <c r="Z86" s="259"/>
      <c r="AA86" s="179">
        <f t="shared" si="50"/>
        <v>40</v>
      </c>
      <c r="AB86" s="259"/>
      <c r="AC86" s="179">
        <f t="shared" si="51"/>
        <v>1394.266018065</v>
      </c>
      <c r="AD86" s="238">
        <f t="shared" si="46"/>
        <v>0</v>
      </c>
      <c r="AE86" s="179">
        <f t="shared" si="52"/>
        <v>2456.996018065</v>
      </c>
      <c r="AF86" s="264"/>
      <c r="AG86" s="179">
        <f t="shared" si="53"/>
        <v>1000</v>
      </c>
      <c r="AH86" s="268"/>
      <c r="AI86" s="179">
        <f t="shared" si="54"/>
        <v>0</v>
      </c>
      <c r="AJ86" s="268"/>
      <c r="AK86" s="179">
        <f t="shared" si="55"/>
        <v>22.73</v>
      </c>
      <c r="AL86" s="268"/>
      <c r="AM86" s="179">
        <f t="shared" si="56"/>
        <v>0</v>
      </c>
      <c r="AN86" s="268"/>
      <c r="AO86" s="179">
        <f t="shared" si="57"/>
        <v>0</v>
      </c>
      <c r="AP86" s="268"/>
      <c r="AQ86" s="179">
        <f t="shared" si="61"/>
        <v>0</v>
      </c>
      <c r="AR86" s="273"/>
      <c r="AS86" s="305">
        <f t="shared" si="58"/>
        <v>0</v>
      </c>
      <c r="AT86" s="273"/>
      <c r="AU86" s="305">
        <f t="shared" si="59"/>
        <v>0</v>
      </c>
    </row>
    <row r="87" spans="1:47" s="34" customFormat="1" hidden="1" x14ac:dyDescent="0.25">
      <c r="A87" s="87"/>
      <c r="B87" s="42"/>
      <c r="C87" s="41"/>
      <c r="D87" s="41"/>
      <c r="E87" s="40"/>
      <c r="F87" s="40"/>
      <c r="G87" s="40"/>
      <c r="H87" s="40"/>
      <c r="I87" s="160"/>
      <c r="J87" s="41"/>
      <c r="K87" s="41"/>
      <c r="L87" s="41"/>
      <c r="M87" s="41"/>
      <c r="N87" s="41"/>
      <c r="O87" s="41"/>
      <c r="P87" s="188"/>
      <c r="Q87" s="236"/>
      <c r="R87" s="280"/>
      <c r="S87" s="179">
        <f t="shared" si="47"/>
        <v>4859.3864915304011</v>
      </c>
      <c r="T87" s="259"/>
      <c r="U87" s="179">
        <f t="shared" si="60"/>
        <v>150</v>
      </c>
      <c r="V87" s="259"/>
      <c r="W87" s="179">
        <f t="shared" si="48"/>
        <v>0</v>
      </c>
      <c r="X87" s="259"/>
      <c r="Y87" s="179">
        <f t="shared" si="49"/>
        <v>1022.73</v>
      </c>
      <c r="Z87" s="259"/>
      <c r="AA87" s="179">
        <f t="shared" si="50"/>
        <v>40</v>
      </c>
      <c r="AB87" s="259"/>
      <c r="AC87" s="179">
        <f t="shared" si="51"/>
        <v>1394.266018065</v>
      </c>
      <c r="AD87" s="238">
        <f t="shared" si="46"/>
        <v>0</v>
      </c>
      <c r="AE87" s="179">
        <f t="shared" si="52"/>
        <v>2456.996018065</v>
      </c>
      <c r="AF87" s="264"/>
      <c r="AG87" s="179">
        <f t="shared" si="53"/>
        <v>1000</v>
      </c>
      <c r="AH87" s="268"/>
      <c r="AI87" s="179">
        <f t="shared" si="54"/>
        <v>0</v>
      </c>
      <c r="AJ87" s="268"/>
      <c r="AK87" s="179">
        <f t="shared" si="55"/>
        <v>22.73</v>
      </c>
      <c r="AL87" s="268"/>
      <c r="AM87" s="179">
        <f t="shared" si="56"/>
        <v>0</v>
      </c>
      <c r="AN87" s="268"/>
      <c r="AO87" s="179">
        <f t="shared" si="57"/>
        <v>0</v>
      </c>
      <c r="AP87" s="268"/>
      <c r="AQ87" s="179">
        <f t="shared" si="61"/>
        <v>0</v>
      </c>
      <c r="AR87" s="273"/>
      <c r="AS87" s="305">
        <f t="shared" si="58"/>
        <v>0</v>
      </c>
      <c r="AT87" s="273"/>
      <c r="AU87" s="305">
        <f t="shared" si="59"/>
        <v>0</v>
      </c>
    </row>
    <row r="88" spans="1:47" s="34" customFormat="1" hidden="1" x14ac:dyDescent="0.25">
      <c r="A88" s="87"/>
      <c r="B88" s="42"/>
      <c r="C88" s="41"/>
      <c r="D88" s="41"/>
      <c r="E88" s="40"/>
      <c r="F88" s="40"/>
      <c r="G88" s="40"/>
      <c r="H88" s="40"/>
      <c r="I88" s="160"/>
      <c r="J88" s="41"/>
      <c r="K88" s="41"/>
      <c r="L88" s="41"/>
      <c r="M88" s="41"/>
      <c r="N88" s="41"/>
      <c r="O88" s="41"/>
      <c r="P88" s="188"/>
      <c r="Q88" s="236"/>
      <c r="R88" s="280"/>
      <c r="S88" s="179">
        <f t="shared" si="47"/>
        <v>4859.3864915304011</v>
      </c>
      <c r="T88" s="259"/>
      <c r="U88" s="179">
        <f t="shared" si="60"/>
        <v>150</v>
      </c>
      <c r="V88" s="259"/>
      <c r="W88" s="179">
        <f t="shared" si="48"/>
        <v>0</v>
      </c>
      <c r="X88" s="259"/>
      <c r="Y88" s="179">
        <f t="shared" si="49"/>
        <v>1022.73</v>
      </c>
      <c r="Z88" s="259"/>
      <c r="AA88" s="179">
        <f t="shared" si="50"/>
        <v>40</v>
      </c>
      <c r="AB88" s="259"/>
      <c r="AC88" s="179">
        <f t="shared" si="51"/>
        <v>1394.266018065</v>
      </c>
      <c r="AD88" s="238">
        <f t="shared" si="46"/>
        <v>0</v>
      </c>
      <c r="AE88" s="179">
        <f t="shared" si="52"/>
        <v>2456.996018065</v>
      </c>
      <c r="AF88" s="264"/>
      <c r="AG88" s="179">
        <f t="shared" si="53"/>
        <v>1000</v>
      </c>
      <c r="AH88" s="268"/>
      <c r="AI88" s="179">
        <f t="shared" si="54"/>
        <v>0</v>
      </c>
      <c r="AJ88" s="268"/>
      <c r="AK88" s="179">
        <f t="shared" si="55"/>
        <v>22.73</v>
      </c>
      <c r="AL88" s="268"/>
      <c r="AM88" s="179">
        <f t="shared" si="56"/>
        <v>0</v>
      </c>
      <c r="AN88" s="268"/>
      <c r="AO88" s="179">
        <f t="shared" si="57"/>
        <v>0</v>
      </c>
      <c r="AP88" s="268"/>
      <c r="AQ88" s="179">
        <f t="shared" si="61"/>
        <v>0</v>
      </c>
      <c r="AR88" s="273"/>
      <c r="AS88" s="305">
        <f t="shared" si="58"/>
        <v>0</v>
      </c>
      <c r="AT88" s="273"/>
      <c r="AU88" s="305">
        <f t="shared" si="59"/>
        <v>0</v>
      </c>
    </row>
    <row r="89" spans="1:47" s="34" customFormat="1" hidden="1" x14ac:dyDescent="0.25">
      <c r="A89" s="87"/>
      <c r="B89" s="42"/>
      <c r="C89" s="41"/>
      <c r="D89" s="41"/>
      <c r="E89" s="40"/>
      <c r="F89" s="40"/>
      <c r="G89" s="40"/>
      <c r="H89" s="40"/>
      <c r="I89" s="160"/>
      <c r="J89" s="41"/>
      <c r="K89" s="41"/>
      <c r="L89" s="41"/>
      <c r="M89" s="41"/>
      <c r="N89" s="41"/>
      <c r="O89" s="41"/>
      <c r="P89" s="188"/>
      <c r="Q89" s="236"/>
      <c r="R89" s="280"/>
      <c r="S89" s="179">
        <f t="shared" si="47"/>
        <v>4859.3864915304011</v>
      </c>
      <c r="T89" s="259"/>
      <c r="U89" s="179">
        <f t="shared" si="60"/>
        <v>150</v>
      </c>
      <c r="V89" s="259"/>
      <c r="W89" s="179">
        <f t="shared" si="48"/>
        <v>0</v>
      </c>
      <c r="X89" s="259"/>
      <c r="Y89" s="179">
        <f t="shared" si="49"/>
        <v>1022.73</v>
      </c>
      <c r="Z89" s="259"/>
      <c r="AA89" s="179">
        <f t="shared" si="50"/>
        <v>40</v>
      </c>
      <c r="AB89" s="259"/>
      <c r="AC89" s="179">
        <f t="shared" si="51"/>
        <v>1394.266018065</v>
      </c>
      <c r="AD89" s="238">
        <f t="shared" si="46"/>
        <v>0</v>
      </c>
      <c r="AE89" s="179">
        <f t="shared" si="52"/>
        <v>2456.996018065</v>
      </c>
      <c r="AF89" s="264"/>
      <c r="AG89" s="179">
        <f t="shared" si="53"/>
        <v>1000</v>
      </c>
      <c r="AH89" s="268"/>
      <c r="AI89" s="179">
        <f t="shared" si="54"/>
        <v>0</v>
      </c>
      <c r="AJ89" s="268"/>
      <c r="AK89" s="179">
        <f t="shared" si="55"/>
        <v>22.73</v>
      </c>
      <c r="AL89" s="268"/>
      <c r="AM89" s="179">
        <f t="shared" si="56"/>
        <v>0</v>
      </c>
      <c r="AN89" s="268"/>
      <c r="AO89" s="179">
        <f t="shared" si="57"/>
        <v>0</v>
      </c>
      <c r="AP89" s="268"/>
      <c r="AQ89" s="179">
        <f t="shared" si="61"/>
        <v>0</v>
      </c>
      <c r="AR89" s="273"/>
      <c r="AS89" s="305">
        <f t="shared" si="58"/>
        <v>0</v>
      </c>
      <c r="AT89" s="273"/>
      <c r="AU89" s="305">
        <f t="shared" si="59"/>
        <v>0</v>
      </c>
    </row>
    <row r="90" spans="1:47" s="34" customFormat="1" hidden="1" x14ac:dyDescent="0.25">
      <c r="A90" s="87"/>
      <c r="B90" s="42"/>
      <c r="C90" s="41"/>
      <c r="D90" s="41"/>
      <c r="E90" s="40"/>
      <c r="F90" s="40"/>
      <c r="G90" s="40"/>
      <c r="H90" s="40"/>
      <c r="I90" s="160"/>
      <c r="J90" s="41"/>
      <c r="K90" s="41"/>
      <c r="L90" s="41"/>
      <c r="M90" s="41"/>
      <c r="N90" s="41"/>
      <c r="O90" s="41"/>
      <c r="P90" s="188"/>
      <c r="Q90" s="236"/>
      <c r="R90" s="280"/>
      <c r="S90" s="179">
        <f t="shared" si="47"/>
        <v>4859.3864915304011</v>
      </c>
      <c r="T90" s="259"/>
      <c r="U90" s="179">
        <f t="shared" si="60"/>
        <v>150</v>
      </c>
      <c r="V90" s="259"/>
      <c r="W90" s="179">
        <f t="shared" si="48"/>
        <v>0</v>
      </c>
      <c r="X90" s="259"/>
      <c r="Y90" s="179">
        <f t="shared" si="49"/>
        <v>1022.73</v>
      </c>
      <c r="Z90" s="259"/>
      <c r="AA90" s="179">
        <f t="shared" si="50"/>
        <v>40</v>
      </c>
      <c r="AB90" s="259"/>
      <c r="AC90" s="179">
        <f t="shared" si="51"/>
        <v>1394.266018065</v>
      </c>
      <c r="AD90" s="238">
        <f t="shared" si="46"/>
        <v>0</v>
      </c>
      <c r="AE90" s="179">
        <f t="shared" si="52"/>
        <v>2456.996018065</v>
      </c>
      <c r="AF90" s="264"/>
      <c r="AG90" s="179">
        <f t="shared" si="53"/>
        <v>1000</v>
      </c>
      <c r="AH90" s="268"/>
      <c r="AI90" s="179">
        <f t="shared" si="54"/>
        <v>0</v>
      </c>
      <c r="AJ90" s="268"/>
      <c r="AK90" s="179">
        <f t="shared" si="55"/>
        <v>22.73</v>
      </c>
      <c r="AL90" s="268"/>
      <c r="AM90" s="179">
        <f t="shared" si="56"/>
        <v>0</v>
      </c>
      <c r="AN90" s="268"/>
      <c r="AO90" s="179">
        <f t="shared" si="57"/>
        <v>0</v>
      </c>
      <c r="AP90" s="268"/>
      <c r="AQ90" s="179">
        <f t="shared" si="61"/>
        <v>0</v>
      </c>
      <c r="AR90" s="273"/>
      <c r="AS90" s="305">
        <f t="shared" si="58"/>
        <v>0</v>
      </c>
      <c r="AT90" s="273"/>
      <c r="AU90" s="305">
        <f t="shared" si="59"/>
        <v>0</v>
      </c>
    </row>
    <row r="91" spans="1:47" s="34" customFormat="1" hidden="1" x14ac:dyDescent="0.25">
      <c r="A91" s="87"/>
      <c r="B91" s="42"/>
      <c r="C91" s="41"/>
      <c r="D91" s="41"/>
      <c r="E91" s="40"/>
      <c r="F91" s="40"/>
      <c r="G91" s="40"/>
      <c r="H91" s="40"/>
      <c r="I91" s="160"/>
      <c r="J91" s="41"/>
      <c r="K91" s="41"/>
      <c r="L91" s="41"/>
      <c r="M91" s="41"/>
      <c r="N91" s="41"/>
      <c r="O91" s="41"/>
      <c r="P91" s="188"/>
      <c r="Q91" s="236"/>
      <c r="R91" s="280"/>
      <c r="S91" s="179">
        <f t="shared" si="47"/>
        <v>4859.3864915304011</v>
      </c>
      <c r="T91" s="259"/>
      <c r="U91" s="179">
        <f t="shared" si="60"/>
        <v>150</v>
      </c>
      <c r="V91" s="259"/>
      <c r="W91" s="179">
        <f t="shared" si="48"/>
        <v>0</v>
      </c>
      <c r="X91" s="259"/>
      <c r="Y91" s="179">
        <f t="shared" si="49"/>
        <v>1022.73</v>
      </c>
      <c r="Z91" s="259"/>
      <c r="AA91" s="179">
        <f t="shared" si="50"/>
        <v>40</v>
      </c>
      <c r="AB91" s="259"/>
      <c r="AC91" s="179">
        <f t="shared" si="51"/>
        <v>1394.266018065</v>
      </c>
      <c r="AD91" s="238">
        <f t="shared" si="46"/>
        <v>0</v>
      </c>
      <c r="AE91" s="179">
        <f t="shared" si="52"/>
        <v>2456.996018065</v>
      </c>
      <c r="AF91" s="264"/>
      <c r="AG91" s="179">
        <f t="shared" si="53"/>
        <v>1000</v>
      </c>
      <c r="AH91" s="268"/>
      <c r="AI91" s="179">
        <f t="shared" si="54"/>
        <v>0</v>
      </c>
      <c r="AJ91" s="268"/>
      <c r="AK91" s="179">
        <f t="shared" si="55"/>
        <v>22.73</v>
      </c>
      <c r="AL91" s="268"/>
      <c r="AM91" s="179">
        <f t="shared" si="56"/>
        <v>0</v>
      </c>
      <c r="AN91" s="268"/>
      <c r="AO91" s="179">
        <f t="shared" si="57"/>
        <v>0</v>
      </c>
      <c r="AP91" s="268"/>
      <c r="AQ91" s="179">
        <f t="shared" si="61"/>
        <v>0</v>
      </c>
      <c r="AR91" s="273"/>
      <c r="AS91" s="305">
        <f t="shared" si="58"/>
        <v>0</v>
      </c>
      <c r="AT91" s="273"/>
      <c r="AU91" s="305">
        <f t="shared" si="59"/>
        <v>0</v>
      </c>
    </row>
    <row r="92" spans="1:47" s="34" customFormat="1" hidden="1" x14ac:dyDescent="0.25">
      <c r="A92" s="87"/>
      <c r="B92" s="42"/>
      <c r="C92" s="41"/>
      <c r="D92" s="41"/>
      <c r="E92" s="40"/>
      <c r="F92" s="40"/>
      <c r="G92" s="40"/>
      <c r="H92" s="40"/>
      <c r="I92" s="160"/>
      <c r="J92" s="41"/>
      <c r="K92" s="41"/>
      <c r="L92" s="41"/>
      <c r="M92" s="41"/>
      <c r="N92" s="41"/>
      <c r="O92" s="41"/>
      <c r="P92" s="188"/>
      <c r="Q92" s="236"/>
      <c r="R92" s="280"/>
      <c r="S92" s="179">
        <f t="shared" si="47"/>
        <v>4859.3864915304011</v>
      </c>
      <c r="T92" s="259"/>
      <c r="U92" s="179">
        <f t="shared" si="60"/>
        <v>150</v>
      </c>
      <c r="V92" s="259"/>
      <c r="W92" s="179">
        <f t="shared" si="48"/>
        <v>0</v>
      </c>
      <c r="X92" s="259"/>
      <c r="Y92" s="179">
        <f t="shared" si="49"/>
        <v>1022.73</v>
      </c>
      <c r="Z92" s="259"/>
      <c r="AA92" s="179">
        <f t="shared" si="50"/>
        <v>40</v>
      </c>
      <c r="AB92" s="259"/>
      <c r="AC92" s="179">
        <f t="shared" si="51"/>
        <v>1394.266018065</v>
      </c>
      <c r="AD92" s="238">
        <f t="shared" si="46"/>
        <v>0</v>
      </c>
      <c r="AE92" s="179">
        <f t="shared" si="52"/>
        <v>2456.996018065</v>
      </c>
      <c r="AF92" s="264"/>
      <c r="AG92" s="179">
        <f t="shared" si="53"/>
        <v>1000</v>
      </c>
      <c r="AH92" s="268"/>
      <c r="AI92" s="179">
        <f t="shared" si="54"/>
        <v>0</v>
      </c>
      <c r="AJ92" s="268"/>
      <c r="AK92" s="179">
        <f t="shared" si="55"/>
        <v>22.73</v>
      </c>
      <c r="AL92" s="268"/>
      <c r="AM92" s="179">
        <f t="shared" si="56"/>
        <v>0</v>
      </c>
      <c r="AN92" s="268"/>
      <c r="AO92" s="179">
        <f t="shared" si="57"/>
        <v>0</v>
      </c>
      <c r="AP92" s="268"/>
      <c r="AQ92" s="179">
        <f t="shared" si="61"/>
        <v>0</v>
      </c>
      <c r="AR92" s="273"/>
      <c r="AS92" s="305">
        <f t="shared" si="58"/>
        <v>0</v>
      </c>
      <c r="AT92" s="273"/>
      <c r="AU92" s="305">
        <f t="shared" si="59"/>
        <v>0</v>
      </c>
    </row>
    <row r="93" spans="1:47" s="34" customFormat="1" hidden="1" x14ac:dyDescent="0.25">
      <c r="A93" s="87"/>
      <c r="B93" s="42"/>
      <c r="C93" s="41"/>
      <c r="D93" s="41"/>
      <c r="E93" s="40"/>
      <c r="F93" s="40"/>
      <c r="G93" s="40"/>
      <c r="H93" s="40"/>
      <c r="I93" s="160"/>
      <c r="J93" s="41"/>
      <c r="K93" s="41"/>
      <c r="L93" s="41"/>
      <c r="M93" s="41"/>
      <c r="N93" s="41"/>
      <c r="O93" s="41"/>
      <c r="P93" s="188"/>
      <c r="Q93" s="236"/>
      <c r="R93" s="280"/>
      <c r="S93" s="179">
        <f t="shared" si="47"/>
        <v>4859.3864915304011</v>
      </c>
      <c r="T93" s="259"/>
      <c r="U93" s="179">
        <f t="shared" si="60"/>
        <v>150</v>
      </c>
      <c r="V93" s="259"/>
      <c r="W93" s="179">
        <f t="shared" si="48"/>
        <v>0</v>
      </c>
      <c r="X93" s="259"/>
      <c r="Y93" s="179">
        <f t="shared" si="49"/>
        <v>1022.73</v>
      </c>
      <c r="Z93" s="259"/>
      <c r="AA93" s="179">
        <f t="shared" si="50"/>
        <v>40</v>
      </c>
      <c r="AB93" s="259"/>
      <c r="AC93" s="179">
        <f t="shared" si="51"/>
        <v>1394.266018065</v>
      </c>
      <c r="AD93" s="238">
        <f t="shared" si="46"/>
        <v>0</v>
      </c>
      <c r="AE93" s="179">
        <f t="shared" si="52"/>
        <v>2456.996018065</v>
      </c>
      <c r="AF93" s="264"/>
      <c r="AG93" s="179">
        <f t="shared" si="53"/>
        <v>1000</v>
      </c>
      <c r="AH93" s="268"/>
      <c r="AI93" s="179">
        <f t="shared" si="54"/>
        <v>0</v>
      </c>
      <c r="AJ93" s="268"/>
      <c r="AK93" s="179">
        <f t="shared" si="55"/>
        <v>22.73</v>
      </c>
      <c r="AL93" s="268"/>
      <c r="AM93" s="179">
        <f t="shared" si="56"/>
        <v>0</v>
      </c>
      <c r="AN93" s="268"/>
      <c r="AO93" s="179">
        <f t="shared" si="57"/>
        <v>0</v>
      </c>
      <c r="AP93" s="268"/>
      <c r="AQ93" s="179">
        <f t="shared" si="61"/>
        <v>0</v>
      </c>
      <c r="AR93" s="273"/>
      <c r="AS93" s="305">
        <f t="shared" si="58"/>
        <v>0</v>
      </c>
      <c r="AT93" s="273"/>
      <c r="AU93" s="305">
        <f t="shared" si="59"/>
        <v>0</v>
      </c>
    </row>
    <row r="94" spans="1:47" s="34" customFormat="1" hidden="1" x14ac:dyDescent="0.25">
      <c r="A94" s="87"/>
      <c r="B94" s="42"/>
      <c r="C94" s="41"/>
      <c r="D94" s="41"/>
      <c r="E94" s="40"/>
      <c r="F94" s="40"/>
      <c r="G94" s="40"/>
      <c r="H94" s="40"/>
      <c r="I94" s="160"/>
      <c r="J94" s="41"/>
      <c r="K94" s="41"/>
      <c r="L94" s="41"/>
      <c r="M94" s="41"/>
      <c r="N94" s="41"/>
      <c r="O94" s="41"/>
      <c r="P94" s="188"/>
      <c r="Q94" s="236"/>
      <c r="R94" s="280"/>
      <c r="S94" s="179">
        <f t="shared" si="47"/>
        <v>4859.3864915304011</v>
      </c>
      <c r="T94" s="259"/>
      <c r="U94" s="179">
        <f t="shared" si="60"/>
        <v>150</v>
      </c>
      <c r="V94" s="259"/>
      <c r="W94" s="179">
        <f t="shared" si="48"/>
        <v>0</v>
      </c>
      <c r="X94" s="259"/>
      <c r="Y94" s="179">
        <f t="shared" si="49"/>
        <v>1022.73</v>
      </c>
      <c r="Z94" s="259"/>
      <c r="AA94" s="179">
        <f t="shared" si="50"/>
        <v>40</v>
      </c>
      <c r="AB94" s="259"/>
      <c r="AC94" s="179">
        <f t="shared" si="51"/>
        <v>1394.266018065</v>
      </c>
      <c r="AD94" s="238">
        <f t="shared" si="46"/>
        <v>0</v>
      </c>
      <c r="AE94" s="179">
        <f t="shared" si="52"/>
        <v>2456.996018065</v>
      </c>
      <c r="AF94" s="264"/>
      <c r="AG94" s="179">
        <f t="shared" si="53"/>
        <v>1000</v>
      </c>
      <c r="AH94" s="268"/>
      <c r="AI94" s="179">
        <f t="shared" si="54"/>
        <v>0</v>
      </c>
      <c r="AJ94" s="268"/>
      <c r="AK94" s="179">
        <f t="shared" si="55"/>
        <v>22.73</v>
      </c>
      <c r="AL94" s="268"/>
      <c r="AM94" s="179">
        <f t="shared" si="56"/>
        <v>0</v>
      </c>
      <c r="AN94" s="268"/>
      <c r="AO94" s="179">
        <f t="shared" si="57"/>
        <v>0</v>
      </c>
      <c r="AP94" s="268"/>
      <c r="AQ94" s="179">
        <f t="shared" si="61"/>
        <v>0</v>
      </c>
      <c r="AR94" s="273"/>
      <c r="AS94" s="305">
        <f t="shared" si="58"/>
        <v>0</v>
      </c>
      <c r="AT94" s="273"/>
      <c r="AU94" s="305">
        <f t="shared" si="59"/>
        <v>0</v>
      </c>
    </row>
    <row r="95" spans="1:47" s="34" customFormat="1" hidden="1" x14ac:dyDescent="0.25">
      <c r="A95" s="87"/>
      <c r="B95" s="42"/>
      <c r="C95" s="41"/>
      <c r="D95" s="41"/>
      <c r="E95" s="40"/>
      <c r="F95" s="40"/>
      <c r="G95" s="40"/>
      <c r="H95" s="40"/>
      <c r="I95" s="160"/>
      <c r="J95" s="41"/>
      <c r="K95" s="41"/>
      <c r="L95" s="41"/>
      <c r="M95" s="41"/>
      <c r="N95" s="41"/>
      <c r="O95" s="41"/>
      <c r="P95" s="188"/>
      <c r="Q95" s="236"/>
      <c r="R95" s="280"/>
      <c r="S95" s="179">
        <f t="shared" si="47"/>
        <v>4859.3864915304011</v>
      </c>
      <c r="T95" s="259"/>
      <c r="U95" s="179">
        <f t="shared" si="60"/>
        <v>150</v>
      </c>
      <c r="V95" s="259"/>
      <c r="W95" s="179">
        <f t="shared" si="48"/>
        <v>0</v>
      </c>
      <c r="X95" s="259"/>
      <c r="Y95" s="179">
        <f t="shared" si="49"/>
        <v>1022.73</v>
      </c>
      <c r="Z95" s="259"/>
      <c r="AA95" s="179">
        <f t="shared" si="50"/>
        <v>40</v>
      </c>
      <c r="AB95" s="259"/>
      <c r="AC95" s="179">
        <f t="shared" si="51"/>
        <v>1394.266018065</v>
      </c>
      <c r="AD95" s="238">
        <f t="shared" si="46"/>
        <v>0</v>
      </c>
      <c r="AE95" s="179">
        <f t="shared" si="52"/>
        <v>2456.996018065</v>
      </c>
      <c r="AF95" s="264"/>
      <c r="AG95" s="179">
        <f t="shared" si="53"/>
        <v>1000</v>
      </c>
      <c r="AH95" s="268"/>
      <c r="AI95" s="179">
        <f t="shared" si="54"/>
        <v>0</v>
      </c>
      <c r="AJ95" s="268"/>
      <c r="AK95" s="179">
        <f t="shared" si="55"/>
        <v>22.73</v>
      </c>
      <c r="AL95" s="268"/>
      <c r="AM95" s="179">
        <f t="shared" si="56"/>
        <v>0</v>
      </c>
      <c r="AN95" s="268"/>
      <c r="AO95" s="179">
        <f t="shared" si="57"/>
        <v>0</v>
      </c>
      <c r="AP95" s="268"/>
      <c r="AQ95" s="179">
        <f t="shared" si="61"/>
        <v>0</v>
      </c>
      <c r="AR95" s="273"/>
      <c r="AS95" s="305">
        <f t="shared" si="58"/>
        <v>0</v>
      </c>
      <c r="AT95" s="273"/>
      <c r="AU95" s="305">
        <f t="shared" si="59"/>
        <v>0</v>
      </c>
    </row>
    <row r="96" spans="1:47" s="34" customFormat="1" hidden="1" x14ac:dyDescent="0.25">
      <c r="A96" s="87"/>
      <c r="B96" s="42"/>
      <c r="C96" s="41"/>
      <c r="D96" s="41"/>
      <c r="E96" s="40"/>
      <c r="F96" s="40"/>
      <c r="G96" s="40"/>
      <c r="H96" s="40"/>
      <c r="I96" s="160"/>
      <c r="J96" s="41"/>
      <c r="K96" s="41"/>
      <c r="L96" s="41"/>
      <c r="M96" s="41"/>
      <c r="N96" s="41"/>
      <c r="O96" s="41"/>
      <c r="P96" s="188"/>
      <c r="Q96" s="236"/>
      <c r="R96" s="280"/>
      <c r="S96" s="179">
        <f t="shared" si="47"/>
        <v>4859.3864915304011</v>
      </c>
      <c r="T96" s="259"/>
      <c r="U96" s="179">
        <f t="shared" si="60"/>
        <v>150</v>
      </c>
      <c r="V96" s="259"/>
      <c r="W96" s="179">
        <f t="shared" si="48"/>
        <v>0</v>
      </c>
      <c r="X96" s="259"/>
      <c r="Y96" s="179">
        <f t="shared" si="49"/>
        <v>1022.73</v>
      </c>
      <c r="Z96" s="259"/>
      <c r="AA96" s="179">
        <f t="shared" si="50"/>
        <v>40</v>
      </c>
      <c r="AB96" s="259"/>
      <c r="AC96" s="179">
        <f t="shared" si="51"/>
        <v>1394.266018065</v>
      </c>
      <c r="AD96" s="238">
        <f t="shared" si="46"/>
        <v>0</v>
      </c>
      <c r="AE96" s="179">
        <f t="shared" si="52"/>
        <v>2456.996018065</v>
      </c>
      <c r="AF96" s="264"/>
      <c r="AG96" s="179">
        <f t="shared" si="53"/>
        <v>1000</v>
      </c>
      <c r="AH96" s="268"/>
      <c r="AI96" s="179">
        <f t="shared" si="54"/>
        <v>0</v>
      </c>
      <c r="AJ96" s="268"/>
      <c r="AK96" s="179">
        <f t="shared" si="55"/>
        <v>22.73</v>
      </c>
      <c r="AL96" s="268"/>
      <c r="AM96" s="179">
        <f t="shared" si="56"/>
        <v>0</v>
      </c>
      <c r="AN96" s="268"/>
      <c r="AO96" s="179">
        <f t="shared" si="57"/>
        <v>0</v>
      </c>
      <c r="AP96" s="268"/>
      <c r="AQ96" s="179">
        <f t="shared" si="61"/>
        <v>0</v>
      </c>
      <c r="AR96" s="273"/>
      <c r="AS96" s="305">
        <f t="shared" si="58"/>
        <v>0</v>
      </c>
      <c r="AT96" s="273"/>
      <c r="AU96" s="305">
        <f t="shared" si="59"/>
        <v>0</v>
      </c>
    </row>
    <row r="97" spans="1:47" s="34" customFormat="1" hidden="1" x14ac:dyDescent="0.25">
      <c r="A97" s="87"/>
      <c r="B97" s="42"/>
      <c r="C97" s="41"/>
      <c r="D97" s="41"/>
      <c r="E97" s="40"/>
      <c r="F97" s="40"/>
      <c r="G97" s="40"/>
      <c r="H97" s="40"/>
      <c r="I97" s="160"/>
      <c r="J97" s="41"/>
      <c r="K97" s="41"/>
      <c r="L97" s="41"/>
      <c r="M97" s="41"/>
      <c r="N97" s="41"/>
      <c r="O97" s="41"/>
      <c r="P97" s="188"/>
      <c r="Q97" s="236"/>
      <c r="R97" s="280"/>
      <c r="S97" s="179">
        <f t="shared" si="47"/>
        <v>4859.3864915304011</v>
      </c>
      <c r="T97" s="259"/>
      <c r="U97" s="179">
        <f t="shared" si="60"/>
        <v>150</v>
      </c>
      <c r="V97" s="259"/>
      <c r="W97" s="179">
        <f t="shared" si="48"/>
        <v>0</v>
      </c>
      <c r="X97" s="259"/>
      <c r="Y97" s="179">
        <f t="shared" si="49"/>
        <v>1022.73</v>
      </c>
      <c r="Z97" s="259"/>
      <c r="AA97" s="179">
        <f t="shared" si="50"/>
        <v>40</v>
      </c>
      <c r="AB97" s="259"/>
      <c r="AC97" s="179">
        <f t="shared" si="51"/>
        <v>1394.266018065</v>
      </c>
      <c r="AD97" s="238">
        <f t="shared" si="46"/>
        <v>0</v>
      </c>
      <c r="AE97" s="179">
        <f t="shared" si="52"/>
        <v>2456.996018065</v>
      </c>
      <c r="AF97" s="264"/>
      <c r="AG97" s="179">
        <f t="shared" si="53"/>
        <v>1000</v>
      </c>
      <c r="AH97" s="268"/>
      <c r="AI97" s="179">
        <f t="shared" si="54"/>
        <v>0</v>
      </c>
      <c r="AJ97" s="268"/>
      <c r="AK97" s="179">
        <f t="shared" si="55"/>
        <v>22.73</v>
      </c>
      <c r="AL97" s="268"/>
      <c r="AM97" s="179">
        <f t="shared" si="56"/>
        <v>0</v>
      </c>
      <c r="AN97" s="268"/>
      <c r="AO97" s="179">
        <f t="shared" si="57"/>
        <v>0</v>
      </c>
      <c r="AP97" s="268"/>
      <c r="AQ97" s="179">
        <f t="shared" si="61"/>
        <v>0</v>
      </c>
      <c r="AR97" s="273"/>
      <c r="AS97" s="305">
        <f t="shared" si="58"/>
        <v>0</v>
      </c>
      <c r="AT97" s="273"/>
      <c r="AU97" s="305">
        <f t="shared" si="59"/>
        <v>0</v>
      </c>
    </row>
    <row r="98" spans="1:47" s="34" customFormat="1" hidden="1" x14ac:dyDescent="0.25">
      <c r="A98" s="87"/>
      <c r="B98" s="42"/>
      <c r="C98" s="41"/>
      <c r="D98" s="41"/>
      <c r="E98" s="40"/>
      <c r="F98" s="40"/>
      <c r="G98" s="40"/>
      <c r="H98" s="40"/>
      <c r="I98" s="160"/>
      <c r="J98" s="41"/>
      <c r="K98" s="41"/>
      <c r="L98" s="41"/>
      <c r="M98" s="41"/>
      <c r="N98" s="41"/>
      <c r="O98" s="41"/>
      <c r="P98" s="188"/>
      <c r="Q98" s="236"/>
      <c r="R98" s="280"/>
      <c r="S98" s="179">
        <f t="shared" si="47"/>
        <v>4859.3864915304011</v>
      </c>
      <c r="T98" s="259"/>
      <c r="U98" s="179">
        <f t="shared" si="60"/>
        <v>150</v>
      </c>
      <c r="V98" s="259"/>
      <c r="W98" s="179">
        <f t="shared" si="48"/>
        <v>0</v>
      </c>
      <c r="X98" s="259"/>
      <c r="Y98" s="179">
        <f t="shared" si="49"/>
        <v>1022.73</v>
      </c>
      <c r="Z98" s="259"/>
      <c r="AA98" s="179">
        <f t="shared" si="50"/>
        <v>40</v>
      </c>
      <c r="AB98" s="259"/>
      <c r="AC98" s="179">
        <f t="shared" si="51"/>
        <v>1394.266018065</v>
      </c>
      <c r="AD98" s="238">
        <f t="shared" si="46"/>
        <v>0</v>
      </c>
      <c r="AE98" s="179">
        <f t="shared" si="52"/>
        <v>2456.996018065</v>
      </c>
      <c r="AF98" s="264"/>
      <c r="AG98" s="179">
        <f t="shared" si="53"/>
        <v>1000</v>
      </c>
      <c r="AH98" s="268"/>
      <c r="AI98" s="179">
        <f t="shared" si="54"/>
        <v>0</v>
      </c>
      <c r="AJ98" s="268"/>
      <c r="AK98" s="179">
        <f t="shared" si="55"/>
        <v>22.73</v>
      </c>
      <c r="AL98" s="268"/>
      <c r="AM98" s="179">
        <f t="shared" si="56"/>
        <v>0</v>
      </c>
      <c r="AN98" s="268"/>
      <c r="AO98" s="179">
        <f t="shared" si="57"/>
        <v>0</v>
      </c>
      <c r="AP98" s="268"/>
      <c r="AQ98" s="179">
        <f t="shared" si="61"/>
        <v>0</v>
      </c>
      <c r="AR98" s="273"/>
      <c r="AS98" s="305">
        <f t="shared" si="58"/>
        <v>0</v>
      </c>
      <c r="AT98" s="273"/>
      <c r="AU98" s="305">
        <f t="shared" si="59"/>
        <v>0</v>
      </c>
    </row>
    <row r="99" spans="1:47" s="34" customFormat="1" hidden="1" x14ac:dyDescent="0.25">
      <c r="A99" s="87"/>
      <c r="B99" s="42"/>
      <c r="C99" s="41"/>
      <c r="D99" s="41"/>
      <c r="E99" s="40"/>
      <c r="F99" s="40"/>
      <c r="G99" s="40"/>
      <c r="H99" s="40"/>
      <c r="I99" s="160"/>
      <c r="J99" s="41"/>
      <c r="K99" s="41"/>
      <c r="L99" s="41"/>
      <c r="M99" s="41"/>
      <c r="N99" s="41"/>
      <c r="O99" s="41"/>
      <c r="P99" s="188"/>
      <c r="Q99" s="236"/>
      <c r="R99" s="280"/>
      <c r="S99" s="179">
        <f t="shared" si="47"/>
        <v>4859.3864915304011</v>
      </c>
      <c r="T99" s="259"/>
      <c r="U99" s="179">
        <f t="shared" si="60"/>
        <v>150</v>
      </c>
      <c r="V99" s="259"/>
      <c r="W99" s="179">
        <f t="shared" si="48"/>
        <v>0</v>
      </c>
      <c r="X99" s="259"/>
      <c r="Y99" s="179">
        <f t="shared" si="49"/>
        <v>1022.73</v>
      </c>
      <c r="Z99" s="259"/>
      <c r="AA99" s="179">
        <f t="shared" si="50"/>
        <v>40</v>
      </c>
      <c r="AB99" s="259"/>
      <c r="AC99" s="179">
        <f t="shared" si="51"/>
        <v>1394.266018065</v>
      </c>
      <c r="AD99" s="238">
        <f t="shared" si="46"/>
        <v>0</v>
      </c>
      <c r="AE99" s="179">
        <f t="shared" si="52"/>
        <v>2456.996018065</v>
      </c>
      <c r="AF99" s="264"/>
      <c r="AG99" s="179">
        <f t="shared" si="53"/>
        <v>1000</v>
      </c>
      <c r="AH99" s="268"/>
      <c r="AI99" s="179">
        <f t="shared" si="54"/>
        <v>0</v>
      </c>
      <c r="AJ99" s="268"/>
      <c r="AK99" s="179">
        <f t="shared" si="55"/>
        <v>22.73</v>
      </c>
      <c r="AL99" s="268"/>
      <c r="AM99" s="179">
        <f t="shared" si="56"/>
        <v>0</v>
      </c>
      <c r="AN99" s="268"/>
      <c r="AO99" s="179">
        <f t="shared" si="57"/>
        <v>0</v>
      </c>
      <c r="AP99" s="268"/>
      <c r="AQ99" s="179">
        <f t="shared" si="61"/>
        <v>0</v>
      </c>
      <c r="AR99" s="273"/>
      <c r="AS99" s="305">
        <f t="shared" si="58"/>
        <v>0</v>
      </c>
      <c r="AT99" s="273"/>
      <c r="AU99" s="305">
        <f t="shared" si="59"/>
        <v>0</v>
      </c>
    </row>
    <row r="100" spans="1:47" s="34" customFormat="1" hidden="1" x14ac:dyDescent="0.25">
      <c r="A100" s="87"/>
      <c r="B100" s="42"/>
      <c r="C100" s="41"/>
      <c r="D100" s="41"/>
      <c r="E100" s="40"/>
      <c r="F100" s="40"/>
      <c r="G100" s="40"/>
      <c r="H100" s="40"/>
      <c r="I100" s="160"/>
      <c r="J100" s="41"/>
      <c r="K100" s="41"/>
      <c r="L100" s="41"/>
      <c r="M100" s="41"/>
      <c r="N100" s="41"/>
      <c r="O100" s="41"/>
      <c r="P100" s="188"/>
      <c r="Q100" s="236"/>
      <c r="R100" s="280"/>
      <c r="S100" s="179">
        <f t="shared" si="47"/>
        <v>4859.3864915304011</v>
      </c>
      <c r="T100" s="259"/>
      <c r="U100" s="179">
        <f t="shared" si="60"/>
        <v>150</v>
      </c>
      <c r="V100" s="259"/>
      <c r="W100" s="179">
        <f t="shared" si="48"/>
        <v>0</v>
      </c>
      <c r="X100" s="259"/>
      <c r="Y100" s="179">
        <f t="shared" si="49"/>
        <v>1022.73</v>
      </c>
      <c r="Z100" s="259"/>
      <c r="AA100" s="179">
        <f t="shared" si="50"/>
        <v>40</v>
      </c>
      <c r="AB100" s="259"/>
      <c r="AC100" s="179">
        <f t="shared" si="51"/>
        <v>1394.266018065</v>
      </c>
      <c r="AD100" s="238">
        <f t="shared" si="46"/>
        <v>0</v>
      </c>
      <c r="AE100" s="179">
        <f t="shared" si="52"/>
        <v>2456.996018065</v>
      </c>
      <c r="AF100" s="264"/>
      <c r="AG100" s="179">
        <f t="shared" si="53"/>
        <v>1000</v>
      </c>
      <c r="AH100" s="268"/>
      <c r="AI100" s="179">
        <f t="shared" si="54"/>
        <v>0</v>
      </c>
      <c r="AJ100" s="268"/>
      <c r="AK100" s="179">
        <f t="shared" si="55"/>
        <v>22.73</v>
      </c>
      <c r="AL100" s="268"/>
      <c r="AM100" s="179">
        <f t="shared" si="56"/>
        <v>0</v>
      </c>
      <c r="AN100" s="268"/>
      <c r="AO100" s="179">
        <f t="shared" si="57"/>
        <v>0</v>
      </c>
      <c r="AP100" s="268"/>
      <c r="AQ100" s="179">
        <f t="shared" si="61"/>
        <v>0</v>
      </c>
      <c r="AR100" s="273"/>
      <c r="AS100" s="305">
        <f t="shared" si="58"/>
        <v>0</v>
      </c>
      <c r="AT100" s="273"/>
      <c r="AU100" s="305">
        <f t="shared" si="59"/>
        <v>0</v>
      </c>
    </row>
    <row r="101" spans="1:47" s="34" customFormat="1" hidden="1" x14ac:dyDescent="0.25">
      <c r="A101" s="87"/>
      <c r="B101" s="42"/>
      <c r="C101" s="41"/>
      <c r="D101" s="41"/>
      <c r="E101" s="40"/>
      <c r="F101" s="40"/>
      <c r="G101" s="40"/>
      <c r="H101" s="40"/>
      <c r="I101" s="160"/>
      <c r="J101" s="41"/>
      <c r="K101" s="41"/>
      <c r="L101" s="41"/>
      <c r="M101" s="41"/>
      <c r="N101" s="41"/>
      <c r="O101" s="41"/>
      <c r="P101" s="188"/>
      <c r="Q101" s="236"/>
      <c r="R101" s="280"/>
      <c r="S101" s="179">
        <f t="shared" si="47"/>
        <v>4859.3864915304011</v>
      </c>
      <c r="T101" s="259"/>
      <c r="U101" s="179">
        <f t="shared" si="60"/>
        <v>150</v>
      </c>
      <c r="V101" s="259"/>
      <c r="W101" s="179">
        <f t="shared" si="48"/>
        <v>0</v>
      </c>
      <c r="X101" s="259"/>
      <c r="Y101" s="179">
        <f t="shared" si="49"/>
        <v>1022.73</v>
      </c>
      <c r="Z101" s="259"/>
      <c r="AA101" s="179">
        <f t="shared" si="50"/>
        <v>40</v>
      </c>
      <c r="AB101" s="259"/>
      <c r="AC101" s="179">
        <f t="shared" si="51"/>
        <v>1394.266018065</v>
      </c>
      <c r="AD101" s="238">
        <f t="shared" si="46"/>
        <v>0</v>
      </c>
      <c r="AE101" s="179">
        <f t="shared" si="52"/>
        <v>2456.996018065</v>
      </c>
      <c r="AF101" s="264"/>
      <c r="AG101" s="179">
        <f t="shared" si="53"/>
        <v>1000</v>
      </c>
      <c r="AH101" s="268"/>
      <c r="AI101" s="179">
        <f t="shared" si="54"/>
        <v>0</v>
      </c>
      <c r="AJ101" s="268"/>
      <c r="AK101" s="179">
        <f t="shared" si="55"/>
        <v>22.73</v>
      </c>
      <c r="AL101" s="268"/>
      <c r="AM101" s="179">
        <f t="shared" si="56"/>
        <v>0</v>
      </c>
      <c r="AN101" s="268"/>
      <c r="AO101" s="179">
        <f t="shared" si="57"/>
        <v>0</v>
      </c>
      <c r="AP101" s="268"/>
      <c r="AQ101" s="179">
        <f t="shared" si="61"/>
        <v>0</v>
      </c>
      <c r="AR101" s="273"/>
      <c r="AS101" s="305">
        <f t="shared" si="58"/>
        <v>0</v>
      </c>
      <c r="AT101" s="273"/>
      <c r="AU101" s="305">
        <f t="shared" si="59"/>
        <v>0</v>
      </c>
    </row>
    <row r="102" spans="1:47" s="34" customFormat="1" hidden="1" x14ac:dyDescent="0.25">
      <c r="A102" s="87"/>
      <c r="B102" s="42"/>
      <c r="C102" s="41"/>
      <c r="D102" s="41"/>
      <c r="E102" s="40"/>
      <c r="F102" s="40"/>
      <c r="G102" s="40"/>
      <c r="H102" s="40"/>
      <c r="I102" s="160"/>
      <c r="J102" s="41"/>
      <c r="K102" s="41"/>
      <c r="L102" s="41"/>
      <c r="M102" s="41"/>
      <c r="N102" s="41"/>
      <c r="O102" s="41"/>
      <c r="P102" s="188"/>
      <c r="Q102" s="236"/>
      <c r="R102" s="280"/>
      <c r="S102" s="179">
        <f t="shared" si="47"/>
        <v>4859.3864915304011</v>
      </c>
      <c r="T102" s="259"/>
      <c r="U102" s="179">
        <f t="shared" si="60"/>
        <v>150</v>
      </c>
      <c r="V102" s="259"/>
      <c r="W102" s="179">
        <f t="shared" si="48"/>
        <v>0</v>
      </c>
      <c r="X102" s="259"/>
      <c r="Y102" s="179">
        <f t="shared" si="49"/>
        <v>1022.73</v>
      </c>
      <c r="Z102" s="259"/>
      <c r="AA102" s="179">
        <f t="shared" si="50"/>
        <v>40</v>
      </c>
      <c r="AB102" s="259"/>
      <c r="AC102" s="179">
        <f t="shared" si="51"/>
        <v>1394.266018065</v>
      </c>
      <c r="AD102" s="238">
        <f t="shared" si="46"/>
        <v>0</v>
      </c>
      <c r="AE102" s="179">
        <f t="shared" si="52"/>
        <v>2456.996018065</v>
      </c>
      <c r="AF102" s="264"/>
      <c r="AG102" s="179">
        <f t="shared" si="53"/>
        <v>1000</v>
      </c>
      <c r="AH102" s="268"/>
      <c r="AI102" s="179">
        <f t="shared" si="54"/>
        <v>0</v>
      </c>
      <c r="AJ102" s="268"/>
      <c r="AK102" s="179">
        <f t="shared" si="55"/>
        <v>22.73</v>
      </c>
      <c r="AL102" s="268"/>
      <c r="AM102" s="179">
        <f t="shared" si="56"/>
        <v>0</v>
      </c>
      <c r="AN102" s="268"/>
      <c r="AO102" s="179">
        <f t="shared" si="57"/>
        <v>0</v>
      </c>
      <c r="AP102" s="268"/>
      <c r="AQ102" s="179">
        <f t="shared" si="61"/>
        <v>0</v>
      </c>
      <c r="AR102" s="273"/>
      <c r="AS102" s="305">
        <f t="shared" si="58"/>
        <v>0</v>
      </c>
      <c r="AT102" s="273"/>
      <c r="AU102" s="305">
        <f t="shared" si="59"/>
        <v>0</v>
      </c>
    </row>
    <row r="103" spans="1:47" s="34" customFormat="1" hidden="1" x14ac:dyDescent="0.25">
      <c r="A103" s="87"/>
      <c r="B103" s="42"/>
      <c r="C103" s="41"/>
      <c r="D103" s="41"/>
      <c r="E103" s="40"/>
      <c r="F103" s="40"/>
      <c r="G103" s="40"/>
      <c r="H103" s="40"/>
      <c r="I103" s="160"/>
      <c r="J103" s="41"/>
      <c r="K103" s="41"/>
      <c r="L103" s="41"/>
      <c r="M103" s="41"/>
      <c r="N103" s="41"/>
      <c r="O103" s="41"/>
      <c r="P103" s="188"/>
      <c r="Q103" s="236"/>
      <c r="R103" s="280"/>
      <c r="S103" s="179">
        <f t="shared" si="47"/>
        <v>4859.3864915304011</v>
      </c>
      <c r="T103" s="259"/>
      <c r="U103" s="179">
        <f t="shared" si="60"/>
        <v>150</v>
      </c>
      <c r="V103" s="259"/>
      <c r="W103" s="179">
        <f t="shared" si="48"/>
        <v>0</v>
      </c>
      <c r="X103" s="259"/>
      <c r="Y103" s="179">
        <f t="shared" si="49"/>
        <v>1022.73</v>
      </c>
      <c r="Z103" s="259"/>
      <c r="AA103" s="179">
        <f t="shared" si="50"/>
        <v>40</v>
      </c>
      <c r="AB103" s="259"/>
      <c r="AC103" s="179">
        <f t="shared" si="51"/>
        <v>1394.266018065</v>
      </c>
      <c r="AD103" s="238">
        <f t="shared" si="46"/>
        <v>0</v>
      </c>
      <c r="AE103" s="179">
        <f t="shared" si="52"/>
        <v>2456.996018065</v>
      </c>
      <c r="AF103" s="264"/>
      <c r="AG103" s="179">
        <f t="shared" si="53"/>
        <v>1000</v>
      </c>
      <c r="AH103" s="268"/>
      <c r="AI103" s="179">
        <f t="shared" si="54"/>
        <v>0</v>
      </c>
      <c r="AJ103" s="268"/>
      <c r="AK103" s="179">
        <f t="shared" si="55"/>
        <v>22.73</v>
      </c>
      <c r="AL103" s="268"/>
      <c r="AM103" s="179">
        <f t="shared" si="56"/>
        <v>0</v>
      </c>
      <c r="AN103" s="268"/>
      <c r="AO103" s="179">
        <f t="shared" si="57"/>
        <v>0</v>
      </c>
      <c r="AP103" s="268"/>
      <c r="AQ103" s="179">
        <f t="shared" si="61"/>
        <v>0</v>
      </c>
      <c r="AR103" s="273"/>
      <c r="AS103" s="305">
        <f t="shared" si="58"/>
        <v>0</v>
      </c>
      <c r="AT103" s="273"/>
      <c r="AU103" s="305">
        <f t="shared" si="59"/>
        <v>0</v>
      </c>
    </row>
    <row r="104" spans="1:47" s="34" customFormat="1" hidden="1" x14ac:dyDescent="0.25">
      <c r="A104" s="87"/>
      <c r="B104" s="42"/>
      <c r="C104" s="41"/>
      <c r="D104" s="41"/>
      <c r="E104" s="40"/>
      <c r="F104" s="40"/>
      <c r="G104" s="40"/>
      <c r="H104" s="40"/>
      <c r="I104" s="160"/>
      <c r="J104" s="41"/>
      <c r="K104" s="41"/>
      <c r="L104" s="41"/>
      <c r="M104" s="41"/>
      <c r="N104" s="41"/>
      <c r="O104" s="41"/>
      <c r="P104" s="188"/>
      <c r="Q104" s="236"/>
      <c r="R104" s="280"/>
      <c r="S104" s="179">
        <f t="shared" si="47"/>
        <v>4859.3864915304011</v>
      </c>
      <c r="T104" s="259"/>
      <c r="U104" s="179">
        <f t="shared" si="60"/>
        <v>150</v>
      </c>
      <c r="V104" s="259"/>
      <c r="W104" s="179">
        <f t="shared" si="48"/>
        <v>0</v>
      </c>
      <c r="X104" s="259"/>
      <c r="Y104" s="179">
        <f t="shared" si="49"/>
        <v>1022.73</v>
      </c>
      <c r="Z104" s="259"/>
      <c r="AA104" s="179">
        <f t="shared" si="50"/>
        <v>40</v>
      </c>
      <c r="AB104" s="259"/>
      <c r="AC104" s="179">
        <f t="shared" si="51"/>
        <v>1394.266018065</v>
      </c>
      <c r="AD104" s="238">
        <f t="shared" si="46"/>
        <v>0</v>
      </c>
      <c r="AE104" s="179">
        <f t="shared" si="52"/>
        <v>2456.996018065</v>
      </c>
      <c r="AF104" s="264"/>
      <c r="AG104" s="179">
        <f t="shared" si="53"/>
        <v>1000</v>
      </c>
      <c r="AH104" s="268"/>
      <c r="AI104" s="179">
        <f t="shared" si="54"/>
        <v>0</v>
      </c>
      <c r="AJ104" s="268"/>
      <c r="AK104" s="179">
        <f t="shared" si="55"/>
        <v>22.73</v>
      </c>
      <c r="AL104" s="268"/>
      <c r="AM104" s="179">
        <f t="shared" si="56"/>
        <v>0</v>
      </c>
      <c r="AN104" s="268"/>
      <c r="AO104" s="179">
        <f t="shared" si="57"/>
        <v>0</v>
      </c>
      <c r="AP104" s="268"/>
      <c r="AQ104" s="179">
        <f t="shared" si="61"/>
        <v>0</v>
      </c>
      <c r="AR104" s="273"/>
      <c r="AS104" s="305">
        <f t="shared" si="58"/>
        <v>0</v>
      </c>
      <c r="AT104" s="273"/>
      <c r="AU104" s="305">
        <f t="shared" si="59"/>
        <v>0</v>
      </c>
    </row>
    <row r="105" spans="1:47" s="34" customFormat="1" hidden="1" x14ac:dyDescent="0.25">
      <c r="A105" s="87"/>
      <c r="B105" s="42"/>
      <c r="C105" s="41"/>
      <c r="D105" s="41"/>
      <c r="E105" s="40"/>
      <c r="F105" s="40"/>
      <c r="G105" s="40"/>
      <c r="H105" s="40"/>
      <c r="I105" s="160"/>
      <c r="J105" s="41"/>
      <c r="K105" s="41"/>
      <c r="L105" s="41"/>
      <c r="M105" s="41"/>
      <c r="N105" s="41"/>
      <c r="O105" s="41"/>
      <c r="P105" s="188"/>
      <c r="Q105" s="236"/>
      <c r="R105" s="280"/>
      <c r="S105" s="179">
        <f t="shared" si="47"/>
        <v>4859.3864915304011</v>
      </c>
      <c r="T105" s="259"/>
      <c r="U105" s="179">
        <f t="shared" si="60"/>
        <v>150</v>
      </c>
      <c r="V105" s="259"/>
      <c r="W105" s="179">
        <f t="shared" si="48"/>
        <v>0</v>
      </c>
      <c r="X105" s="259"/>
      <c r="Y105" s="179">
        <f t="shared" si="49"/>
        <v>1022.73</v>
      </c>
      <c r="Z105" s="259"/>
      <c r="AA105" s="179">
        <f t="shared" si="50"/>
        <v>40</v>
      </c>
      <c r="AB105" s="259"/>
      <c r="AC105" s="179">
        <f t="shared" si="51"/>
        <v>1394.266018065</v>
      </c>
      <c r="AD105" s="238">
        <f t="shared" si="46"/>
        <v>0</v>
      </c>
      <c r="AE105" s="179">
        <f t="shared" si="52"/>
        <v>2456.996018065</v>
      </c>
      <c r="AF105" s="264"/>
      <c r="AG105" s="179">
        <f t="shared" si="53"/>
        <v>1000</v>
      </c>
      <c r="AH105" s="268"/>
      <c r="AI105" s="179">
        <f t="shared" si="54"/>
        <v>0</v>
      </c>
      <c r="AJ105" s="268"/>
      <c r="AK105" s="179">
        <f t="shared" si="55"/>
        <v>22.73</v>
      </c>
      <c r="AL105" s="268"/>
      <c r="AM105" s="179">
        <f t="shared" si="56"/>
        <v>0</v>
      </c>
      <c r="AN105" s="268"/>
      <c r="AO105" s="179">
        <f t="shared" si="57"/>
        <v>0</v>
      </c>
      <c r="AP105" s="268"/>
      <c r="AQ105" s="179">
        <f t="shared" si="61"/>
        <v>0</v>
      </c>
      <c r="AR105" s="273"/>
      <c r="AS105" s="305">
        <f t="shared" si="58"/>
        <v>0</v>
      </c>
      <c r="AT105" s="273"/>
      <c r="AU105" s="305">
        <f t="shared" si="59"/>
        <v>0</v>
      </c>
    </row>
    <row r="106" spans="1:47" s="34" customFormat="1" hidden="1" x14ac:dyDescent="0.25">
      <c r="A106" s="87"/>
      <c r="B106" s="42"/>
      <c r="C106" s="41"/>
      <c r="D106" s="41"/>
      <c r="E106" s="40"/>
      <c r="F106" s="40"/>
      <c r="G106" s="40"/>
      <c r="H106" s="40"/>
      <c r="I106" s="160"/>
      <c r="J106" s="41"/>
      <c r="K106" s="41"/>
      <c r="L106" s="41"/>
      <c r="M106" s="41"/>
      <c r="N106" s="41"/>
      <c r="O106" s="41"/>
      <c r="P106" s="188"/>
      <c r="Q106" s="236"/>
      <c r="R106" s="280"/>
      <c r="S106" s="179">
        <f t="shared" si="47"/>
        <v>4859.3864915304011</v>
      </c>
      <c r="T106" s="259"/>
      <c r="U106" s="179">
        <f t="shared" si="60"/>
        <v>150</v>
      </c>
      <c r="V106" s="259"/>
      <c r="W106" s="179">
        <f t="shared" si="48"/>
        <v>0</v>
      </c>
      <c r="X106" s="259"/>
      <c r="Y106" s="179">
        <f t="shared" si="49"/>
        <v>1022.73</v>
      </c>
      <c r="Z106" s="259"/>
      <c r="AA106" s="179">
        <f t="shared" si="50"/>
        <v>40</v>
      </c>
      <c r="AB106" s="259"/>
      <c r="AC106" s="179">
        <f t="shared" si="51"/>
        <v>1394.266018065</v>
      </c>
      <c r="AD106" s="238">
        <f t="shared" si="46"/>
        <v>0</v>
      </c>
      <c r="AE106" s="179">
        <f t="shared" si="52"/>
        <v>2456.996018065</v>
      </c>
      <c r="AF106" s="264"/>
      <c r="AG106" s="179">
        <f t="shared" si="53"/>
        <v>1000</v>
      </c>
      <c r="AH106" s="268"/>
      <c r="AI106" s="179">
        <f t="shared" si="54"/>
        <v>0</v>
      </c>
      <c r="AJ106" s="268"/>
      <c r="AK106" s="179">
        <f t="shared" si="55"/>
        <v>22.73</v>
      </c>
      <c r="AL106" s="268"/>
      <c r="AM106" s="179">
        <f t="shared" si="56"/>
        <v>0</v>
      </c>
      <c r="AN106" s="268"/>
      <c r="AO106" s="179">
        <f t="shared" si="57"/>
        <v>0</v>
      </c>
      <c r="AP106" s="268"/>
      <c r="AQ106" s="179">
        <f t="shared" si="61"/>
        <v>0</v>
      </c>
      <c r="AR106" s="273"/>
      <c r="AS106" s="305">
        <f t="shared" si="58"/>
        <v>0</v>
      </c>
      <c r="AT106" s="273"/>
      <c r="AU106" s="305">
        <f t="shared" si="59"/>
        <v>0</v>
      </c>
    </row>
    <row r="107" spans="1:47" s="34" customFormat="1" hidden="1" x14ac:dyDescent="0.25">
      <c r="A107" s="87"/>
      <c r="B107" s="42"/>
      <c r="C107" s="41"/>
      <c r="D107" s="41"/>
      <c r="E107" s="40"/>
      <c r="F107" s="40"/>
      <c r="G107" s="40"/>
      <c r="H107" s="40"/>
      <c r="I107" s="160"/>
      <c r="J107" s="41"/>
      <c r="K107" s="41"/>
      <c r="L107" s="41"/>
      <c r="M107" s="41"/>
      <c r="N107" s="41"/>
      <c r="O107" s="41"/>
      <c r="P107" s="188"/>
      <c r="Q107" s="236"/>
      <c r="R107" s="280"/>
      <c r="S107" s="179">
        <f t="shared" si="47"/>
        <v>4859.3864915304011</v>
      </c>
      <c r="T107" s="259"/>
      <c r="U107" s="179">
        <f t="shared" si="60"/>
        <v>150</v>
      </c>
      <c r="V107" s="259"/>
      <c r="W107" s="179">
        <f t="shared" si="48"/>
        <v>0</v>
      </c>
      <c r="X107" s="259"/>
      <c r="Y107" s="179">
        <f t="shared" si="49"/>
        <v>1022.73</v>
      </c>
      <c r="Z107" s="259"/>
      <c r="AA107" s="179">
        <f t="shared" si="50"/>
        <v>40</v>
      </c>
      <c r="AB107" s="259"/>
      <c r="AC107" s="179">
        <f t="shared" si="51"/>
        <v>1394.266018065</v>
      </c>
      <c r="AD107" s="238">
        <f t="shared" si="46"/>
        <v>0</v>
      </c>
      <c r="AE107" s="179">
        <f t="shared" si="52"/>
        <v>2456.996018065</v>
      </c>
      <c r="AF107" s="264"/>
      <c r="AG107" s="179">
        <f t="shared" si="53"/>
        <v>1000</v>
      </c>
      <c r="AH107" s="268"/>
      <c r="AI107" s="179">
        <f t="shared" si="54"/>
        <v>0</v>
      </c>
      <c r="AJ107" s="268"/>
      <c r="AK107" s="179">
        <f t="shared" si="55"/>
        <v>22.73</v>
      </c>
      <c r="AL107" s="268"/>
      <c r="AM107" s="179">
        <f t="shared" si="56"/>
        <v>0</v>
      </c>
      <c r="AN107" s="268"/>
      <c r="AO107" s="179">
        <f t="shared" si="57"/>
        <v>0</v>
      </c>
      <c r="AP107" s="268"/>
      <c r="AQ107" s="179">
        <f t="shared" si="61"/>
        <v>0</v>
      </c>
      <c r="AR107" s="273"/>
      <c r="AS107" s="305">
        <f t="shared" si="58"/>
        <v>0</v>
      </c>
      <c r="AT107" s="273"/>
      <c r="AU107" s="305">
        <f t="shared" si="59"/>
        <v>0</v>
      </c>
    </row>
    <row r="108" spans="1:47" s="34" customFormat="1" hidden="1" x14ac:dyDescent="0.25">
      <c r="A108" s="87"/>
      <c r="B108" s="42"/>
      <c r="C108" s="41"/>
      <c r="D108" s="41"/>
      <c r="E108" s="40"/>
      <c r="F108" s="40"/>
      <c r="G108" s="40"/>
      <c r="H108" s="40"/>
      <c r="I108" s="160"/>
      <c r="J108" s="41"/>
      <c r="K108" s="41"/>
      <c r="L108" s="41"/>
      <c r="M108" s="41"/>
      <c r="N108" s="41"/>
      <c r="O108" s="41"/>
      <c r="P108" s="188"/>
      <c r="Q108" s="236"/>
      <c r="R108" s="280"/>
      <c r="S108" s="179">
        <f t="shared" si="47"/>
        <v>4859.3864915304011</v>
      </c>
      <c r="T108" s="259"/>
      <c r="U108" s="179">
        <f t="shared" si="60"/>
        <v>150</v>
      </c>
      <c r="V108" s="259"/>
      <c r="W108" s="179">
        <f t="shared" si="48"/>
        <v>0</v>
      </c>
      <c r="X108" s="259"/>
      <c r="Y108" s="179">
        <f t="shared" si="49"/>
        <v>1022.73</v>
      </c>
      <c r="Z108" s="259"/>
      <c r="AA108" s="179">
        <f t="shared" si="50"/>
        <v>40</v>
      </c>
      <c r="AB108" s="259"/>
      <c r="AC108" s="179">
        <f t="shared" si="51"/>
        <v>1394.266018065</v>
      </c>
      <c r="AD108" s="238">
        <f t="shared" si="46"/>
        <v>0</v>
      </c>
      <c r="AE108" s="179">
        <f t="shared" si="52"/>
        <v>2456.996018065</v>
      </c>
      <c r="AF108" s="264"/>
      <c r="AG108" s="179">
        <f t="shared" si="53"/>
        <v>1000</v>
      </c>
      <c r="AH108" s="268"/>
      <c r="AI108" s="179">
        <f t="shared" si="54"/>
        <v>0</v>
      </c>
      <c r="AJ108" s="268"/>
      <c r="AK108" s="179">
        <f t="shared" si="55"/>
        <v>22.73</v>
      </c>
      <c r="AL108" s="268"/>
      <c r="AM108" s="179">
        <f t="shared" si="56"/>
        <v>0</v>
      </c>
      <c r="AN108" s="268"/>
      <c r="AO108" s="179">
        <f t="shared" si="57"/>
        <v>0</v>
      </c>
      <c r="AP108" s="268"/>
      <c r="AQ108" s="179">
        <f t="shared" si="61"/>
        <v>0</v>
      </c>
      <c r="AR108" s="273"/>
      <c r="AS108" s="305">
        <f t="shared" si="58"/>
        <v>0</v>
      </c>
      <c r="AT108" s="273"/>
      <c r="AU108" s="305">
        <f t="shared" si="59"/>
        <v>0</v>
      </c>
    </row>
    <row r="109" spans="1:47" s="34" customFormat="1" hidden="1" x14ac:dyDescent="0.25">
      <c r="A109" s="87"/>
      <c r="B109" s="42"/>
      <c r="C109" s="41"/>
      <c r="D109" s="41"/>
      <c r="E109" s="40"/>
      <c r="F109" s="40"/>
      <c r="G109" s="40"/>
      <c r="H109" s="40"/>
      <c r="I109" s="160"/>
      <c r="J109" s="41"/>
      <c r="K109" s="41"/>
      <c r="L109" s="41"/>
      <c r="M109" s="41"/>
      <c r="N109" s="41"/>
      <c r="O109" s="41"/>
      <c r="P109" s="188"/>
      <c r="Q109" s="236"/>
      <c r="R109" s="280"/>
      <c r="S109" s="179">
        <f t="shared" si="47"/>
        <v>4859.3864915304011</v>
      </c>
      <c r="T109" s="259"/>
      <c r="U109" s="179">
        <f t="shared" si="60"/>
        <v>150</v>
      </c>
      <c r="V109" s="259"/>
      <c r="W109" s="179">
        <f t="shared" si="48"/>
        <v>0</v>
      </c>
      <c r="X109" s="259"/>
      <c r="Y109" s="179">
        <f t="shared" si="49"/>
        <v>1022.73</v>
      </c>
      <c r="Z109" s="259"/>
      <c r="AA109" s="179">
        <f t="shared" si="50"/>
        <v>40</v>
      </c>
      <c r="AB109" s="259"/>
      <c r="AC109" s="179">
        <f t="shared" si="51"/>
        <v>1394.266018065</v>
      </c>
      <c r="AD109" s="238">
        <f t="shared" si="46"/>
        <v>0</v>
      </c>
      <c r="AE109" s="179">
        <f t="shared" si="52"/>
        <v>2456.996018065</v>
      </c>
      <c r="AF109" s="264"/>
      <c r="AG109" s="179">
        <f t="shared" si="53"/>
        <v>1000</v>
      </c>
      <c r="AH109" s="268"/>
      <c r="AI109" s="179">
        <f t="shared" si="54"/>
        <v>0</v>
      </c>
      <c r="AJ109" s="268"/>
      <c r="AK109" s="179">
        <f t="shared" si="55"/>
        <v>22.73</v>
      </c>
      <c r="AL109" s="268"/>
      <c r="AM109" s="179">
        <f t="shared" si="56"/>
        <v>0</v>
      </c>
      <c r="AN109" s="268"/>
      <c r="AO109" s="179">
        <f t="shared" si="57"/>
        <v>0</v>
      </c>
      <c r="AP109" s="268"/>
      <c r="AQ109" s="179">
        <f t="shared" si="61"/>
        <v>0</v>
      </c>
      <c r="AR109" s="273"/>
      <c r="AS109" s="305">
        <f t="shared" si="58"/>
        <v>0</v>
      </c>
      <c r="AT109" s="273"/>
      <c r="AU109" s="305">
        <f t="shared" si="59"/>
        <v>0</v>
      </c>
    </row>
    <row r="110" spans="1:47" s="34" customFormat="1" hidden="1" x14ac:dyDescent="0.25">
      <c r="A110" s="87"/>
      <c r="B110" s="42"/>
      <c r="C110" s="41"/>
      <c r="D110" s="41"/>
      <c r="E110" s="40"/>
      <c r="F110" s="40"/>
      <c r="G110" s="40"/>
      <c r="H110" s="40"/>
      <c r="I110" s="160"/>
      <c r="J110" s="41"/>
      <c r="K110" s="41"/>
      <c r="L110" s="41"/>
      <c r="M110" s="41"/>
      <c r="N110" s="41"/>
      <c r="O110" s="41"/>
      <c r="P110" s="188"/>
      <c r="Q110" s="236"/>
      <c r="R110" s="280"/>
      <c r="S110" s="179">
        <f t="shared" si="47"/>
        <v>4859.3864915304011</v>
      </c>
      <c r="T110" s="259"/>
      <c r="U110" s="179">
        <f t="shared" si="60"/>
        <v>150</v>
      </c>
      <c r="V110" s="259"/>
      <c r="W110" s="179">
        <f t="shared" si="48"/>
        <v>0</v>
      </c>
      <c r="X110" s="259"/>
      <c r="Y110" s="179">
        <f t="shared" si="49"/>
        <v>1022.73</v>
      </c>
      <c r="Z110" s="259"/>
      <c r="AA110" s="179">
        <f t="shared" si="50"/>
        <v>40</v>
      </c>
      <c r="AB110" s="259"/>
      <c r="AC110" s="179">
        <f t="shared" si="51"/>
        <v>1394.266018065</v>
      </c>
      <c r="AD110" s="238">
        <f t="shared" si="46"/>
        <v>0</v>
      </c>
      <c r="AE110" s="179">
        <f t="shared" si="52"/>
        <v>2456.996018065</v>
      </c>
      <c r="AF110" s="264"/>
      <c r="AG110" s="179">
        <f t="shared" si="53"/>
        <v>1000</v>
      </c>
      <c r="AH110" s="268"/>
      <c r="AI110" s="179">
        <f t="shared" si="54"/>
        <v>0</v>
      </c>
      <c r="AJ110" s="268"/>
      <c r="AK110" s="179">
        <f t="shared" si="55"/>
        <v>22.73</v>
      </c>
      <c r="AL110" s="268"/>
      <c r="AM110" s="179">
        <f t="shared" si="56"/>
        <v>0</v>
      </c>
      <c r="AN110" s="268"/>
      <c r="AO110" s="179">
        <f t="shared" si="57"/>
        <v>0</v>
      </c>
      <c r="AP110" s="268"/>
      <c r="AQ110" s="179">
        <f t="shared" si="61"/>
        <v>0</v>
      </c>
      <c r="AR110" s="273"/>
      <c r="AS110" s="305">
        <f t="shared" si="58"/>
        <v>0</v>
      </c>
      <c r="AT110" s="273"/>
      <c r="AU110" s="305">
        <f t="shared" si="59"/>
        <v>0</v>
      </c>
    </row>
    <row r="111" spans="1:47" s="34" customFormat="1" hidden="1" x14ac:dyDescent="0.25">
      <c r="A111" s="87"/>
      <c r="B111" s="42"/>
      <c r="C111" s="41"/>
      <c r="D111" s="41"/>
      <c r="E111" s="40"/>
      <c r="F111" s="40"/>
      <c r="G111" s="40"/>
      <c r="H111" s="40"/>
      <c r="I111" s="160"/>
      <c r="J111" s="41"/>
      <c r="K111" s="41"/>
      <c r="L111" s="41"/>
      <c r="M111" s="41"/>
      <c r="N111" s="41"/>
      <c r="O111" s="41"/>
      <c r="P111" s="188"/>
      <c r="Q111" s="236"/>
      <c r="R111" s="280"/>
      <c r="S111" s="179">
        <f t="shared" si="47"/>
        <v>4859.3864915304011</v>
      </c>
      <c r="T111" s="259"/>
      <c r="U111" s="179">
        <f t="shared" si="60"/>
        <v>150</v>
      </c>
      <c r="V111" s="259"/>
      <c r="W111" s="179">
        <f t="shared" si="48"/>
        <v>0</v>
      </c>
      <c r="X111" s="259"/>
      <c r="Y111" s="179">
        <f t="shared" si="49"/>
        <v>1022.73</v>
      </c>
      <c r="Z111" s="259"/>
      <c r="AA111" s="179">
        <f t="shared" si="50"/>
        <v>40</v>
      </c>
      <c r="AB111" s="259"/>
      <c r="AC111" s="179">
        <f t="shared" si="51"/>
        <v>1394.266018065</v>
      </c>
      <c r="AD111" s="238">
        <f t="shared" si="46"/>
        <v>0</v>
      </c>
      <c r="AE111" s="179">
        <f t="shared" si="52"/>
        <v>2456.996018065</v>
      </c>
      <c r="AF111" s="264"/>
      <c r="AG111" s="179">
        <f t="shared" si="53"/>
        <v>1000</v>
      </c>
      <c r="AH111" s="268"/>
      <c r="AI111" s="179">
        <f t="shared" si="54"/>
        <v>0</v>
      </c>
      <c r="AJ111" s="268"/>
      <c r="AK111" s="179">
        <f t="shared" si="55"/>
        <v>22.73</v>
      </c>
      <c r="AL111" s="268"/>
      <c r="AM111" s="179">
        <f t="shared" si="56"/>
        <v>0</v>
      </c>
      <c r="AN111" s="268"/>
      <c r="AO111" s="179">
        <f t="shared" si="57"/>
        <v>0</v>
      </c>
      <c r="AP111" s="268"/>
      <c r="AQ111" s="179">
        <f t="shared" si="61"/>
        <v>0</v>
      </c>
      <c r="AR111" s="273"/>
      <c r="AS111" s="305">
        <f t="shared" si="58"/>
        <v>0</v>
      </c>
      <c r="AT111" s="273"/>
      <c r="AU111" s="305">
        <f t="shared" si="59"/>
        <v>0</v>
      </c>
    </row>
    <row r="112" spans="1:47" s="34" customFormat="1" hidden="1" x14ac:dyDescent="0.25">
      <c r="A112" s="87"/>
      <c r="B112" s="42"/>
      <c r="C112" s="41"/>
      <c r="D112" s="41"/>
      <c r="E112" s="40"/>
      <c r="F112" s="40"/>
      <c r="G112" s="40"/>
      <c r="H112" s="40"/>
      <c r="I112" s="160"/>
      <c r="J112" s="41"/>
      <c r="K112" s="41"/>
      <c r="L112" s="41"/>
      <c r="M112" s="41"/>
      <c r="N112" s="41"/>
      <c r="O112" s="41"/>
      <c r="P112" s="188"/>
      <c r="Q112" s="236"/>
      <c r="R112" s="280"/>
      <c r="S112" s="179">
        <f t="shared" si="47"/>
        <v>4859.3864915304011</v>
      </c>
      <c r="T112" s="259"/>
      <c r="U112" s="179">
        <f t="shared" si="60"/>
        <v>150</v>
      </c>
      <c r="V112" s="259"/>
      <c r="W112" s="179">
        <f t="shared" si="48"/>
        <v>0</v>
      </c>
      <c r="X112" s="259"/>
      <c r="Y112" s="179">
        <f t="shared" si="49"/>
        <v>1022.73</v>
      </c>
      <c r="Z112" s="259"/>
      <c r="AA112" s="179">
        <f t="shared" si="50"/>
        <v>40</v>
      </c>
      <c r="AB112" s="259"/>
      <c r="AC112" s="179">
        <f t="shared" si="51"/>
        <v>1394.266018065</v>
      </c>
      <c r="AD112" s="238">
        <f t="shared" si="46"/>
        <v>0</v>
      </c>
      <c r="AE112" s="179">
        <f t="shared" si="52"/>
        <v>2456.996018065</v>
      </c>
      <c r="AF112" s="264"/>
      <c r="AG112" s="179">
        <f t="shared" si="53"/>
        <v>1000</v>
      </c>
      <c r="AH112" s="268"/>
      <c r="AI112" s="179">
        <f t="shared" si="54"/>
        <v>0</v>
      </c>
      <c r="AJ112" s="268"/>
      <c r="AK112" s="179">
        <f t="shared" si="55"/>
        <v>22.73</v>
      </c>
      <c r="AL112" s="268"/>
      <c r="AM112" s="179">
        <f t="shared" si="56"/>
        <v>0</v>
      </c>
      <c r="AN112" s="268"/>
      <c r="AO112" s="179">
        <f t="shared" si="57"/>
        <v>0</v>
      </c>
      <c r="AP112" s="268"/>
      <c r="AQ112" s="179">
        <f t="shared" si="61"/>
        <v>0</v>
      </c>
      <c r="AR112" s="273"/>
      <c r="AS112" s="305">
        <f t="shared" si="58"/>
        <v>0</v>
      </c>
      <c r="AT112" s="273"/>
      <c r="AU112" s="305">
        <f t="shared" si="59"/>
        <v>0</v>
      </c>
    </row>
    <row r="113" spans="1:47" s="34" customFormat="1" hidden="1" x14ac:dyDescent="0.25">
      <c r="A113" s="87"/>
      <c r="B113" s="42"/>
      <c r="C113" s="41"/>
      <c r="D113" s="41"/>
      <c r="E113" s="40"/>
      <c r="F113" s="40"/>
      <c r="G113" s="40"/>
      <c r="H113" s="40"/>
      <c r="I113" s="160"/>
      <c r="J113" s="41"/>
      <c r="K113" s="41"/>
      <c r="L113" s="41"/>
      <c r="M113" s="41"/>
      <c r="N113" s="41"/>
      <c r="O113" s="41"/>
      <c r="P113" s="188"/>
      <c r="Q113" s="236"/>
      <c r="R113" s="280"/>
      <c r="S113" s="179">
        <f t="shared" si="47"/>
        <v>4859.3864915304011</v>
      </c>
      <c r="T113" s="259"/>
      <c r="U113" s="179">
        <f t="shared" si="60"/>
        <v>150</v>
      </c>
      <c r="V113" s="259"/>
      <c r="W113" s="179">
        <f t="shared" si="48"/>
        <v>0</v>
      </c>
      <c r="X113" s="259"/>
      <c r="Y113" s="179">
        <f t="shared" si="49"/>
        <v>1022.73</v>
      </c>
      <c r="Z113" s="259"/>
      <c r="AA113" s="179">
        <f t="shared" si="50"/>
        <v>40</v>
      </c>
      <c r="AB113" s="259"/>
      <c r="AC113" s="179">
        <f t="shared" si="51"/>
        <v>1394.266018065</v>
      </c>
      <c r="AD113" s="238">
        <f t="shared" si="46"/>
        <v>0</v>
      </c>
      <c r="AE113" s="179">
        <f t="shared" si="52"/>
        <v>2456.996018065</v>
      </c>
      <c r="AF113" s="264"/>
      <c r="AG113" s="179">
        <f t="shared" si="53"/>
        <v>1000</v>
      </c>
      <c r="AH113" s="268"/>
      <c r="AI113" s="179">
        <f t="shared" si="54"/>
        <v>0</v>
      </c>
      <c r="AJ113" s="268"/>
      <c r="AK113" s="179">
        <f t="shared" si="55"/>
        <v>22.73</v>
      </c>
      <c r="AL113" s="268"/>
      <c r="AM113" s="179">
        <f t="shared" si="56"/>
        <v>0</v>
      </c>
      <c r="AN113" s="268"/>
      <c r="AO113" s="179">
        <f t="shared" si="57"/>
        <v>0</v>
      </c>
      <c r="AP113" s="268"/>
      <c r="AQ113" s="179">
        <f t="shared" si="61"/>
        <v>0</v>
      </c>
      <c r="AR113" s="273"/>
      <c r="AS113" s="305">
        <f t="shared" si="58"/>
        <v>0</v>
      </c>
      <c r="AT113" s="273"/>
      <c r="AU113" s="305">
        <f t="shared" si="59"/>
        <v>0</v>
      </c>
    </row>
    <row r="114" spans="1:47" s="34" customFormat="1" hidden="1" x14ac:dyDescent="0.25">
      <c r="A114" s="87"/>
      <c r="B114" s="42"/>
      <c r="C114" s="41"/>
      <c r="D114" s="41"/>
      <c r="E114" s="40"/>
      <c r="F114" s="40"/>
      <c r="G114" s="40"/>
      <c r="H114" s="40"/>
      <c r="I114" s="160"/>
      <c r="J114" s="41"/>
      <c r="K114" s="41"/>
      <c r="L114" s="41"/>
      <c r="M114" s="41"/>
      <c r="N114" s="41"/>
      <c r="O114" s="41"/>
      <c r="P114" s="188"/>
      <c r="Q114" s="236"/>
      <c r="R114" s="280"/>
      <c r="S114" s="179">
        <f t="shared" si="47"/>
        <v>4859.3864915304011</v>
      </c>
      <c r="T114" s="259"/>
      <c r="U114" s="179">
        <f t="shared" si="60"/>
        <v>150</v>
      </c>
      <c r="V114" s="259"/>
      <c r="W114" s="179">
        <f t="shared" si="48"/>
        <v>0</v>
      </c>
      <c r="X114" s="259"/>
      <c r="Y114" s="179">
        <f t="shared" si="49"/>
        <v>1022.73</v>
      </c>
      <c r="Z114" s="259"/>
      <c r="AA114" s="179">
        <f t="shared" si="50"/>
        <v>40</v>
      </c>
      <c r="AB114" s="259"/>
      <c r="AC114" s="179">
        <f t="shared" si="51"/>
        <v>1394.266018065</v>
      </c>
      <c r="AD114" s="238">
        <f t="shared" si="46"/>
        <v>0</v>
      </c>
      <c r="AE114" s="179">
        <f t="shared" si="52"/>
        <v>2456.996018065</v>
      </c>
      <c r="AF114" s="264"/>
      <c r="AG114" s="179">
        <f t="shared" si="53"/>
        <v>1000</v>
      </c>
      <c r="AH114" s="268"/>
      <c r="AI114" s="179">
        <f t="shared" si="54"/>
        <v>0</v>
      </c>
      <c r="AJ114" s="268"/>
      <c r="AK114" s="179">
        <f t="shared" si="55"/>
        <v>22.73</v>
      </c>
      <c r="AL114" s="268"/>
      <c r="AM114" s="179">
        <f t="shared" si="56"/>
        <v>0</v>
      </c>
      <c r="AN114" s="268"/>
      <c r="AO114" s="179">
        <f t="shared" si="57"/>
        <v>0</v>
      </c>
      <c r="AP114" s="268"/>
      <c r="AQ114" s="179">
        <f t="shared" si="61"/>
        <v>0</v>
      </c>
      <c r="AR114" s="273"/>
      <c r="AS114" s="305">
        <f t="shared" si="58"/>
        <v>0</v>
      </c>
      <c r="AT114" s="273"/>
      <c r="AU114" s="305">
        <f t="shared" si="59"/>
        <v>0</v>
      </c>
    </row>
    <row r="115" spans="1:47" s="34" customFormat="1" hidden="1" x14ac:dyDescent="0.25">
      <c r="A115" s="87"/>
      <c r="B115" s="42"/>
      <c r="C115" s="41"/>
      <c r="D115" s="41"/>
      <c r="E115" s="40"/>
      <c r="F115" s="40"/>
      <c r="G115" s="40"/>
      <c r="H115" s="40"/>
      <c r="I115" s="160"/>
      <c r="J115" s="41"/>
      <c r="K115" s="41"/>
      <c r="L115" s="41"/>
      <c r="M115" s="41"/>
      <c r="N115" s="41"/>
      <c r="O115" s="41"/>
      <c r="P115" s="188"/>
      <c r="Q115" s="236"/>
      <c r="R115" s="280"/>
      <c r="S115" s="179">
        <f t="shared" si="47"/>
        <v>4859.3864915304011</v>
      </c>
      <c r="T115" s="259"/>
      <c r="U115" s="179">
        <f t="shared" si="60"/>
        <v>150</v>
      </c>
      <c r="V115" s="259"/>
      <c r="W115" s="179">
        <f t="shared" si="48"/>
        <v>0</v>
      </c>
      <c r="X115" s="259"/>
      <c r="Y115" s="179">
        <f t="shared" si="49"/>
        <v>1022.73</v>
      </c>
      <c r="Z115" s="259"/>
      <c r="AA115" s="179">
        <f t="shared" si="50"/>
        <v>40</v>
      </c>
      <c r="AB115" s="259"/>
      <c r="AC115" s="179">
        <f t="shared" si="51"/>
        <v>1394.266018065</v>
      </c>
      <c r="AD115" s="238">
        <f t="shared" si="46"/>
        <v>0</v>
      </c>
      <c r="AE115" s="179">
        <f t="shared" si="52"/>
        <v>2456.996018065</v>
      </c>
      <c r="AF115" s="264"/>
      <c r="AG115" s="179">
        <f t="shared" si="53"/>
        <v>1000</v>
      </c>
      <c r="AH115" s="268"/>
      <c r="AI115" s="179">
        <f t="shared" si="54"/>
        <v>0</v>
      </c>
      <c r="AJ115" s="268"/>
      <c r="AK115" s="179">
        <f t="shared" si="55"/>
        <v>22.73</v>
      </c>
      <c r="AL115" s="268"/>
      <c r="AM115" s="179">
        <f t="shared" si="56"/>
        <v>0</v>
      </c>
      <c r="AN115" s="268"/>
      <c r="AO115" s="179">
        <f t="shared" si="57"/>
        <v>0</v>
      </c>
      <c r="AP115" s="268"/>
      <c r="AQ115" s="179">
        <f t="shared" si="61"/>
        <v>0</v>
      </c>
      <c r="AR115" s="273"/>
      <c r="AS115" s="305">
        <f t="shared" si="58"/>
        <v>0</v>
      </c>
      <c r="AT115" s="273"/>
      <c r="AU115" s="305">
        <f t="shared" si="59"/>
        <v>0</v>
      </c>
    </row>
    <row r="116" spans="1:47" s="34" customFormat="1" hidden="1" x14ac:dyDescent="0.25">
      <c r="A116" s="87"/>
      <c r="B116" s="42"/>
      <c r="C116" s="41"/>
      <c r="D116" s="41"/>
      <c r="E116" s="40"/>
      <c r="F116" s="40"/>
      <c r="G116" s="40"/>
      <c r="H116" s="40"/>
      <c r="I116" s="160"/>
      <c r="J116" s="41"/>
      <c r="K116" s="41"/>
      <c r="L116" s="41"/>
      <c r="M116" s="41"/>
      <c r="N116" s="41"/>
      <c r="O116" s="41"/>
      <c r="P116" s="188"/>
      <c r="Q116" s="236"/>
      <c r="R116" s="280"/>
      <c r="S116" s="179">
        <f t="shared" si="47"/>
        <v>4859.3864915304011</v>
      </c>
      <c r="T116" s="259"/>
      <c r="U116" s="179">
        <f t="shared" si="60"/>
        <v>150</v>
      </c>
      <c r="V116" s="259"/>
      <c r="W116" s="179">
        <f t="shared" si="48"/>
        <v>0</v>
      </c>
      <c r="X116" s="259"/>
      <c r="Y116" s="179">
        <f t="shared" si="49"/>
        <v>1022.73</v>
      </c>
      <c r="Z116" s="259"/>
      <c r="AA116" s="179">
        <f t="shared" si="50"/>
        <v>40</v>
      </c>
      <c r="AB116" s="259"/>
      <c r="AC116" s="179">
        <f t="shared" si="51"/>
        <v>1394.266018065</v>
      </c>
      <c r="AD116" s="238">
        <f t="shared" si="46"/>
        <v>0</v>
      </c>
      <c r="AE116" s="179">
        <f t="shared" si="52"/>
        <v>2456.996018065</v>
      </c>
      <c r="AF116" s="264"/>
      <c r="AG116" s="179">
        <f t="shared" si="53"/>
        <v>1000</v>
      </c>
      <c r="AH116" s="268"/>
      <c r="AI116" s="179">
        <f t="shared" si="54"/>
        <v>0</v>
      </c>
      <c r="AJ116" s="268"/>
      <c r="AK116" s="179">
        <f t="shared" si="55"/>
        <v>22.73</v>
      </c>
      <c r="AL116" s="268"/>
      <c r="AM116" s="179">
        <f t="shared" si="56"/>
        <v>0</v>
      </c>
      <c r="AN116" s="268"/>
      <c r="AO116" s="179">
        <f t="shared" si="57"/>
        <v>0</v>
      </c>
      <c r="AP116" s="268"/>
      <c r="AQ116" s="179">
        <f t="shared" si="61"/>
        <v>0</v>
      </c>
      <c r="AR116" s="273"/>
      <c r="AS116" s="305">
        <f t="shared" si="58"/>
        <v>0</v>
      </c>
      <c r="AT116" s="273"/>
      <c r="AU116" s="305">
        <f t="shared" si="59"/>
        <v>0</v>
      </c>
    </row>
    <row r="117" spans="1:47" s="34" customFormat="1" hidden="1" x14ac:dyDescent="0.25">
      <c r="A117" s="87"/>
      <c r="B117" s="42"/>
      <c r="C117" s="41"/>
      <c r="D117" s="41"/>
      <c r="E117" s="40"/>
      <c r="F117" s="40"/>
      <c r="G117" s="40"/>
      <c r="H117" s="40"/>
      <c r="I117" s="160"/>
      <c r="J117" s="41"/>
      <c r="K117" s="41"/>
      <c r="L117" s="41"/>
      <c r="M117" s="41"/>
      <c r="N117" s="41"/>
      <c r="O117" s="41"/>
      <c r="P117" s="188"/>
      <c r="Q117" s="236"/>
      <c r="R117" s="280"/>
      <c r="S117" s="179">
        <f t="shared" si="47"/>
        <v>4859.3864915304011</v>
      </c>
      <c r="T117" s="259"/>
      <c r="U117" s="179">
        <f t="shared" si="60"/>
        <v>150</v>
      </c>
      <c r="V117" s="259"/>
      <c r="W117" s="179">
        <f t="shared" si="48"/>
        <v>0</v>
      </c>
      <c r="X117" s="259"/>
      <c r="Y117" s="179">
        <f t="shared" si="49"/>
        <v>1022.73</v>
      </c>
      <c r="Z117" s="259"/>
      <c r="AA117" s="179">
        <f t="shared" si="50"/>
        <v>40</v>
      </c>
      <c r="AB117" s="259"/>
      <c r="AC117" s="179">
        <f t="shared" si="51"/>
        <v>1394.266018065</v>
      </c>
      <c r="AD117" s="238">
        <f t="shared" si="46"/>
        <v>0</v>
      </c>
      <c r="AE117" s="179">
        <f t="shared" si="52"/>
        <v>2456.996018065</v>
      </c>
      <c r="AF117" s="264"/>
      <c r="AG117" s="179">
        <f t="shared" si="53"/>
        <v>1000</v>
      </c>
      <c r="AH117" s="268"/>
      <c r="AI117" s="179">
        <f t="shared" si="54"/>
        <v>0</v>
      </c>
      <c r="AJ117" s="268"/>
      <c r="AK117" s="179">
        <f t="shared" si="55"/>
        <v>22.73</v>
      </c>
      <c r="AL117" s="268"/>
      <c r="AM117" s="179">
        <f t="shared" si="56"/>
        <v>0</v>
      </c>
      <c r="AN117" s="268"/>
      <c r="AO117" s="179">
        <f t="shared" si="57"/>
        <v>0</v>
      </c>
      <c r="AP117" s="268"/>
      <c r="AQ117" s="179">
        <f t="shared" si="61"/>
        <v>0</v>
      </c>
      <c r="AR117" s="273"/>
      <c r="AS117" s="305">
        <f t="shared" si="58"/>
        <v>0</v>
      </c>
      <c r="AT117" s="273"/>
      <c r="AU117" s="305">
        <f t="shared" si="59"/>
        <v>0</v>
      </c>
    </row>
    <row r="118" spans="1:47" s="34" customFormat="1" hidden="1" x14ac:dyDescent="0.25">
      <c r="A118" s="87"/>
      <c r="B118" s="42"/>
      <c r="C118" s="41"/>
      <c r="D118" s="41"/>
      <c r="E118" s="40"/>
      <c r="F118" s="40"/>
      <c r="G118" s="40"/>
      <c r="H118" s="40"/>
      <c r="I118" s="160"/>
      <c r="J118" s="41"/>
      <c r="K118" s="41"/>
      <c r="L118" s="41"/>
      <c r="M118" s="41"/>
      <c r="N118" s="41"/>
      <c r="O118" s="41"/>
      <c r="P118" s="188"/>
      <c r="Q118" s="236"/>
      <c r="R118" s="280"/>
      <c r="S118" s="179">
        <f t="shared" si="47"/>
        <v>4859.3864915304011</v>
      </c>
      <c r="T118" s="259"/>
      <c r="U118" s="179">
        <f t="shared" si="60"/>
        <v>150</v>
      </c>
      <c r="V118" s="259"/>
      <c r="W118" s="179">
        <f t="shared" si="48"/>
        <v>0</v>
      </c>
      <c r="X118" s="259"/>
      <c r="Y118" s="179">
        <f t="shared" si="49"/>
        <v>1022.73</v>
      </c>
      <c r="Z118" s="259"/>
      <c r="AA118" s="179">
        <f t="shared" si="50"/>
        <v>40</v>
      </c>
      <c r="AB118" s="259"/>
      <c r="AC118" s="179">
        <f t="shared" si="51"/>
        <v>1394.266018065</v>
      </c>
      <c r="AD118" s="238">
        <f t="shared" si="46"/>
        <v>0</v>
      </c>
      <c r="AE118" s="179">
        <f t="shared" si="52"/>
        <v>2456.996018065</v>
      </c>
      <c r="AF118" s="264"/>
      <c r="AG118" s="179">
        <f t="shared" si="53"/>
        <v>1000</v>
      </c>
      <c r="AH118" s="268"/>
      <c r="AI118" s="179">
        <f t="shared" si="54"/>
        <v>0</v>
      </c>
      <c r="AJ118" s="268"/>
      <c r="AK118" s="179">
        <f t="shared" si="55"/>
        <v>22.73</v>
      </c>
      <c r="AL118" s="268"/>
      <c r="AM118" s="179">
        <f t="shared" si="56"/>
        <v>0</v>
      </c>
      <c r="AN118" s="268"/>
      <c r="AO118" s="179">
        <f t="shared" si="57"/>
        <v>0</v>
      </c>
      <c r="AP118" s="268"/>
      <c r="AQ118" s="179">
        <f t="shared" si="61"/>
        <v>0</v>
      </c>
      <c r="AR118" s="273"/>
      <c r="AS118" s="305">
        <f t="shared" si="58"/>
        <v>0</v>
      </c>
      <c r="AT118" s="273"/>
      <c r="AU118" s="305">
        <f t="shared" si="59"/>
        <v>0</v>
      </c>
    </row>
    <row r="119" spans="1:47" s="34" customFormat="1" hidden="1" x14ac:dyDescent="0.25">
      <c r="A119" s="87"/>
      <c r="B119" s="42"/>
      <c r="C119" s="41"/>
      <c r="D119" s="41"/>
      <c r="E119" s="40"/>
      <c r="F119" s="40"/>
      <c r="G119" s="40"/>
      <c r="H119" s="40"/>
      <c r="I119" s="160"/>
      <c r="J119" s="41"/>
      <c r="K119" s="41"/>
      <c r="L119" s="41"/>
      <c r="M119" s="41"/>
      <c r="N119" s="41"/>
      <c r="O119" s="41"/>
      <c r="P119" s="188"/>
      <c r="Q119" s="236"/>
      <c r="R119" s="280"/>
      <c r="S119" s="179">
        <f t="shared" si="47"/>
        <v>4859.3864915304011</v>
      </c>
      <c r="T119" s="259"/>
      <c r="U119" s="179">
        <f t="shared" si="60"/>
        <v>150</v>
      </c>
      <c r="V119" s="259"/>
      <c r="W119" s="179">
        <f t="shared" si="48"/>
        <v>0</v>
      </c>
      <c r="X119" s="259"/>
      <c r="Y119" s="179">
        <f t="shared" si="49"/>
        <v>1022.73</v>
      </c>
      <c r="Z119" s="259"/>
      <c r="AA119" s="179">
        <f t="shared" si="50"/>
        <v>40</v>
      </c>
      <c r="AB119" s="259"/>
      <c r="AC119" s="179">
        <f t="shared" si="51"/>
        <v>1394.266018065</v>
      </c>
      <c r="AD119" s="238">
        <f t="shared" si="46"/>
        <v>0</v>
      </c>
      <c r="AE119" s="179">
        <f t="shared" si="52"/>
        <v>2456.996018065</v>
      </c>
      <c r="AF119" s="264"/>
      <c r="AG119" s="179">
        <f t="shared" si="53"/>
        <v>1000</v>
      </c>
      <c r="AH119" s="268"/>
      <c r="AI119" s="179">
        <f t="shared" si="54"/>
        <v>0</v>
      </c>
      <c r="AJ119" s="268"/>
      <c r="AK119" s="179">
        <f t="shared" si="55"/>
        <v>22.73</v>
      </c>
      <c r="AL119" s="268"/>
      <c r="AM119" s="179">
        <f t="shared" si="56"/>
        <v>0</v>
      </c>
      <c r="AN119" s="268"/>
      <c r="AO119" s="179">
        <f t="shared" si="57"/>
        <v>0</v>
      </c>
      <c r="AP119" s="268"/>
      <c r="AQ119" s="179">
        <f t="shared" si="61"/>
        <v>0</v>
      </c>
      <c r="AR119" s="273"/>
      <c r="AS119" s="305">
        <f t="shared" si="58"/>
        <v>0</v>
      </c>
      <c r="AT119" s="273"/>
      <c r="AU119" s="305">
        <f t="shared" si="59"/>
        <v>0</v>
      </c>
    </row>
    <row r="120" spans="1:47" s="34" customFormat="1" hidden="1" x14ac:dyDescent="0.25">
      <c r="A120" s="87"/>
      <c r="B120" s="42"/>
      <c r="C120" s="41"/>
      <c r="D120" s="41"/>
      <c r="E120" s="40"/>
      <c r="F120" s="40"/>
      <c r="G120" s="40"/>
      <c r="H120" s="40"/>
      <c r="I120" s="160"/>
      <c r="J120" s="41"/>
      <c r="K120" s="41"/>
      <c r="L120" s="41"/>
      <c r="M120" s="41"/>
      <c r="N120" s="41"/>
      <c r="O120" s="41"/>
      <c r="P120" s="188"/>
      <c r="Q120" s="236"/>
      <c r="R120" s="280"/>
      <c r="S120" s="179">
        <f t="shared" si="47"/>
        <v>4859.3864915304011</v>
      </c>
      <c r="T120" s="259"/>
      <c r="U120" s="179">
        <f t="shared" si="60"/>
        <v>150</v>
      </c>
      <c r="V120" s="259"/>
      <c r="W120" s="179">
        <f t="shared" si="48"/>
        <v>0</v>
      </c>
      <c r="X120" s="259"/>
      <c r="Y120" s="179">
        <f t="shared" si="49"/>
        <v>1022.73</v>
      </c>
      <c r="Z120" s="259"/>
      <c r="AA120" s="179">
        <f t="shared" si="50"/>
        <v>40</v>
      </c>
      <c r="AB120" s="259"/>
      <c r="AC120" s="179">
        <f t="shared" si="51"/>
        <v>1394.266018065</v>
      </c>
      <c r="AD120" s="238">
        <f t="shared" si="46"/>
        <v>0</v>
      </c>
      <c r="AE120" s="179">
        <f t="shared" si="52"/>
        <v>2456.996018065</v>
      </c>
      <c r="AF120" s="264"/>
      <c r="AG120" s="179">
        <f t="shared" si="53"/>
        <v>1000</v>
      </c>
      <c r="AH120" s="268"/>
      <c r="AI120" s="179">
        <f t="shared" si="54"/>
        <v>0</v>
      </c>
      <c r="AJ120" s="268"/>
      <c r="AK120" s="179">
        <f t="shared" si="55"/>
        <v>22.73</v>
      </c>
      <c r="AL120" s="268"/>
      <c r="AM120" s="179">
        <f t="shared" si="56"/>
        <v>0</v>
      </c>
      <c r="AN120" s="268"/>
      <c r="AO120" s="179">
        <f t="shared" si="57"/>
        <v>0</v>
      </c>
      <c r="AP120" s="268"/>
      <c r="AQ120" s="179">
        <f t="shared" si="61"/>
        <v>0</v>
      </c>
      <c r="AR120" s="273"/>
      <c r="AS120" s="305">
        <f t="shared" si="58"/>
        <v>0</v>
      </c>
      <c r="AT120" s="273"/>
      <c r="AU120" s="305">
        <f t="shared" si="59"/>
        <v>0</v>
      </c>
    </row>
    <row r="121" spans="1:47" s="34" customFormat="1" hidden="1" x14ac:dyDescent="0.25">
      <c r="A121" s="87"/>
      <c r="B121" s="42"/>
      <c r="C121" s="41"/>
      <c r="D121" s="41"/>
      <c r="E121" s="40"/>
      <c r="F121" s="40"/>
      <c r="G121" s="40"/>
      <c r="H121" s="40"/>
      <c r="I121" s="160"/>
      <c r="J121" s="41"/>
      <c r="K121" s="41"/>
      <c r="L121" s="41"/>
      <c r="M121" s="41"/>
      <c r="N121" s="41"/>
      <c r="O121" s="41"/>
      <c r="P121" s="188"/>
      <c r="Q121" s="236"/>
      <c r="R121" s="280"/>
      <c r="S121" s="179">
        <f t="shared" si="47"/>
        <v>4859.3864915304011</v>
      </c>
      <c r="T121" s="259"/>
      <c r="U121" s="179">
        <f t="shared" si="60"/>
        <v>150</v>
      </c>
      <c r="V121" s="259"/>
      <c r="W121" s="179">
        <f t="shared" si="48"/>
        <v>0</v>
      </c>
      <c r="X121" s="259"/>
      <c r="Y121" s="179">
        <f t="shared" si="49"/>
        <v>1022.73</v>
      </c>
      <c r="Z121" s="259"/>
      <c r="AA121" s="179">
        <f t="shared" si="50"/>
        <v>40</v>
      </c>
      <c r="AB121" s="259"/>
      <c r="AC121" s="179">
        <f t="shared" si="51"/>
        <v>1394.266018065</v>
      </c>
      <c r="AD121" s="238">
        <f t="shared" si="46"/>
        <v>0</v>
      </c>
      <c r="AE121" s="179">
        <f t="shared" si="52"/>
        <v>2456.996018065</v>
      </c>
      <c r="AF121" s="264"/>
      <c r="AG121" s="179">
        <f t="shared" si="53"/>
        <v>1000</v>
      </c>
      <c r="AH121" s="268"/>
      <c r="AI121" s="179">
        <f t="shared" si="54"/>
        <v>0</v>
      </c>
      <c r="AJ121" s="268"/>
      <c r="AK121" s="179">
        <f t="shared" si="55"/>
        <v>22.73</v>
      </c>
      <c r="AL121" s="268"/>
      <c r="AM121" s="179">
        <f t="shared" si="56"/>
        <v>0</v>
      </c>
      <c r="AN121" s="268"/>
      <c r="AO121" s="179">
        <f t="shared" si="57"/>
        <v>0</v>
      </c>
      <c r="AP121" s="268"/>
      <c r="AQ121" s="179">
        <f t="shared" si="61"/>
        <v>0</v>
      </c>
      <c r="AR121" s="273"/>
      <c r="AS121" s="305">
        <f t="shared" si="58"/>
        <v>0</v>
      </c>
      <c r="AT121" s="273"/>
      <c r="AU121" s="305">
        <f t="shared" si="59"/>
        <v>0</v>
      </c>
    </row>
    <row r="122" spans="1:47" s="34" customFormat="1" hidden="1" x14ac:dyDescent="0.25">
      <c r="A122" s="87"/>
      <c r="B122" s="42"/>
      <c r="C122" s="41"/>
      <c r="D122" s="41"/>
      <c r="E122" s="40"/>
      <c r="F122" s="40"/>
      <c r="G122" s="40"/>
      <c r="H122" s="40"/>
      <c r="I122" s="160"/>
      <c r="J122" s="41"/>
      <c r="K122" s="41"/>
      <c r="L122" s="41"/>
      <c r="M122" s="41"/>
      <c r="N122" s="41"/>
      <c r="O122" s="41"/>
      <c r="P122" s="188"/>
      <c r="Q122" s="236"/>
      <c r="R122" s="280"/>
      <c r="S122" s="179">
        <f t="shared" si="47"/>
        <v>4859.3864915304011</v>
      </c>
      <c r="T122" s="259"/>
      <c r="U122" s="179">
        <f t="shared" si="60"/>
        <v>150</v>
      </c>
      <c r="V122" s="259"/>
      <c r="W122" s="179">
        <f t="shared" si="48"/>
        <v>0</v>
      </c>
      <c r="X122" s="259"/>
      <c r="Y122" s="179">
        <f t="shared" si="49"/>
        <v>1022.73</v>
      </c>
      <c r="Z122" s="259"/>
      <c r="AA122" s="179">
        <f t="shared" si="50"/>
        <v>40</v>
      </c>
      <c r="AB122" s="259"/>
      <c r="AC122" s="179">
        <f t="shared" si="51"/>
        <v>1394.266018065</v>
      </c>
      <c r="AD122" s="238">
        <f t="shared" si="46"/>
        <v>0</v>
      </c>
      <c r="AE122" s="179">
        <f t="shared" si="52"/>
        <v>2456.996018065</v>
      </c>
      <c r="AF122" s="264"/>
      <c r="AG122" s="179">
        <f t="shared" si="53"/>
        <v>1000</v>
      </c>
      <c r="AH122" s="268"/>
      <c r="AI122" s="179">
        <f t="shared" si="54"/>
        <v>0</v>
      </c>
      <c r="AJ122" s="268"/>
      <c r="AK122" s="179">
        <f t="shared" si="55"/>
        <v>22.73</v>
      </c>
      <c r="AL122" s="268"/>
      <c r="AM122" s="179">
        <f t="shared" si="56"/>
        <v>0</v>
      </c>
      <c r="AN122" s="268"/>
      <c r="AO122" s="179">
        <f t="shared" si="57"/>
        <v>0</v>
      </c>
      <c r="AP122" s="268"/>
      <c r="AQ122" s="179">
        <f t="shared" si="61"/>
        <v>0</v>
      </c>
      <c r="AR122" s="273"/>
      <c r="AS122" s="305">
        <f t="shared" si="58"/>
        <v>0</v>
      </c>
      <c r="AT122" s="273"/>
      <c r="AU122" s="305">
        <f t="shared" si="59"/>
        <v>0</v>
      </c>
    </row>
    <row r="123" spans="1:47" s="34" customFormat="1" hidden="1" x14ac:dyDescent="0.25">
      <c r="A123" s="87"/>
      <c r="B123" s="42"/>
      <c r="C123" s="41"/>
      <c r="D123" s="41"/>
      <c r="E123" s="40"/>
      <c r="F123" s="40"/>
      <c r="G123" s="40"/>
      <c r="H123" s="40"/>
      <c r="I123" s="160"/>
      <c r="J123" s="41"/>
      <c r="K123" s="41"/>
      <c r="L123" s="41"/>
      <c r="M123" s="41"/>
      <c r="N123" s="41"/>
      <c r="O123" s="41"/>
      <c r="P123" s="188"/>
      <c r="Q123" s="236"/>
      <c r="R123" s="280"/>
      <c r="S123" s="179">
        <f t="shared" si="47"/>
        <v>4859.3864915304011</v>
      </c>
      <c r="T123" s="259"/>
      <c r="U123" s="179">
        <f t="shared" si="60"/>
        <v>150</v>
      </c>
      <c r="V123" s="259"/>
      <c r="W123" s="179">
        <f t="shared" si="48"/>
        <v>0</v>
      </c>
      <c r="X123" s="259"/>
      <c r="Y123" s="179">
        <f t="shared" si="49"/>
        <v>1022.73</v>
      </c>
      <c r="Z123" s="259"/>
      <c r="AA123" s="179">
        <f t="shared" si="50"/>
        <v>40</v>
      </c>
      <c r="AB123" s="259"/>
      <c r="AC123" s="179">
        <f t="shared" si="51"/>
        <v>1394.266018065</v>
      </c>
      <c r="AD123" s="238">
        <f t="shared" si="46"/>
        <v>0</v>
      </c>
      <c r="AE123" s="179">
        <f t="shared" si="52"/>
        <v>2456.996018065</v>
      </c>
      <c r="AF123" s="264"/>
      <c r="AG123" s="179">
        <f t="shared" si="53"/>
        <v>1000</v>
      </c>
      <c r="AH123" s="268"/>
      <c r="AI123" s="179">
        <f t="shared" si="54"/>
        <v>0</v>
      </c>
      <c r="AJ123" s="268"/>
      <c r="AK123" s="179">
        <f t="shared" si="55"/>
        <v>22.73</v>
      </c>
      <c r="AL123" s="268"/>
      <c r="AM123" s="179">
        <f t="shared" si="56"/>
        <v>0</v>
      </c>
      <c r="AN123" s="268"/>
      <c r="AO123" s="179">
        <f t="shared" si="57"/>
        <v>0</v>
      </c>
      <c r="AP123" s="268"/>
      <c r="AQ123" s="179">
        <f t="shared" si="61"/>
        <v>0</v>
      </c>
      <c r="AR123" s="273"/>
      <c r="AS123" s="305">
        <f t="shared" si="58"/>
        <v>0</v>
      </c>
      <c r="AT123" s="273"/>
      <c r="AU123" s="305">
        <f t="shared" si="59"/>
        <v>0</v>
      </c>
    </row>
    <row r="124" spans="1:47" s="34" customFormat="1" hidden="1" x14ac:dyDescent="0.25">
      <c r="A124" s="87"/>
      <c r="B124" s="42"/>
      <c r="C124" s="41"/>
      <c r="D124" s="41"/>
      <c r="E124" s="40"/>
      <c r="F124" s="40"/>
      <c r="G124" s="40"/>
      <c r="H124" s="40"/>
      <c r="I124" s="160"/>
      <c r="J124" s="41"/>
      <c r="K124" s="41"/>
      <c r="L124" s="41"/>
      <c r="M124" s="41"/>
      <c r="N124" s="41"/>
      <c r="O124" s="41"/>
      <c r="P124" s="188"/>
      <c r="Q124" s="236"/>
      <c r="R124" s="280"/>
      <c r="S124" s="179">
        <f t="shared" si="47"/>
        <v>4859.3864915304011</v>
      </c>
      <c r="T124" s="259"/>
      <c r="U124" s="179">
        <f t="shared" si="60"/>
        <v>150</v>
      </c>
      <c r="V124" s="259"/>
      <c r="W124" s="179">
        <f t="shared" si="48"/>
        <v>0</v>
      </c>
      <c r="X124" s="259"/>
      <c r="Y124" s="179">
        <f t="shared" si="49"/>
        <v>1022.73</v>
      </c>
      <c r="Z124" s="259"/>
      <c r="AA124" s="179">
        <f t="shared" si="50"/>
        <v>40</v>
      </c>
      <c r="AB124" s="259"/>
      <c r="AC124" s="179">
        <f t="shared" si="51"/>
        <v>1394.266018065</v>
      </c>
      <c r="AD124" s="238">
        <f t="shared" si="46"/>
        <v>0</v>
      </c>
      <c r="AE124" s="179">
        <f t="shared" si="52"/>
        <v>2456.996018065</v>
      </c>
      <c r="AF124" s="264"/>
      <c r="AG124" s="179">
        <f t="shared" si="53"/>
        <v>1000</v>
      </c>
      <c r="AH124" s="268"/>
      <c r="AI124" s="179">
        <f t="shared" si="54"/>
        <v>0</v>
      </c>
      <c r="AJ124" s="268"/>
      <c r="AK124" s="179">
        <f t="shared" si="55"/>
        <v>22.73</v>
      </c>
      <c r="AL124" s="268"/>
      <c r="AM124" s="179">
        <f t="shared" si="56"/>
        <v>0</v>
      </c>
      <c r="AN124" s="268"/>
      <c r="AO124" s="179">
        <f t="shared" si="57"/>
        <v>0</v>
      </c>
      <c r="AP124" s="268"/>
      <c r="AQ124" s="179">
        <f t="shared" si="61"/>
        <v>0</v>
      </c>
      <c r="AR124" s="273"/>
      <c r="AS124" s="305">
        <f t="shared" si="58"/>
        <v>0</v>
      </c>
      <c r="AT124" s="273"/>
      <c r="AU124" s="305">
        <f t="shared" si="59"/>
        <v>0</v>
      </c>
    </row>
    <row r="125" spans="1:47" s="34" customFormat="1" hidden="1" x14ac:dyDescent="0.25">
      <c r="A125" s="87"/>
      <c r="B125" s="42"/>
      <c r="C125" s="41"/>
      <c r="D125" s="41"/>
      <c r="E125" s="40"/>
      <c r="F125" s="40"/>
      <c r="G125" s="40"/>
      <c r="H125" s="40"/>
      <c r="I125" s="160"/>
      <c r="J125" s="41"/>
      <c r="K125" s="41"/>
      <c r="L125" s="41"/>
      <c r="M125" s="41"/>
      <c r="N125" s="41"/>
      <c r="O125" s="41"/>
      <c r="P125" s="188"/>
      <c r="Q125" s="236"/>
      <c r="R125" s="280"/>
      <c r="S125" s="179">
        <f t="shared" si="47"/>
        <v>4859.3864915304011</v>
      </c>
      <c r="T125" s="259"/>
      <c r="U125" s="179">
        <f t="shared" si="60"/>
        <v>150</v>
      </c>
      <c r="V125" s="259"/>
      <c r="W125" s="179">
        <f t="shared" si="48"/>
        <v>0</v>
      </c>
      <c r="X125" s="259"/>
      <c r="Y125" s="179">
        <f t="shared" si="49"/>
        <v>1022.73</v>
      </c>
      <c r="Z125" s="259"/>
      <c r="AA125" s="179">
        <f t="shared" si="50"/>
        <v>40</v>
      </c>
      <c r="AB125" s="259"/>
      <c r="AC125" s="179">
        <f t="shared" si="51"/>
        <v>1394.266018065</v>
      </c>
      <c r="AD125" s="238">
        <f t="shared" si="46"/>
        <v>0</v>
      </c>
      <c r="AE125" s="179">
        <f t="shared" si="52"/>
        <v>2456.996018065</v>
      </c>
      <c r="AF125" s="264"/>
      <c r="AG125" s="179">
        <f t="shared" si="53"/>
        <v>1000</v>
      </c>
      <c r="AH125" s="268"/>
      <c r="AI125" s="179">
        <f t="shared" si="54"/>
        <v>0</v>
      </c>
      <c r="AJ125" s="268"/>
      <c r="AK125" s="179">
        <f t="shared" si="55"/>
        <v>22.73</v>
      </c>
      <c r="AL125" s="268"/>
      <c r="AM125" s="179">
        <f t="shared" si="56"/>
        <v>0</v>
      </c>
      <c r="AN125" s="268"/>
      <c r="AO125" s="179">
        <f t="shared" si="57"/>
        <v>0</v>
      </c>
      <c r="AP125" s="268"/>
      <c r="AQ125" s="179">
        <f t="shared" si="61"/>
        <v>0</v>
      </c>
      <c r="AR125" s="273"/>
      <c r="AS125" s="305">
        <f t="shared" si="58"/>
        <v>0</v>
      </c>
      <c r="AT125" s="273"/>
      <c r="AU125" s="305">
        <f t="shared" si="59"/>
        <v>0</v>
      </c>
    </row>
    <row r="126" spans="1:47" s="34" customFormat="1" hidden="1" x14ac:dyDescent="0.25">
      <c r="A126" s="87"/>
      <c r="B126" s="42"/>
      <c r="C126" s="41"/>
      <c r="D126" s="41"/>
      <c r="E126" s="40"/>
      <c r="F126" s="40"/>
      <c r="G126" s="40"/>
      <c r="H126" s="40"/>
      <c r="I126" s="160"/>
      <c r="J126" s="41"/>
      <c r="K126" s="41"/>
      <c r="L126" s="41"/>
      <c r="M126" s="41"/>
      <c r="N126" s="41"/>
      <c r="O126" s="41"/>
      <c r="P126" s="188"/>
      <c r="Q126" s="236"/>
      <c r="R126" s="280"/>
      <c r="S126" s="179">
        <f t="shared" si="47"/>
        <v>4859.3864915304011</v>
      </c>
      <c r="T126" s="259"/>
      <c r="U126" s="179">
        <f t="shared" si="60"/>
        <v>150</v>
      </c>
      <c r="V126" s="259"/>
      <c r="W126" s="179">
        <f t="shared" si="48"/>
        <v>0</v>
      </c>
      <c r="X126" s="259"/>
      <c r="Y126" s="179">
        <f t="shared" si="49"/>
        <v>1022.73</v>
      </c>
      <c r="Z126" s="259"/>
      <c r="AA126" s="179">
        <f t="shared" si="50"/>
        <v>40</v>
      </c>
      <c r="AB126" s="259"/>
      <c r="AC126" s="179">
        <f t="shared" si="51"/>
        <v>1394.266018065</v>
      </c>
      <c r="AD126" s="238">
        <f t="shared" si="46"/>
        <v>0</v>
      </c>
      <c r="AE126" s="179">
        <f t="shared" si="52"/>
        <v>2456.996018065</v>
      </c>
      <c r="AF126" s="264"/>
      <c r="AG126" s="179">
        <f t="shared" si="53"/>
        <v>1000</v>
      </c>
      <c r="AH126" s="268"/>
      <c r="AI126" s="179">
        <f t="shared" si="54"/>
        <v>0</v>
      </c>
      <c r="AJ126" s="268"/>
      <c r="AK126" s="179">
        <f t="shared" si="55"/>
        <v>22.73</v>
      </c>
      <c r="AL126" s="268"/>
      <c r="AM126" s="179">
        <f t="shared" si="56"/>
        <v>0</v>
      </c>
      <c r="AN126" s="268"/>
      <c r="AO126" s="179">
        <f t="shared" si="57"/>
        <v>0</v>
      </c>
      <c r="AP126" s="268"/>
      <c r="AQ126" s="179">
        <f t="shared" si="61"/>
        <v>0</v>
      </c>
      <c r="AR126" s="273"/>
      <c r="AS126" s="305">
        <f t="shared" si="58"/>
        <v>0</v>
      </c>
      <c r="AT126" s="273"/>
      <c r="AU126" s="305">
        <f t="shared" si="59"/>
        <v>0</v>
      </c>
    </row>
    <row r="127" spans="1:47" s="34" customFormat="1" hidden="1" x14ac:dyDescent="0.25">
      <c r="A127" s="87"/>
      <c r="B127" s="42"/>
      <c r="C127" s="41"/>
      <c r="D127" s="41"/>
      <c r="E127" s="40"/>
      <c r="F127" s="40"/>
      <c r="G127" s="40"/>
      <c r="H127" s="40"/>
      <c r="I127" s="160"/>
      <c r="J127" s="41"/>
      <c r="K127" s="41"/>
      <c r="L127" s="41"/>
      <c r="M127" s="41"/>
      <c r="N127" s="41"/>
      <c r="O127" s="41"/>
      <c r="P127" s="188"/>
      <c r="Q127" s="236"/>
      <c r="R127" s="280"/>
      <c r="S127" s="179">
        <f t="shared" si="47"/>
        <v>4859.3864915304011</v>
      </c>
      <c r="T127" s="259"/>
      <c r="U127" s="179">
        <f t="shared" si="60"/>
        <v>150</v>
      </c>
      <c r="V127" s="259"/>
      <c r="W127" s="179">
        <f t="shared" si="48"/>
        <v>0</v>
      </c>
      <c r="X127" s="259"/>
      <c r="Y127" s="179">
        <f t="shared" si="49"/>
        <v>1022.73</v>
      </c>
      <c r="Z127" s="259"/>
      <c r="AA127" s="179">
        <f t="shared" si="50"/>
        <v>40</v>
      </c>
      <c r="AB127" s="259"/>
      <c r="AC127" s="179">
        <f t="shared" si="51"/>
        <v>1394.266018065</v>
      </c>
      <c r="AD127" s="238">
        <f t="shared" si="46"/>
        <v>0</v>
      </c>
      <c r="AE127" s="179">
        <f t="shared" si="52"/>
        <v>2456.996018065</v>
      </c>
      <c r="AF127" s="264"/>
      <c r="AG127" s="179">
        <f t="shared" si="53"/>
        <v>1000</v>
      </c>
      <c r="AH127" s="268"/>
      <c r="AI127" s="179">
        <f t="shared" si="54"/>
        <v>0</v>
      </c>
      <c r="AJ127" s="268"/>
      <c r="AK127" s="179">
        <f t="shared" si="55"/>
        <v>22.73</v>
      </c>
      <c r="AL127" s="268"/>
      <c r="AM127" s="179">
        <f t="shared" si="56"/>
        <v>0</v>
      </c>
      <c r="AN127" s="268"/>
      <c r="AO127" s="179">
        <f t="shared" si="57"/>
        <v>0</v>
      </c>
      <c r="AP127" s="268"/>
      <c r="AQ127" s="179">
        <f t="shared" si="61"/>
        <v>0</v>
      </c>
      <c r="AR127" s="273"/>
      <c r="AS127" s="305">
        <f t="shared" si="58"/>
        <v>0</v>
      </c>
      <c r="AT127" s="273"/>
      <c r="AU127" s="305">
        <f t="shared" si="59"/>
        <v>0</v>
      </c>
    </row>
    <row r="128" spans="1:47" s="34" customFormat="1" hidden="1" x14ac:dyDescent="0.25">
      <c r="A128" s="87"/>
      <c r="B128" s="42"/>
      <c r="C128" s="41"/>
      <c r="D128" s="41"/>
      <c r="E128" s="40"/>
      <c r="F128" s="40"/>
      <c r="G128" s="40"/>
      <c r="H128" s="40"/>
      <c r="I128" s="160"/>
      <c r="J128" s="41"/>
      <c r="K128" s="41"/>
      <c r="L128" s="41"/>
      <c r="M128" s="41"/>
      <c r="N128" s="41"/>
      <c r="O128" s="41"/>
      <c r="P128" s="188"/>
      <c r="Q128" s="236"/>
      <c r="R128" s="280"/>
      <c r="S128" s="179">
        <f t="shared" si="47"/>
        <v>4859.3864915304011</v>
      </c>
      <c r="T128" s="259"/>
      <c r="U128" s="179">
        <f t="shared" si="60"/>
        <v>150</v>
      </c>
      <c r="V128" s="259"/>
      <c r="W128" s="179">
        <f t="shared" si="48"/>
        <v>0</v>
      </c>
      <c r="X128" s="259"/>
      <c r="Y128" s="179">
        <f t="shared" si="49"/>
        <v>1022.73</v>
      </c>
      <c r="Z128" s="259"/>
      <c r="AA128" s="179">
        <f t="shared" si="50"/>
        <v>40</v>
      </c>
      <c r="AB128" s="259"/>
      <c r="AC128" s="179">
        <f t="shared" si="51"/>
        <v>1394.266018065</v>
      </c>
      <c r="AD128" s="238">
        <f t="shared" si="46"/>
        <v>0</v>
      </c>
      <c r="AE128" s="179">
        <f t="shared" si="52"/>
        <v>2456.996018065</v>
      </c>
      <c r="AF128" s="264"/>
      <c r="AG128" s="179">
        <f t="shared" si="53"/>
        <v>1000</v>
      </c>
      <c r="AH128" s="268"/>
      <c r="AI128" s="179">
        <f t="shared" si="54"/>
        <v>0</v>
      </c>
      <c r="AJ128" s="268"/>
      <c r="AK128" s="179">
        <f t="shared" si="55"/>
        <v>22.73</v>
      </c>
      <c r="AL128" s="268"/>
      <c r="AM128" s="179">
        <f t="shared" si="56"/>
        <v>0</v>
      </c>
      <c r="AN128" s="268"/>
      <c r="AO128" s="179">
        <f t="shared" si="57"/>
        <v>0</v>
      </c>
      <c r="AP128" s="268"/>
      <c r="AQ128" s="179">
        <f t="shared" si="61"/>
        <v>0</v>
      </c>
      <c r="AR128" s="273"/>
      <c r="AS128" s="305">
        <f t="shared" si="58"/>
        <v>0</v>
      </c>
      <c r="AT128" s="273"/>
      <c r="AU128" s="305">
        <f t="shared" si="59"/>
        <v>0</v>
      </c>
    </row>
    <row r="129" spans="1:47" s="34" customFormat="1" hidden="1" x14ac:dyDescent="0.25">
      <c r="A129" s="87"/>
      <c r="B129" s="42"/>
      <c r="C129" s="41"/>
      <c r="D129" s="41"/>
      <c r="E129" s="40"/>
      <c r="F129" s="40"/>
      <c r="G129" s="40"/>
      <c r="H129" s="40"/>
      <c r="I129" s="160"/>
      <c r="J129" s="41"/>
      <c r="K129" s="41"/>
      <c r="L129" s="41"/>
      <c r="M129" s="41"/>
      <c r="N129" s="41"/>
      <c r="O129" s="41"/>
      <c r="P129" s="188"/>
      <c r="Q129" s="236"/>
      <c r="R129" s="280"/>
      <c r="S129" s="179">
        <f t="shared" si="47"/>
        <v>4859.3864915304011</v>
      </c>
      <c r="T129" s="259"/>
      <c r="U129" s="179">
        <f t="shared" si="60"/>
        <v>150</v>
      </c>
      <c r="V129" s="259"/>
      <c r="W129" s="179">
        <f t="shared" si="48"/>
        <v>0</v>
      </c>
      <c r="X129" s="259"/>
      <c r="Y129" s="179">
        <f t="shared" si="49"/>
        <v>1022.73</v>
      </c>
      <c r="Z129" s="259"/>
      <c r="AA129" s="179">
        <f t="shared" si="50"/>
        <v>40</v>
      </c>
      <c r="AB129" s="259"/>
      <c r="AC129" s="179">
        <f t="shared" si="51"/>
        <v>1394.266018065</v>
      </c>
      <c r="AD129" s="238">
        <f t="shared" ref="AD129:AD192" si="62">Mat_Col_Deduct+Mat_Col_Copay+Mat_Col_Coinsur</f>
        <v>0</v>
      </c>
      <c r="AE129" s="179">
        <f t="shared" si="52"/>
        <v>2456.996018065</v>
      </c>
      <c r="AF129" s="264"/>
      <c r="AG129" s="179">
        <f t="shared" si="53"/>
        <v>1000</v>
      </c>
      <c r="AH129" s="268"/>
      <c r="AI129" s="179">
        <f t="shared" si="54"/>
        <v>0</v>
      </c>
      <c r="AJ129" s="268"/>
      <c r="AK129" s="179">
        <f t="shared" si="55"/>
        <v>22.73</v>
      </c>
      <c r="AL129" s="268"/>
      <c r="AM129" s="179">
        <f t="shared" si="56"/>
        <v>0</v>
      </c>
      <c r="AN129" s="268"/>
      <c r="AO129" s="179">
        <f t="shared" si="57"/>
        <v>0</v>
      </c>
      <c r="AP129" s="268"/>
      <c r="AQ129" s="179">
        <f t="shared" si="61"/>
        <v>0</v>
      </c>
      <c r="AR129" s="273"/>
      <c r="AS129" s="305">
        <f t="shared" si="58"/>
        <v>0</v>
      </c>
      <c r="AT129" s="273"/>
      <c r="AU129" s="305">
        <f t="shared" si="59"/>
        <v>0</v>
      </c>
    </row>
    <row r="130" spans="1:47" s="34" customFormat="1" hidden="1" x14ac:dyDescent="0.25">
      <c r="A130" s="87"/>
      <c r="B130" s="42"/>
      <c r="C130" s="41"/>
      <c r="D130" s="41"/>
      <c r="E130" s="40"/>
      <c r="F130" s="40"/>
      <c r="G130" s="40"/>
      <c r="H130" s="40"/>
      <c r="I130" s="160"/>
      <c r="J130" s="41"/>
      <c r="K130" s="41"/>
      <c r="L130" s="41"/>
      <c r="M130" s="41"/>
      <c r="N130" s="41"/>
      <c r="O130" s="41"/>
      <c r="P130" s="188"/>
      <c r="Q130" s="236"/>
      <c r="R130" s="280"/>
      <c r="S130" s="179">
        <f t="shared" si="47"/>
        <v>4859.3864915304011</v>
      </c>
      <c r="T130" s="259"/>
      <c r="U130" s="179">
        <f t="shared" si="60"/>
        <v>150</v>
      </c>
      <c r="V130" s="259"/>
      <c r="W130" s="179">
        <f t="shared" si="48"/>
        <v>0</v>
      </c>
      <c r="X130" s="259"/>
      <c r="Y130" s="179">
        <f t="shared" si="49"/>
        <v>1022.73</v>
      </c>
      <c r="Z130" s="259"/>
      <c r="AA130" s="179">
        <f t="shared" si="50"/>
        <v>40</v>
      </c>
      <c r="AB130" s="259"/>
      <c r="AC130" s="179">
        <f t="shared" si="51"/>
        <v>1394.266018065</v>
      </c>
      <c r="AD130" s="238">
        <f t="shared" si="62"/>
        <v>0</v>
      </c>
      <c r="AE130" s="179">
        <f t="shared" si="52"/>
        <v>2456.996018065</v>
      </c>
      <c r="AF130" s="264"/>
      <c r="AG130" s="179">
        <f t="shared" si="53"/>
        <v>1000</v>
      </c>
      <c r="AH130" s="268"/>
      <c r="AI130" s="179">
        <f t="shared" si="54"/>
        <v>0</v>
      </c>
      <c r="AJ130" s="268"/>
      <c r="AK130" s="179">
        <f t="shared" si="55"/>
        <v>22.73</v>
      </c>
      <c r="AL130" s="268"/>
      <c r="AM130" s="179">
        <f t="shared" si="56"/>
        <v>0</v>
      </c>
      <c r="AN130" s="268"/>
      <c r="AO130" s="179">
        <f t="shared" si="57"/>
        <v>0</v>
      </c>
      <c r="AP130" s="268"/>
      <c r="AQ130" s="179">
        <f t="shared" si="61"/>
        <v>0</v>
      </c>
      <c r="AR130" s="273"/>
      <c r="AS130" s="305">
        <f t="shared" si="58"/>
        <v>0</v>
      </c>
      <c r="AT130" s="273"/>
      <c r="AU130" s="305">
        <f t="shared" si="59"/>
        <v>0</v>
      </c>
    </row>
    <row r="131" spans="1:47" s="34" customFormat="1" hidden="1" x14ac:dyDescent="0.25">
      <c r="A131" s="87"/>
      <c r="B131" s="42"/>
      <c r="C131" s="41"/>
      <c r="D131" s="41"/>
      <c r="E131" s="40"/>
      <c r="F131" s="40"/>
      <c r="G131" s="40"/>
      <c r="H131" s="40"/>
      <c r="I131" s="160"/>
      <c r="J131" s="41"/>
      <c r="K131" s="41"/>
      <c r="L131" s="41"/>
      <c r="M131" s="41"/>
      <c r="N131" s="41"/>
      <c r="O131" s="41"/>
      <c r="P131" s="188"/>
      <c r="Q131" s="236"/>
      <c r="R131" s="280"/>
      <c r="S131" s="179">
        <f t="shared" ref="S131:S194" si="63">S130+R131</f>
        <v>4859.3864915304011</v>
      </c>
      <c r="T131" s="259"/>
      <c r="U131" s="179">
        <f t="shared" si="60"/>
        <v>150</v>
      </c>
      <c r="V131" s="259"/>
      <c r="W131" s="179">
        <f t="shared" ref="W131:W194" si="64">W130+V131</f>
        <v>0</v>
      </c>
      <c r="X131" s="259"/>
      <c r="Y131" s="179">
        <f t="shared" ref="Y131:Y194" si="65">Y130+X131</f>
        <v>1022.73</v>
      </c>
      <c r="Z131" s="259"/>
      <c r="AA131" s="179">
        <f t="shared" ref="AA131:AA194" si="66">AA130+Z131</f>
        <v>40</v>
      </c>
      <c r="AB131" s="259"/>
      <c r="AC131" s="179">
        <f t="shared" ref="AC131:AC194" si="67">AC130+AB131</f>
        <v>1394.266018065</v>
      </c>
      <c r="AD131" s="238">
        <f t="shared" si="62"/>
        <v>0</v>
      </c>
      <c r="AE131" s="179">
        <f t="shared" ref="AE131:AE194" si="68">AE130+AD131</f>
        <v>2456.996018065</v>
      </c>
      <c r="AF131" s="264"/>
      <c r="AG131" s="179">
        <f t="shared" ref="AG131:AG194" si="69">AG130+AF131</f>
        <v>1000</v>
      </c>
      <c r="AH131" s="268"/>
      <c r="AI131" s="179">
        <f t="shared" ref="AI131:AI194" si="70">AI130+AH131</f>
        <v>0</v>
      </c>
      <c r="AJ131" s="268"/>
      <c r="AK131" s="179">
        <f t="shared" ref="AK131:AK194" si="71">AK130+AJ131</f>
        <v>22.73</v>
      </c>
      <c r="AL131" s="268"/>
      <c r="AM131" s="179">
        <f t="shared" ref="AM131:AM194" si="72">AM130+AL131</f>
        <v>0</v>
      </c>
      <c r="AN131" s="268"/>
      <c r="AO131" s="179">
        <f t="shared" ref="AO131:AO194" si="73">AO130+AN131</f>
        <v>0</v>
      </c>
      <c r="AP131" s="268"/>
      <c r="AQ131" s="179">
        <f t="shared" si="61"/>
        <v>0</v>
      </c>
      <c r="AR131" s="273"/>
      <c r="AS131" s="305">
        <f t="shared" ref="AS131:AS194" si="74">AS130+AR131</f>
        <v>0</v>
      </c>
      <c r="AT131" s="273"/>
      <c r="AU131" s="305">
        <f t="shared" ref="AU131:AU194" si="75">AU130+AT131</f>
        <v>0</v>
      </c>
    </row>
    <row r="132" spans="1:47" s="34" customFormat="1" hidden="1" x14ac:dyDescent="0.25">
      <c r="A132" s="87"/>
      <c r="B132" s="42"/>
      <c r="C132" s="41"/>
      <c r="D132" s="41"/>
      <c r="E132" s="40"/>
      <c r="F132" s="40"/>
      <c r="G132" s="40"/>
      <c r="H132" s="40"/>
      <c r="I132" s="160"/>
      <c r="J132" s="41"/>
      <c r="K132" s="41"/>
      <c r="L132" s="41"/>
      <c r="M132" s="41"/>
      <c r="N132" s="41"/>
      <c r="O132" s="41"/>
      <c r="P132" s="188"/>
      <c r="Q132" s="236"/>
      <c r="R132" s="280"/>
      <c r="S132" s="179">
        <f t="shared" si="63"/>
        <v>4859.3864915304011</v>
      </c>
      <c r="T132" s="259"/>
      <c r="U132" s="179">
        <f t="shared" si="60"/>
        <v>150</v>
      </c>
      <c r="V132" s="259"/>
      <c r="W132" s="179">
        <f t="shared" si="64"/>
        <v>0</v>
      </c>
      <c r="X132" s="259"/>
      <c r="Y132" s="179">
        <f t="shared" si="65"/>
        <v>1022.73</v>
      </c>
      <c r="Z132" s="259"/>
      <c r="AA132" s="179">
        <f t="shared" si="66"/>
        <v>40</v>
      </c>
      <c r="AB132" s="259"/>
      <c r="AC132" s="179">
        <f t="shared" si="67"/>
        <v>1394.266018065</v>
      </c>
      <c r="AD132" s="238">
        <f t="shared" si="62"/>
        <v>0</v>
      </c>
      <c r="AE132" s="179">
        <f t="shared" si="68"/>
        <v>2456.996018065</v>
      </c>
      <c r="AF132" s="264"/>
      <c r="AG132" s="179">
        <f t="shared" si="69"/>
        <v>1000</v>
      </c>
      <c r="AH132" s="268"/>
      <c r="AI132" s="179">
        <f t="shared" si="70"/>
        <v>0</v>
      </c>
      <c r="AJ132" s="268"/>
      <c r="AK132" s="179">
        <f t="shared" si="71"/>
        <v>22.73</v>
      </c>
      <c r="AL132" s="268"/>
      <c r="AM132" s="179">
        <f t="shared" si="72"/>
        <v>0</v>
      </c>
      <c r="AN132" s="268"/>
      <c r="AO132" s="179">
        <f t="shared" si="73"/>
        <v>0</v>
      </c>
      <c r="AP132" s="268"/>
      <c r="AQ132" s="179">
        <f t="shared" si="61"/>
        <v>0</v>
      </c>
      <c r="AR132" s="273"/>
      <c r="AS132" s="305">
        <f t="shared" si="74"/>
        <v>0</v>
      </c>
      <c r="AT132" s="273"/>
      <c r="AU132" s="305">
        <f t="shared" si="75"/>
        <v>0</v>
      </c>
    </row>
    <row r="133" spans="1:47" s="34" customFormat="1" hidden="1" x14ac:dyDescent="0.25">
      <c r="A133" s="87"/>
      <c r="B133" s="42"/>
      <c r="C133" s="41"/>
      <c r="D133" s="41"/>
      <c r="E133" s="40"/>
      <c r="F133" s="40"/>
      <c r="G133" s="40"/>
      <c r="H133" s="40"/>
      <c r="I133" s="160"/>
      <c r="J133" s="41"/>
      <c r="K133" s="41"/>
      <c r="L133" s="41"/>
      <c r="M133" s="41"/>
      <c r="N133" s="41"/>
      <c r="O133" s="41"/>
      <c r="P133" s="188"/>
      <c r="Q133" s="236"/>
      <c r="R133" s="280"/>
      <c r="S133" s="179">
        <f t="shared" si="63"/>
        <v>4859.3864915304011</v>
      </c>
      <c r="T133" s="259"/>
      <c r="U133" s="179">
        <f t="shared" ref="U133:U196" si="76">U132+T133</f>
        <v>150</v>
      </c>
      <c r="V133" s="259"/>
      <c r="W133" s="179">
        <f t="shared" si="64"/>
        <v>0</v>
      </c>
      <c r="X133" s="259"/>
      <c r="Y133" s="179">
        <f t="shared" si="65"/>
        <v>1022.73</v>
      </c>
      <c r="Z133" s="259"/>
      <c r="AA133" s="179">
        <f t="shared" si="66"/>
        <v>40</v>
      </c>
      <c r="AB133" s="259"/>
      <c r="AC133" s="179">
        <f t="shared" si="67"/>
        <v>1394.266018065</v>
      </c>
      <c r="AD133" s="238">
        <f t="shared" si="62"/>
        <v>0</v>
      </c>
      <c r="AE133" s="179">
        <f t="shared" si="68"/>
        <v>2456.996018065</v>
      </c>
      <c r="AF133" s="264"/>
      <c r="AG133" s="179">
        <f t="shared" si="69"/>
        <v>1000</v>
      </c>
      <c r="AH133" s="268"/>
      <c r="AI133" s="179">
        <f t="shared" si="70"/>
        <v>0</v>
      </c>
      <c r="AJ133" s="268"/>
      <c r="AK133" s="179">
        <f t="shared" si="71"/>
        <v>22.73</v>
      </c>
      <c r="AL133" s="268"/>
      <c r="AM133" s="179">
        <f t="shared" si="72"/>
        <v>0</v>
      </c>
      <c r="AN133" s="268"/>
      <c r="AO133" s="179">
        <f t="shared" si="73"/>
        <v>0</v>
      </c>
      <c r="AP133" s="268"/>
      <c r="AQ133" s="179">
        <f t="shared" ref="AQ133:AQ196" si="77">AQ132+AP133</f>
        <v>0</v>
      </c>
      <c r="AR133" s="273"/>
      <c r="AS133" s="305">
        <f t="shared" si="74"/>
        <v>0</v>
      </c>
      <c r="AT133" s="273"/>
      <c r="AU133" s="305">
        <f t="shared" si="75"/>
        <v>0</v>
      </c>
    </row>
    <row r="134" spans="1:47" s="34" customFormat="1" hidden="1" x14ac:dyDescent="0.25">
      <c r="A134" s="87"/>
      <c r="B134" s="42"/>
      <c r="C134" s="41"/>
      <c r="D134" s="41"/>
      <c r="E134" s="40"/>
      <c r="F134" s="40"/>
      <c r="G134" s="40"/>
      <c r="H134" s="40"/>
      <c r="I134" s="160"/>
      <c r="J134" s="41"/>
      <c r="K134" s="41"/>
      <c r="L134" s="41"/>
      <c r="M134" s="41"/>
      <c r="N134" s="41"/>
      <c r="O134" s="41"/>
      <c r="P134" s="188"/>
      <c r="Q134" s="236"/>
      <c r="R134" s="280"/>
      <c r="S134" s="179">
        <f t="shared" si="63"/>
        <v>4859.3864915304011</v>
      </c>
      <c r="T134" s="259"/>
      <c r="U134" s="179">
        <f t="shared" si="76"/>
        <v>150</v>
      </c>
      <c r="V134" s="259"/>
      <c r="W134" s="179">
        <f t="shared" si="64"/>
        <v>0</v>
      </c>
      <c r="X134" s="259"/>
      <c r="Y134" s="179">
        <f t="shared" si="65"/>
        <v>1022.73</v>
      </c>
      <c r="Z134" s="259"/>
      <c r="AA134" s="179">
        <f t="shared" si="66"/>
        <v>40</v>
      </c>
      <c r="AB134" s="259"/>
      <c r="AC134" s="179">
        <f t="shared" si="67"/>
        <v>1394.266018065</v>
      </c>
      <c r="AD134" s="238">
        <f t="shared" si="62"/>
        <v>0</v>
      </c>
      <c r="AE134" s="179">
        <f t="shared" si="68"/>
        <v>2456.996018065</v>
      </c>
      <c r="AF134" s="264"/>
      <c r="AG134" s="179">
        <f t="shared" si="69"/>
        <v>1000</v>
      </c>
      <c r="AH134" s="268"/>
      <c r="AI134" s="179">
        <f t="shared" si="70"/>
        <v>0</v>
      </c>
      <c r="AJ134" s="268"/>
      <c r="AK134" s="179">
        <f t="shared" si="71"/>
        <v>22.73</v>
      </c>
      <c r="AL134" s="268"/>
      <c r="AM134" s="179">
        <f t="shared" si="72"/>
        <v>0</v>
      </c>
      <c r="AN134" s="268"/>
      <c r="AO134" s="179">
        <f t="shared" si="73"/>
        <v>0</v>
      </c>
      <c r="AP134" s="268"/>
      <c r="AQ134" s="179">
        <f t="shared" si="77"/>
        <v>0</v>
      </c>
      <c r="AR134" s="273"/>
      <c r="AS134" s="305">
        <f t="shared" si="74"/>
        <v>0</v>
      </c>
      <c r="AT134" s="273"/>
      <c r="AU134" s="305">
        <f t="shared" si="75"/>
        <v>0</v>
      </c>
    </row>
    <row r="135" spans="1:47" s="34" customFormat="1" hidden="1" x14ac:dyDescent="0.25">
      <c r="A135" s="87"/>
      <c r="B135" s="42"/>
      <c r="C135" s="41"/>
      <c r="D135" s="41"/>
      <c r="E135" s="40"/>
      <c r="F135" s="40"/>
      <c r="G135" s="40"/>
      <c r="H135" s="40"/>
      <c r="I135" s="160"/>
      <c r="J135" s="41"/>
      <c r="K135" s="41"/>
      <c r="L135" s="41"/>
      <c r="M135" s="41"/>
      <c r="N135" s="41"/>
      <c r="O135" s="41"/>
      <c r="P135" s="188"/>
      <c r="Q135" s="236"/>
      <c r="R135" s="280"/>
      <c r="S135" s="179">
        <f t="shared" si="63"/>
        <v>4859.3864915304011</v>
      </c>
      <c r="T135" s="259"/>
      <c r="U135" s="179">
        <f t="shared" si="76"/>
        <v>150</v>
      </c>
      <c r="V135" s="259"/>
      <c r="W135" s="179">
        <f t="shared" si="64"/>
        <v>0</v>
      </c>
      <c r="X135" s="259"/>
      <c r="Y135" s="179">
        <f t="shared" si="65"/>
        <v>1022.73</v>
      </c>
      <c r="Z135" s="259"/>
      <c r="AA135" s="179">
        <f t="shared" si="66"/>
        <v>40</v>
      </c>
      <c r="AB135" s="259"/>
      <c r="AC135" s="179">
        <f t="shared" si="67"/>
        <v>1394.266018065</v>
      </c>
      <c r="AD135" s="238">
        <f t="shared" si="62"/>
        <v>0</v>
      </c>
      <c r="AE135" s="179">
        <f t="shared" si="68"/>
        <v>2456.996018065</v>
      </c>
      <c r="AF135" s="264"/>
      <c r="AG135" s="179">
        <f t="shared" si="69"/>
        <v>1000</v>
      </c>
      <c r="AH135" s="268"/>
      <c r="AI135" s="179">
        <f t="shared" si="70"/>
        <v>0</v>
      </c>
      <c r="AJ135" s="268"/>
      <c r="AK135" s="179">
        <f t="shared" si="71"/>
        <v>22.73</v>
      </c>
      <c r="AL135" s="268"/>
      <c r="AM135" s="179">
        <f t="shared" si="72"/>
        <v>0</v>
      </c>
      <c r="AN135" s="268"/>
      <c r="AO135" s="179">
        <f t="shared" si="73"/>
        <v>0</v>
      </c>
      <c r="AP135" s="268"/>
      <c r="AQ135" s="179">
        <f t="shared" si="77"/>
        <v>0</v>
      </c>
      <c r="AR135" s="273"/>
      <c r="AS135" s="305">
        <f t="shared" si="74"/>
        <v>0</v>
      </c>
      <c r="AT135" s="273"/>
      <c r="AU135" s="305">
        <f t="shared" si="75"/>
        <v>0</v>
      </c>
    </row>
    <row r="136" spans="1:47" s="34" customFormat="1" hidden="1" x14ac:dyDescent="0.25">
      <c r="A136" s="87"/>
      <c r="B136" s="42"/>
      <c r="C136" s="41"/>
      <c r="D136" s="41"/>
      <c r="E136" s="40"/>
      <c r="F136" s="40"/>
      <c r="G136" s="40"/>
      <c r="H136" s="40"/>
      <c r="I136" s="160"/>
      <c r="J136" s="41"/>
      <c r="K136" s="41"/>
      <c r="L136" s="41"/>
      <c r="M136" s="41"/>
      <c r="N136" s="41"/>
      <c r="O136" s="41"/>
      <c r="P136" s="188"/>
      <c r="Q136" s="236"/>
      <c r="R136" s="280"/>
      <c r="S136" s="179">
        <f t="shared" si="63"/>
        <v>4859.3864915304011</v>
      </c>
      <c r="T136" s="259"/>
      <c r="U136" s="179">
        <f t="shared" si="76"/>
        <v>150</v>
      </c>
      <c r="V136" s="259"/>
      <c r="W136" s="179">
        <f t="shared" si="64"/>
        <v>0</v>
      </c>
      <c r="X136" s="259"/>
      <c r="Y136" s="179">
        <f t="shared" si="65"/>
        <v>1022.73</v>
      </c>
      <c r="Z136" s="259"/>
      <c r="AA136" s="179">
        <f t="shared" si="66"/>
        <v>40</v>
      </c>
      <c r="AB136" s="259"/>
      <c r="AC136" s="179">
        <f t="shared" si="67"/>
        <v>1394.266018065</v>
      </c>
      <c r="AD136" s="238">
        <f t="shared" si="62"/>
        <v>0</v>
      </c>
      <c r="AE136" s="179">
        <f t="shared" si="68"/>
        <v>2456.996018065</v>
      </c>
      <c r="AF136" s="264"/>
      <c r="AG136" s="179">
        <f t="shared" si="69"/>
        <v>1000</v>
      </c>
      <c r="AH136" s="268"/>
      <c r="AI136" s="179">
        <f t="shared" si="70"/>
        <v>0</v>
      </c>
      <c r="AJ136" s="268"/>
      <c r="AK136" s="179">
        <f t="shared" si="71"/>
        <v>22.73</v>
      </c>
      <c r="AL136" s="268"/>
      <c r="AM136" s="179">
        <f t="shared" si="72"/>
        <v>0</v>
      </c>
      <c r="AN136" s="268"/>
      <c r="AO136" s="179">
        <f t="shared" si="73"/>
        <v>0</v>
      </c>
      <c r="AP136" s="268"/>
      <c r="AQ136" s="179">
        <f t="shared" si="77"/>
        <v>0</v>
      </c>
      <c r="AR136" s="273"/>
      <c r="AS136" s="305">
        <f t="shared" si="74"/>
        <v>0</v>
      </c>
      <c r="AT136" s="273"/>
      <c r="AU136" s="305">
        <f t="shared" si="75"/>
        <v>0</v>
      </c>
    </row>
    <row r="137" spans="1:47" s="34" customFormat="1" hidden="1" x14ac:dyDescent="0.25">
      <c r="A137" s="87"/>
      <c r="B137" s="42"/>
      <c r="C137" s="41"/>
      <c r="D137" s="41"/>
      <c r="E137" s="40"/>
      <c r="F137" s="40"/>
      <c r="G137" s="40"/>
      <c r="H137" s="40"/>
      <c r="I137" s="160"/>
      <c r="J137" s="41"/>
      <c r="K137" s="41"/>
      <c r="L137" s="41"/>
      <c r="M137" s="41"/>
      <c r="N137" s="41"/>
      <c r="O137" s="41"/>
      <c r="P137" s="188"/>
      <c r="Q137" s="236"/>
      <c r="R137" s="280"/>
      <c r="S137" s="179">
        <f t="shared" si="63"/>
        <v>4859.3864915304011</v>
      </c>
      <c r="T137" s="259"/>
      <c r="U137" s="179">
        <f t="shared" si="76"/>
        <v>150</v>
      </c>
      <c r="V137" s="259"/>
      <c r="W137" s="179">
        <f t="shared" si="64"/>
        <v>0</v>
      </c>
      <c r="X137" s="259"/>
      <c r="Y137" s="179">
        <f t="shared" si="65"/>
        <v>1022.73</v>
      </c>
      <c r="Z137" s="259"/>
      <c r="AA137" s="179">
        <f t="shared" si="66"/>
        <v>40</v>
      </c>
      <c r="AB137" s="259"/>
      <c r="AC137" s="179">
        <f t="shared" si="67"/>
        <v>1394.266018065</v>
      </c>
      <c r="AD137" s="238">
        <f t="shared" si="62"/>
        <v>0</v>
      </c>
      <c r="AE137" s="179">
        <f t="shared" si="68"/>
        <v>2456.996018065</v>
      </c>
      <c r="AF137" s="264"/>
      <c r="AG137" s="179">
        <f t="shared" si="69"/>
        <v>1000</v>
      </c>
      <c r="AH137" s="268"/>
      <c r="AI137" s="179">
        <f t="shared" si="70"/>
        <v>0</v>
      </c>
      <c r="AJ137" s="268"/>
      <c r="AK137" s="179">
        <f t="shared" si="71"/>
        <v>22.73</v>
      </c>
      <c r="AL137" s="268"/>
      <c r="AM137" s="179">
        <f t="shared" si="72"/>
        <v>0</v>
      </c>
      <c r="AN137" s="268"/>
      <c r="AO137" s="179">
        <f t="shared" si="73"/>
        <v>0</v>
      </c>
      <c r="AP137" s="268"/>
      <c r="AQ137" s="179">
        <f t="shared" si="77"/>
        <v>0</v>
      </c>
      <c r="AR137" s="273"/>
      <c r="AS137" s="305">
        <f t="shared" si="74"/>
        <v>0</v>
      </c>
      <c r="AT137" s="273"/>
      <c r="AU137" s="305">
        <f t="shared" si="75"/>
        <v>0</v>
      </c>
    </row>
    <row r="138" spans="1:47" s="34" customFormat="1" hidden="1" x14ac:dyDescent="0.25">
      <c r="A138" s="87"/>
      <c r="B138" s="42"/>
      <c r="C138" s="41"/>
      <c r="D138" s="41"/>
      <c r="E138" s="40"/>
      <c r="F138" s="40"/>
      <c r="G138" s="40"/>
      <c r="H138" s="40"/>
      <c r="I138" s="160"/>
      <c r="J138" s="41"/>
      <c r="K138" s="41"/>
      <c r="L138" s="41"/>
      <c r="M138" s="41"/>
      <c r="N138" s="41"/>
      <c r="O138" s="41"/>
      <c r="P138" s="188"/>
      <c r="Q138" s="236"/>
      <c r="R138" s="280"/>
      <c r="S138" s="179">
        <f t="shared" si="63"/>
        <v>4859.3864915304011</v>
      </c>
      <c r="T138" s="259"/>
      <c r="U138" s="179">
        <f t="shared" si="76"/>
        <v>150</v>
      </c>
      <c r="V138" s="259"/>
      <c r="W138" s="179">
        <f t="shared" si="64"/>
        <v>0</v>
      </c>
      <c r="X138" s="259"/>
      <c r="Y138" s="179">
        <f t="shared" si="65"/>
        <v>1022.73</v>
      </c>
      <c r="Z138" s="259"/>
      <c r="AA138" s="179">
        <f t="shared" si="66"/>
        <v>40</v>
      </c>
      <c r="AB138" s="259"/>
      <c r="AC138" s="179">
        <f t="shared" si="67"/>
        <v>1394.266018065</v>
      </c>
      <c r="AD138" s="238">
        <f t="shared" si="62"/>
        <v>0</v>
      </c>
      <c r="AE138" s="179">
        <f t="shared" si="68"/>
        <v>2456.996018065</v>
      </c>
      <c r="AF138" s="264"/>
      <c r="AG138" s="179">
        <f t="shared" si="69"/>
        <v>1000</v>
      </c>
      <c r="AH138" s="268"/>
      <c r="AI138" s="179">
        <f t="shared" si="70"/>
        <v>0</v>
      </c>
      <c r="AJ138" s="268"/>
      <c r="AK138" s="179">
        <f t="shared" si="71"/>
        <v>22.73</v>
      </c>
      <c r="AL138" s="268"/>
      <c r="AM138" s="179">
        <f t="shared" si="72"/>
        <v>0</v>
      </c>
      <c r="AN138" s="268"/>
      <c r="AO138" s="179">
        <f t="shared" si="73"/>
        <v>0</v>
      </c>
      <c r="AP138" s="268"/>
      <c r="AQ138" s="179">
        <f t="shared" si="77"/>
        <v>0</v>
      </c>
      <c r="AR138" s="273"/>
      <c r="AS138" s="305">
        <f t="shared" si="74"/>
        <v>0</v>
      </c>
      <c r="AT138" s="273"/>
      <c r="AU138" s="305">
        <f t="shared" si="75"/>
        <v>0</v>
      </c>
    </row>
    <row r="139" spans="1:47" s="34" customFormat="1" hidden="1" x14ac:dyDescent="0.25">
      <c r="A139" s="87"/>
      <c r="B139" s="42"/>
      <c r="C139" s="41"/>
      <c r="D139" s="41"/>
      <c r="E139" s="40"/>
      <c r="F139" s="40"/>
      <c r="G139" s="40"/>
      <c r="H139" s="40"/>
      <c r="I139" s="160"/>
      <c r="J139" s="41"/>
      <c r="K139" s="41"/>
      <c r="L139" s="41"/>
      <c r="M139" s="41"/>
      <c r="N139" s="41"/>
      <c r="O139" s="41"/>
      <c r="P139" s="188"/>
      <c r="Q139" s="236"/>
      <c r="R139" s="280"/>
      <c r="S139" s="179">
        <f t="shared" si="63"/>
        <v>4859.3864915304011</v>
      </c>
      <c r="T139" s="259"/>
      <c r="U139" s="179">
        <f t="shared" si="76"/>
        <v>150</v>
      </c>
      <c r="V139" s="259"/>
      <c r="W139" s="179">
        <f t="shared" si="64"/>
        <v>0</v>
      </c>
      <c r="X139" s="259"/>
      <c r="Y139" s="179">
        <f t="shared" si="65"/>
        <v>1022.73</v>
      </c>
      <c r="Z139" s="259"/>
      <c r="AA139" s="179">
        <f t="shared" si="66"/>
        <v>40</v>
      </c>
      <c r="AB139" s="259"/>
      <c r="AC139" s="179">
        <f t="shared" si="67"/>
        <v>1394.266018065</v>
      </c>
      <c r="AD139" s="238">
        <f t="shared" si="62"/>
        <v>0</v>
      </c>
      <c r="AE139" s="179">
        <f t="shared" si="68"/>
        <v>2456.996018065</v>
      </c>
      <c r="AF139" s="264"/>
      <c r="AG139" s="179">
        <f t="shared" si="69"/>
        <v>1000</v>
      </c>
      <c r="AH139" s="268"/>
      <c r="AI139" s="179">
        <f t="shared" si="70"/>
        <v>0</v>
      </c>
      <c r="AJ139" s="268"/>
      <c r="AK139" s="179">
        <f t="shared" si="71"/>
        <v>22.73</v>
      </c>
      <c r="AL139" s="268"/>
      <c r="AM139" s="179">
        <f t="shared" si="72"/>
        <v>0</v>
      </c>
      <c r="AN139" s="268"/>
      <c r="AO139" s="179">
        <f t="shared" si="73"/>
        <v>0</v>
      </c>
      <c r="AP139" s="268"/>
      <c r="AQ139" s="179">
        <f t="shared" si="77"/>
        <v>0</v>
      </c>
      <c r="AR139" s="273"/>
      <c r="AS139" s="305">
        <f t="shared" si="74"/>
        <v>0</v>
      </c>
      <c r="AT139" s="273"/>
      <c r="AU139" s="305">
        <f t="shared" si="75"/>
        <v>0</v>
      </c>
    </row>
    <row r="140" spans="1:47" s="34" customFormat="1" hidden="1" x14ac:dyDescent="0.25">
      <c r="A140" s="87"/>
      <c r="B140" s="42"/>
      <c r="C140" s="41"/>
      <c r="D140" s="41"/>
      <c r="E140" s="40"/>
      <c r="F140" s="40"/>
      <c r="G140" s="40"/>
      <c r="H140" s="40"/>
      <c r="I140" s="160"/>
      <c r="J140" s="41"/>
      <c r="K140" s="41"/>
      <c r="L140" s="41"/>
      <c r="M140" s="41"/>
      <c r="N140" s="41"/>
      <c r="O140" s="41"/>
      <c r="P140" s="188"/>
      <c r="Q140" s="236"/>
      <c r="R140" s="280"/>
      <c r="S140" s="179">
        <f t="shared" si="63"/>
        <v>4859.3864915304011</v>
      </c>
      <c r="T140" s="259"/>
      <c r="U140" s="179">
        <f t="shared" si="76"/>
        <v>150</v>
      </c>
      <c r="V140" s="259"/>
      <c r="W140" s="179">
        <f t="shared" si="64"/>
        <v>0</v>
      </c>
      <c r="X140" s="259"/>
      <c r="Y140" s="179">
        <f t="shared" si="65"/>
        <v>1022.73</v>
      </c>
      <c r="Z140" s="259"/>
      <c r="AA140" s="179">
        <f t="shared" si="66"/>
        <v>40</v>
      </c>
      <c r="AB140" s="259"/>
      <c r="AC140" s="179">
        <f t="shared" si="67"/>
        <v>1394.266018065</v>
      </c>
      <c r="AD140" s="238">
        <f t="shared" si="62"/>
        <v>0</v>
      </c>
      <c r="AE140" s="179">
        <f t="shared" si="68"/>
        <v>2456.996018065</v>
      </c>
      <c r="AF140" s="264"/>
      <c r="AG140" s="179">
        <f t="shared" si="69"/>
        <v>1000</v>
      </c>
      <c r="AH140" s="268"/>
      <c r="AI140" s="179">
        <f t="shared" si="70"/>
        <v>0</v>
      </c>
      <c r="AJ140" s="268"/>
      <c r="AK140" s="179">
        <f t="shared" si="71"/>
        <v>22.73</v>
      </c>
      <c r="AL140" s="268"/>
      <c r="AM140" s="179">
        <f t="shared" si="72"/>
        <v>0</v>
      </c>
      <c r="AN140" s="268"/>
      <c r="AO140" s="179">
        <f t="shared" si="73"/>
        <v>0</v>
      </c>
      <c r="AP140" s="268"/>
      <c r="AQ140" s="179">
        <f t="shared" si="77"/>
        <v>0</v>
      </c>
      <c r="AR140" s="273"/>
      <c r="AS140" s="305">
        <f t="shared" si="74"/>
        <v>0</v>
      </c>
      <c r="AT140" s="273"/>
      <c r="AU140" s="305">
        <f t="shared" si="75"/>
        <v>0</v>
      </c>
    </row>
    <row r="141" spans="1:47" s="34" customFormat="1" hidden="1" x14ac:dyDescent="0.25">
      <c r="A141" s="87"/>
      <c r="B141" s="42"/>
      <c r="C141" s="41"/>
      <c r="D141" s="41"/>
      <c r="E141" s="40"/>
      <c r="F141" s="40"/>
      <c r="G141" s="40"/>
      <c r="H141" s="40"/>
      <c r="I141" s="160"/>
      <c r="J141" s="41"/>
      <c r="K141" s="41"/>
      <c r="L141" s="41"/>
      <c r="M141" s="41"/>
      <c r="N141" s="41"/>
      <c r="O141" s="41"/>
      <c r="P141" s="188"/>
      <c r="Q141" s="236"/>
      <c r="R141" s="280"/>
      <c r="S141" s="179">
        <f t="shared" si="63"/>
        <v>4859.3864915304011</v>
      </c>
      <c r="T141" s="259"/>
      <c r="U141" s="179">
        <f t="shared" si="76"/>
        <v>150</v>
      </c>
      <c r="V141" s="259"/>
      <c r="W141" s="179">
        <f t="shared" si="64"/>
        <v>0</v>
      </c>
      <c r="X141" s="259"/>
      <c r="Y141" s="179">
        <f t="shared" si="65"/>
        <v>1022.73</v>
      </c>
      <c r="Z141" s="259"/>
      <c r="AA141" s="179">
        <f t="shared" si="66"/>
        <v>40</v>
      </c>
      <c r="AB141" s="259"/>
      <c r="AC141" s="179">
        <f t="shared" si="67"/>
        <v>1394.266018065</v>
      </c>
      <c r="AD141" s="238">
        <f t="shared" si="62"/>
        <v>0</v>
      </c>
      <c r="AE141" s="179">
        <f t="shared" si="68"/>
        <v>2456.996018065</v>
      </c>
      <c r="AF141" s="264"/>
      <c r="AG141" s="179">
        <f t="shared" si="69"/>
        <v>1000</v>
      </c>
      <c r="AH141" s="268"/>
      <c r="AI141" s="179">
        <f t="shared" si="70"/>
        <v>0</v>
      </c>
      <c r="AJ141" s="268"/>
      <c r="AK141" s="179">
        <f t="shared" si="71"/>
        <v>22.73</v>
      </c>
      <c r="AL141" s="268"/>
      <c r="AM141" s="179">
        <f t="shared" si="72"/>
        <v>0</v>
      </c>
      <c r="AN141" s="268"/>
      <c r="AO141" s="179">
        <f t="shared" si="73"/>
        <v>0</v>
      </c>
      <c r="AP141" s="268"/>
      <c r="AQ141" s="179">
        <f t="shared" si="77"/>
        <v>0</v>
      </c>
      <c r="AR141" s="273"/>
      <c r="AS141" s="305">
        <f t="shared" si="74"/>
        <v>0</v>
      </c>
      <c r="AT141" s="273"/>
      <c r="AU141" s="305">
        <f t="shared" si="75"/>
        <v>0</v>
      </c>
    </row>
    <row r="142" spans="1:47" s="34" customFormat="1" hidden="1" x14ac:dyDescent="0.25">
      <c r="A142" s="87"/>
      <c r="B142" s="42"/>
      <c r="C142" s="41"/>
      <c r="D142" s="41"/>
      <c r="E142" s="40"/>
      <c r="F142" s="40"/>
      <c r="G142" s="40"/>
      <c r="H142" s="40"/>
      <c r="I142" s="160"/>
      <c r="J142" s="41"/>
      <c r="K142" s="41"/>
      <c r="L142" s="41"/>
      <c r="M142" s="41"/>
      <c r="N142" s="41"/>
      <c r="O142" s="41"/>
      <c r="P142" s="188"/>
      <c r="Q142" s="236"/>
      <c r="R142" s="280"/>
      <c r="S142" s="179">
        <f t="shared" si="63"/>
        <v>4859.3864915304011</v>
      </c>
      <c r="T142" s="259"/>
      <c r="U142" s="179">
        <f t="shared" si="76"/>
        <v>150</v>
      </c>
      <c r="V142" s="259"/>
      <c r="W142" s="179">
        <f t="shared" si="64"/>
        <v>0</v>
      </c>
      <c r="X142" s="259"/>
      <c r="Y142" s="179">
        <f t="shared" si="65"/>
        <v>1022.73</v>
      </c>
      <c r="Z142" s="259"/>
      <c r="AA142" s="179">
        <f t="shared" si="66"/>
        <v>40</v>
      </c>
      <c r="AB142" s="259"/>
      <c r="AC142" s="179">
        <f t="shared" si="67"/>
        <v>1394.266018065</v>
      </c>
      <c r="AD142" s="238">
        <f t="shared" si="62"/>
        <v>0</v>
      </c>
      <c r="AE142" s="179">
        <f t="shared" si="68"/>
        <v>2456.996018065</v>
      </c>
      <c r="AF142" s="264"/>
      <c r="AG142" s="179">
        <f t="shared" si="69"/>
        <v>1000</v>
      </c>
      <c r="AH142" s="268"/>
      <c r="AI142" s="179">
        <f t="shared" si="70"/>
        <v>0</v>
      </c>
      <c r="AJ142" s="268"/>
      <c r="AK142" s="179">
        <f t="shared" si="71"/>
        <v>22.73</v>
      </c>
      <c r="AL142" s="268"/>
      <c r="AM142" s="179">
        <f t="shared" si="72"/>
        <v>0</v>
      </c>
      <c r="AN142" s="268"/>
      <c r="AO142" s="179">
        <f t="shared" si="73"/>
        <v>0</v>
      </c>
      <c r="AP142" s="268"/>
      <c r="AQ142" s="179">
        <f t="shared" si="77"/>
        <v>0</v>
      </c>
      <c r="AR142" s="273"/>
      <c r="AS142" s="305">
        <f t="shared" si="74"/>
        <v>0</v>
      </c>
      <c r="AT142" s="273"/>
      <c r="AU142" s="305">
        <f t="shared" si="75"/>
        <v>0</v>
      </c>
    </row>
    <row r="143" spans="1:47" s="34" customFormat="1" hidden="1" x14ac:dyDescent="0.25">
      <c r="A143" s="87"/>
      <c r="B143" s="42"/>
      <c r="C143" s="41"/>
      <c r="D143" s="41"/>
      <c r="E143" s="40"/>
      <c r="F143" s="40"/>
      <c r="G143" s="40"/>
      <c r="H143" s="40"/>
      <c r="I143" s="160"/>
      <c r="J143" s="41"/>
      <c r="K143" s="41"/>
      <c r="L143" s="41"/>
      <c r="M143" s="41"/>
      <c r="N143" s="41"/>
      <c r="O143" s="41"/>
      <c r="P143" s="188"/>
      <c r="Q143" s="236"/>
      <c r="R143" s="280"/>
      <c r="S143" s="179">
        <f t="shared" si="63"/>
        <v>4859.3864915304011</v>
      </c>
      <c r="T143" s="259"/>
      <c r="U143" s="179">
        <f t="shared" si="76"/>
        <v>150</v>
      </c>
      <c r="V143" s="259"/>
      <c r="W143" s="179">
        <f t="shared" si="64"/>
        <v>0</v>
      </c>
      <c r="X143" s="259"/>
      <c r="Y143" s="179">
        <f t="shared" si="65"/>
        <v>1022.73</v>
      </c>
      <c r="Z143" s="259"/>
      <c r="AA143" s="179">
        <f t="shared" si="66"/>
        <v>40</v>
      </c>
      <c r="AB143" s="259"/>
      <c r="AC143" s="179">
        <f t="shared" si="67"/>
        <v>1394.266018065</v>
      </c>
      <c r="AD143" s="238">
        <f t="shared" si="62"/>
        <v>0</v>
      </c>
      <c r="AE143" s="179">
        <f t="shared" si="68"/>
        <v>2456.996018065</v>
      </c>
      <c r="AF143" s="264"/>
      <c r="AG143" s="179">
        <f t="shared" si="69"/>
        <v>1000</v>
      </c>
      <c r="AH143" s="268"/>
      <c r="AI143" s="179">
        <f t="shared" si="70"/>
        <v>0</v>
      </c>
      <c r="AJ143" s="268"/>
      <c r="AK143" s="179">
        <f t="shared" si="71"/>
        <v>22.73</v>
      </c>
      <c r="AL143" s="268"/>
      <c r="AM143" s="179">
        <f t="shared" si="72"/>
        <v>0</v>
      </c>
      <c r="AN143" s="268"/>
      <c r="AO143" s="179">
        <f t="shared" si="73"/>
        <v>0</v>
      </c>
      <c r="AP143" s="268"/>
      <c r="AQ143" s="179">
        <f t="shared" si="77"/>
        <v>0</v>
      </c>
      <c r="AR143" s="273"/>
      <c r="AS143" s="305">
        <f t="shared" si="74"/>
        <v>0</v>
      </c>
      <c r="AT143" s="273"/>
      <c r="AU143" s="305">
        <f t="shared" si="75"/>
        <v>0</v>
      </c>
    </row>
    <row r="144" spans="1:47" s="34" customFormat="1" hidden="1" x14ac:dyDescent="0.25">
      <c r="A144" s="87"/>
      <c r="B144" s="42"/>
      <c r="C144" s="41"/>
      <c r="D144" s="41"/>
      <c r="E144" s="40"/>
      <c r="F144" s="40"/>
      <c r="G144" s="40"/>
      <c r="H144" s="40"/>
      <c r="I144" s="160"/>
      <c r="J144" s="41"/>
      <c r="K144" s="41"/>
      <c r="L144" s="41"/>
      <c r="M144" s="41"/>
      <c r="N144" s="41"/>
      <c r="O144" s="41"/>
      <c r="P144" s="188"/>
      <c r="Q144" s="236"/>
      <c r="R144" s="280"/>
      <c r="S144" s="179">
        <f t="shared" si="63"/>
        <v>4859.3864915304011</v>
      </c>
      <c r="T144" s="259"/>
      <c r="U144" s="179">
        <f t="shared" si="76"/>
        <v>150</v>
      </c>
      <c r="V144" s="259"/>
      <c r="W144" s="179">
        <f t="shared" si="64"/>
        <v>0</v>
      </c>
      <c r="X144" s="259"/>
      <c r="Y144" s="179">
        <f t="shared" si="65"/>
        <v>1022.73</v>
      </c>
      <c r="Z144" s="259"/>
      <c r="AA144" s="179">
        <f t="shared" si="66"/>
        <v>40</v>
      </c>
      <c r="AB144" s="259"/>
      <c r="AC144" s="179">
        <f t="shared" si="67"/>
        <v>1394.266018065</v>
      </c>
      <c r="AD144" s="238">
        <f t="shared" si="62"/>
        <v>0</v>
      </c>
      <c r="AE144" s="179">
        <f t="shared" si="68"/>
        <v>2456.996018065</v>
      </c>
      <c r="AF144" s="264"/>
      <c r="AG144" s="179">
        <f t="shared" si="69"/>
        <v>1000</v>
      </c>
      <c r="AH144" s="268"/>
      <c r="AI144" s="179">
        <f t="shared" si="70"/>
        <v>0</v>
      </c>
      <c r="AJ144" s="268"/>
      <c r="AK144" s="179">
        <f t="shared" si="71"/>
        <v>22.73</v>
      </c>
      <c r="AL144" s="268"/>
      <c r="AM144" s="179">
        <f t="shared" si="72"/>
        <v>0</v>
      </c>
      <c r="AN144" s="268"/>
      <c r="AO144" s="179">
        <f t="shared" si="73"/>
        <v>0</v>
      </c>
      <c r="AP144" s="268"/>
      <c r="AQ144" s="179">
        <f t="shared" si="77"/>
        <v>0</v>
      </c>
      <c r="AR144" s="273"/>
      <c r="AS144" s="305">
        <f t="shared" si="74"/>
        <v>0</v>
      </c>
      <c r="AT144" s="273"/>
      <c r="AU144" s="305">
        <f t="shared" si="75"/>
        <v>0</v>
      </c>
    </row>
    <row r="145" spans="1:47" s="34" customFormat="1" hidden="1" x14ac:dyDescent="0.25">
      <c r="A145" s="87"/>
      <c r="B145" s="42"/>
      <c r="C145" s="41"/>
      <c r="D145" s="41"/>
      <c r="E145" s="40"/>
      <c r="F145" s="40"/>
      <c r="G145" s="40"/>
      <c r="H145" s="40"/>
      <c r="I145" s="160"/>
      <c r="J145" s="41"/>
      <c r="K145" s="41"/>
      <c r="L145" s="41"/>
      <c r="M145" s="41"/>
      <c r="N145" s="41"/>
      <c r="O145" s="41"/>
      <c r="P145" s="188"/>
      <c r="Q145" s="236"/>
      <c r="R145" s="280"/>
      <c r="S145" s="179">
        <f t="shared" si="63"/>
        <v>4859.3864915304011</v>
      </c>
      <c r="T145" s="259"/>
      <c r="U145" s="179">
        <f t="shared" si="76"/>
        <v>150</v>
      </c>
      <c r="V145" s="259"/>
      <c r="W145" s="179">
        <f t="shared" si="64"/>
        <v>0</v>
      </c>
      <c r="X145" s="259"/>
      <c r="Y145" s="179">
        <f t="shared" si="65"/>
        <v>1022.73</v>
      </c>
      <c r="Z145" s="259"/>
      <c r="AA145" s="179">
        <f t="shared" si="66"/>
        <v>40</v>
      </c>
      <c r="AB145" s="259"/>
      <c r="AC145" s="179">
        <f t="shared" si="67"/>
        <v>1394.266018065</v>
      </c>
      <c r="AD145" s="238">
        <f t="shared" si="62"/>
        <v>0</v>
      </c>
      <c r="AE145" s="179">
        <f t="shared" si="68"/>
        <v>2456.996018065</v>
      </c>
      <c r="AF145" s="264"/>
      <c r="AG145" s="179">
        <f t="shared" si="69"/>
        <v>1000</v>
      </c>
      <c r="AH145" s="268"/>
      <c r="AI145" s="179">
        <f t="shared" si="70"/>
        <v>0</v>
      </c>
      <c r="AJ145" s="268"/>
      <c r="AK145" s="179">
        <f t="shared" si="71"/>
        <v>22.73</v>
      </c>
      <c r="AL145" s="268"/>
      <c r="AM145" s="179">
        <f t="shared" si="72"/>
        <v>0</v>
      </c>
      <c r="AN145" s="268"/>
      <c r="AO145" s="179">
        <f t="shared" si="73"/>
        <v>0</v>
      </c>
      <c r="AP145" s="268"/>
      <c r="AQ145" s="179">
        <f t="shared" si="77"/>
        <v>0</v>
      </c>
      <c r="AR145" s="273"/>
      <c r="AS145" s="305">
        <f t="shared" si="74"/>
        <v>0</v>
      </c>
      <c r="AT145" s="273"/>
      <c r="AU145" s="305">
        <f t="shared" si="75"/>
        <v>0</v>
      </c>
    </row>
    <row r="146" spans="1:47" s="34" customFormat="1" hidden="1" x14ac:dyDescent="0.25">
      <c r="A146" s="87"/>
      <c r="B146" s="42"/>
      <c r="C146" s="41"/>
      <c r="D146" s="41"/>
      <c r="E146" s="40"/>
      <c r="F146" s="40"/>
      <c r="G146" s="40"/>
      <c r="H146" s="40"/>
      <c r="I146" s="160"/>
      <c r="J146" s="41"/>
      <c r="K146" s="41"/>
      <c r="L146" s="41"/>
      <c r="M146" s="41"/>
      <c r="N146" s="41"/>
      <c r="O146" s="41"/>
      <c r="P146" s="188"/>
      <c r="Q146" s="236"/>
      <c r="R146" s="280"/>
      <c r="S146" s="179">
        <f t="shared" si="63"/>
        <v>4859.3864915304011</v>
      </c>
      <c r="T146" s="259"/>
      <c r="U146" s="179">
        <f t="shared" si="76"/>
        <v>150</v>
      </c>
      <c r="V146" s="259"/>
      <c r="W146" s="179">
        <f t="shared" si="64"/>
        <v>0</v>
      </c>
      <c r="X146" s="259"/>
      <c r="Y146" s="179">
        <f t="shared" si="65"/>
        <v>1022.73</v>
      </c>
      <c r="Z146" s="259"/>
      <c r="AA146" s="179">
        <f t="shared" si="66"/>
        <v>40</v>
      </c>
      <c r="AB146" s="259"/>
      <c r="AC146" s="179">
        <f t="shared" si="67"/>
        <v>1394.266018065</v>
      </c>
      <c r="AD146" s="238">
        <f t="shared" si="62"/>
        <v>0</v>
      </c>
      <c r="AE146" s="179">
        <f t="shared" si="68"/>
        <v>2456.996018065</v>
      </c>
      <c r="AF146" s="264"/>
      <c r="AG146" s="179">
        <f t="shared" si="69"/>
        <v>1000</v>
      </c>
      <c r="AH146" s="268"/>
      <c r="AI146" s="179">
        <f t="shared" si="70"/>
        <v>0</v>
      </c>
      <c r="AJ146" s="268"/>
      <c r="AK146" s="179">
        <f t="shared" si="71"/>
        <v>22.73</v>
      </c>
      <c r="AL146" s="268"/>
      <c r="AM146" s="179">
        <f t="shared" si="72"/>
        <v>0</v>
      </c>
      <c r="AN146" s="268"/>
      <c r="AO146" s="179">
        <f t="shared" si="73"/>
        <v>0</v>
      </c>
      <c r="AP146" s="268"/>
      <c r="AQ146" s="179">
        <f t="shared" si="77"/>
        <v>0</v>
      </c>
      <c r="AR146" s="273"/>
      <c r="AS146" s="305">
        <f t="shared" si="74"/>
        <v>0</v>
      </c>
      <c r="AT146" s="273"/>
      <c r="AU146" s="305">
        <f t="shared" si="75"/>
        <v>0</v>
      </c>
    </row>
    <row r="147" spans="1:47" s="34" customFormat="1" hidden="1" x14ac:dyDescent="0.25">
      <c r="A147" s="87"/>
      <c r="B147" s="42"/>
      <c r="C147" s="41"/>
      <c r="D147" s="41"/>
      <c r="E147" s="40"/>
      <c r="F147" s="40"/>
      <c r="G147" s="40"/>
      <c r="H147" s="40"/>
      <c r="I147" s="160"/>
      <c r="J147" s="41"/>
      <c r="K147" s="41"/>
      <c r="L147" s="41"/>
      <c r="M147" s="41"/>
      <c r="N147" s="41"/>
      <c r="O147" s="41"/>
      <c r="P147" s="188"/>
      <c r="Q147" s="236"/>
      <c r="R147" s="280"/>
      <c r="S147" s="179">
        <f t="shared" si="63"/>
        <v>4859.3864915304011</v>
      </c>
      <c r="T147" s="259"/>
      <c r="U147" s="179">
        <f t="shared" si="76"/>
        <v>150</v>
      </c>
      <c r="V147" s="259"/>
      <c r="W147" s="179">
        <f t="shared" si="64"/>
        <v>0</v>
      </c>
      <c r="X147" s="259"/>
      <c r="Y147" s="179">
        <f t="shared" si="65"/>
        <v>1022.73</v>
      </c>
      <c r="Z147" s="259"/>
      <c r="AA147" s="179">
        <f t="shared" si="66"/>
        <v>40</v>
      </c>
      <c r="AB147" s="259"/>
      <c r="AC147" s="179">
        <f t="shared" si="67"/>
        <v>1394.266018065</v>
      </c>
      <c r="AD147" s="238">
        <f t="shared" si="62"/>
        <v>0</v>
      </c>
      <c r="AE147" s="179">
        <f t="shared" si="68"/>
        <v>2456.996018065</v>
      </c>
      <c r="AF147" s="264"/>
      <c r="AG147" s="179">
        <f t="shared" si="69"/>
        <v>1000</v>
      </c>
      <c r="AH147" s="268"/>
      <c r="AI147" s="179">
        <f t="shared" si="70"/>
        <v>0</v>
      </c>
      <c r="AJ147" s="268"/>
      <c r="AK147" s="179">
        <f t="shared" si="71"/>
        <v>22.73</v>
      </c>
      <c r="AL147" s="268"/>
      <c r="AM147" s="179">
        <f t="shared" si="72"/>
        <v>0</v>
      </c>
      <c r="AN147" s="268"/>
      <c r="AO147" s="179">
        <f t="shared" si="73"/>
        <v>0</v>
      </c>
      <c r="AP147" s="268"/>
      <c r="AQ147" s="179">
        <f t="shared" si="77"/>
        <v>0</v>
      </c>
      <c r="AR147" s="273"/>
      <c r="AS147" s="305">
        <f t="shared" si="74"/>
        <v>0</v>
      </c>
      <c r="AT147" s="273"/>
      <c r="AU147" s="305">
        <f t="shared" si="75"/>
        <v>0</v>
      </c>
    </row>
    <row r="148" spans="1:47" s="34" customFormat="1" hidden="1" x14ac:dyDescent="0.25">
      <c r="A148" s="87"/>
      <c r="B148" s="42"/>
      <c r="C148" s="41"/>
      <c r="D148" s="41"/>
      <c r="E148" s="40"/>
      <c r="F148" s="40"/>
      <c r="G148" s="40"/>
      <c r="H148" s="40"/>
      <c r="I148" s="160"/>
      <c r="J148" s="41"/>
      <c r="K148" s="41"/>
      <c r="L148" s="41"/>
      <c r="M148" s="41"/>
      <c r="N148" s="41"/>
      <c r="O148" s="41"/>
      <c r="P148" s="188"/>
      <c r="Q148" s="236"/>
      <c r="R148" s="280"/>
      <c r="S148" s="179">
        <f t="shared" si="63"/>
        <v>4859.3864915304011</v>
      </c>
      <c r="T148" s="259"/>
      <c r="U148" s="179">
        <f t="shared" si="76"/>
        <v>150</v>
      </c>
      <c r="V148" s="259"/>
      <c r="W148" s="179">
        <f t="shared" si="64"/>
        <v>0</v>
      </c>
      <c r="X148" s="259"/>
      <c r="Y148" s="179">
        <f t="shared" si="65"/>
        <v>1022.73</v>
      </c>
      <c r="Z148" s="259"/>
      <c r="AA148" s="179">
        <f t="shared" si="66"/>
        <v>40</v>
      </c>
      <c r="AB148" s="259"/>
      <c r="AC148" s="179">
        <f t="shared" si="67"/>
        <v>1394.266018065</v>
      </c>
      <c r="AD148" s="238">
        <f t="shared" si="62"/>
        <v>0</v>
      </c>
      <c r="AE148" s="179">
        <f t="shared" si="68"/>
        <v>2456.996018065</v>
      </c>
      <c r="AF148" s="264"/>
      <c r="AG148" s="179">
        <f t="shared" si="69"/>
        <v>1000</v>
      </c>
      <c r="AH148" s="268"/>
      <c r="AI148" s="179">
        <f t="shared" si="70"/>
        <v>0</v>
      </c>
      <c r="AJ148" s="268"/>
      <c r="AK148" s="179">
        <f t="shared" si="71"/>
        <v>22.73</v>
      </c>
      <c r="AL148" s="268"/>
      <c r="AM148" s="179">
        <f t="shared" si="72"/>
        <v>0</v>
      </c>
      <c r="AN148" s="268"/>
      <c r="AO148" s="179">
        <f t="shared" si="73"/>
        <v>0</v>
      </c>
      <c r="AP148" s="268"/>
      <c r="AQ148" s="179">
        <f t="shared" si="77"/>
        <v>0</v>
      </c>
      <c r="AR148" s="273"/>
      <c r="AS148" s="305">
        <f t="shared" si="74"/>
        <v>0</v>
      </c>
      <c r="AT148" s="273"/>
      <c r="AU148" s="305">
        <f t="shared" si="75"/>
        <v>0</v>
      </c>
    </row>
    <row r="149" spans="1:47" s="34" customFormat="1" hidden="1" x14ac:dyDescent="0.25">
      <c r="A149" s="87"/>
      <c r="B149" s="42"/>
      <c r="C149" s="41"/>
      <c r="D149" s="41"/>
      <c r="E149" s="40"/>
      <c r="F149" s="40"/>
      <c r="G149" s="40"/>
      <c r="H149" s="40"/>
      <c r="I149" s="160"/>
      <c r="J149" s="41"/>
      <c r="K149" s="41"/>
      <c r="L149" s="41"/>
      <c r="M149" s="41"/>
      <c r="N149" s="41"/>
      <c r="O149" s="41"/>
      <c r="P149" s="188"/>
      <c r="Q149" s="236"/>
      <c r="R149" s="280"/>
      <c r="S149" s="179">
        <f t="shared" si="63"/>
        <v>4859.3864915304011</v>
      </c>
      <c r="T149" s="259"/>
      <c r="U149" s="179">
        <f t="shared" si="76"/>
        <v>150</v>
      </c>
      <c r="V149" s="259"/>
      <c r="W149" s="179">
        <f t="shared" si="64"/>
        <v>0</v>
      </c>
      <c r="X149" s="259"/>
      <c r="Y149" s="179">
        <f t="shared" si="65"/>
        <v>1022.73</v>
      </c>
      <c r="Z149" s="259"/>
      <c r="AA149" s="179">
        <f t="shared" si="66"/>
        <v>40</v>
      </c>
      <c r="AB149" s="259"/>
      <c r="AC149" s="179">
        <f t="shared" si="67"/>
        <v>1394.266018065</v>
      </c>
      <c r="AD149" s="238">
        <f t="shared" si="62"/>
        <v>0</v>
      </c>
      <c r="AE149" s="179">
        <f t="shared" si="68"/>
        <v>2456.996018065</v>
      </c>
      <c r="AF149" s="264"/>
      <c r="AG149" s="179">
        <f t="shared" si="69"/>
        <v>1000</v>
      </c>
      <c r="AH149" s="268"/>
      <c r="AI149" s="179">
        <f t="shared" si="70"/>
        <v>0</v>
      </c>
      <c r="AJ149" s="268"/>
      <c r="AK149" s="179">
        <f t="shared" si="71"/>
        <v>22.73</v>
      </c>
      <c r="AL149" s="268"/>
      <c r="AM149" s="179">
        <f t="shared" si="72"/>
        <v>0</v>
      </c>
      <c r="AN149" s="268"/>
      <c r="AO149" s="179">
        <f t="shared" si="73"/>
        <v>0</v>
      </c>
      <c r="AP149" s="268"/>
      <c r="AQ149" s="179">
        <f t="shared" si="77"/>
        <v>0</v>
      </c>
      <c r="AR149" s="273"/>
      <c r="AS149" s="305">
        <f t="shared" si="74"/>
        <v>0</v>
      </c>
      <c r="AT149" s="273"/>
      <c r="AU149" s="305">
        <f t="shared" si="75"/>
        <v>0</v>
      </c>
    </row>
    <row r="150" spans="1:47" s="34" customFormat="1" hidden="1" x14ac:dyDescent="0.25">
      <c r="A150" s="87"/>
      <c r="B150" s="42"/>
      <c r="C150" s="41"/>
      <c r="D150" s="41"/>
      <c r="E150" s="40"/>
      <c r="F150" s="40"/>
      <c r="G150" s="40"/>
      <c r="H150" s="40"/>
      <c r="I150" s="160"/>
      <c r="J150" s="41"/>
      <c r="K150" s="41"/>
      <c r="L150" s="41"/>
      <c r="M150" s="41"/>
      <c r="N150" s="41"/>
      <c r="O150" s="41"/>
      <c r="P150" s="188"/>
      <c r="Q150" s="236"/>
      <c r="R150" s="280"/>
      <c r="S150" s="179">
        <f t="shared" si="63"/>
        <v>4859.3864915304011</v>
      </c>
      <c r="T150" s="259"/>
      <c r="U150" s="179">
        <f t="shared" si="76"/>
        <v>150</v>
      </c>
      <c r="V150" s="259"/>
      <c r="W150" s="179">
        <f t="shared" si="64"/>
        <v>0</v>
      </c>
      <c r="X150" s="259"/>
      <c r="Y150" s="179">
        <f t="shared" si="65"/>
        <v>1022.73</v>
      </c>
      <c r="Z150" s="259"/>
      <c r="AA150" s="179">
        <f t="shared" si="66"/>
        <v>40</v>
      </c>
      <c r="AB150" s="259"/>
      <c r="AC150" s="179">
        <f t="shared" si="67"/>
        <v>1394.266018065</v>
      </c>
      <c r="AD150" s="238">
        <f t="shared" si="62"/>
        <v>0</v>
      </c>
      <c r="AE150" s="179">
        <f t="shared" si="68"/>
        <v>2456.996018065</v>
      </c>
      <c r="AF150" s="264"/>
      <c r="AG150" s="179">
        <f t="shared" si="69"/>
        <v>1000</v>
      </c>
      <c r="AH150" s="268"/>
      <c r="AI150" s="179">
        <f t="shared" si="70"/>
        <v>0</v>
      </c>
      <c r="AJ150" s="268"/>
      <c r="AK150" s="179">
        <f t="shared" si="71"/>
        <v>22.73</v>
      </c>
      <c r="AL150" s="268"/>
      <c r="AM150" s="179">
        <f t="shared" si="72"/>
        <v>0</v>
      </c>
      <c r="AN150" s="268"/>
      <c r="AO150" s="179">
        <f t="shared" si="73"/>
        <v>0</v>
      </c>
      <c r="AP150" s="268"/>
      <c r="AQ150" s="179">
        <f t="shared" si="77"/>
        <v>0</v>
      </c>
      <c r="AR150" s="273"/>
      <c r="AS150" s="305">
        <f t="shared" si="74"/>
        <v>0</v>
      </c>
      <c r="AT150" s="273"/>
      <c r="AU150" s="305">
        <f t="shared" si="75"/>
        <v>0</v>
      </c>
    </row>
    <row r="151" spans="1:47" s="34" customFormat="1" hidden="1" x14ac:dyDescent="0.25">
      <c r="A151" s="87"/>
      <c r="B151" s="42"/>
      <c r="C151" s="41"/>
      <c r="D151" s="41"/>
      <c r="E151" s="40"/>
      <c r="F151" s="40"/>
      <c r="G151" s="40"/>
      <c r="H151" s="40"/>
      <c r="I151" s="160"/>
      <c r="J151" s="41"/>
      <c r="K151" s="41"/>
      <c r="L151" s="41"/>
      <c r="M151" s="41"/>
      <c r="N151" s="41"/>
      <c r="O151" s="41"/>
      <c r="P151" s="188"/>
      <c r="Q151" s="236"/>
      <c r="R151" s="280"/>
      <c r="S151" s="179">
        <f t="shared" si="63"/>
        <v>4859.3864915304011</v>
      </c>
      <c r="T151" s="259"/>
      <c r="U151" s="179">
        <f t="shared" si="76"/>
        <v>150</v>
      </c>
      <c r="V151" s="259"/>
      <c r="W151" s="179">
        <f t="shared" si="64"/>
        <v>0</v>
      </c>
      <c r="X151" s="259"/>
      <c r="Y151" s="179">
        <f t="shared" si="65"/>
        <v>1022.73</v>
      </c>
      <c r="Z151" s="259"/>
      <c r="AA151" s="179">
        <f t="shared" si="66"/>
        <v>40</v>
      </c>
      <c r="AB151" s="259"/>
      <c r="AC151" s="179">
        <f t="shared" si="67"/>
        <v>1394.266018065</v>
      </c>
      <c r="AD151" s="238">
        <f t="shared" si="62"/>
        <v>0</v>
      </c>
      <c r="AE151" s="179">
        <f t="shared" si="68"/>
        <v>2456.996018065</v>
      </c>
      <c r="AF151" s="264"/>
      <c r="AG151" s="179">
        <f t="shared" si="69"/>
        <v>1000</v>
      </c>
      <c r="AH151" s="268"/>
      <c r="AI151" s="179">
        <f t="shared" si="70"/>
        <v>0</v>
      </c>
      <c r="AJ151" s="268"/>
      <c r="AK151" s="179">
        <f t="shared" si="71"/>
        <v>22.73</v>
      </c>
      <c r="AL151" s="268"/>
      <c r="AM151" s="179">
        <f t="shared" si="72"/>
        <v>0</v>
      </c>
      <c r="AN151" s="268"/>
      <c r="AO151" s="179">
        <f t="shared" si="73"/>
        <v>0</v>
      </c>
      <c r="AP151" s="268"/>
      <c r="AQ151" s="179">
        <f t="shared" si="77"/>
        <v>0</v>
      </c>
      <c r="AR151" s="273"/>
      <c r="AS151" s="305">
        <f t="shared" si="74"/>
        <v>0</v>
      </c>
      <c r="AT151" s="273"/>
      <c r="AU151" s="305">
        <f t="shared" si="75"/>
        <v>0</v>
      </c>
    </row>
    <row r="152" spans="1:47" s="34" customFormat="1" hidden="1" x14ac:dyDescent="0.25">
      <c r="A152" s="87"/>
      <c r="B152" s="42"/>
      <c r="C152" s="41"/>
      <c r="D152" s="41"/>
      <c r="E152" s="40"/>
      <c r="F152" s="40"/>
      <c r="G152" s="40"/>
      <c r="H152" s="40"/>
      <c r="I152" s="160"/>
      <c r="J152" s="41"/>
      <c r="K152" s="41"/>
      <c r="L152" s="41"/>
      <c r="M152" s="41"/>
      <c r="N152" s="41"/>
      <c r="O152" s="41"/>
      <c r="P152" s="188"/>
      <c r="Q152" s="236"/>
      <c r="R152" s="280"/>
      <c r="S152" s="179">
        <f t="shared" si="63"/>
        <v>4859.3864915304011</v>
      </c>
      <c r="T152" s="259"/>
      <c r="U152" s="179">
        <f t="shared" si="76"/>
        <v>150</v>
      </c>
      <c r="V152" s="259"/>
      <c r="W152" s="179">
        <f t="shared" si="64"/>
        <v>0</v>
      </c>
      <c r="X152" s="259"/>
      <c r="Y152" s="179">
        <f t="shared" si="65"/>
        <v>1022.73</v>
      </c>
      <c r="Z152" s="259"/>
      <c r="AA152" s="179">
        <f t="shared" si="66"/>
        <v>40</v>
      </c>
      <c r="AB152" s="259"/>
      <c r="AC152" s="179">
        <f t="shared" si="67"/>
        <v>1394.266018065</v>
      </c>
      <c r="AD152" s="238">
        <f t="shared" si="62"/>
        <v>0</v>
      </c>
      <c r="AE152" s="179">
        <f t="shared" si="68"/>
        <v>2456.996018065</v>
      </c>
      <c r="AF152" s="264"/>
      <c r="AG152" s="179">
        <f t="shared" si="69"/>
        <v>1000</v>
      </c>
      <c r="AH152" s="268"/>
      <c r="AI152" s="179">
        <f t="shared" si="70"/>
        <v>0</v>
      </c>
      <c r="AJ152" s="268"/>
      <c r="AK152" s="179">
        <f t="shared" si="71"/>
        <v>22.73</v>
      </c>
      <c r="AL152" s="268"/>
      <c r="AM152" s="179">
        <f t="shared" si="72"/>
        <v>0</v>
      </c>
      <c r="AN152" s="268"/>
      <c r="AO152" s="179">
        <f t="shared" si="73"/>
        <v>0</v>
      </c>
      <c r="AP152" s="268"/>
      <c r="AQ152" s="179">
        <f t="shared" si="77"/>
        <v>0</v>
      </c>
      <c r="AR152" s="273"/>
      <c r="AS152" s="305">
        <f t="shared" si="74"/>
        <v>0</v>
      </c>
      <c r="AT152" s="273"/>
      <c r="AU152" s="305">
        <f t="shared" si="75"/>
        <v>0</v>
      </c>
    </row>
    <row r="153" spans="1:47" s="34" customFormat="1" hidden="1" x14ac:dyDescent="0.25">
      <c r="A153" s="87"/>
      <c r="B153" s="42"/>
      <c r="C153" s="41"/>
      <c r="D153" s="41"/>
      <c r="E153" s="40"/>
      <c r="F153" s="40"/>
      <c r="G153" s="40"/>
      <c r="H153" s="40"/>
      <c r="I153" s="160"/>
      <c r="J153" s="41"/>
      <c r="K153" s="41"/>
      <c r="L153" s="41"/>
      <c r="M153" s="41"/>
      <c r="N153" s="41"/>
      <c r="O153" s="41"/>
      <c r="P153" s="188"/>
      <c r="Q153" s="236"/>
      <c r="R153" s="280"/>
      <c r="S153" s="179">
        <f t="shared" si="63"/>
        <v>4859.3864915304011</v>
      </c>
      <c r="T153" s="259"/>
      <c r="U153" s="179">
        <f t="shared" si="76"/>
        <v>150</v>
      </c>
      <c r="V153" s="259"/>
      <c r="W153" s="179">
        <f t="shared" si="64"/>
        <v>0</v>
      </c>
      <c r="X153" s="259"/>
      <c r="Y153" s="179">
        <f t="shared" si="65"/>
        <v>1022.73</v>
      </c>
      <c r="Z153" s="259"/>
      <c r="AA153" s="179">
        <f t="shared" si="66"/>
        <v>40</v>
      </c>
      <c r="AB153" s="259"/>
      <c r="AC153" s="179">
        <f t="shared" si="67"/>
        <v>1394.266018065</v>
      </c>
      <c r="AD153" s="238">
        <f t="shared" si="62"/>
        <v>0</v>
      </c>
      <c r="AE153" s="179">
        <f t="shared" si="68"/>
        <v>2456.996018065</v>
      </c>
      <c r="AF153" s="264"/>
      <c r="AG153" s="179">
        <f t="shared" si="69"/>
        <v>1000</v>
      </c>
      <c r="AH153" s="268"/>
      <c r="AI153" s="179">
        <f t="shared" si="70"/>
        <v>0</v>
      </c>
      <c r="AJ153" s="268"/>
      <c r="AK153" s="179">
        <f t="shared" si="71"/>
        <v>22.73</v>
      </c>
      <c r="AL153" s="268"/>
      <c r="AM153" s="179">
        <f t="shared" si="72"/>
        <v>0</v>
      </c>
      <c r="AN153" s="268"/>
      <c r="AO153" s="179">
        <f t="shared" si="73"/>
        <v>0</v>
      </c>
      <c r="AP153" s="268"/>
      <c r="AQ153" s="179">
        <f t="shared" si="77"/>
        <v>0</v>
      </c>
      <c r="AR153" s="273"/>
      <c r="AS153" s="305">
        <f t="shared" si="74"/>
        <v>0</v>
      </c>
      <c r="AT153" s="273"/>
      <c r="AU153" s="305">
        <f t="shared" si="75"/>
        <v>0</v>
      </c>
    </row>
    <row r="154" spans="1:47" s="34" customFormat="1" hidden="1" x14ac:dyDescent="0.25">
      <c r="A154" s="87"/>
      <c r="B154" s="42"/>
      <c r="C154" s="41"/>
      <c r="D154" s="41"/>
      <c r="E154" s="40"/>
      <c r="F154" s="40"/>
      <c r="G154" s="40"/>
      <c r="H154" s="40"/>
      <c r="I154" s="160"/>
      <c r="J154" s="41"/>
      <c r="K154" s="41"/>
      <c r="L154" s="41"/>
      <c r="M154" s="41"/>
      <c r="N154" s="41"/>
      <c r="O154" s="41"/>
      <c r="P154" s="188"/>
      <c r="Q154" s="236"/>
      <c r="R154" s="280"/>
      <c r="S154" s="179">
        <f t="shared" si="63"/>
        <v>4859.3864915304011</v>
      </c>
      <c r="T154" s="259"/>
      <c r="U154" s="179">
        <f t="shared" si="76"/>
        <v>150</v>
      </c>
      <c r="V154" s="259"/>
      <c r="W154" s="179">
        <f t="shared" si="64"/>
        <v>0</v>
      </c>
      <c r="X154" s="259"/>
      <c r="Y154" s="179">
        <f t="shared" si="65"/>
        <v>1022.73</v>
      </c>
      <c r="Z154" s="259"/>
      <c r="AA154" s="179">
        <f t="shared" si="66"/>
        <v>40</v>
      </c>
      <c r="AB154" s="259"/>
      <c r="AC154" s="179">
        <f t="shared" si="67"/>
        <v>1394.266018065</v>
      </c>
      <c r="AD154" s="238">
        <f t="shared" si="62"/>
        <v>0</v>
      </c>
      <c r="AE154" s="179">
        <f t="shared" si="68"/>
        <v>2456.996018065</v>
      </c>
      <c r="AF154" s="264"/>
      <c r="AG154" s="179">
        <f t="shared" si="69"/>
        <v>1000</v>
      </c>
      <c r="AH154" s="268"/>
      <c r="AI154" s="179">
        <f t="shared" si="70"/>
        <v>0</v>
      </c>
      <c r="AJ154" s="268"/>
      <c r="AK154" s="179">
        <f t="shared" si="71"/>
        <v>22.73</v>
      </c>
      <c r="AL154" s="268"/>
      <c r="AM154" s="179">
        <f t="shared" si="72"/>
        <v>0</v>
      </c>
      <c r="AN154" s="268"/>
      <c r="AO154" s="179">
        <f t="shared" si="73"/>
        <v>0</v>
      </c>
      <c r="AP154" s="268"/>
      <c r="AQ154" s="179">
        <f t="shared" si="77"/>
        <v>0</v>
      </c>
      <c r="AR154" s="273"/>
      <c r="AS154" s="305">
        <f t="shared" si="74"/>
        <v>0</v>
      </c>
      <c r="AT154" s="273"/>
      <c r="AU154" s="305">
        <f t="shared" si="75"/>
        <v>0</v>
      </c>
    </row>
    <row r="155" spans="1:47" s="34" customFormat="1" hidden="1" x14ac:dyDescent="0.25">
      <c r="A155" s="87"/>
      <c r="B155" s="42"/>
      <c r="C155" s="41"/>
      <c r="D155" s="41"/>
      <c r="E155" s="40"/>
      <c r="F155" s="40"/>
      <c r="G155" s="40"/>
      <c r="H155" s="40"/>
      <c r="I155" s="160"/>
      <c r="J155" s="41"/>
      <c r="K155" s="41"/>
      <c r="L155" s="41"/>
      <c r="M155" s="41"/>
      <c r="N155" s="41"/>
      <c r="O155" s="41"/>
      <c r="P155" s="188"/>
      <c r="Q155" s="236"/>
      <c r="R155" s="280"/>
      <c r="S155" s="179">
        <f t="shared" si="63"/>
        <v>4859.3864915304011</v>
      </c>
      <c r="T155" s="259"/>
      <c r="U155" s="179">
        <f t="shared" si="76"/>
        <v>150</v>
      </c>
      <c r="V155" s="259"/>
      <c r="W155" s="179">
        <f t="shared" si="64"/>
        <v>0</v>
      </c>
      <c r="X155" s="259"/>
      <c r="Y155" s="179">
        <f t="shared" si="65"/>
        <v>1022.73</v>
      </c>
      <c r="Z155" s="259"/>
      <c r="AA155" s="179">
        <f t="shared" si="66"/>
        <v>40</v>
      </c>
      <c r="AB155" s="259"/>
      <c r="AC155" s="179">
        <f t="shared" si="67"/>
        <v>1394.266018065</v>
      </c>
      <c r="AD155" s="238">
        <f t="shared" si="62"/>
        <v>0</v>
      </c>
      <c r="AE155" s="179">
        <f t="shared" si="68"/>
        <v>2456.996018065</v>
      </c>
      <c r="AF155" s="264"/>
      <c r="AG155" s="179">
        <f t="shared" si="69"/>
        <v>1000</v>
      </c>
      <c r="AH155" s="268"/>
      <c r="AI155" s="179">
        <f t="shared" si="70"/>
        <v>0</v>
      </c>
      <c r="AJ155" s="268"/>
      <c r="AK155" s="179">
        <f t="shared" si="71"/>
        <v>22.73</v>
      </c>
      <c r="AL155" s="268"/>
      <c r="AM155" s="179">
        <f t="shared" si="72"/>
        <v>0</v>
      </c>
      <c r="AN155" s="268"/>
      <c r="AO155" s="179">
        <f t="shared" si="73"/>
        <v>0</v>
      </c>
      <c r="AP155" s="268"/>
      <c r="AQ155" s="179">
        <f t="shared" si="77"/>
        <v>0</v>
      </c>
      <c r="AR155" s="273"/>
      <c r="AS155" s="305">
        <f t="shared" si="74"/>
        <v>0</v>
      </c>
      <c r="AT155" s="273"/>
      <c r="AU155" s="305">
        <f t="shared" si="75"/>
        <v>0</v>
      </c>
    </row>
    <row r="156" spans="1:47" s="34" customFormat="1" hidden="1" x14ac:dyDescent="0.25">
      <c r="A156" s="87"/>
      <c r="B156" s="42"/>
      <c r="C156" s="41"/>
      <c r="D156" s="41"/>
      <c r="E156" s="40"/>
      <c r="F156" s="40"/>
      <c r="G156" s="40"/>
      <c r="H156" s="40"/>
      <c r="I156" s="160"/>
      <c r="J156" s="41"/>
      <c r="K156" s="41"/>
      <c r="L156" s="41"/>
      <c r="M156" s="41"/>
      <c r="N156" s="41"/>
      <c r="O156" s="41"/>
      <c r="P156" s="188"/>
      <c r="Q156" s="236"/>
      <c r="R156" s="280"/>
      <c r="S156" s="179">
        <f t="shared" si="63"/>
        <v>4859.3864915304011</v>
      </c>
      <c r="T156" s="259"/>
      <c r="U156" s="179">
        <f t="shared" si="76"/>
        <v>150</v>
      </c>
      <c r="V156" s="259"/>
      <c r="W156" s="179">
        <f t="shared" si="64"/>
        <v>0</v>
      </c>
      <c r="X156" s="259"/>
      <c r="Y156" s="179">
        <f t="shared" si="65"/>
        <v>1022.73</v>
      </c>
      <c r="Z156" s="259"/>
      <c r="AA156" s="179">
        <f t="shared" si="66"/>
        <v>40</v>
      </c>
      <c r="AB156" s="259"/>
      <c r="AC156" s="179">
        <f t="shared" si="67"/>
        <v>1394.266018065</v>
      </c>
      <c r="AD156" s="238">
        <f t="shared" si="62"/>
        <v>0</v>
      </c>
      <c r="AE156" s="179">
        <f t="shared" si="68"/>
        <v>2456.996018065</v>
      </c>
      <c r="AF156" s="264"/>
      <c r="AG156" s="179">
        <f t="shared" si="69"/>
        <v>1000</v>
      </c>
      <c r="AH156" s="268"/>
      <c r="AI156" s="179">
        <f t="shared" si="70"/>
        <v>0</v>
      </c>
      <c r="AJ156" s="268"/>
      <c r="AK156" s="179">
        <f t="shared" si="71"/>
        <v>22.73</v>
      </c>
      <c r="AL156" s="268"/>
      <c r="AM156" s="179">
        <f t="shared" si="72"/>
        <v>0</v>
      </c>
      <c r="AN156" s="268"/>
      <c r="AO156" s="179">
        <f t="shared" si="73"/>
        <v>0</v>
      </c>
      <c r="AP156" s="268"/>
      <c r="AQ156" s="179">
        <f t="shared" si="77"/>
        <v>0</v>
      </c>
      <c r="AR156" s="273"/>
      <c r="AS156" s="305">
        <f t="shared" si="74"/>
        <v>0</v>
      </c>
      <c r="AT156" s="273"/>
      <c r="AU156" s="305">
        <f t="shared" si="75"/>
        <v>0</v>
      </c>
    </row>
    <row r="157" spans="1:47" s="34" customFormat="1" hidden="1" x14ac:dyDescent="0.25">
      <c r="A157" s="87"/>
      <c r="B157" s="42"/>
      <c r="C157" s="41"/>
      <c r="D157" s="41"/>
      <c r="E157" s="40"/>
      <c r="F157" s="40"/>
      <c r="G157" s="40"/>
      <c r="H157" s="40"/>
      <c r="I157" s="160"/>
      <c r="J157" s="41"/>
      <c r="K157" s="41"/>
      <c r="L157" s="41"/>
      <c r="M157" s="41"/>
      <c r="N157" s="41"/>
      <c r="O157" s="41"/>
      <c r="P157" s="188"/>
      <c r="Q157" s="236"/>
      <c r="R157" s="280"/>
      <c r="S157" s="179">
        <f t="shared" si="63"/>
        <v>4859.3864915304011</v>
      </c>
      <c r="T157" s="259"/>
      <c r="U157" s="179">
        <f t="shared" si="76"/>
        <v>150</v>
      </c>
      <c r="V157" s="259"/>
      <c r="W157" s="179">
        <f t="shared" si="64"/>
        <v>0</v>
      </c>
      <c r="X157" s="259"/>
      <c r="Y157" s="179">
        <f t="shared" si="65"/>
        <v>1022.73</v>
      </c>
      <c r="Z157" s="259"/>
      <c r="AA157" s="179">
        <f t="shared" si="66"/>
        <v>40</v>
      </c>
      <c r="AB157" s="259"/>
      <c r="AC157" s="179">
        <f t="shared" si="67"/>
        <v>1394.266018065</v>
      </c>
      <c r="AD157" s="238">
        <f t="shared" si="62"/>
        <v>0</v>
      </c>
      <c r="AE157" s="179">
        <f t="shared" si="68"/>
        <v>2456.996018065</v>
      </c>
      <c r="AF157" s="264"/>
      <c r="AG157" s="179">
        <f t="shared" si="69"/>
        <v>1000</v>
      </c>
      <c r="AH157" s="268"/>
      <c r="AI157" s="179">
        <f t="shared" si="70"/>
        <v>0</v>
      </c>
      <c r="AJ157" s="268"/>
      <c r="AK157" s="179">
        <f t="shared" si="71"/>
        <v>22.73</v>
      </c>
      <c r="AL157" s="268"/>
      <c r="AM157" s="179">
        <f t="shared" si="72"/>
        <v>0</v>
      </c>
      <c r="AN157" s="268"/>
      <c r="AO157" s="179">
        <f t="shared" si="73"/>
        <v>0</v>
      </c>
      <c r="AP157" s="268"/>
      <c r="AQ157" s="179">
        <f t="shared" si="77"/>
        <v>0</v>
      </c>
      <c r="AR157" s="273"/>
      <c r="AS157" s="305">
        <f t="shared" si="74"/>
        <v>0</v>
      </c>
      <c r="AT157" s="273"/>
      <c r="AU157" s="305">
        <f t="shared" si="75"/>
        <v>0</v>
      </c>
    </row>
    <row r="158" spans="1:47" s="34" customFormat="1" hidden="1" x14ac:dyDescent="0.25">
      <c r="A158" s="87"/>
      <c r="B158" s="42"/>
      <c r="C158" s="41"/>
      <c r="D158" s="41"/>
      <c r="E158" s="40"/>
      <c r="F158" s="40"/>
      <c r="G158" s="40"/>
      <c r="H158" s="40"/>
      <c r="I158" s="160"/>
      <c r="J158" s="41"/>
      <c r="K158" s="41"/>
      <c r="L158" s="41"/>
      <c r="M158" s="41"/>
      <c r="N158" s="41"/>
      <c r="O158" s="41"/>
      <c r="P158" s="188"/>
      <c r="Q158" s="236"/>
      <c r="R158" s="280"/>
      <c r="S158" s="179">
        <f t="shared" si="63"/>
        <v>4859.3864915304011</v>
      </c>
      <c r="T158" s="259"/>
      <c r="U158" s="179">
        <f t="shared" si="76"/>
        <v>150</v>
      </c>
      <c r="V158" s="259"/>
      <c r="W158" s="179">
        <f t="shared" si="64"/>
        <v>0</v>
      </c>
      <c r="X158" s="259"/>
      <c r="Y158" s="179">
        <f t="shared" si="65"/>
        <v>1022.73</v>
      </c>
      <c r="Z158" s="259"/>
      <c r="AA158" s="179">
        <f t="shared" si="66"/>
        <v>40</v>
      </c>
      <c r="AB158" s="259"/>
      <c r="AC158" s="179">
        <f t="shared" si="67"/>
        <v>1394.266018065</v>
      </c>
      <c r="AD158" s="238">
        <f t="shared" si="62"/>
        <v>0</v>
      </c>
      <c r="AE158" s="179">
        <f t="shared" si="68"/>
        <v>2456.996018065</v>
      </c>
      <c r="AF158" s="264"/>
      <c r="AG158" s="179">
        <f t="shared" si="69"/>
        <v>1000</v>
      </c>
      <c r="AH158" s="268"/>
      <c r="AI158" s="179">
        <f t="shared" si="70"/>
        <v>0</v>
      </c>
      <c r="AJ158" s="268"/>
      <c r="AK158" s="179">
        <f t="shared" si="71"/>
        <v>22.73</v>
      </c>
      <c r="AL158" s="268"/>
      <c r="AM158" s="179">
        <f t="shared" si="72"/>
        <v>0</v>
      </c>
      <c r="AN158" s="268"/>
      <c r="AO158" s="179">
        <f t="shared" si="73"/>
        <v>0</v>
      </c>
      <c r="AP158" s="268"/>
      <c r="AQ158" s="179">
        <f t="shared" si="77"/>
        <v>0</v>
      </c>
      <c r="AR158" s="273"/>
      <c r="AS158" s="305">
        <f t="shared" si="74"/>
        <v>0</v>
      </c>
      <c r="AT158" s="273"/>
      <c r="AU158" s="305">
        <f t="shared" si="75"/>
        <v>0</v>
      </c>
    </row>
    <row r="159" spans="1:47" s="34" customFormat="1" hidden="1" x14ac:dyDescent="0.25">
      <c r="A159" s="87"/>
      <c r="B159" s="42"/>
      <c r="C159" s="41"/>
      <c r="D159" s="41"/>
      <c r="E159" s="40"/>
      <c r="F159" s="40"/>
      <c r="G159" s="40"/>
      <c r="H159" s="40"/>
      <c r="I159" s="160"/>
      <c r="J159" s="41"/>
      <c r="K159" s="41"/>
      <c r="L159" s="41"/>
      <c r="M159" s="41"/>
      <c r="N159" s="41"/>
      <c r="O159" s="41"/>
      <c r="P159" s="188"/>
      <c r="Q159" s="236"/>
      <c r="R159" s="280"/>
      <c r="S159" s="179">
        <f t="shared" si="63"/>
        <v>4859.3864915304011</v>
      </c>
      <c r="T159" s="259"/>
      <c r="U159" s="179">
        <f t="shared" si="76"/>
        <v>150</v>
      </c>
      <c r="V159" s="259"/>
      <c r="W159" s="179">
        <f t="shared" si="64"/>
        <v>0</v>
      </c>
      <c r="X159" s="259"/>
      <c r="Y159" s="179">
        <f t="shared" si="65"/>
        <v>1022.73</v>
      </c>
      <c r="Z159" s="259"/>
      <c r="AA159" s="179">
        <f t="shared" si="66"/>
        <v>40</v>
      </c>
      <c r="AB159" s="259"/>
      <c r="AC159" s="179">
        <f t="shared" si="67"/>
        <v>1394.266018065</v>
      </c>
      <c r="AD159" s="238">
        <f t="shared" si="62"/>
        <v>0</v>
      </c>
      <c r="AE159" s="179">
        <f t="shared" si="68"/>
        <v>2456.996018065</v>
      </c>
      <c r="AF159" s="264"/>
      <c r="AG159" s="179">
        <f t="shared" si="69"/>
        <v>1000</v>
      </c>
      <c r="AH159" s="268"/>
      <c r="AI159" s="179">
        <f t="shared" si="70"/>
        <v>0</v>
      </c>
      <c r="AJ159" s="268"/>
      <c r="AK159" s="179">
        <f t="shared" si="71"/>
        <v>22.73</v>
      </c>
      <c r="AL159" s="268"/>
      <c r="AM159" s="179">
        <f t="shared" si="72"/>
        <v>0</v>
      </c>
      <c r="AN159" s="268"/>
      <c r="AO159" s="179">
        <f t="shared" si="73"/>
        <v>0</v>
      </c>
      <c r="AP159" s="268"/>
      <c r="AQ159" s="179">
        <f t="shared" si="77"/>
        <v>0</v>
      </c>
      <c r="AR159" s="273"/>
      <c r="AS159" s="305">
        <f t="shared" si="74"/>
        <v>0</v>
      </c>
      <c r="AT159" s="273"/>
      <c r="AU159" s="305">
        <f t="shared" si="75"/>
        <v>0</v>
      </c>
    </row>
    <row r="160" spans="1:47" s="34" customFormat="1" hidden="1" x14ac:dyDescent="0.25">
      <c r="A160" s="87"/>
      <c r="B160" s="42"/>
      <c r="C160" s="41"/>
      <c r="D160" s="41"/>
      <c r="E160" s="40"/>
      <c r="F160" s="40"/>
      <c r="G160" s="40"/>
      <c r="H160" s="40"/>
      <c r="I160" s="160"/>
      <c r="J160" s="41"/>
      <c r="K160" s="41"/>
      <c r="L160" s="41"/>
      <c r="M160" s="41"/>
      <c r="N160" s="41"/>
      <c r="O160" s="41"/>
      <c r="P160" s="188"/>
      <c r="Q160" s="236"/>
      <c r="R160" s="280"/>
      <c r="S160" s="179">
        <f t="shared" si="63"/>
        <v>4859.3864915304011</v>
      </c>
      <c r="T160" s="259"/>
      <c r="U160" s="179">
        <f t="shared" si="76"/>
        <v>150</v>
      </c>
      <c r="V160" s="259"/>
      <c r="W160" s="179">
        <f t="shared" si="64"/>
        <v>0</v>
      </c>
      <c r="X160" s="259"/>
      <c r="Y160" s="179">
        <f t="shared" si="65"/>
        <v>1022.73</v>
      </c>
      <c r="Z160" s="259"/>
      <c r="AA160" s="179">
        <f t="shared" si="66"/>
        <v>40</v>
      </c>
      <c r="AB160" s="259"/>
      <c r="AC160" s="179">
        <f t="shared" si="67"/>
        <v>1394.266018065</v>
      </c>
      <c r="AD160" s="238">
        <f t="shared" si="62"/>
        <v>0</v>
      </c>
      <c r="AE160" s="179">
        <f t="shared" si="68"/>
        <v>2456.996018065</v>
      </c>
      <c r="AF160" s="264"/>
      <c r="AG160" s="179">
        <f t="shared" si="69"/>
        <v>1000</v>
      </c>
      <c r="AH160" s="268"/>
      <c r="AI160" s="179">
        <f t="shared" si="70"/>
        <v>0</v>
      </c>
      <c r="AJ160" s="268"/>
      <c r="AK160" s="179">
        <f t="shared" si="71"/>
        <v>22.73</v>
      </c>
      <c r="AL160" s="268"/>
      <c r="AM160" s="179">
        <f t="shared" si="72"/>
        <v>0</v>
      </c>
      <c r="AN160" s="268"/>
      <c r="AO160" s="179">
        <f t="shared" si="73"/>
        <v>0</v>
      </c>
      <c r="AP160" s="268"/>
      <c r="AQ160" s="179">
        <f t="shared" si="77"/>
        <v>0</v>
      </c>
      <c r="AR160" s="273"/>
      <c r="AS160" s="305">
        <f t="shared" si="74"/>
        <v>0</v>
      </c>
      <c r="AT160" s="273"/>
      <c r="AU160" s="305">
        <f t="shared" si="75"/>
        <v>0</v>
      </c>
    </row>
    <row r="161" spans="1:47" s="34" customFormat="1" hidden="1" x14ac:dyDescent="0.25">
      <c r="A161" s="87"/>
      <c r="B161" s="42"/>
      <c r="C161" s="41"/>
      <c r="D161" s="41"/>
      <c r="E161" s="40"/>
      <c r="F161" s="40"/>
      <c r="G161" s="40"/>
      <c r="H161" s="40"/>
      <c r="I161" s="160"/>
      <c r="J161" s="41"/>
      <c r="K161" s="41"/>
      <c r="L161" s="41"/>
      <c r="M161" s="41"/>
      <c r="N161" s="41"/>
      <c r="O161" s="41"/>
      <c r="P161" s="188"/>
      <c r="Q161" s="236"/>
      <c r="R161" s="280"/>
      <c r="S161" s="179">
        <f t="shared" si="63"/>
        <v>4859.3864915304011</v>
      </c>
      <c r="T161" s="259"/>
      <c r="U161" s="179">
        <f t="shared" si="76"/>
        <v>150</v>
      </c>
      <c r="V161" s="259"/>
      <c r="W161" s="179">
        <f t="shared" si="64"/>
        <v>0</v>
      </c>
      <c r="X161" s="259"/>
      <c r="Y161" s="179">
        <f t="shared" si="65"/>
        <v>1022.73</v>
      </c>
      <c r="Z161" s="259"/>
      <c r="AA161" s="179">
        <f t="shared" si="66"/>
        <v>40</v>
      </c>
      <c r="AB161" s="259"/>
      <c r="AC161" s="179">
        <f t="shared" si="67"/>
        <v>1394.266018065</v>
      </c>
      <c r="AD161" s="238">
        <f t="shared" si="62"/>
        <v>0</v>
      </c>
      <c r="AE161" s="179">
        <f t="shared" si="68"/>
        <v>2456.996018065</v>
      </c>
      <c r="AF161" s="264"/>
      <c r="AG161" s="179">
        <f t="shared" si="69"/>
        <v>1000</v>
      </c>
      <c r="AH161" s="268"/>
      <c r="AI161" s="179">
        <f t="shared" si="70"/>
        <v>0</v>
      </c>
      <c r="AJ161" s="268"/>
      <c r="AK161" s="179">
        <f t="shared" si="71"/>
        <v>22.73</v>
      </c>
      <c r="AL161" s="268"/>
      <c r="AM161" s="179">
        <f t="shared" si="72"/>
        <v>0</v>
      </c>
      <c r="AN161" s="268"/>
      <c r="AO161" s="179">
        <f t="shared" si="73"/>
        <v>0</v>
      </c>
      <c r="AP161" s="268"/>
      <c r="AQ161" s="179">
        <f t="shared" si="77"/>
        <v>0</v>
      </c>
      <c r="AR161" s="273"/>
      <c r="AS161" s="305">
        <f t="shared" si="74"/>
        <v>0</v>
      </c>
      <c r="AT161" s="273"/>
      <c r="AU161" s="305">
        <f t="shared" si="75"/>
        <v>0</v>
      </c>
    </row>
    <row r="162" spans="1:47" s="34" customFormat="1" hidden="1" x14ac:dyDescent="0.25">
      <c r="A162" s="87"/>
      <c r="B162" s="42"/>
      <c r="C162" s="41"/>
      <c r="D162" s="41"/>
      <c r="E162" s="40"/>
      <c r="F162" s="40"/>
      <c r="G162" s="40"/>
      <c r="H162" s="40"/>
      <c r="I162" s="160"/>
      <c r="J162" s="41"/>
      <c r="K162" s="41"/>
      <c r="L162" s="41"/>
      <c r="M162" s="41"/>
      <c r="N162" s="41"/>
      <c r="O162" s="41"/>
      <c r="P162" s="188"/>
      <c r="Q162" s="236"/>
      <c r="R162" s="280"/>
      <c r="S162" s="179">
        <f t="shared" si="63"/>
        <v>4859.3864915304011</v>
      </c>
      <c r="T162" s="259"/>
      <c r="U162" s="179">
        <f t="shared" si="76"/>
        <v>150</v>
      </c>
      <c r="V162" s="259"/>
      <c r="W162" s="179">
        <f t="shared" si="64"/>
        <v>0</v>
      </c>
      <c r="X162" s="259"/>
      <c r="Y162" s="179">
        <f t="shared" si="65"/>
        <v>1022.73</v>
      </c>
      <c r="Z162" s="259"/>
      <c r="AA162" s="179">
        <f t="shared" si="66"/>
        <v>40</v>
      </c>
      <c r="AB162" s="259"/>
      <c r="AC162" s="179">
        <f t="shared" si="67"/>
        <v>1394.266018065</v>
      </c>
      <c r="AD162" s="238">
        <f t="shared" si="62"/>
        <v>0</v>
      </c>
      <c r="AE162" s="179">
        <f t="shared" si="68"/>
        <v>2456.996018065</v>
      </c>
      <c r="AF162" s="264"/>
      <c r="AG162" s="179">
        <f t="shared" si="69"/>
        <v>1000</v>
      </c>
      <c r="AH162" s="268"/>
      <c r="AI162" s="179">
        <f t="shared" si="70"/>
        <v>0</v>
      </c>
      <c r="AJ162" s="268"/>
      <c r="AK162" s="179">
        <f t="shared" si="71"/>
        <v>22.73</v>
      </c>
      <c r="AL162" s="268"/>
      <c r="AM162" s="179">
        <f t="shared" si="72"/>
        <v>0</v>
      </c>
      <c r="AN162" s="268"/>
      <c r="AO162" s="179">
        <f t="shared" si="73"/>
        <v>0</v>
      </c>
      <c r="AP162" s="268"/>
      <c r="AQ162" s="179">
        <f t="shared" si="77"/>
        <v>0</v>
      </c>
      <c r="AR162" s="273"/>
      <c r="AS162" s="305">
        <f t="shared" si="74"/>
        <v>0</v>
      </c>
      <c r="AT162" s="273"/>
      <c r="AU162" s="305">
        <f t="shared" si="75"/>
        <v>0</v>
      </c>
    </row>
    <row r="163" spans="1:47" s="34" customFormat="1" hidden="1" x14ac:dyDescent="0.25">
      <c r="A163" s="87"/>
      <c r="B163" s="42"/>
      <c r="C163" s="41"/>
      <c r="D163" s="41"/>
      <c r="E163" s="40"/>
      <c r="F163" s="40"/>
      <c r="G163" s="40"/>
      <c r="H163" s="40"/>
      <c r="I163" s="160"/>
      <c r="J163" s="41"/>
      <c r="K163" s="41"/>
      <c r="L163" s="41"/>
      <c r="M163" s="41"/>
      <c r="N163" s="41"/>
      <c r="O163" s="41"/>
      <c r="P163" s="188"/>
      <c r="Q163" s="236"/>
      <c r="R163" s="280"/>
      <c r="S163" s="179">
        <f t="shared" si="63"/>
        <v>4859.3864915304011</v>
      </c>
      <c r="T163" s="259"/>
      <c r="U163" s="179">
        <f t="shared" si="76"/>
        <v>150</v>
      </c>
      <c r="V163" s="259"/>
      <c r="W163" s="179">
        <f t="shared" si="64"/>
        <v>0</v>
      </c>
      <c r="X163" s="259"/>
      <c r="Y163" s="179">
        <f t="shared" si="65"/>
        <v>1022.73</v>
      </c>
      <c r="Z163" s="259"/>
      <c r="AA163" s="179">
        <f t="shared" si="66"/>
        <v>40</v>
      </c>
      <c r="AB163" s="259"/>
      <c r="AC163" s="179">
        <f t="shared" si="67"/>
        <v>1394.266018065</v>
      </c>
      <c r="AD163" s="238">
        <f t="shared" si="62"/>
        <v>0</v>
      </c>
      <c r="AE163" s="179">
        <f t="shared" si="68"/>
        <v>2456.996018065</v>
      </c>
      <c r="AF163" s="264"/>
      <c r="AG163" s="179">
        <f t="shared" si="69"/>
        <v>1000</v>
      </c>
      <c r="AH163" s="268"/>
      <c r="AI163" s="179">
        <f t="shared" si="70"/>
        <v>0</v>
      </c>
      <c r="AJ163" s="268"/>
      <c r="AK163" s="179">
        <f t="shared" si="71"/>
        <v>22.73</v>
      </c>
      <c r="AL163" s="268"/>
      <c r="AM163" s="179">
        <f t="shared" si="72"/>
        <v>0</v>
      </c>
      <c r="AN163" s="268"/>
      <c r="AO163" s="179">
        <f t="shared" si="73"/>
        <v>0</v>
      </c>
      <c r="AP163" s="268"/>
      <c r="AQ163" s="179">
        <f t="shared" si="77"/>
        <v>0</v>
      </c>
      <c r="AR163" s="273"/>
      <c r="AS163" s="305">
        <f t="shared" si="74"/>
        <v>0</v>
      </c>
      <c r="AT163" s="273"/>
      <c r="AU163" s="305">
        <f t="shared" si="75"/>
        <v>0</v>
      </c>
    </row>
    <row r="164" spans="1:47" s="34" customFormat="1" hidden="1" x14ac:dyDescent="0.25">
      <c r="A164" s="87"/>
      <c r="B164" s="42"/>
      <c r="C164" s="41"/>
      <c r="D164" s="41"/>
      <c r="E164" s="40"/>
      <c r="F164" s="40"/>
      <c r="G164" s="40"/>
      <c r="H164" s="40"/>
      <c r="I164" s="160"/>
      <c r="J164" s="41"/>
      <c r="K164" s="41"/>
      <c r="L164" s="41"/>
      <c r="M164" s="41"/>
      <c r="N164" s="41"/>
      <c r="O164" s="41"/>
      <c r="P164" s="188"/>
      <c r="Q164" s="236"/>
      <c r="R164" s="280"/>
      <c r="S164" s="179">
        <f t="shared" si="63"/>
        <v>4859.3864915304011</v>
      </c>
      <c r="T164" s="259"/>
      <c r="U164" s="179">
        <f t="shared" si="76"/>
        <v>150</v>
      </c>
      <c r="V164" s="259"/>
      <c r="W164" s="179">
        <f t="shared" si="64"/>
        <v>0</v>
      </c>
      <c r="X164" s="259"/>
      <c r="Y164" s="179">
        <f t="shared" si="65"/>
        <v>1022.73</v>
      </c>
      <c r="Z164" s="259"/>
      <c r="AA164" s="179">
        <f t="shared" si="66"/>
        <v>40</v>
      </c>
      <c r="AB164" s="259"/>
      <c r="AC164" s="179">
        <f t="shared" si="67"/>
        <v>1394.266018065</v>
      </c>
      <c r="AD164" s="238">
        <f t="shared" si="62"/>
        <v>0</v>
      </c>
      <c r="AE164" s="179">
        <f t="shared" si="68"/>
        <v>2456.996018065</v>
      </c>
      <c r="AF164" s="264"/>
      <c r="AG164" s="179">
        <f t="shared" si="69"/>
        <v>1000</v>
      </c>
      <c r="AH164" s="268"/>
      <c r="AI164" s="179">
        <f t="shared" si="70"/>
        <v>0</v>
      </c>
      <c r="AJ164" s="268"/>
      <c r="AK164" s="179">
        <f t="shared" si="71"/>
        <v>22.73</v>
      </c>
      <c r="AL164" s="268"/>
      <c r="AM164" s="179">
        <f t="shared" si="72"/>
        <v>0</v>
      </c>
      <c r="AN164" s="268"/>
      <c r="AO164" s="179">
        <f t="shared" si="73"/>
        <v>0</v>
      </c>
      <c r="AP164" s="268"/>
      <c r="AQ164" s="179">
        <f t="shared" si="77"/>
        <v>0</v>
      </c>
      <c r="AR164" s="273"/>
      <c r="AS164" s="305">
        <f t="shared" si="74"/>
        <v>0</v>
      </c>
      <c r="AT164" s="273"/>
      <c r="AU164" s="305">
        <f t="shared" si="75"/>
        <v>0</v>
      </c>
    </row>
    <row r="165" spans="1:47" s="34" customFormat="1" hidden="1" x14ac:dyDescent="0.25">
      <c r="A165" s="87"/>
      <c r="B165" s="42"/>
      <c r="C165" s="41"/>
      <c r="D165" s="41"/>
      <c r="E165" s="40"/>
      <c r="F165" s="40"/>
      <c r="G165" s="40"/>
      <c r="H165" s="40"/>
      <c r="I165" s="160"/>
      <c r="J165" s="41"/>
      <c r="K165" s="41"/>
      <c r="L165" s="41"/>
      <c r="M165" s="41"/>
      <c r="N165" s="41"/>
      <c r="O165" s="41"/>
      <c r="P165" s="188"/>
      <c r="Q165" s="236"/>
      <c r="R165" s="280"/>
      <c r="S165" s="179">
        <f t="shared" si="63"/>
        <v>4859.3864915304011</v>
      </c>
      <c r="T165" s="259"/>
      <c r="U165" s="179">
        <f t="shared" si="76"/>
        <v>150</v>
      </c>
      <c r="V165" s="259"/>
      <c r="W165" s="179">
        <f t="shared" si="64"/>
        <v>0</v>
      </c>
      <c r="X165" s="259"/>
      <c r="Y165" s="179">
        <f t="shared" si="65"/>
        <v>1022.73</v>
      </c>
      <c r="Z165" s="259"/>
      <c r="AA165" s="179">
        <f t="shared" si="66"/>
        <v>40</v>
      </c>
      <c r="AB165" s="259"/>
      <c r="AC165" s="179">
        <f t="shared" si="67"/>
        <v>1394.266018065</v>
      </c>
      <c r="AD165" s="238">
        <f t="shared" si="62"/>
        <v>0</v>
      </c>
      <c r="AE165" s="179">
        <f t="shared" si="68"/>
        <v>2456.996018065</v>
      </c>
      <c r="AF165" s="264"/>
      <c r="AG165" s="179">
        <f t="shared" si="69"/>
        <v>1000</v>
      </c>
      <c r="AH165" s="268"/>
      <c r="AI165" s="179">
        <f t="shared" si="70"/>
        <v>0</v>
      </c>
      <c r="AJ165" s="268"/>
      <c r="AK165" s="179">
        <f t="shared" si="71"/>
        <v>22.73</v>
      </c>
      <c r="AL165" s="268"/>
      <c r="AM165" s="179">
        <f t="shared" si="72"/>
        <v>0</v>
      </c>
      <c r="AN165" s="268"/>
      <c r="AO165" s="179">
        <f t="shared" si="73"/>
        <v>0</v>
      </c>
      <c r="AP165" s="268"/>
      <c r="AQ165" s="179">
        <f t="shared" si="77"/>
        <v>0</v>
      </c>
      <c r="AR165" s="273"/>
      <c r="AS165" s="305">
        <f t="shared" si="74"/>
        <v>0</v>
      </c>
      <c r="AT165" s="273"/>
      <c r="AU165" s="305">
        <f t="shared" si="75"/>
        <v>0</v>
      </c>
    </row>
    <row r="166" spans="1:47" s="34" customFormat="1" hidden="1" x14ac:dyDescent="0.25">
      <c r="A166" s="87"/>
      <c r="B166" s="42"/>
      <c r="C166" s="41"/>
      <c r="D166" s="41"/>
      <c r="E166" s="40"/>
      <c r="F166" s="40"/>
      <c r="G166" s="40"/>
      <c r="H166" s="40"/>
      <c r="I166" s="160"/>
      <c r="J166" s="41"/>
      <c r="K166" s="41"/>
      <c r="L166" s="41"/>
      <c r="M166" s="41"/>
      <c r="N166" s="41"/>
      <c r="O166" s="41"/>
      <c r="P166" s="188"/>
      <c r="Q166" s="236"/>
      <c r="R166" s="280"/>
      <c r="S166" s="179">
        <f t="shared" si="63"/>
        <v>4859.3864915304011</v>
      </c>
      <c r="T166" s="259"/>
      <c r="U166" s="179">
        <f t="shared" si="76"/>
        <v>150</v>
      </c>
      <c r="V166" s="259"/>
      <c r="W166" s="179">
        <f t="shared" si="64"/>
        <v>0</v>
      </c>
      <c r="X166" s="259"/>
      <c r="Y166" s="179">
        <f t="shared" si="65"/>
        <v>1022.73</v>
      </c>
      <c r="Z166" s="259"/>
      <c r="AA166" s="179">
        <f t="shared" si="66"/>
        <v>40</v>
      </c>
      <c r="AB166" s="259"/>
      <c r="AC166" s="179">
        <f t="shared" si="67"/>
        <v>1394.266018065</v>
      </c>
      <c r="AD166" s="238">
        <f t="shared" si="62"/>
        <v>0</v>
      </c>
      <c r="AE166" s="179">
        <f t="shared" si="68"/>
        <v>2456.996018065</v>
      </c>
      <c r="AF166" s="264"/>
      <c r="AG166" s="179">
        <f t="shared" si="69"/>
        <v>1000</v>
      </c>
      <c r="AH166" s="268"/>
      <c r="AI166" s="179">
        <f t="shared" si="70"/>
        <v>0</v>
      </c>
      <c r="AJ166" s="268"/>
      <c r="AK166" s="179">
        <f t="shared" si="71"/>
        <v>22.73</v>
      </c>
      <c r="AL166" s="268"/>
      <c r="AM166" s="179">
        <f t="shared" si="72"/>
        <v>0</v>
      </c>
      <c r="AN166" s="268"/>
      <c r="AO166" s="179">
        <f t="shared" si="73"/>
        <v>0</v>
      </c>
      <c r="AP166" s="268"/>
      <c r="AQ166" s="179">
        <f t="shared" si="77"/>
        <v>0</v>
      </c>
      <c r="AR166" s="273"/>
      <c r="AS166" s="305">
        <f t="shared" si="74"/>
        <v>0</v>
      </c>
      <c r="AT166" s="273"/>
      <c r="AU166" s="305">
        <f t="shared" si="75"/>
        <v>0</v>
      </c>
    </row>
    <row r="167" spans="1:47" s="34" customFormat="1" hidden="1" x14ac:dyDescent="0.25">
      <c r="A167" s="87"/>
      <c r="B167" s="42"/>
      <c r="C167" s="41"/>
      <c r="D167" s="41"/>
      <c r="E167" s="40"/>
      <c r="F167" s="40"/>
      <c r="G167" s="40"/>
      <c r="H167" s="40"/>
      <c r="I167" s="160"/>
      <c r="J167" s="41"/>
      <c r="K167" s="41"/>
      <c r="L167" s="41"/>
      <c r="M167" s="41"/>
      <c r="N167" s="41"/>
      <c r="O167" s="41"/>
      <c r="P167" s="188"/>
      <c r="Q167" s="236"/>
      <c r="R167" s="280"/>
      <c r="S167" s="179">
        <f t="shared" si="63"/>
        <v>4859.3864915304011</v>
      </c>
      <c r="T167" s="259"/>
      <c r="U167" s="179">
        <f t="shared" si="76"/>
        <v>150</v>
      </c>
      <c r="V167" s="259"/>
      <c r="W167" s="179">
        <f t="shared" si="64"/>
        <v>0</v>
      </c>
      <c r="X167" s="259"/>
      <c r="Y167" s="179">
        <f t="shared" si="65"/>
        <v>1022.73</v>
      </c>
      <c r="Z167" s="259"/>
      <c r="AA167" s="179">
        <f t="shared" si="66"/>
        <v>40</v>
      </c>
      <c r="AB167" s="259"/>
      <c r="AC167" s="179">
        <f t="shared" si="67"/>
        <v>1394.266018065</v>
      </c>
      <c r="AD167" s="238">
        <f t="shared" si="62"/>
        <v>0</v>
      </c>
      <c r="AE167" s="179">
        <f t="shared" si="68"/>
        <v>2456.996018065</v>
      </c>
      <c r="AF167" s="264"/>
      <c r="AG167" s="179">
        <f t="shared" si="69"/>
        <v>1000</v>
      </c>
      <c r="AH167" s="268"/>
      <c r="AI167" s="179">
        <f t="shared" si="70"/>
        <v>0</v>
      </c>
      <c r="AJ167" s="268"/>
      <c r="AK167" s="179">
        <f t="shared" si="71"/>
        <v>22.73</v>
      </c>
      <c r="AL167" s="268"/>
      <c r="AM167" s="179">
        <f t="shared" si="72"/>
        <v>0</v>
      </c>
      <c r="AN167" s="268"/>
      <c r="AO167" s="179">
        <f t="shared" si="73"/>
        <v>0</v>
      </c>
      <c r="AP167" s="268"/>
      <c r="AQ167" s="179">
        <f t="shared" si="77"/>
        <v>0</v>
      </c>
      <c r="AR167" s="273"/>
      <c r="AS167" s="305">
        <f t="shared" si="74"/>
        <v>0</v>
      </c>
      <c r="AT167" s="273"/>
      <c r="AU167" s="305">
        <f t="shared" si="75"/>
        <v>0</v>
      </c>
    </row>
    <row r="168" spans="1:47" s="34" customFormat="1" hidden="1" x14ac:dyDescent="0.25">
      <c r="A168" s="87"/>
      <c r="B168" s="42"/>
      <c r="C168" s="41"/>
      <c r="D168" s="41"/>
      <c r="E168" s="40"/>
      <c r="F168" s="40"/>
      <c r="G168" s="40"/>
      <c r="H168" s="40"/>
      <c r="I168" s="160"/>
      <c r="J168" s="41"/>
      <c r="K168" s="41"/>
      <c r="L168" s="41"/>
      <c r="M168" s="41"/>
      <c r="N168" s="41"/>
      <c r="O168" s="41"/>
      <c r="P168" s="188"/>
      <c r="Q168" s="236"/>
      <c r="R168" s="280"/>
      <c r="S168" s="179">
        <f t="shared" si="63"/>
        <v>4859.3864915304011</v>
      </c>
      <c r="T168" s="259"/>
      <c r="U168" s="179">
        <f t="shared" si="76"/>
        <v>150</v>
      </c>
      <c r="V168" s="259"/>
      <c r="W168" s="179">
        <f t="shared" si="64"/>
        <v>0</v>
      </c>
      <c r="X168" s="259"/>
      <c r="Y168" s="179">
        <f t="shared" si="65"/>
        <v>1022.73</v>
      </c>
      <c r="Z168" s="259"/>
      <c r="AA168" s="179">
        <f t="shared" si="66"/>
        <v>40</v>
      </c>
      <c r="AB168" s="259"/>
      <c r="AC168" s="179">
        <f t="shared" si="67"/>
        <v>1394.266018065</v>
      </c>
      <c r="AD168" s="238">
        <f t="shared" si="62"/>
        <v>0</v>
      </c>
      <c r="AE168" s="179">
        <f t="shared" si="68"/>
        <v>2456.996018065</v>
      </c>
      <c r="AF168" s="264"/>
      <c r="AG168" s="179">
        <f t="shared" si="69"/>
        <v>1000</v>
      </c>
      <c r="AH168" s="268"/>
      <c r="AI168" s="179">
        <f t="shared" si="70"/>
        <v>0</v>
      </c>
      <c r="AJ168" s="268"/>
      <c r="AK168" s="179">
        <f t="shared" si="71"/>
        <v>22.73</v>
      </c>
      <c r="AL168" s="268"/>
      <c r="AM168" s="179">
        <f t="shared" si="72"/>
        <v>0</v>
      </c>
      <c r="AN168" s="268"/>
      <c r="AO168" s="179">
        <f t="shared" si="73"/>
        <v>0</v>
      </c>
      <c r="AP168" s="268"/>
      <c r="AQ168" s="179">
        <f t="shared" si="77"/>
        <v>0</v>
      </c>
      <c r="AR168" s="273"/>
      <c r="AS168" s="305">
        <f t="shared" si="74"/>
        <v>0</v>
      </c>
      <c r="AT168" s="273"/>
      <c r="AU168" s="305">
        <f t="shared" si="75"/>
        <v>0</v>
      </c>
    </row>
    <row r="169" spans="1:47" s="34" customFormat="1" hidden="1" x14ac:dyDescent="0.25">
      <c r="A169" s="87"/>
      <c r="B169" s="42"/>
      <c r="C169" s="41"/>
      <c r="D169" s="41"/>
      <c r="E169" s="40"/>
      <c r="F169" s="40"/>
      <c r="G169" s="40"/>
      <c r="H169" s="40"/>
      <c r="I169" s="160"/>
      <c r="J169" s="41"/>
      <c r="K169" s="41"/>
      <c r="L169" s="41"/>
      <c r="M169" s="41"/>
      <c r="N169" s="41"/>
      <c r="O169" s="41"/>
      <c r="P169" s="188"/>
      <c r="Q169" s="236"/>
      <c r="R169" s="280"/>
      <c r="S169" s="179">
        <f t="shared" si="63"/>
        <v>4859.3864915304011</v>
      </c>
      <c r="T169" s="259"/>
      <c r="U169" s="179">
        <f t="shared" si="76"/>
        <v>150</v>
      </c>
      <c r="V169" s="259"/>
      <c r="W169" s="179">
        <f t="shared" si="64"/>
        <v>0</v>
      </c>
      <c r="X169" s="259"/>
      <c r="Y169" s="179">
        <f t="shared" si="65"/>
        <v>1022.73</v>
      </c>
      <c r="Z169" s="259"/>
      <c r="AA169" s="179">
        <f t="shared" si="66"/>
        <v>40</v>
      </c>
      <c r="AB169" s="259"/>
      <c r="AC169" s="179">
        <f t="shared" si="67"/>
        <v>1394.266018065</v>
      </c>
      <c r="AD169" s="238">
        <f t="shared" si="62"/>
        <v>0</v>
      </c>
      <c r="AE169" s="179">
        <f t="shared" si="68"/>
        <v>2456.996018065</v>
      </c>
      <c r="AF169" s="264"/>
      <c r="AG169" s="179">
        <f t="shared" si="69"/>
        <v>1000</v>
      </c>
      <c r="AH169" s="268"/>
      <c r="AI169" s="179">
        <f t="shared" si="70"/>
        <v>0</v>
      </c>
      <c r="AJ169" s="268"/>
      <c r="AK169" s="179">
        <f t="shared" si="71"/>
        <v>22.73</v>
      </c>
      <c r="AL169" s="268"/>
      <c r="AM169" s="179">
        <f t="shared" si="72"/>
        <v>0</v>
      </c>
      <c r="AN169" s="268"/>
      <c r="AO169" s="179">
        <f t="shared" si="73"/>
        <v>0</v>
      </c>
      <c r="AP169" s="268"/>
      <c r="AQ169" s="179">
        <f t="shared" si="77"/>
        <v>0</v>
      </c>
      <c r="AR169" s="273"/>
      <c r="AS169" s="305">
        <f t="shared" si="74"/>
        <v>0</v>
      </c>
      <c r="AT169" s="273"/>
      <c r="AU169" s="305">
        <f t="shared" si="75"/>
        <v>0</v>
      </c>
    </row>
    <row r="170" spans="1:47" s="34" customFormat="1" hidden="1" x14ac:dyDescent="0.25">
      <c r="A170" s="87"/>
      <c r="B170" s="42"/>
      <c r="C170" s="41"/>
      <c r="D170" s="41"/>
      <c r="E170" s="40"/>
      <c r="F170" s="40"/>
      <c r="G170" s="40"/>
      <c r="H170" s="40"/>
      <c r="I170" s="160"/>
      <c r="J170" s="41"/>
      <c r="K170" s="41"/>
      <c r="L170" s="41"/>
      <c r="M170" s="41"/>
      <c r="N170" s="41"/>
      <c r="O170" s="41"/>
      <c r="P170" s="188"/>
      <c r="Q170" s="236"/>
      <c r="R170" s="280"/>
      <c r="S170" s="179">
        <f t="shared" si="63"/>
        <v>4859.3864915304011</v>
      </c>
      <c r="T170" s="259"/>
      <c r="U170" s="179">
        <f t="shared" si="76"/>
        <v>150</v>
      </c>
      <c r="V170" s="259"/>
      <c r="W170" s="179">
        <f t="shared" si="64"/>
        <v>0</v>
      </c>
      <c r="X170" s="259"/>
      <c r="Y170" s="179">
        <f t="shared" si="65"/>
        <v>1022.73</v>
      </c>
      <c r="Z170" s="259"/>
      <c r="AA170" s="179">
        <f t="shared" si="66"/>
        <v>40</v>
      </c>
      <c r="AB170" s="259"/>
      <c r="AC170" s="179">
        <f t="shared" si="67"/>
        <v>1394.266018065</v>
      </c>
      <c r="AD170" s="238">
        <f t="shared" si="62"/>
        <v>0</v>
      </c>
      <c r="AE170" s="179">
        <f t="shared" si="68"/>
        <v>2456.996018065</v>
      </c>
      <c r="AF170" s="264"/>
      <c r="AG170" s="179">
        <f t="shared" si="69"/>
        <v>1000</v>
      </c>
      <c r="AH170" s="268"/>
      <c r="AI170" s="179">
        <f t="shared" si="70"/>
        <v>0</v>
      </c>
      <c r="AJ170" s="268"/>
      <c r="AK170" s="179">
        <f t="shared" si="71"/>
        <v>22.73</v>
      </c>
      <c r="AL170" s="268"/>
      <c r="AM170" s="179">
        <f t="shared" si="72"/>
        <v>0</v>
      </c>
      <c r="AN170" s="268"/>
      <c r="AO170" s="179">
        <f t="shared" si="73"/>
        <v>0</v>
      </c>
      <c r="AP170" s="268"/>
      <c r="AQ170" s="179">
        <f t="shared" si="77"/>
        <v>0</v>
      </c>
      <c r="AR170" s="273"/>
      <c r="AS170" s="305">
        <f t="shared" si="74"/>
        <v>0</v>
      </c>
      <c r="AT170" s="273"/>
      <c r="AU170" s="305">
        <f t="shared" si="75"/>
        <v>0</v>
      </c>
    </row>
    <row r="171" spans="1:47" s="34" customFormat="1" hidden="1" x14ac:dyDescent="0.25">
      <c r="A171" s="87"/>
      <c r="B171" s="42"/>
      <c r="C171" s="41"/>
      <c r="D171" s="41"/>
      <c r="E171" s="40"/>
      <c r="F171" s="40"/>
      <c r="G171" s="40"/>
      <c r="H171" s="40"/>
      <c r="I171" s="160"/>
      <c r="J171" s="41"/>
      <c r="K171" s="41"/>
      <c r="L171" s="41"/>
      <c r="M171" s="41"/>
      <c r="N171" s="41"/>
      <c r="O171" s="41"/>
      <c r="P171" s="188"/>
      <c r="Q171" s="236"/>
      <c r="R171" s="280"/>
      <c r="S171" s="179">
        <f t="shared" si="63"/>
        <v>4859.3864915304011</v>
      </c>
      <c r="T171" s="259"/>
      <c r="U171" s="179">
        <f t="shared" si="76"/>
        <v>150</v>
      </c>
      <c r="V171" s="259"/>
      <c r="W171" s="179">
        <f t="shared" si="64"/>
        <v>0</v>
      </c>
      <c r="X171" s="259"/>
      <c r="Y171" s="179">
        <f t="shared" si="65"/>
        <v>1022.73</v>
      </c>
      <c r="Z171" s="259"/>
      <c r="AA171" s="179">
        <f t="shared" si="66"/>
        <v>40</v>
      </c>
      <c r="AB171" s="259"/>
      <c r="AC171" s="179">
        <f t="shared" si="67"/>
        <v>1394.266018065</v>
      </c>
      <c r="AD171" s="238">
        <f t="shared" si="62"/>
        <v>0</v>
      </c>
      <c r="AE171" s="179">
        <f t="shared" si="68"/>
        <v>2456.996018065</v>
      </c>
      <c r="AF171" s="264"/>
      <c r="AG171" s="179">
        <f t="shared" si="69"/>
        <v>1000</v>
      </c>
      <c r="AH171" s="268"/>
      <c r="AI171" s="179">
        <f t="shared" si="70"/>
        <v>0</v>
      </c>
      <c r="AJ171" s="268"/>
      <c r="AK171" s="179">
        <f t="shared" si="71"/>
        <v>22.73</v>
      </c>
      <c r="AL171" s="268"/>
      <c r="AM171" s="179">
        <f t="shared" si="72"/>
        <v>0</v>
      </c>
      <c r="AN171" s="268"/>
      <c r="AO171" s="179">
        <f t="shared" si="73"/>
        <v>0</v>
      </c>
      <c r="AP171" s="268"/>
      <c r="AQ171" s="179">
        <f t="shared" si="77"/>
        <v>0</v>
      </c>
      <c r="AR171" s="273"/>
      <c r="AS171" s="305">
        <f t="shared" si="74"/>
        <v>0</v>
      </c>
      <c r="AT171" s="273"/>
      <c r="AU171" s="305">
        <f t="shared" si="75"/>
        <v>0</v>
      </c>
    </row>
    <row r="172" spans="1:47" s="34" customFormat="1" hidden="1" x14ac:dyDescent="0.25">
      <c r="A172" s="87"/>
      <c r="B172" s="42"/>
      <c r="C172" s="41"/>
      <c r="D172" s="41"/>
      <c r="E172" s="40"/>
      <c r="F172" s="40"/>
      <c r="G172" s="40"/>
      <c r="H172" s="40"/>
      <c r="I172" s="160"/>
      <c r="J172" s="41"/>
      <c r="K172" s="41"/>
      <c r="L172" s="41"/>
      <c r="M172" s="41"/>
      <c r="N172" s="41"/>
      <c r="O172" s="41"/>
      <c r="P172" s="188"/>
      <c r="Q172" s="236"/>
      <c r="R172" s="280"/>
      <c r="S172" s="179">
        <f t="shared" si="63"/>
        <v>4859.3864915304011</v>
      </c>
      <c r="T172" s="259"/>
      <c r="U172" s="179">
        <f t="shared" si="76"/>
        <v>150</v>
      </c>
      <c r="V172" s="259"/>
      <c r="W172" s="179">
        <f t="shared" si="64"/>
        <v>0</v>
      </c>
      <c r="X172" s="259"/>
      <c r="Y172" s="179">
        <f t="shared" si="65"/>
        <v>1022.73</v>
      </c>
      <c r="Z172" s="259"/>
      <c r="AA172" s="179">
        <f t="shared" si="66"/>
        <v>40</v>
      </c>
      <c r="AB172" s="259"/>
      <c r="AC172" s="179">
        <f t="shared" si="67"/>
        <v>1394.266018065</v>
      </c>
      <c r="AD172" s="238">
        <f t="shared" si="62"/>
        <v>0</v>
      </c>
      <c r="AE172" s="179">
        <f t="shared" si="68"/>
        <v>2456.996018065</v>
      </c>
      <c r="AF172" s="264"/>
      <c r="AG172" s="179">
        <f t="shared" si="69"/>
        <v>1000</v>
      </c>
      <c r="AH172" s="268"/>
      <c r="AI172" s="179">
        <f t="shared" si="70"/>
        <v>0</v>
      </c>
      <c r="AJ172" s="268"/>
      <c r="AK172" s="179">
        <f t="shared" si="71"/>
        <v>22.73</v>
      </c>
      <c r="AL172" s="268"/>
      <c r="AM172" s="179">
        <f t="shared" si="72"/>
        <v>0</v>
      </c>
      <c r="AN172" s="268"/>
      <c r="AO172" s="179">
        <f t="shared" si="73"/>
        <v>0</v>
      </c>
      <c r="AP172" s="268"/>
      <c r="AQ172" s="179">
        <f t="shared" si="77"/>
        <v>0</v>
      </c>
      <c r="AR172" s="273"/>
      <c r="AS172" s="305">
        <f t="shared" si="74"/>
        <v>0</v>
      </c>
      <c r="AT172" s="273"/>
      <c r="AU172" s="305">
        <f t="shared" si="75"/>
        <v>0</v>
      </c>
    </row>
    <row r="173" spans="1:47" s="34" customFormat="1" hidden="1" x14ac:dyDescent="0.25">
      <c r="A173" s="87"/>
      <c r="B173" s="42"/>
      <c r="C173" s="41"/>
      <c r="D173" s="41"/>
      <c r="E173" s="40"/>
      <c r="F173" s="40"/>
      <c r="G173" s="40"/>
      <c r="H173" s="40"/>
      <c r="I173" s="160"/>
      <c r="J173" s="41"/>
      <c r="K173" s="41"/>
      <c r="L173" s="41"/>
      <c r="M173" s="41"/>
      <c r="N173" s="41"/>
      <c r="O173" s="41"/>
      <c r="P173" s="188"/>
      <c r="Q173" s="236"/>
      <c r="R173" s="280"/>
      <c r="S173" s="179">
        <f t="shared" si="63"/>
        <v>4859.3864915304011</v>
      </c>
      <c r="T173" s="259"/>
      <c r="U173" s="179">
        <f t="shared" si="76"/>
        <v>150</v>
      </c>
      <c r="V173" s="259"/>
      <c r="W173" s="179">
        <f t="shared" si="64"/>
        <v>0</v>
      </c>
      <c r="X173" s="259"/>
      <c r="Y173" s="179">
        <f t="shared" si="65"/>
        <v>1022.73</v>
      </c>
      <c r="Z173" s="259"/>
      <c r="AA173" s="179">
        <f t="shared" si="66"/>
        <v>40</v>
      </c>
      <c r="AB173" s="259"/>
      <c r="AC173" s="179">
        <f t="shared" si="67"/>
        <v>1394.266018065</v>
      </c>
      <c r="AD173" s="238">
        <f t="shared" si="62"/>
        <v>0</v>
      </c>
      <c r="AE173" s="179">
        <f t="shared" si="68"/>
        <v>2456.996018065</v>
      </c>
      <c r="AF173" s="264"/>
      <c r="AG173" s="179">
        <f t="shared" si="69"/>
        <v>1000</v>
      </c>
      <c r="AH173" s="268"/>
      <c r="AI173" s="179">
        <f t="shared" si="70"/>
        <v>0</v>
      </c>
      <c r="AJ173" s="268"/>
      <c r="AK173" s="179">
        <f t="shared" si="71"/>
        <v>22.73</v>
      </c>
      <c r="AL173" s="268"/>
      <c r="AM173" s="179">
        <f t="shared" si="72"/>
        <v>0</v>
      </c>
      <c r="AN173" s="268"/>
      <c r="AO173" s="179">
        <f t="shared" si="73"/>
        <v>0</v>
      </c>
      <c r="AP173" s="268"/>
      <c r="AQ173" s="179">
        <f t="shared" si="77"/>
        <v>0</v>
      </c>
      <c r="AR173" s="273"/>
      <c r="AS173" s="305">
        <f t="shared" si="74"/>
        <v>0</v>
      </c>
      <c r="AT173" s="273"/>
      <c r="AU173" s="305">
        <f t="shared" si="75"/>
        <v>0</v>
      </c>
    </row>
    <row r="174" spans="1:47" s="34" customFormat="1" hidden="1" x14ac:dyDescent="0.25">
      <c r="A174" s="87"/>
      <c r="B174" s="42"/>
      <c r="C174" s="41"/>
      <c r="D174" s="41"/>
      <c r="E174" s="40"/>
      <c r="F174" s="40"/>
      <c r="G174" s="40"/>
      <c r="H174" s="40"/>
      <c r="I174" s="160"/>
      <c r="J174" s="41"/>
      <c r="K174" s="41"/>
      <c r="L174" s="41"/>
      <c r="M174" s="41"/>
      <c r="N174" s="41"/>
      <c r="O174" s="41"/>
      <c r="P174" s="188"/>
      <c r="Q174" s="236"/>
      <c r="R174" s="280"/>
      <c r="S174" s="179">
        <f t="shared" si="63"/>
        <v>4859.3864915304011</v>
      </c>
      <c r="T174" s="259"/>
      <c r="U174" s="179">
        <f t="shared" si="76"/>
        <v>150</v>
      </c>
      <c r="V174" s="259"/>
      <c r="W174" s="179">
        <f t="shared" si="64"/>
        <v>0</v>
      </c>
      <c r="X174" s="259"/>
      <c r="Y174" s="179">
        <f t="shared" si="65"/>
        <v>1022.73</v>
      </c>
      <c r="Z174" s="259"/>
      <c r="AA174" s="179">
        <f t="shared" si="66"/>
        <v>40</v>
      </c>
      <c r="AB174" s="259"/>
      <c r="AC174" s="179">
        <f t="shared" si="67"/>
        <v>1394.266018065</v>
      </c>
      <c r="AD174" s="238">
        <f t="shared" si="62"/>
        <v>0</v>
      </c>
      <c r="AE174" s="179">
        <f t="shared" si="68"/>
        <v>2456.996018065</v>
      </c>
      <c r="AF174" s="264"/>
      <c r="AG174" s="179">
        <f t="shared" si="69"/>
        <v>1000</v>
      </c>
      <c r="AH174" s="268"/>
      <c r="AI174" s="179">
        <f t="shared" si="70"/>
        <v>0</v>
      </c>
      <c r="AJ174" s="268"/>
      <c r="AK174" s="179">
        <f t="shared" si="71"/>
        <v>22.73</v>
      </c>
      <c r="AL174" s="268"/>
      <c r="AM174" s="179">
        <f t="shared" si="72"/>
        <v>0</v>
      </c>
      <c r="AN174" s="268"/>
      <c r="AO174" s="179">
        <f t="shared" si="73"/>
        <v>0</v>
      </c>
      <c r="AP174" s="268"/>
      <c r="AQ174" s="179">
        <f t="shared" si="77"/>
        <v>0</v>
      </c>
      <c r="AR174" s="273"/>
      <c r="AS174" s="305">
        <f t="shared" si="74"/>
        <v>0</v>
      </c>
      <c r="AT174" s="273"/>
      <c r="AU174" s="305">
        <f t="shared" si="75"/>
        <v>0</v>
      </c>
    </row>
    <row r="175" spans="1:47" s="34" customFormat="1" hidden="1" x14ac:dyDescent="0.25">
      <c r="A175" s="87"/>
      <c r="B175" s="42"/>
      <c r="C175" s="41"/>
      <c r="D175" s="41"/>
      <c r="E175" s="40"/>
      <c r="F175" s="40"/>
      <c r="G175" s="40"/>
      <c r="H175" s="40"/>
      <c r="I175" s="160"/>
      <c r="J175" s="41"/>
      <c r="K175" s="41"/>
      <c r="L175" s="41"/>
      <c r="M175" s="41"/>
      <c r="N175" s="41"/>
      <c r="O175" s="41"/>
      <c r="P175" s="188"/>
      <c r="Q175" s="236"/>
      <c r="R175" s="280"/>
      <c r="S175" s="179">
        <f t="shared" si="63"/>
        <v>4859.3864915304011</v>
      </c>
      <c r="T175" s="259"/>
      <c r="U175" s="179">
        <f t="shared" si="76"/>
        <v>150</v>
      </c>
      <c r="V175" s="259"/>
      <c r="W175" s="179">
        <f t="shared" si="64"/>
        <v>0</v>
      </c>
      <c r="X175" s="259"/>
      <c r="Y175" s="179">
        <f t="shared" si="65"/>
        <v>1022.73</v>
      </c>
      <c r="Z175" s="259"/>
      <c r="AA175" s="179">
        <f t="shared" si="66"/>
        <v>40</v>
      </c>
      <c r="AB175" s="259"/>
      <c r="AC175" s="179">
        <f t="shared" si="67"/>
        <v>1394.266018065</v>
      </c>
      <c r="AD175" s="238">
        <f t="shared" si="62"/>
        <v>0</v>
      </c>
      <c r="AE175" s="179">
        <f t="shared" si="68"/>
        <v>2456.996018065</v>
      </c>
      <c r="AF175" s="264"/>
      <c r="AG175" s="179">
        <f t="shared" si="69"/>
        <v>1000</v>
      </c>
      <c r="AH175" s="268"/>
      <c r="AI175" s="179">
        <f t="shared" si="70"/>
        <v>0</v>
      </c>
      <c r="AJ175" s="268"/>
      <c r="AK175" s="179">
        <f t="shared" si="71"/>
        <v>22.73</v>
      </c>
      <c r="AL175" s="268"/>
      <c r="AM175" s="179">
        <f t="shared" si="72"/>
        <v>0</v>
      </c>
      <c r="AN175" s="268"/>
      <c r="AO175" s="179">
        <f t="shared" si="73"/>
        <v>0</v>
      </c>
      <c r="AP175" s="268"/>
      <c r="AQ175" s="179">
        <f t="shared" si="77"/>
        <v>0</v>
      </c>
      <c r="AR175" s="273"/>
      <c r="AS175" s="305">
        <f t="shared" si="74"/>
        <v>0</v>
      </c>
      <c r="AT175" s="273"/>
      <c r="AU175" s="305">
        <f t="shared" si="75"/>
        <v>0</v>
      </c>
    </row>
    <row r="176" spans="1:47" s="34" customFormat="1" hidden="1" x14ac:dyDescent="0.25">
      <c r="A176" s="87"/>
      <c r="B176" s="42"/>
      <c r="C176" s="41"/>
      <c r="D176" s="41"/>
      <c r="E176" s="40"/>
      <c r="F176" s="40"/>
      <c r="G176" s="40"/>
      <c r="H176" s="40"/>
      <c r="I176" s="160"/>
      <c r="J176" s="41"/>
      <c r="K176" s="41"/>
      <c r="L176" s="41"/>
      <c r="M176" s="41"/>
      <c r="N176" s="41"/>
      <c r="O176" s="41"/>
      <c r="P176" s="188"/>
      <c r="Q176" s="236"/>
      <c r="R176" s="280"/>
      <c r="S176" s="179">
        <f t="shared" si="63"/>
        <v>4859.3864915304011</v>
      </c>
      <c r="T176" s="259"/>
      <c r="U176" s="179">
        <f t="shared" si="76"/>
        <v>150</v>
      </c>
      <c r="V176" s="259"/>
      <c r="W176" s="179">
        <f t="shared" si="64"/>
        <v>0</v>
      </c>
      <c r="X176" s="259"/>
      <c r="Y176" s="179">
        <f t="shared" si="65"/>
        <v>1022.73</v>
      </c>
      <c r="Z176" s="259"/>
      <c r="AA176" s="179">
        <f t="shared" si="66"/>
        <v>40</v>
      </c>
      <c r="AB176" s="259"/>
      <c r="AC176" s="179">
        <f t="shared" si="67"/>
        <v>1394.266018065</v>
      </c>
      <c r="AD176" s="238">
        <f t="shared" si="62"/>
        <v>0</v>
      </c>
      <c r="AE176" s="179">
        <f t="shared" si="68"/>
        <v>2456.996018065</v>
      </c>
      <c r="AF176" s="264"/>
      <c r="AG176" s="179">
        <f t="shared" si="69"/>
        <v>1000</v>
      </c>
      <c r="AH176" s="268"/>
      <c r="AI176" s="179">
        <f t="shared" si="70"/>
        <v>0</v>
      </c>
      <c r="AJ176" s="268"/>
      <c r="AK176" s="179">
        <f t="shared" si="71"/>
        <v>22.73</v>
      </c>
      <c r="AL176" s="268"/>
      <c r="AM176" s="179">
        <f t="shared" si="72"/>
        <v>0</v>
      </c>
      <c r="AN176" s="268"/>
      <c r="AO176" s="179">
        <f t="shared" si="73"/>
        <v>0</v>
      </c>
      <c r="AP176" s="268"/>
      <c r="AQ176" s="179">
        <f t="shared" si="77"/>
        <v>0</v>
      </c>
      <c r="AR176" s="273"/>
      <c r="AS176" s="305">
        <f t="shared" si="74"/>
        <v>0</v>
      </c>
      <c r="AT176" s="273"/>
      <c r="AU176" s="305">
        <f t="shared" si="75"/>
        <v>0</v>
      </c>
    </row>
    <row r="177" spans="1:47" s="34" customFormat="1" hidden="1" x14ac:dyDescent="0.25">
      <c r="A177" s="87"/>
      <c r="B177" s="42"/>
      <c r="C177" s="41"/>
      <c r="D177" s="41"/>
      <c r="E177" s="40"/>
      <c r="F177" s="40"/>
      <c r="G177" s="40"/>
      <c r="H177" s="40"/>
      <c r="I177" s="160"/>
      <c r="J177" s="41"/>
      <c r="K177" s="41"/>
      <c r="L177" s="41"/>
      <c r="M177" s="41"/>
      <c r="N177" s="41"/>
      <c r="O177" s="41"/>
      <c r="P177" s="188"/>
      <c r="Q177" s="236"/>
      <c r="R177" s="280"/>
      <c r="S177" s="179">
        <f t="shared" si="63"/>
        <v>4859.3864915304011</v>
      </c>
      <c r="T177" s="259"/>
      <c r="U177" s="179">
        <f t="shared" si="76"/>
        <v>150</v>
      </c>
      <c r="V177" s="259"/>
      <c r="W177" s="179">
        <f t="shared" si="64"/>
        <v>0</v>
      </c>
      <c r="X177" s="259"/>
      <c r="Y177" s="179">
        <f t="shared" si="65"/>
        <v>1022.73</v>
      </c>
      <c r="Z177" s="259"/>
      <c r="AA177" s="179">
        <f t="shared" si="66"/>
        <v>40</v>
      </c>
      <c r="AB177" s="259"/>
      <c r="AC177" s="179">
        <f t="shared" si="67"/>
        <v>1394.266018065</v>
      </c>
      <c r="AD177" s="238">
        <f t="shared" si="62"/>
        <v>0</v>
      </c>
      <c r="AE177" s="179">
        <f t="shared" si="68"/>
        <v>2456.996018065</v>
      </c>
      <c r="AF177" s="264"/>
      <c r="AG177" s="179">
        <f t="shared" si="69"/>
        <v>1000</v>
      </c>
      <c r="AH177" s="268"/>
      <c r="AI177" s="179">
        <f t="shared" si="70"/>
        <v>0</v>
      </c>
      <c r="AJ177" s="268"/>
      <c r="AK177" s="179">
        <f t="shared" si="71"/>
        <v>22.73</v>
      </c>
      <c r="AL177" s="268"/>
      <c r="AM177" s="179">
        <f t="shared" si="72"/>
        <v>0</v>
      </c>
      <c r="AN177" s="268"/>
      <c r="AO177" s="179">
        <f t="shared" si="73"/>
        <v>0</v>
      </c>
      <c r="AP177" s="268"/>
      <c r="AQ177" s="179">
        <f t="shared" si="77"/>
        <v>0</v>
      </c>
      <c r="AR177" s="273"/>
      <c r="AS177" s="305">
        <f t="shared" si="74"/>
        <v>0</v>
      </c>
      <c r="AT177" s="273"/>
      <c r="AU177" s="305">
        <f t="shared" si="75"/>
        <v>0</v>
      </c>
    </row>
    <row r="178" spans="1:47" s="34" customFormat="1" hidden="1" x14ac:dyDescent="0.25">
      <c r="A178" s="87"/>
      <c r="B178" s="42"/>
      <c r="C178" s="41"/>
      <c r="D178" s="41"/>
      <c r="E178" s="40"/>
      <c r="F178" s="40"/>
      <c r="G178" s="40"/>
      <c r="H178" s="40"/>
      <c r="I178" s="160"/>
      <c r="J178" s="41"/>
      <c r="K178" s="41"/>
      <c r="L178" s="41"/>
      <c r="M178" s="41"/>
      <c r="N178" s="41"/>
      <c r="O178" s="41"/>
      <c r="P178" s="188"/>
      <c r="Q178" s="236"/>
      <c r="R178" s="280"/>
      <c r="S178" s="179">
        <f t="shared" si="63"/>
        <v>4859.3864915304011</v>
      </c>
      <c r="T178" s="259"/>
      <c r="U178" s="179">
        <f t="shared" si="76"/>
        <v>150</v>
      </c>
      <c r="V178" s="259"/>
      <c r="W178" s="179">
        <f t="shared" si="64"/>
        <v>0</v>
      </c>
      <c r="X178" s="259"/>
      <c r="Y178" s="179">
        <f t="shared" si="65"/>
        <v>1022.73</v>
      </c>
      <c r="Z178" s="259"/>
      <c r="AA178" s="179">
        <f t="shared" si="66"/>
        <v>40</v>
      </c>
      <c r="AB178" s="259"/>
      <c r="AC178" s="179">
        <f t="shared" si="67"/>
        <v>1394.266018065</v>
      </c>
      <c r="AD178" s="238">
        <f t="shared" si="62"/>
        <v>0</v>
      </c>
      <c r="AE178" s="179">
        <f t="shared" si="68"/>
        <v>2456.996018065</v>
      </c>
      <c r="AF178" s="264"/>
      <c r="AG178" s="179">
        <f t="shared" si="69"/>
        <v>1000</v>
      </c>
      <c r="AH178" s="268"/>
      <c r="AI178" s="179">
        <f t="shared" si="70"/>
        <v>0</v>
      </c>
      <c r="AJ178" s="268"/>
      <c r="AK178" s="179">
        <f t="shared" si="71"/>
        <v>22.73</v>
      </c>
      <c r="AL178" s="268"/>
      <c r="AM178" s="179">
        <f t="shared" si="72"/>
        <v>0</v>
      </c>
      <c r="AN178" s="268"/>
      <c r="AO178" s="179">
        <f t="shared" si="73"/>
        <v>0</v>
      </c>
      <c r="AP178" s="268"/>
      <c r="AQ178" s="179">
        <f t="shared" si="77"/>
        <v>0</v>
      </c>
      <c r="AR178" s="273"/>
      <c r="AS178" s="305">
        <f t="shared" si="74"/>
        <v>0</v>
      </c>
      <c r="AT178" s="273"/>
      <c r="AU178" s="305">
        <f t="shared" si="75"/>
        <v>0</v>
      </c>
    </row>
    <row r="179" spans="1:47" s="34" customFormat="1" hidden="1" x14ac:dyDescent="0.25">
      <c r="A179" s="87"/>
      <c r="B179" s="42"/>
      <c r="C179" s="41"/>
      <c r="D179" s="41"/>
      <c r="E179" s="40"/>
      <c r="F179" s="40"/>
      <c r="G179" s="40"/>
      <c r="H179" s="40"/>
      <c r="I179" s="160"/>
      <c r="J179" s="41"/>
      <c r="K179" s="41"/>
      <c r="L179" s="41"/>
      <c r="M179" s="41"/>
      <c r="N179" s="41"/>
      <c r="O179" s="41"/>
      <c r="P179" s="188"/>
      <c r="Q179" s="236"/>
      <c r="R179" s="280"/>
      <c r="S179" s="179">
        <f t="shared" si="63"/>
        <v>4859.3864915304011</v>
      </c>
      <c r="T179" s="259"/>
      <c r="U179" s="179">
        <f t="shared" si="76"/>
        <v>150</v>
      </c>
      <c r="V179" s="259"/>
      <c r="W179" s="179">
        <f t="shared" si="64"/>
        <v>0</v>
      </c>
      <c r="X179" s="259"/>
      <c r="Y179" s="179">
        <f t="shared" si="65"/>
        <v>1022.73</v>
      </c>
      <c r="Z179" s="259"/>
      <c r="AA179" s="179">
        <f t="shared" si="66"/>
        <v>40</v>
      </c>
      <c r="AB179" s="259"/>
      <c r="AC179" s="179">
        <f t="shared" si="67"/>
        <v>1394.266018065</v>
      </c>
      <c r="AD179" s="238">
        <f t="shared" si="62"/>
        <v>0</v>
      </c>
      <c r="AE179" s="179">
        <f t="shared" si="68"/>
        <v>2456.996018065</v>
      </c>
      <c r="AF179" s="264"/>
      <c r="AG179" s="179">
        <f t="shared" si="69"/>
        <v>1000</v>
      </c>
      <c r="AH179" s="268"/>
      <c r="AI179" s="179">
        <f t="shared" si="70"/>
        <v>0</v>
      </c>
      <c r="AJ179" s="268"/>
      <c r="AK179" s="179">
        <f t="shared" si="71"/>
        <v>22.73</v>
      </c>
      <c r="AL179" s="268"/>
      <c r="AM179" s="179">
        <f t="shared" si="72"/>
        <v>0</v>
      </c>
      <c r="AN179" s="268"/>
      <c r="AO179" s="179">
        <f t="shared" si="73"/>
        <v>0</v>
      </c>
      <c r="AP179" s="268"/>
      <c r="AQ179" s="179">
        <f t="shared" si="77"/>
        <v>0</v>
      </c>
      <c r="AR179" s="273"/>
      <c r="AS179" s="305">
        <f t="shared" si="74"/>
        <v>0</v>
      </c>
      <c r="AT179" s="273"/>
      <c r="AU179" s="305">
        <f t="shared" si="75"/>
        <v>0</v>
      </c>
    </row>
    <row r="180" spans="1:47" s="34" customFormat="1" hidden="1" x14ac:dyDescent="0.25">
      <c r="A180" s="87"/>
      <c r="B180" s="42"/>
      <c r="C180" s="41"/>
      <c r="D180" s="41"/>
      <c r="E180" s="40"/>
      <c r="F180" s="40"/>
      <c r="G180" s="40"/>
      <c r="H180" s="40"/>
      <c r="I180" s="160"/>
      <c r="J180" s="41"/>
      <c r="K180" s="41"/>
      <c r="L180" s="41"/>
      <c r="M180" s="41"/>
      <c r="N180" s="41"/>
      <c r="O180" s="41"/>
      <c r="P180" s="188"/>
      <c r="Q180" s="236"/>
      <c r="R180" s="280"/>
      <c r="S180" s="179">
        <f t="shared" si="63"/>
        <v>4859.3864915304011</v>
      </c>
      <c r="T180" s="259"/>
      <c r="U180" s="179">
        <f t="shared" si="76"/>
        <v>150</v>
      </c>
      <c r="V180" s="259"/>
      <c r="W180" s="179">
        <f t="shared" si="64"/>
        <v>0</v>
      </c>
      <c r="X180" s="259"/>
      <c r="Y180" s="179">
        <f t="shared" si="65"/>
        <v>1022.73</v>
      </c>
      <c r="Z180" s="259"/>
      <c r="AA180" s="179">
        <f t="shared" si="66"/>
        <v>40</v>
      </c>
      <c r="AB180" s="259"/>
      <c r="AC180" s="179">
        <f t="shared" si="67"/>
        <v>1394.266018065</v>
      </c>
      <c r="AD180" s="238">
        <f t="shared" si="62"/>
        <v>0</v>
      </c>
      <c r="AE180" s="179">
        <f t="shared" si="68"/>
        <v>2456.996018065</v>
      </c>
      <c r="AF180" s="264"/>
      <c r="AG180" s="179">
        <f t="shared" si="69"/>
        <v>1000</v>
      </c>
      <c r="AH180" s="268"/>
      <c r="AI180" s="179">
        <f t="shared" si="70"/>
        <v>0</v>
      </c>
      <c r="AJ180" s="268"/>
      <c r="AK180" s="179">
        <f t="shared" si="71"/>
        <v>22.73</v>
      </c>
      <c r="AL180" s="268"/>
      <c r="AM180" s="179">
        <f t="shared" si="72"/>
        <v>0</v>
      </c>
      <c r="AN180" s="268"/>
      <c r="AO180" s="179">
        <f t="shared" si="73"/>
        <v>0</v>
      </c>
      <c r="AP180" s="268"/>
      <c r="AQ180" s="179">
        <f t="shared" si="77"/>
        <v>0</v>
      </c>
      <c r="AR180" s="273"/>
      <c r="AS180" s="305">
        <f t="shared" si="74"/>
        <v>0</v>
      </c>
      <c r="AT180" s="273"/>
      <c r="AU180" s="305">
        <f t="shared" si="75"/>
        <v>0</v>
      </c>
    </row>
    <row r="181" spans="1:47" s="34" customFormat="1" hidden="1" x14ac:dyDescent="0.25">
      <c r="A181" s="87"/>
      <c r="B181" s="42"/>
      <c r="C181" s="41"/>
      <c r="D181" s="41"/>
      <c r="E181" s="40"/>
      <c r="F181" s="40"/>
      <c r="G181" s="40"/>
      <c r="H181" s="40"/>
      <c r="I181" s="160"/>
      <c r="J181" s="41"/>
      <c r="K181" s="41"/>
      <c r="L181" s="41"/>
      <c r="M181" s="41"/>
      <c r="N181" s="41"/>
      <c r="O181" s="41"/>
      <c r="P181" s="188"/>
      <c r="Q181" s="236"/>
      <c r="R181" s="280"/>
      <c r="S181" s="179">
        <f t="shared" si="63"/>
        <v>4859.3864915304011</v>
      </c>
      <c r="T181" s="259"/>
      <c r="U181" s="179">
        <f t="shared" si="76"/>
        <v>150</v>
      </c>
      <c r="V181" s="259"/>
      <c r="W181" s="179">
        <f t="shared" si="64"/>
        <v>0</v>
      </c>
      <c r="X181" s="259"/>
      <c r="Y181" s="179">
        <f t="shared" si="65"/>
        <v>1022.73</v>
      </c>
      <c r="Z181" s="259"/>
      <c r="AA181" s="179">
        <f t="shared" si="66"/>
        <v>40</v>
      </c>
      <c r="AB181" s="259"/>
      <c r="AC181" s="179">
        <f t="shared" si="67"/>
        <v>1394.266018065</v>
      </c>
      <c r="AD181" s="238">
        <f t="shared" si="62"/>
        <v>0</v>
      </c>
      <c r="AE181" s="179">
        <f t="shared" si="68"/>
        <v>2456.996018065</v>
      </c>
      <c r="AF181" s="264"/>
      <c r="AG181" s="179">
        <f t="shared" si="69"/>
        <v>1000</v>
      </c>
      <c r="AH181" s="268"/>
      <c r="AI181" s="179">
        <f t="shared" si="70"/>
        <v>0</v>
      </c>
      <c r="AJ181" s="268"/>
      <c r="AK181" s="179">
        <f t="shared" si="71"/>
        <v>22.73</v>
      </c>
      <c r="AL181" s="268"/>
      <c r="AM181" s="179">
        <f t="shared" si="72"/>
        <v>0</v>
      </c>
      <c r="AN181" s="268"/>
      <c r="AO181" s="179">
        <f t="shared" si="73"/>
        <v>0</v>
      </c>
      <c r="AP181" s="268"/>
      <c r="AQ181" s="179">
        <f t="shared" si="77"/>
        <v>0</v>
      </c>
      <c r="AR181" s="273"/>
      <c r="AS181" s="305">
        <f t="shared" si="74"/>
        <v>0</v>
      </c>
      <c r="AT181" s="273"/>
      <c r="AU181" s="305">
        <f t="shared" si="75"/>
        <v>0</v>
      </c>
    </row>
    <row r="182" spans="1:47" s="34" customFormat="1" hidden="1" x14ac:dyDescent="0.25">
      <c r="A182" s="87"/>
      <c r="B182" s="42"/>
      <c r="C182" s="41"/>
      <c r="D182" s="41"/>
      <c r="E182" s="40"/>
      <c r="F182" s="40"/>
      <c r="G182" s="40"/>
      <c r="H182" s="40"/>
      <c r="I182" s="160"/>
      <c r="J182" s="41"/>
      <c r="K182" s="41"/>
      <c r="L182" s="41"/>
      <c r="M182" s="41"/>
      <c r="N182" s="41"/>
      <c r="O182" s="41"/>
      <c r="P182" s="188"/>
      <c r="Q182" s="236"/>
      <c r="R182" s="280"/>
      <c r="S182" s="179">
        <f t="shared" si="63"/>
        <v>4859.3864915304011</v>
      </c>
      <c r="T182" s="259"/>
      <c r="U182" s="179">
        <f t="shared" si="76"/>
        <v>150</v>
      </c>
      <c r="V182" s="259"/>
      <c r="W182" s="179">
        <f t="shared" si="64"/>
        <v>0</v>
      </c>
      <c r="X182" s="259"/>
      <c r="Y182" s="179">
        <f t="shared" si="65"/>
        <v>1022.73</v>
      </c>
      <c r="Z182" s="259"/>
      <c r="AA182" s="179">
        <f t="shared" si="66"/>
        <v>40</v>
      </c>
      <c r="AB182" s="259"/>
      <c r="AC182" s="179">
        <f t="shared" si="67"/>
        <v>1394.266018065</v>
      </c>
      <c r="AD182" s="238">
        <f t="shared" si="62"/>
        <v>0</v>
      </c>
      <c r="AE182" s="179">
        <f t="shared" si="68"/>
        <v>2456.996018065</v>
      </c>
      <c r="AF182" s="264"/>
      <c r="AG182" s="179">
        <f t="shared" si="69"/>
        <v>1000</v>
      </c>
      <c r="AH182" s="268"/>
      <c r="AI182" s="179">
        <f t="shared" si="70"/>
        <v>0</v>
      </c>
      <c r="AJ182" s="268"/>
      <c r="AK182" s="179">
        <f t="shared" si="71"/>
        <v>22.73</v>
      </c>
      <c r="AL182" s="268"/>
      <c r="AM182" s="179">
        <f t="shared" si="72"/>
        <v>0</v>
      </c>
      <c r="AN182" s="268"/>
      <c r="AO182" s="179">
        <f t="shared" si="73"/>
        <v>0</v>
      </c>
      <c r="AP182" s="268"/>
      <c r="AQ182" s="179">
        <f t="shared" si="77"/>
        <v>0</v>
      </c>
      <c r="AR182" s="273"/>
      <c r="AS182" s="305">
        <f t="shared" si="74"/>
        <v>0</v>
      </c>
      <c r="AT182" s="273"/>
      <c r="AU182" s="305">
        <f t="shared" si="75"/>
        <v>0</v>
      </c>
    </row>
    <row r="183" spans="1:47" s="34" customFormat="1" hidden="1" x14ac:dyDescent="0.25">
      <c r="A183" s="87"/>
      <c r="B183" s="42"/>
      <c r="C183" s="41"/>
      <c r="D183" s="41"/>
      <c r="E183" s="40"/>
      <c r="F183" s="40"/>
      <c r="G183" s="40"/>
      <c r="H183" s="40"/>
      <c r="I183" s="160"/>
      <c r="J183" s="41"/>
      <c r="K183" s="41"/>
      <c r="L183" s="41"/>
      <c r="M183" s="41"/>
      <c r="N183" s="41"/>
      <c r="O183" s="41"/>
      <c r="P183" s="188"/>
      <c r="Q183" s="236"/>
      <c r="R183" s="280"/>
      <c r="S183" s="179">
        <f t="shared" si="63"/>
        <v>4859.3864915304011</v>
      </c>
      <c r="T183" s="259"/>
      <c r="U183" s="179">
        <f t="shared" si="76"/>
        <v>150</v>
      </c>
      <c r="V183" s="259"/>
      <c r="W183" s="179">
        <f t="shared" si="64"/>
        <v>0</v>
      </c>
      <c r="X183" s="259"/>
      <c r="Y183" s="179">
        <f t="shared" si="65"/>
        <v>1022.73</v>
      </c>
      <c r="Z183" s="259"/>
      <c r="AA183" s="179">
        <f t="shared" si="66"/>
        <v>40</v>
      </c>
      <c r="AB183" s="259"/>
      <c r="AC183" s="179">
        <f t="shared" si="67"/>
        <v>1394.266018065</v>
      </c>
      <c r="AD183" s="238">
        <f t="shared" si="62"/>
        <v>0</v>
      </c>
      <c r="AE183" s="179">
        <f t="shared" si="68"/>
        <v>2456.996018065</v>
      </c>
      <c r="AF183" s="264"/>
      <c r="AG183" s="179">
        <f t="shared" si="69"/>
        <v>1000</v>
      </c>
      <c r="AH183" s="268"/>
      <c r="AI183" s="179">
        <f t="shared" si="70"/>
        <v>0</v>
      </c>
      <c r="AJ183" s="268"/>
      <c r="AK183" s="179">
        <f t="shared" si="71"/>
        <v>22.73</v>
      </c>
      <c r="AL183" s="268"/>
      <c r="AM183" s="179">
        <f t="shared" si="72"/>
        <v>0</v>
      </c>
      <c r="AN183" s="268"/>
      <c r="AO183" s="179">
        <f t="shared" si="73"/>
        <v>0</v>
      </c>
      <c r="AP183" s="268"/>
      <c r="AQ183" s="179">
        <f t="shared" si="77"/>
        <v>0</v>
      </c>
      <c r="AR183" s="273"/>
      <c r="AS183" s="305">
        <f t="shared" si="74"/>
        <v>0</v>
      </c>
      <c r="AT183" s="273"/>
      <c r="AU183" s="305">
        <f t="shared" si="75"/>
        <v>0</v>
      </c>
    </row>
    <row r="184" spans="1:47" s="34" customFormat="1" hidden="1" x14ac:dyDescent="0.25">
      <c r="A184" s="87"/>
      <c r="B184" s="42"/>
      <c r="C184" s="41"/>
      <c r="D184" s="41"/>
      <c r="E184" s="40"/>
      <c r="F184" s="40"/>
      <c r="G184" s="40"/>
      <c r="H184" s="40"/>
      <c r="I184" s="160"/>
      <c r="J184" s="41"/>
      <c r="K184" s="41"/>
      <c r="L184" s="41"/>
      <c r="M184" s="41"/>
      <c r="N184" s="41"/>
      <c r="O184" s="41"/>
      <c r="P184" s="188"/>
      <c r="Q184" s="236"/>
      <c r="R184" s="280"/>
      <c r="S184" s="179">
        <f t="shared" si="63"/>
        <v>4859.3864915304011</v>
      </c>
      <c r="T184" s="259"/>
      <c r="U184" s="179">
        <f t="shared" si="76"/>
        <v>150</v>
      </c>
      <c r="V184" s="259"/>
      <c r="W184" s="179">
        <f t="shared" si="64"/>
        <v>0</v>
      </c>
      <c r="X184" s="259"/>
      <c r="Y184" s="179">
        <f t="shared" si="65"/>
        <v>1022.73</v>
      </c>
      <c r="Z184" s="259"/>
      <c r="AA184" s="179">
        <f t="shared" si="66"/>
        <v>40</v>
      </c>
      <c r="AB184" s="259"/>
      <c r="AC184" s="179">
        <f t="shared" si="67"/>
        <v>1394.266018065</v>
      </c>
      <c r="AD184" s="238">
        <f t="shared" si="62"/>
        <v>0</v>
      </c>
      <c r="AE184" s="179">
        <f t="shared" si="68"/>
        <v>2456.996018065</v>
      </c>
      <c r="AF184" s="264"/>
      <c r="AG184" s="179">
        <f t="shared" si="69"/>
        <v>1000</v>
      </c>
      <c r="AH184" s="268"/>
      <c r="AI184" s="179">
        <f t="shared" si="70"/>
        <v>0</v>
      </c>
      <c r="AJ184" s="268"/>
      <c r="AK184" s="179">
        <f t="shared" si="71"/>
        <v>22.73</v>
      </c>
      <c r="AL184" s="268"/>
      <c r="AM184" s="179">
        <f t="shared" si="72"/>
        <v>0</v>
      </c>
      <c r="AN184" s="268"/>
      <c r="AO184" s="179">
        <f t="shared" si="73"/>
        <v>0</v>
      </c>
      <c r="AP184" s="268"/>
      <c r="AQ184" s="179">
        <f t="shared" si="77"/>
        <v>0</v>
      </c>
      <c r="AR184" s="273"/>
      <c r="AS184" s="305">
        <f t="shared" si="74"/>
        <v>0</v>
      </c>
      <c r="AT184" s="273"/>
      <c r="AU184" s="305">
        <f t="shared" si="75"/>
        <v>0</v>
      </c>
    </row>
    <row r="185" spans="1:47" s="34" customFormat="1" hidden="1" x14ac:dyDescent="0.25">
      <c r="A185" s="87"/>
      <c r="B185" s="42"/>
      <c r="C185" s="41"/>
      <c r="D185" s="41"/>
      <c r="E185" s="40"/>
      <c r="F185" s="40"/>
      <c r="G185" s="40"/>
      <c r="H185" s="40"/>
      <c r="I185" s="160"/>
      <c r="J185" s="41"/>
      <c r="K185" s="41"/>
      <c r="L185" s="41"/>
      <c r="M185" s="41"/>
      <c r="N185" s="41"/>
      <c r="O185" s="41"/>
      <c r="P185" s="188"/>
      <c r="Q185" s="236"/>
      <c r="R185" s="280"/>
      <c r="S185" s="179">
        <f t="shared" si="63"/>
        <v>4859.3864915304011</v>
      </c>
      <c r="T185" s="259"/>
      <c r="U185" s="179">
        <f t="shared" si="76"/>
        <v>150</v>
      </c>
      <c r="V185" s="259"/>
      <c r="W185" s="179">
        <f t="shared" si="64"/>
        <v>0</v>
      </c>
      <c r="X185" s="259"/>
      <c r="Y185" s="179">
        <f t="shared" si="65"/>
        <v>1022.73</v>
      </c>
      <c r="Z185" s="259"/>
      <c r="AA185" s="179">
        <f t="shared" si="66"/>
        <v>40</v>
      </c>
      <c r="AB185" s="259"/>
      <c r="AC185" s="179">
        <f t="shared" si="67"/>
        <v>1394.266018065</v>
      </c>
      <c r="AD185" s="238">
        <f t="shared" si="62"/>
        <v>0</v>
      </c>
      <c r="AE185" s="179">
        <f t="shared" si="68"/>
        <v>2456.996018065</v>
      </c>
      <c r="AF185" s="264"/>
      <c r="AG185" s="179">
        <f t="shared" si="69"/>
        <v>1000</v>
      </c>
      <c r="AH185" s="268"/>
      <c r="AI185" s="179">
        <f t="shared" si="70"/>
        <v>0</v>
      </c>
      <c r="AJ185" s="268"/>
      <c r="AK185" s="179">
        <f t="shared" si="71"/>
        <v>22.73</v>
      </c>
      <c r="AL185" s="268"/>
      <c r="AM185" s="179">
        <f t="shared" si="72"/>
        <v>0</v>
      </c>
      <c r="AN185" s="268"/>
      <c r="AO185" s="179">
        <f t="shared" si="73"/>
        <v>0</v>
      </c>
      <c r="AP185" s="268"/>
      <c r="AQ185" s="179">
        <f t="shared" si="77"/>
        <v>0</v>
      </c>
      <c r="AR185" s="273"/>
      <c r="AS185" s="305">
        <f t="shared" si="74"/>
        <v>0</v>
      </c>
      <c r="AT185" s="273"/>
      <c r="AU185" s="305">
        <f t="shared" si="75"/>
        <v>0</v>
      </c>
    </row>
    <row r="186" spans="1:47" s="34" customFormat="1" hidden="1" x14ac:dyDescent="0.25">
      <c r="A186" s="87"/>
      <c r="B186" s="42"/>
      <c r="C186" s="41"/>
      <c r="D186" s="41"/>
      <c r="E186" s="40"/>
      <c r="F186" s="40"/>
      <c r="G186" s="40"/>
      <c r="H186" s="40"/>
      <c r="I186" s="160"/>
      <c r="J186" s="41"/>
      <c r="K186" s="41"/>
      <c r="L186" s="41"/>
      <c r="M186" s="41"/>
      <c r="N186" s="41"/>
      <c r="O186" s="41"/>
      <c r="P186" s="188"/>
      <c r="Q186" s="236"/>
      <c r="R186" s="280"/>
      <c r="S186" s="179">
        <f t="shared" si="63"/>
        <v>4859.3864915304011</v>
      </c>
      <c r="T186" s="259"/>
      <c r="U186" s="179">
        <f t="shared" si="76"/>
        <v>150</v>
      </c>
      <c r="V186" s="259"/>
      <c r="W186" s="179">
        <f t="shared" si="64"/>
        <v>0</v>
      </c>
      <c r="X186" s="259"/>
      <c r="Y186" s="179">
        <f t="shared" si="65"/>
        <v>1022.73</v>
      </c>
      <c r="Z186" s="259"/>
      <c r="AA186" s="179">
        <f t="shared" si="66"/>
        <v>40</v>
      </c>
      <c r="AB186" s="259"/>
      <c r="AC186" s="179">
        <f t="shared" si="67"/>
        <v>1394.266018065</v>
      </c>
      <c r="AD186" s="238">
        <f t="shared" si="62"/>
        <v>0</v>
      </c>
      <c r="AE186" s="179">
        <f t="shared" si="68"/>
        <v>2456.996018065</v>
      </c>
      <c r="AF186" s="264"/>
      <c r="AG186" s="179">
        <f t="shared" si="69"/>
        <v>1000</v>
      </c>
      <c r="AH186" s="268"/>
      <c r="AI186" s="179">
        <f t="shared" si="70"/>
        <v>0</v>
      </c>
      <c r="AJ186" s="268"/>
      <c r="AK186" s="179">
        <f t="shared" si="71"/>
        <v>22.73</v>
      </c>
      <c r="AL186" s="268"/>
      <c r="AM186" s="179">
        <f t="shared" si="72"/>
        <v>0</v>
      </c>
      <c r="AN186" s="268"/>
      <c r="AO186" s="179">
        <f t="shared" si="73"/>
        <v>0</v>
      </c>
      <c r="AP186" s="268"/>
      <c r="AQ186" s="179">
        <f t="shared" si="77"/>
        <v>0</v>
      </c>
      <c r="AR186" s="273"/>
      <c r="AS186" s="305">
        <f t="shared" si="74"/>
        <v>0</v>
      </c>
      <c r="AT186" s="273"/>
      <c r="AU186" s="305">
        <f t="shared" si="75"/>
        <v>0</v>
      </c>
    </row>
    <row r="187" spans="1:47" s="34" customFormat="1" hidden="1" x14ac:dyDescent="0.25">
      <c r="A187" s="87"/>
      <c r="B187" s="42"/>
      <c r="C187" s="41"/>
      <c r="D187" s="41"/>
      <c r="E187" s="40"/>
      <c r="F187" s="40"/>
      <c r="G187" s="40"/>
      <c r="H187" s="40"/>
      <c r="I187" s="160"/>
      <c r="J187" s="41"/>
      <c r="K187" s="41"/>
      <c r="L187" s="41"/>
      <c r="M187" s="41"/>
      <c r="N187" s="41"/>
      <c r="O187" s="41"/>
      <c r="P187" s="188"/>
      <c r="Q187" s="236"/>
      <c r="R187" s="280"/>
      <c r="S187" s="179">
        <f t="shared" si="63"/>
        <v>4859.3864915304011</v>
      </c>
      <c r="T187" s="259"/>
      <c r="U187" s="179">
        <f t="shared" si="76"/>
        <v>150</v>
      </c>
      <c r="V187" s="259"/>
      <c r="W187" s="179">
        <f t="shared" si="64"/>
        <v>0</v>
      </c>
      <c r="X187" s="259"/>
      <c r="Y187" s="179">
        <f t="shared" si="65"/>
        <v>1022.73</v>
      </c>
      <c r="Z187" s="259"/>
      <c r="AA187" s="179">
        <f t="shared" si="66"/>
        <v>40</v>
      </c>
      <c r="AB187" s="259"/>
      <c r="AC187" s="179">
        <f t="shared" si="67"/>
        <v>1394.266018065</v>
      </c>
      <c r="AD187" s="238">
        <f t="shared" si="62"/>
        <v>0</v>
      </c>
      <c r="AE187" s="179">
        <f t="shared" si="68"/>
        <v>2456.996018065</v>
      </c>
      <c r="AF187" s="264"/>
      <c r="AG187" s="179">
        <f t="shared" si="69"/>
        <v>1000</v>
      </c>
      <c r="AH187" s="268"/>
      <c r="AI187" s="179">
        <f t="shared" si="70"/>
        <v>0</v>
      </c>
      <c r="AJ187" s="268"/>
      <c r="AK187" s="179">
        <f t="shared" si="71"/>
        <v>22.73</v>
      </c>
      <c r="AL187" s="268"/>
      <c r="AM187" s="179">
        <f t="shared" si="72"/>
        <v>0</v>
      </c>
      <c r="AN187" s="268"/>
      <c r="AO187" s="179">
        <f t="shared" si="73"/>
        <v>0</v>
      </c>
      <c r="AP187" s="268"/>
      <c r="AQ187" s="179">
        <f t="shared" si="77"/>
        <v>0</v>
      </c>
      <c r="AR187" s="273"/>
      <c r="AS187" s="305">
        <f t="shared" si="74"/>
        <v>0</v>
      </c>
      <c r="AT187" s="273"/>
      <c r="AU187" s="305">
        <f t="shared" si="75"/>
        <v>0</v>
      </c>
    </row>
    <row r="188" spans="1:47" s="34" customFormat="1" hidden="1" x14ac:dyDescent="0.25">
      <c r="A188" s="87"/>
      <c r="B188" s="42"/>
      <c r="C188" s="41"/>
      <c r="D188" s="41"/>
      <c r="E188" s="40"/>
      <c r="F188" s="40"/>
      <c r="G188" s="40"/>
      <c r="H188" s="40"/>
      <c r="I188" s="160"/>
      <c r="J188" s="41"/>
      <c r="K188" s="41"/>
      <c r="L188" s="41"/>
      <c r="M188" s="41"/>
      <c r="N188" s="41"/>
      <c r="O188" s="41"/>
      <c r="P188" s="188"/>
      <c r="Q188" s="236"/>
      <c r="R188" s="280"/>
      <c r="S188" s="179">
        <f t="shared" si="63"/>
        <v>4859.3864915304011</v>
      </c>
      <c r="T188" s="259"/>
      <c r="U188" s="179">
        <f t="shared" si="76"/>
        <v>150</v>
      </c>
      <c r="V188" s="259"/>
      <c r="W188" s="179">
        <f t="shared" si="64"/>
        <v>0</v>
      </c>
      <c r="X188" s="259"/>
      <c r="Y188" s="179">
        <f t="shared" si="65"/>
        <v>1022.73</v>
      </c>
      <c r="Z188" s="259"/>
      <c r="AA188" s="179">
        <f t="shared" si="66"/>
        <v>40</v>
      </c>
      <c r="AB188" s="259"/>
      <c r="AC188" s="179">
        <f t="shared" si="67"/>
        <v>1394.266018065</v>
      </c>
      <c r="AD188" s="238">
        <f t="shared" si="62"/>
        <v>0</v>
      </c>
      <c r="AE188" s="179">
        <f t="shared" si="68"/>
        <v>2456.996018065</v>
      </c>
      <c r="AF188" s="264"/>
      <c r="AG188" s="179">
        <f t="shared" si="69"/>
        <v>1000</v>
      </c>
      <c r="AH188" s="268"/>
      <c r="AI188" s="179">
        <f t="shared" si="70"/>
        <v>0</v>
      </c>
      <c r="AJ188" s="268"/>
      <c r="AK188" s="179">
        <f t="shared" si="71"/>
        <v>22.73</v>
      </c>
      <c r="AL188" s="268"/>
      <c r="AM188" s="179">
        <f t="shared" si="72"/>
        <v>0</v>
      </c>
      <c r="AN188" s="268"/>
      <c r="AO188" s="179">
        <f t="shared" si="73"/>
        <v>0</v>
      </c>
      <c r="AP188" s="268"/>
      <c r="AQ188" s="179">
        <f t="shared" si="77"/>
        <v>0</v>
      </c>
      <c r="AR188" s="273"/>
      <c r="AS188" s="305">
        <f t="shared" si="74"/>
        <v>0</v>
      </c>
      <c r="AT188" s="273"/>
      <c r="AU188" s="305">
        <f t="shared" si="75"/>
        <v>0</v>
      </c>
    </row>
    <row r="189" spans="1:47" s="34" customFormat="1" hidden="1" x14ac:dyDescent="0.25">
      <c r="A189" s="87"/>
      <c r="B189" s="42"/>
      <c r="C189" s="41"/>
      <c r="D189" s="41"/>
      <c r="E189" s="40"/>
      <c r="F189" s="40"/>
      <c r="G189" s="40"/>
      <c r="H189" s="40"/>
      <c r="I189" s="160"/>
      <c r="J189" s="41"/>
      <c r="K189" s="41"/>
      <c r="L189" s="41"/>
      <c r="M189" s="41"/>
      <c r="N189" s="41"/>
      <c r="O189" s="41"/>
      <c r="P189" s="188"/>
      <c r="Q189" s="236"/>
      <c r="R189" s="280"/>
      <c r="S189" s="179">
        <f t="shared" si="63"/>
        <v>4859.3864915304011</v>
      </c>
      <c r="T189" s="259"/>
      <c r="U189" s="179">
        <f t="shared" si="76"/>
        <v>150</v>
      </c>
      <c r="V189" s="259"/>
      <c r="W189" s="179">
        <f t="shared" si="64"/>
        <v>0</v>
      </c>
      <c r="X189" s="259"/>
      <c r="Y189" s="179">
        <f t="shared" si="65"/>
        <v>1022.73</v>
      </c>
      <c r="Z189" s="259"/>
      <c r="AA189" s="179">
        <f t="shared" si="66"/>
        <v>40</v>
      </c>
      <c r="AB189" s="259"/>
      <c r="AC189" s="179">
        <f t="shared" si="67"/>
        <v>1394.266018065</v>
      </c>
      <c r="AD189" s="238">
        <f t="shared" si="62"/>
        <v>0</v>
      </c>
      <c r="AE189" s="179">
        <f t="shared" si="68"/>
        <v>2456.996018065</v>
      </c>
      <c r="AF189" s="264"/>
      <c r="AG189" s="179">
        <f t="shared" si="69"/>
        <v>1000</v>
      </c>
      <c r="AH189" s="268"/>
      <c r="AI189" s="179">
        <f t="shared" si="70"/>
        <v>0</v>
      </c>
      <c r="AJ189" s="268"/>
      <c r="AK189" s="179">
        <f t="shared" si="71"/>
        <v>22.73</v>
      </c>
      <c r="AL189" s="268"/>
      <c r="AM189" s="179">
        <f t="shared" si="72"/>
        <v>0</v>
      </c>
      <c r="AN189" s="268"/>
      <c r="AO189" s="179">
        <f t="shared" si="73"/>
        <v>0</v>
      </c>
      <c r="AP189" s="268"/>
      <c r="AQ189" s="179">
        <f t="shared" si="77"/>
        <v>0</v>
      </c>
      <c r="AR189" s="273"/>
      <c r="AS189" s="305">
        <f t="shared" si="74"/>
        <v>0</v>
      </c>
      <c r="AT189" s="273"/>
      <c r="AU189" s="305">
        <f t="shared" si="75"/>
        <v>0</v>
      </c>
    </row>
    <row r="190" spans="1:47" s="34" customFormat="1" hidden="1" x14ac:dyDescent="0.25">
      <c r="A190" s="87"/>
      <c r="B190" s="42"/>
      <c r="C190" s="41"/>
      <c r="D190" s="41"/>
      <c r="E190" s="40"/>
      <c r="F190" s="40"/>
      <c r="G190" s="40"/>
      <c r="H190" s="40"/>
      <c r="I190" s="160"/>
      <c r="J190" s="41"/>
      <c r="K190" s="41"/>
      <c r="L190" s="41"/>
      <c r="M190" s="41"/>
      <c r="N190" s="41"/>
      <c r="O190" s="41"/>
      <c r="P190" s="188"/>
      <c r="Q190" s="236"/>
      <c r="R190" s="280"/>
      <c r="S190" s="179">
        <f t="shared" si="63"/>
        <v>4859.3864915304011</v>
      </c>
      <c r="T190" s="259"/>
      <c r="U190" s="179">
        <f t="shared" si="76"/>
        <v>150</v>
      </c>
      <c r="V190" s="259"/>
      <c r="W190" s="179">
        <f t="shared" si="64"/>
        <v>0</v>
      </c>
      <c r="X190" s="259"/>
      <c r="Y190" s="179">
        <f t="shared" si="65"/>
        <v>1022.73</v>
      </c>
      <c r="Z190" s="259"/>
      <c r="AA190" s="179">
        <f t="shared" si="66"/>
        <v>40</v>
      </c>
      <c r="AB190" s="259"/>
      <c r="AC190" s="179">
        <f t="shared" si="67"/>
        <v>1394.266018065</v>
      </c>
      <c r="AD190" s="238">
        <f t="shared" si="62"/>
        <v>0</v>
      </c>
      <c r="AE190" s="179">
        <f t="shared" si="68"/>
        <v>2456.996018065</v>
      </c>
      <c r="AF190" s="264"/>
      <c r="AG190" s="179">
        <f t="shared" si="69"/>
        <v>1000</v>
      </c>
      <c r="AH190" s="268"/>
      <c r="AI190" s="179">
        <f t="shared" si="70"/>
        <v>0</v>
      </c>
      <c r="AJ190" s="268"/>
      <c r="AK190" s="179">
        <f t="shared" si="71"/>
        <v>22.73</v>
      </c>
      <c r="AL190" s="268"/>
      <c r="AM190" s="179">
        <f t="shared" si="72"/>
        <v>0</v>
      </c>
      <c r="AN190" s="268"/>
      <c r="AO190" s="179">
        <f t="shared" si="73"/>
        <v>0</v>
      </c>
      <c r="AP190" s="268"/>
      <c r="AQ190" s="179">
        <f t="shared" si="77"/>
        <v>0</v>
      </c>
      <c r="AR190" s="273"/>
      <c r="AS190" s="305">
        <f t="shared" si="74"/>
        <v>0</v>
      </c>
      <c r="AT190" s="273"/>
      <c r="AU190" s="305">
        <f t="shared" si="75"/>
        <v>0</v>
      </c>
    </row>
    <row r="191" spans="1:47" s="34" customFormat="1" hidden="1" x14ac:dyDescent="0.25">
      <c r="A191" s="87"/>
      <c r="B191" s="42"/>
      <c r="C191" s="41"/>
      <c r="D191" s="41"/>
      <c r="E191" s="40"/>
      <c r="F191" s="40"/>
      <c r="G191" s="40"/>
      <c r="H191" s="40"/>
      <c r="I191" s="160"/>
      <c r="J191" s="41"/>
      <c r="K191" s="41"/>
      <c r="L191" s="41"/>
      <c r="M191" s="41"/>
      <c r="N191" s="41"/>
      <c r="O191" s="41"/>
      <c r="P191" s="188"/>
      <c r="Q191" s="236"/>
      <c r="R191" s="280"/>
      <c r="S191" s="179">
        <f t="shared" si="63"/>
        <v>4859.3864915304011</v>
      </c>
      <c r="T191" s="259"/>
      <c r="U191" s="179">
        <f t="shared" si="76"/>
        <v>150</v>
      </c>
      <c r="V191" s="259"/>
      <c r="W191" s="179">
        <f t="shared" si="64"/>
        <v>0</v>
      </c>
      <c r="X191" s="259"/>
      <c r="Y191" s="179">
        <f t="shared" si="65"/>
        <v>1022.73</v>
      </c>
      <c r="Z191" s="259"/>
      <c r="AA191" s="179">
        <f t="shared" si="66"/>
        <v>40</v>
      </c>
      <c r="AB191" s="259"/>
      <c r="AC191" s="179">
        <f t="shared" si="67"/>
        <v>1394.266018065</v>
      </c>
      <c r="AD191" s="238">
        <f t="shared" si="62"/>
        <v>0</v>
      </c>
      <c r="AE191" s="179">
        <f t="shared" si="68"/>
        <v>2456.996018065</v>
      </c>
      <c r="AF191" s="264"/>
      <c r="AG191" s="179">
        <f t="shared" si="69"/>
        <v>1000</v>
      </c>
      <c r="AH191" s="268"/>
      <c r="AI191" s="179">
        <f t="shared" si="70"/>
        <v>0</v>
      </c>
      <c r="AJ191" s="268"/>
      <c r="AK191" s="179">
        <f t="shared" si="71"/>
        <v>22.73</v>
      </c>
      <c r="AL191" s="268"/>
      <c r="AM191" s="179">
        <f t="shared" si="72"/>
        <v>0</v>
      </c>
      <c r="AN191" s="268"/>
      <c r="AO191" s="179">
        <f t="shared" si="73"/>
        <v>0</v>
      </c>
      <c r="AP191" s="268"/>
      <c r="AQ191" s="179">
        <f t="shared" si="77"/>
        <v>0</v>
      </c>
      <c r="AR191" s="273"/>
      <c r="AS191" s="305">
        <f t="shared" si="74"/>
        <v>0</v>
      </c>
      <c r="AT191" s="273"/>
      <c r="AU191" s="305">
        <f t="shared" si="75"/>
        <v>0</v>
      </c>
    </row>
    <row r="192" spans="1:47" s="34" customFormat="1" hidden="1" x14ac:dyDescent="0.25">
      <c r="A192" s="87"/>
      <c r="B192" s="42"/>
      <c r="C192" s="41"/>
      <c r="D192" s="41"/>
      <c r="E192" s="40"/>
      <c r="F192" s="40"/>
      <c r="G192" s="40"/>
      <c r="H192" s="40"/>
      <c r="I192" s="160"/>
      <c r="J192" s="41"/>
      <c r="K192" s="41"/>
      <c r="L192" s="41"/>
      <c r="M192" s="41"/>
      <c r="N192" s="41"/>
      <c r="O192" s="41"/>
      <c r="P192" s="188"/>
      <c r="Q192" s="236"/>
      <c r="R192" s="280"/>
      <c r="S192" s="179">
        <f t="shared" si="63"/>
        <v>4859.3864915304011</v>
      </c>
      <c r="T192" s="259"/>
      <c r="U192" s="179">
        <f t="shared" si="76"/>
        <v>150</v>
      </c>
      <c r="V192" s="259"/>
      <c r="W192" s="179">
        <f t="shared" si="64"/>
        <v>0</v>
      </c>
      <c r="X192" s="259"/>
      <c r="Y192" s="179">
        <f t="shared" si="65"/>
        <v>1022.73</v>
      </c>
      <c r="Z192" s="259"/>
      <c r="AA192" s="179">
        <f t="shared" si="66"/>
        <v>40</v>
      </c>
      <c r="AB192" s="259"/>
      <c r="AC192" s="179">
        <f t="shared" si="67"/>
        <v>1394.266018065</v>
      </c>
      <c r="AD192" s="238">
        <f t="shared" si="62"/>
        <v>0</v>
      </c>
      <c r="AE192" s="179">
        <f t="shared" si="68"/>
        <v>2456.996018065</v>
      </c>
      <c r="AF192" s="264"/>
      <c r="AG192" s="179">
        <f t="shared" si="69"/>
        <v>1000</v>
      </c>
      <c r="AH192" s="268"/>
      <c r="AI192" s="179">
        <f t="shared" si="70"/>
        <v>0</v>
      </c>
      <c r="AJ192" s="268"/>
      <c r="AK192" s="179">
        <f t="shared" si="71"/>
        <v>22.73</v>
      </c>
      <c r="AL192" s="268"/>
      <c r="AM192" s="179">
        <f t="shared" si="72"/>
        <v>0</v>
      </c>
      <c r="AN192" s="268"/>
      <c r="AO192" s="179">
        <f t="shared" si="73"/>
        <v>0</v>
      </c>
      <c r="AP192" s="268"/>
      <c r="AQ192" s="179">
        <f t="shared" si="77"/>
        <v>0</v>
      </c>
      <c r="AR192" s="273"/>
      <c r="AS192" s="305">
        <f t="shared" si="74"/>
        <v>0</v>
      </c>
      <c r="AT192" s="273"/>
      <c r="AU192" s="305">
        <f t="shared" si="75"/>
        <v>0</v>
      </c>
    </row>
    <row r="193" spans="1:47" s="34" customFormat="1" hidden="1" x14ac:dyDescent="0.25">
      <c r="A193" s="87"/>
      <c r="B193" s="42"/>
      <c r="C193" s="41"/>
      <c r="D193" s="41"/>
      <c r="E193" s="40"/>
      <c r="F193" s="40"/>
      <c r="G193" s="40"/>
      <c r="H193" s="40"/>
      <c r="I193" s="160"/>
      <c r="J193" s="41"/>
      <c r="K193" s="41"/>
      <c r="L193" s="41"/>
      <c r="M193" s="41"/>
      <c r="N193" s="41"/>
      <c r="O193" s="41"/>
      <c r="P193" s="188"/>
      <c r="Q193" s="236"/>
      <c r="R193" s="280"/>
      <c r="S193" s="179">
        <f t="shared" si="63"/>
        <v>4859.3864915304011</v>
      </c>
      <c r="T193" s="259"/>
      <c r="U193" s="179">
        <f t="shared" si="76"/>
        <v>150</v>
      </c>
      <c r="V193" s="259"/>
      <c r="W193" s="179">
        <f t="shared" si="64"/>
        <v>0</v>
      </c>
      <c r="X193" s="259"/>
      <c r="Y193" s="179">
        <f t="shared" si="65"/>
        <v>1022.73</v>
      </c>
      <c r="Z193" s="259"/>
      <c r="AA193" s="179">
        <f t="shared" si="66"/>
        <v>40</v>
      </c>
      <c r="AB193" s="259"/>
      <c r="AC193" s="179">
        <f t="shared" si="67"/>
        <v>1394.266018065</v>
      </c>
      <c r="AD193" s="238">
        <f t="shared" ref="AD193:AD256" si="78">Mat_Col_Deduct+Mat_Col_Copay+Mat_Col_Coinsur</f>
        <v>0</v>
      </c>
      <c r="AE193" s="179">
        <f t="shared" si="68"/>
        <v>2456.996018065</v>
      </c>
      <c r="AF193" s="264"/>
      <c r="AG193" s="179">
        <f t="shared" si="69"/>
        <v>1000</v>
      </c>
      <c r="AH193" s="268"/>
      <c r="AI193" s="179">
        <f t="shared" si="70"/>
        <v>0</v>
      </c>
      <c r="AJ193" s="268"/>
      <c r="AK193" s="179">
        <f t="shared" si="71"/>
        <v>22.73</v>
      </c>
      <c r="AL193" s="268"/>
      <c r="AM193" s="179">
        <f t="shared" si="72"/>
        <v>0</v>
      </c>
      <c r="AN193" s="268"/>
      <c r="AO193" s="179">
        <f t="shared" si="73"/>
        <v>0</v>
      </c>
      <c r="AP193" s="268"/>
      <c r="AQ193" s="179">
        <f t="shared" si="77"/>
        <v>0</v>
      </c>
      <c r="AR193" s="273"/>
      <c r="AS193" s="305">
        <f t="shared" si="74"/>
        <v>0</v>
      </c>
      <c r="AT193" s="273"/>
      <c r="AU193" s="305">
        <f t="shared" si="75"/>
        <v>0</v>
      </c>
    </row>
    <row r="194" spans="1:47" s="34" customFormat="1" hidden="1" x14ac:dyDescent="0.25">
      <c r="A194" s="87"/>
      <c r="B194" s="42"/>
      <c r="C194" s="41"/>
      <c r="D194" s="41"/>
      <c r="E194" s="40"/>
      <c r="F194" s="40"/>
      <c r="G194" s="40"/>
      <c r="H194" s="40"/>
      <c r="I194" s="160"/>
      <c r="J194" s="41"/>
      <c r="K194" s="41"/>
      <c r="L194" s="41"/>
      <c r="M194" s="41"/>
      <c r="N194" s="41"/>
      <c r="O194" s="41"/>
      <c r="P194" s="188"/>
      <c r="Q194" s="236"/>
      <c r="R194" s="280"/>
      <c r="S194" s="179">
        <f t="shared" si="63"/>
        <v>4859.3864915304011</v>
      </c>
      <c r="T194" s="259"/>
      <c r="U194" s="179">
        <f t="shared" si="76"/>
        <v>150</v>
      </c>
      <c r="V194" s="259"/>
      <c r="W194" s="179">
        <f t="shared" si="64"/>
        <v>0</v>
      </c>
      <c r="X194" s="259"/>
      <c r="Y194" s="179">
        <f t="shared" si="65"/>
        <v>1022.73</v>
      </c>
      <c r="Z194" s="259"/>
      <c r="AA194" s="179">
        <f t="shared" si="66"/>
        <v>40</v>
      </c>
      <c r="AB194" s="259"/>
      <c r="AC194" s="179">
        <f t="shared" si="67"/>
        <v>1394.266018065</v>
      </c>
      <c r="AD194" s="238">
        <f t="shared" si="78"/>
        <v>0</v>
      </c>
      <c r="AE194" s="179">
        <f t="shared" si="68"/>
        <v>2456.996018065</v>
      </c>
      <c r="AF194" s="264"/>
      <c r="AG194" s="179">
        <f t="shared" si="69"/>
        <v>1000</v>
      </c>
      <c r="AH194" s="268"/>
      <c r="AI194" s="179">
        <f t="shared" si="70"/>
        <v>0</v>
      </c>
      <c r="AJ194" s="268"/>
      <c r="AK194" s="179">
        <f t="shared" si="71"/>
        <v>22.73</v>
      </c>
      <c r="AL194" s="268"/>
      <c r="AM194" s="179">
        <f t="shared" si="72"/>
        <v>0</v>
      </c>
      <c r="AN194" s="268"/>
      <c r="AO194" s="179">
        <f t="shared" si="73"/>
        <v>0</v>
      </c>
      <c r="AP194" s="268"/>
      <c r="AQ194" s="179">
        <f t="shared" si="77"/>
        <v>0</v>
      </c>
      <c r="AR194" s="273"/>
      <c r="AS194" s="305">
        <f t="shared" si="74"/>
        <v>0</v>
      </c>
      <c r="AT194" s="273"/>
      <c r="AU194" s="305">
        <f t="shared" si="75"/>
        <v>0</v>
      </c>
    </row>
    <row r="195" spans="1:47" s="34" customFormat="1" hidden="1" x14ac:dyDescent="0.25">
      <c r="A195" s="87"/>
      <c r="B195" s="42"/>
      <c r="C195" s="41"/>
      <c r="D195" s="41"/>
      <c r="E195" s="40"/>
      <c r="F195" s="40"/>
      <c r="G195" s="40"/>
      <c r="H195" s="40"/>
      <c r="I195" s="160"/>
      <c r="J195" s="41"/>
      <c r="K195" s="41"/>
      <c r="L195" s="41"/>
      <c r="M195" s="41"/>
      <c r="N195" s="41"/>
      <c r="O195" s="41"/>
      <c r="P195" s="188"/>
      <c r="Q195" s="236"/>
      <c r="R195" s="280"/>
      <c r="S195" s="179">
        <f t="shared" ref="S195:S258" si="79">S194+R195</f>
        <v>4859.3864915304011</v>
      </c>
      <c r="T195" s="259"/>
      <c r="U195" s="179">
        <f t="shared" si="76"/>
        <v>150</v>
      </c>
      <c r="V195" s="259"/>
      <c r="W195" s="179">
        <f t="shared" ref="W195:W258" si="80">W194+V195</f>
        <v>0</v>
      </c>
      <c r="X195" s="259"/>
      <c r="Y195" s="179">
        <f t="shared" ref="Y195:Y258" si="81">Y194+X195</f>
        <v>1022.73</v>
      </c>
      <c r="Z195" s="259"/>
      <c r="AA195" s="179">
        <f t="shared" ref="AA195:AA258" si="82">AA194+Z195</f>
        <v>40</v>
      </c>
      <c r="AB195" s="259"/>
      <c r="AC195" s="179">
        <f t="shared" ref="AC195:AC258" si="83">AC194+AB195</f>
        <v>1394.266018065</v>
      </c>
      <c r="AD195" s="238">
        <f t="shared" si="78"/>
        <v>0</v>
      </c>
      <c r="AE195" s="179">
        <f t="shared" ref="AE195:AE258" si="84">AE194+AD195</f>
        <v>2456.996018065</v>
      </c>
      <c r="AF195" s="264"/>
      <c r="AG195" s="179">
        <f t="shared" ref="AG195:AG258" si="85">AG194+AF195</f>
        <v>1000</v>
      </c>
      <c r="AH195" s="268"/>
      <c r="AI195" s="179">
        <f t="shared" ref="AI195:AI258" si="86">AI194+AH195</f>
        <v>0</v>
      </c>
      <c r="AJ195" s="268"/>
      <c r="AK195" s="179">
        <f t="shared" ref="AK195:AK258" si="87">AK194+AJ195</f>
        <v>22.73</v>
      </c>
      <c r="AL195" s="268"/>
      <c r="AM195" s="179">
        <f t="shared" ref="AM195:AM258" si="88">AM194+AL195</f>
        <v>0</v>
      </c>
      <c r="AN195" s="268"/>
      <c r="AO195" s="179">
        <f t="shared" ref="AO195:AO258" si="89">AO194+AN195</f>
        <v>0</v>
      </c>
      <c r="AP195" s="268"/>
      <c r="AQ195" s="179">
        <f t="shared" si="77"/>
        <v>0</v>
      </c>
      <c r="AR195" s="273"/>
      <c r="AS195" s="305">
        <f t="shared" ref="AS195:AS258" si="90">AS194+AR195</f>
        <v>0</v>
      </c>
      <c r="AT195" s="273"/>
      <c r="AU195" s="305">
        <f t="shared" ref="AU195:AU258" si="91">AU194+AT195</f>
        <v>0</v>
      </c>
    </row>
    <row r="196" spans="1:47" s="34" customFormat="1" hidden="1" x14ac:dyDescent="0.25">
      <c r="A196" s="87"/>
      <c r="B196" s="42"/>
      <c r="C196" s="41"/>
      <c r="D196" s="41"/>
      <c r="E196" s="40"/>
      <c r="F196" s="40"/>
      <c r="G196" s="40"/>
      <c r="H196" s="40"/>
      <c r="I196" s="160"/>
      <c r="J196" s="41"/>
      <c r="K196" s="41"/>
      <c r="L196" s="41"/>
      <c r="M196" s="41"/>
      <c r="N196" s="41"/>
      <c r="O196" s="41"/>
      <c r="P196" s="188"/>
      <c r="Q196" s="236"/>
      <c r="R196" s="280"/>
      <c r="S196" s="179">
        <f t="shared" si="79"/>
        <v>4859.3864915304011</v>
      </c>
      <c r="T196" s="259"/>
      <c r="U196" s="179">
        <f t="shared" si="76"/>
        <v>150</v>
      </c>
      <c r="V196" s="259"/>
      <c r="W196" s="179">
        <f t="shared" si="80"/>
        <v>0</v>
      </c>
      <c r="X196" s="259"/>
      <c r="Y196" s="179">
        <f t="shared" si="81"/>
        <v>1022.73</v>
      </c>
      <c r="Z196" s="259"/>
      <c r="AA196" s="179">
        <f t="shared" si="82"/>
        <v>40</v>
      </c>
      <c r="AB196" s="259"/>
      <c r="AC196" s="179">
        <f t="shared" si="83"/>
        <v>1394.266018065</v>
      </c>
      <c r="AD196" s="238">
        <f t="shared" si="78"/>
        <v>0</v>
      </c>
      <c r="AE196" s="179">
        <f t="shared" si="84"/>
        <v>2456.996018065</v>
      </c>
      <c r="AF196" s="264"/>
      <c r="AG196" s="179">
        <f t="shared" si="85"/>
        <v>1000</v>
      </c>
      <c r="AH196" s="268"/>
      <c r="AI196" s="179">
        <f t="shared" si="86"/>
        <v>0</v>
      </c>
      <c r="AJ196" s="268"/>
      <c r="AK196" s="179">
        <f t="shared" si="87"/>
        <v>22.73</v>
      </c>
      <c r="AL196" s="268"/>
      <c r="AM196" s="179">
        <f t="shared" si="88"/>
        <v>0</v>
      </c>
      <c r="AN196" s="268"/>
      <c r="AO196" s="179">
        <f t="shared" si="89"/>
        <v>0</v>
      </c>
      <c r="AP196" s="268"/>
      <c r="AQ196" s="179">
        <f t="shared" si="77"/>
        <v>0</v>
      </c>
      <c r="AR196" s="273"/>
      <c r="AS196" s="305">
        <f t="shared" si="90"/>
        <v>0</v>
      </c>
      <c r="AT196" s="273"/>
      <c r="AU196" s="305">
        <f t="shared" si="91"/>
        <v>0</v>
      </c>
    </row>
    <row r="197" spans="1:47" s="34" customFormat="1" hidden="1" x14ac:dyDescent="0.25">
      <c r="A197" s="87"/>
      <c r="B197" s="42"/>
      <c r="C197" s="41"/>
      <c r="D197" s="41"/>
      <c r="E197" s="40"/>
      <c r="F197" s="40"/>
      <c r="G197" s="40"/>
      <c r="H197" s="40"/>
      <c r="I197" s="160"/>
      <c r="J197" s="41"/>
      <c r="K197" s="41"/>
      <c r="L197" s="41"/>
      <c r="M197" s="41"/>
      <c r="N197" s="41"/>
      <c r="O197" s="41"/>
      <c r="P197" s="188"/>
      <c r="Q197" s="236"/>
      <c r="R197" s="280"/>
      <c r="S197" s="179">
        <f t="shared" si="79"/>
        <v>4859.3864915304011</v>
      </c>
      <c r="T197" s="259"/>
      <c r="U197" s="179">
        <f t="shared" ref="U197:U260" si="92">U196+T197</f>
        <v>150</v>
      </c>
      <c r="V197" s="259"/>
      <c r="W197" s="179">
        <f t="shared" si="80"/>
        <v>0</v>
      </c>
      <c r="X197" s="259"/>
      <c r="Y197" s="179">
        <f t="shared" si="81"/>
        <v>1022.73</v>
      </c>
      <c r="Z197" s="259"/>
      <c r="AA197" s="179">
        <f t="shared" si="82"/>
        <v>40</v>
      </c>
      <c r="AB197" s="259"/>
      <c r="AC197" s="179">
        <f t="shared" si="83"/>
        <v>1394.266018065</v>
      </c>
      <c r="AD197" s="238">
        <f t="shared" si="78"/>
        <v>0</v>
      </c>
      <c r="AE197" s="179">
        <f t="shared" si="84"/>
        <v>2456.996018065</v>
      </c>
      <c r="AF197" s="264"/>
      <c r="AG197" s="179">
        <f t="shared" si="85"/>
        <v>1000</v>
      </c>
      <c r="AH197" s="268"/>
      <c r="AI197" s="179">
        <f t="shared" si="86"/>
        <v>0</v>
      </c>
      <c r="AJ197" s="268"/>
      <c r="AK197" s="179">
        <f t="shared" si="87"/>
        <v>22.73</v>
      </c>
      <c r="AL197" s="268"/>
      <c r="AM197" s="179">
        <f t="shared" si="88"/>
        <v>0</v>
      </c>
      <c r="AN197" s="268"/>
      <c r="AO197" s="179">
        <f t="shared" si="89"/>
        <v>0</v>
      </c>
      <c r="AP197" s="268"/>
      <c r="AQ197" s="179">
        <f t="shared" ref="AQ197:AQ260" si="93">AQ196+AP197</f>
        <v>0</v>
      </c>
      <c r="AR197" s="273"/>
      <c r="AS197" s="305">
        <f t="shared" si="90"/>
        <v>0</v>
      </c>
      <c r="AT197" s="273"/>
      <c r="AU197" s="305">
        <f t="shared" si="91"/>
        <v>0</v>
      </c>
    </row>
    <row r="198" spans="1:47" s="34" customFormat="1" hidden="1" x14ac:dyDescent="0.25">
      <c r="A198" s="87"/>
      <c r="B198" s="42"/>
      <c r="C198" s="41"/>
      <c r="D198" s="41"/>
      <c r="E198" s="40"/>
      <c r="F198" s="40"/>
      <c r="G198" s="40"/>
      <c r="H198" s="40"/>
      <c r="I198" s="160"/>
      <c r="J198" s="41"/>
      <c r="K198" s="41"/>
      <c r="L198" s="41"/>
      <c r="M198" s="41"/>
      <c r="N198" s="41"/>
      <c r="O198" s="41"/>
      <c r="P198" s="188"/>
      <c r="Q198" s="236"/>
      <c r="R198" s="280"/>
      <c r="S198" s="179">
        <f t="shared" si="79"/>
        <v>4859.3864915304011</v>
      </c>
      <c r="T198" s="259"/>
      <c r="U198" s="179">
        <f t="shared" si="92"/>
        <v>150</v>
      </c>
      <c r="V198" s="259"/>
      <c r="W198" s="179">
        <f t="shared" si="80"/>
        <v>0</v>
      </c>
      <c r="X198" s="259"/>
      <c r="Y198" s="179">
        <f t="shared" si="81"/>
        <v>1022.73</v>
      </c>
      <c r="Z198" s="259"/>
      <c r="AA198" s="179">
        <f t="shared" si="82"/>
        <v>40</v>
      </c>
      <c r="AB198" s="259"/>
      <c r="AC198" s="179">
        <f t="shared" si="83"/>
        <v>1394.266018065</v>
      </c>
      <c r="AD198" s="238">
        <f t="shared" si="78"/>
        <v>0</v>
      </c>
      <c r="AE198" s="179">
        <f t="shared" si="84"/>
        <v>2456.996018065</v>
      </c>
      <c r="AF198" s="264"/>
      <c r="AG198" s="179">
        <f t="shared" si="85"/>
        <v>1000</v>
      </c>
      <c r="AH198" s="268"/>
      <c r="AI198" s="179">
        <f t="shared" si="86"/>
        <v>0</v>
      </c>
      <c r="AJ198" s="268"/>
      <c r="AK198" s="179">
        <f t="shared" si="87"/>
        <v>22.73</v>
      </c>
      <c r="AL198" s="268"/>
      <c r="AM198" s="179">
        <f t="shared" si="88"/>
        <v>0</v>
      </c>
      <c r="AN198" s="268"/>
      <c r="AO198" s="179">
        <f t="shared" si="89"/>
        <v>0</v>
      </c>
      <c r="AP198" s="268"/>
      <c r="AQ198" s="179">
        <f t="shared" si="93"/>
        <v>0</v>
      </c>
      <c r="AR198" s="273"/>
      <c r="AS198" s="305">
        <f t="shared" si="90"/>
        <v>0</v>
      </c>
      <c r="AT198" s="273"/>
      <c r="AU198" s="305">
        <f t="shared" si="91"/>
        <v>0</v>
      </c>
    </row>
    <row r="199" spans="1:47" s="34" customFormat="1" hidden="1" x14ac:dyDescent="0.25">
      <c r="A199" s="87"/>
      <c r="B199" s="42"/>
      <c r="C199" s="41"/>
      <c r="D199" s="41"/>
      <c r="E199" s="40"/>
      <c r="F199" s="40"/>
      <c r="G199" s="40"/>
      <c r="H199" s="40"/>
      <c r="I199" s="160"/>
      <c r="J199" s="41"/>
      <c r="K199" s="41"/>
      <c r="L199" s="41"/>
      <c r="M199" s="41"/>
      <c r="N199" s="41"/>
      <c r="O199" s="41"/>
      <c r="P199" s="188"/>
      <c r="Q199" s="236"/>
      <c r="R199" s="280"/>
      <c r="S199" s="179">
        <f t="shared" si="79"/>
        <v>4859.3864915304011</v>
      </c>
      <c r="T199" s="259"/>
      <c r="U199" s="179">
        <f t="shared" si="92"/>
        <v>150</v>
      </c>
      <c r="V199" s="259"/>
      <c r="W199" s="179">
        <f t="shared" si="80"/>
        <v>0</v>
      </c>
      <c r="X199" s="259"/>
      <c r="Y199" s="179">
        <f t="shared" si="81"/>
        <v>1022.73</v>
      </c>
      <c r="Z199" s="259"/>
      <c r="AA199" s="179">
        <f t="shared" si="82"/>
        <v>40</v>
      </c>
      <c r="AB199" s="259"/>
      <c r="AC199" s="179">
        <f t="shared" si="83"/>
        <v>1394.266018065</v>
      </c>
      <c r="AD199" s="238">
        <f t="shared" si="78"/>
        <v>0</v>
      </c>
      <c r="AE199" s="179">
        <f t="shared" si="84"/>
        <v>2456.996018065</v>
      </c>
      <c r="AF199" s="264"/>
      <c r="AG199" s="179">
        <f t="shared" si="85"/>
        <v>1000</v>
      </c>
      <c r="AH199" s="268"/>
      <c r="AI199" s="179">
        <f t="shared" si="86"/>
        <v>0</v>
      </c>
      <c r="AJ199" s="268"/>
      <c r="AK199" s="179">
        <f t="shared" si="87"/>
        <v>22.73</v>
      </c>
      <c r="AL199" s="268"/>
      <c r="AM199" s="179">
        <f t="shared" si="88"/>
        <v>0</v>
      </c>
      <c r="AN199" s="268"/>
      <c r="AO199" s="179">
        <f t="shared" si="89"/>
        <v>0</v>
      </c>
      <c r="AP199" s="268"/>
      <c r="AQ199" s="179">
        <f t="shared" si="93"/>
        <v>0</v>
      </c>
      <c r="AR199" s="273"/>
      <c r="AS199" s="305">
        <f t="shared" si="90"/>
        <v>0</v>
      </c>
      <c r="AT199" s="273"/>
      <c r="AU199" s="305">
        <f t="shared" si="91"/>
        <v>0</v>
      </c>
    </row>
    <row r="200" spans="1:47" s="34" customFormat="1" hidden="1" x14ac:dyDescent="0.25">
      <c r="A200" s="87"/>
      <c r="B200" s="42"/>
      <c r="C200" s="41"/>
      <c r="D200" s="41"/>
      <c r="E200" s="40"/>
      <c r="F200" s="40"/>
      <c r="G200" s="40"/>
      <c r="H200" s="40"/>
      <c r="I200" s="160"/>
      <c r="J200" s="41"/>
      <c r="K200" s="41"/>
      <c r="L200" s="41"/>
      <c r="M200" s="41"/>
      <c r="N200" s="41"/>
      <c r="O200" s="41"/>
      <c r="P200" s="188"/>
      <c r="Q200" s="236"/>
      <c r="R200" s="280"/>
      <c r="S200" s="179">
        <f t="shared" si="79"/>
        <v>4859.3864915304011</v>
      </c>
      <c r="T200" s="259"/>
      <c r="U200" s="179">
        <f t="shared" si="92"/>
        <v>150</v>
      </c>
      <c r="V200" s="259"/>
      <c r="W200" s="179">
        <f t="shared" si="80"/>
        <v>0</v>
      </c>
      <c r="X200" s="259"/>
      <c r="Y200" s="179">
        <f t="shared" si="81"/>
        <v>1022.73</v>
      </c>
      <c r="Z200" s="259"/>
      <c r="AA200" s="179">
        <f t="shared" si="82"/>
        <v>40</v>
      </c>
      <c r="AB200" s="259"/>
      <c r="AC200" s="179">
        <f t="shared" si="83"/>
        <v>1394.266018065</v>
      </c>
      <c r="AD200" s="238">
        <f t="shared" si="78"/>
        <v>0</v>
      </c>
      <c r="AE200" s="179">
        <f t="shared" si="84"/>
        <v>2456.996018065</v>
      </c>
      <c r="AF200" s="264"/>
      <c r="AG200" s="179">
        <f t="shared" si="85"/>
        <v>1000</v>
      </c>
      <c r="AH200" s="268"/>
      <c r="AI200" s="179">
        <f t="shared" si="86"/>
        <v>0</v>
      </c>
      <c r="AJ200" s="268"/>
      <c r="AK200" s="179">
        <f t="shared" si="87"/>
        <v>22.73</v>
      </c>
      <c r="AL200" s="268"/>
      <c r="AM200" s="179">
        <f t="shared" si="88"/>
        <v>0</v>
      </c>
      <c r="AN200" s="268"/>
      <c r="AO200" s="179">
        <f t="shared" si="89"/>
        <v>0</v>
      </c>
      <c r="AP200" s="268"/>
      <c r="AQ200" s="179">
        <f t="shared" si="93"/>
        <v>0</v>
      </c>
      <c r="AR200" s="273"/>
      <c r="AS200" s="305">
        <f t="shared" si="90"/>
        <v>0</v>
      </c>
      <c r="AT200" s="273"/>
      <c r="AU200" s="305">
        <f t="shared" si="91"/>
        <v>0</v>
      </c>
    </row>
    <row r="201" spans="1:47" s="34" customFormat="1" hidden="1" x14ac:dyDescent="0.25">
      <c r="A201" s="87"/>
      <c r="B201" s="42"/>
      <c r="C201" s="41"/>
      <c r="D201" s="41"/>
      <c r="E201" s="40"/>
      <c r="F201" s="40"/>
      <c r="G201" s="40"/>
      <c r="H201" s="40"/>
      <c r="I201" s="160"/>
      <c r="J201" s="41"/>
      <c r="K201" s="41"/>
      <c r="L201" s="41"/>
      <c r="M201" s="41"/>
      <c r="N201" s="41"/>
      <c r="O201" s="41"/>
      <c r="P201" s="188"/>
      <c r="Q201" s="236"/>
      <c r="R201" s="280"/>
      <c r="S201" s="179">
        <f t="shared" si="79"/>
        <v>4859.3864915304011</v>
      </c>
      <c r="T201" s="259"/>
      <c r="U201" s="179">
        <f t="shared" si="92"/>
        <v>150</v>
      </c>
      <c r="V201" s="259"/>
      <c r="W201" s="179">
        <f t="shared" si="80"/>
        <v>0</v>
      </c>
      <c r="X201" s="259"/>
      <c r="Y201" s="179">
        <f t="shared" si="81"/>
        <v>1022.73</v>
      </c>
      <c r="Z201" s="259"/>
      <c r="AA201" s="179">
        <f t="shared" si="82"/>
        <v>40</v>
      </c>
      <c r="AB201" s="259"/>
      <c r="AC201" s="179">
        <f t="shared" si="83"/>
        <v>1394.266018065</v>
      </c>
      <c r="AD201" s="238">
        <f t="shared" si="78"/>
        <v>0</v>
      </c>
      <c r="AE201" s="179">
        <f t="shared" si="84"/>
        <v>2456.996018065</v>
      </c>
      <c r="AF201" s="264"/>
      <c r="AG201" s="179">
        <f t="shared" si="85"/>
        <v>1000</v>
      </c>
      <c r="AH201" s="268"/>
      <c r="AI201" s="179">
        <f t="shared" si="86"/>
        <v>0</v>
      </c>
      <c r="AJ201" s="268"/>
      <c r="AK201" s="179">
        <f t="shared" si="87"/>
        <v>22.73</v>
      </c>
      <c r="AL201" s="268"/>
      <c r="AM201" s="179">
        <f t="shared" si="88"/>
        <v>0</v>
      </c>
      <c r="AN201" s="268"/>
      <c r="AO201" s="179">
        <f t="shared" si="89"/>
        <v>0</v>
      </c>
      <c r="AP201" s="268"/>
      <c r="AQ201" s="179">
        <f t="shared" si="93"/>
        <v>0</v>
      </c>
      <c r="AR201" s="273"/>
      <c r="AS201" s="305">
        <f t="shared" si="90"/>
        <v>0</v>
      </c>
      <c r="AT201" s="273"/>
      <c r="AU201" s="305">
        <f t="shared" si="91"/>
        <v>0</v>
      </c>
    </row>
    <row r="202" spans="1:47" s="34" customFormat="1" hidden="1" x14ac:dyDescent="0.25">
      <c r="A202" s="87"/>
      <c r="B202" s="42"/>
      <c r="C202" s="41"/>
      <c r="D202" s="41"/>
      <c r="E202" s="40"/>
      <c r="F202" s="40"/>
      <c r="G202" s="40"/>
      <c r="H202" s="40"/>
      <c r="I202" s="160"/>
      <c r="J202" s="41"/>
      <c r="K202" s="41"/>
      <c r="L202" s="41"/>
      <c r="M202" s="41"/>
      <c r="N202" s="41"/>
      <c r="O202" s="41"/>
      <c r="P202" s="188"/>
      <c r="Q202" s="236"/>
      <c r="R202" s="280"/>
      <c r="S202" s="179">
        <f t="shared" si="79"/>
        <v>4859.3864915304011</v>
      </c>
      <c r="T202" s="259"/>
      <c r="U202" s="179">
        <f t="shared" si="92"/>
        <v>150</v>
      </c>
      <c r="V202" s="259"/>
      <c r="W202" s="179">
        <f t="shared" si="80"/>
        <v>0</v>
      </c>
      <c r="X202" s="259"/>
      <c r="Y202" s="179">
        <f t="shared" si="81"/>
        <v>1022.73</v>
      </c>
      <c r="Z202" s="259"/>
      <c r="AA202" s="179">
        <f t="shared" si="82"/>
        <v>40</v>
      </c>
      <c r="AB202" s="259"/>
      <c r="AC202" s="179">
        <f t="shared" si="83"/>
        <v>1394.266018065</v>
      </c>
      <c r="AD202" s="238">
        <f t="shared" si="78"/>
        <v>0</v>
      </c>
      <c r="AE202" s="179">
        <f t="shared" si="84"/>
        <v>2456.996018065</v>
      </c>
      <c r="AF202" s="264"/>
      <c r="AG202" s="179">
        <f t="shared" si="85"/>
        <v>1000</v>
      </c>
      <c r="AH202" s="268"/>
      <c r="AI202" s="179">
        <f t="shared" si="86"/>
        <v>0</v>
      </c>
      <c r="AJ202" s="268"/>
      <c r="AK202" s="179">
        <f t="shared" si="87"/>
        <v>22.73</v>
      </c>
      <c r="AL202" s="268"/>
      <c r="AM202" s="179">
        <f t="shared" si="88"/>
        <v>0</v>
      </c>
      <c r="AN202" s="268"/>
      <c r="AO202" s="179">
        <f t="shared" si="89"/>
        <v>0</v>
      </c>
      <c r="AP202" s="268"/>
      <c r="AQ202" s="179">
        <f t="shared" si="93"/>
        <v>0</v>
      </c>
      <c r="AR202" s="273"/>
      <c r="AS202" s="305">
        <f t="shared" si="90"/>
        <v>0</v>
      </c>
      <c r="AT202" s="273"/>
      <c r="AU202" s="305">
        <f t="shared" si="91"/>
        <v>0</v>
      </c>
    </row>
    <row r="203" spans="1:47" s="34" customFormat="1" hidden="1" x14ac:dyDescent="0.25">
      <c r="A203" s="87"/>
      <c r="B203" s="42"/>
      <c r="C203" s="41"/>
      <c r="D203" s="41"/>
      <c r="E203" s="40"/>
      <c r="F203" s="40"/>
      <c r="G203" s="40"/>
      <c r="H203" s="40"/>
      <c r="I203" s="160"/>
      <c r="J203" s="41"/>
      <c r="K203" s="41"/>
      <c r="L203" s="41"/>
      <c r="M203" s="41"/>
      <c r="N203" s="41"/>
      <c r="O203" s="41"/>
      <c r="P203" s="188"/>
      <c r="Q203" s="236"/>
      <c r="R203" s="280"/>
      <c r="S203" s="179">
        <f t="shared" si="79"/>
        <v>4859.3864915304011</v>
      </c>
      <c r="T203" s="259"/>
      <c r="U203" s="179">
        <f t="shared" si="92"/>
        <v>150</v>
      </c>
      <c r="V203" s="259"/>
      <c r="W203" s="179">
        <f t="shared" si="80"/>
        <v>0</v>
      </c>
      <c r="X203" s="259"/>
      <c r="Y203" s="179">
        <f t="shared" si="81"/>
        <v>1022.73</v>
      </c>
      <c r="Z203" s="259"/>
      <c r="AA203" s="179">
        <f t="shared" si="82"/>
        <v>40</v>
      </c>
      <c r="AB203" s="259"/>
      <c r="AC203" s="179">
        <f t="shared" si="83"/>
        <v>1394.266018065</v>
      </c>
      <c r="AD203" s="238">
        <f t="shared" si="78"/>
        <v>0</v>
      </c>
      <c r="AE203" s="179">
        <f t="shared" si="84"/>
        <v>2456.996018065</v>
      </c>
      <c r="AF203" s="264"/>
      <c r="AG203" s="179">
        <f t="shared" si="85"/>
        <v>1000</v>
      </c>
      <c r="AH203" s="268"/>
      <c r="AI203" s="179">
        <f t="shared" si="86"/>
        <v>0</v>
      </c>
      <c r="AJ203" s="268"/>
      <c r="AK203" s="179">
        <f t="shared" si="87"/>
        <v>22.73</v>
      </c>
      <c r="AL203" s="268"/>
      <c r="AM203" s="179">
        <f t="shared" si="88"/>
        <v>0</v>
      </c>
      <c r="AN203" s="268"/>
      <c r="AO203" s="179">
        <f t="shared" si="89"/>
        <v>0</v>
      </c>
      <c r="AP203" s="268"/>
      <c r="AQ203" s="179">
        <f t="shared" si="93"/>
        <v>0</v>
      </c>
      <c r="AR203" s="273"/>
      <c r="AS203" s="305">
        <f t="shared" si="90"/>
        <v>0</v>
      </c>
      <c r="AT203" s="273"/>
      <c r="AU203" s="305">
        <f t="shared" si="91"/>
        <v>0</v>
      </c>
    </row>
    <row r="204" spans="1:47" s="34" customFormat="1" hidden="1" x14ac:dyDescent="0.25">
      <c r="A204" s="87"/>
      <c r="B204" s="42"/>
      <c r="C204" s="41"/>
      <c r="D204" s="41"/>
      <c r="E204" s="40"/>
      <c r="F204" s="40"/>
      <c r="G204" s="40"/>
      <c r="H204" s="40"/>
      <c r="I204" s="160"/>
      <c r="J204" s="41"/>
      <c r="K204" s="41"/>
      <c r="L204" s="41"/>
      <c r="M204" s="41"/>
      <c r="N204" s="41"/>
      <c r="O204" s="41"/>
      <c r="P204" s="188"/>
      <c r="Q204" s="236"/>
      <c r="R204" s="280"/>
      <c r="S204" s="179">
        <f t="shared" si="79"/>
        <v>4859.3864915304011</v>
      </c>
      <c r="T204" s="259"/>
      <c r="U204" s="179">
        <f t="shared" si="92"/>
        <v>150</v>
      </c>
      <c r="V204" s="259"/>
      <c r="W204" s="179">
        <f t="shared" si="80"/>
        <v>0</v>
      </c>
      <c r="X204" s="259"/>
      <c r="Y204" s="179">
        <f t="shared" si="81"/>
        <v>1022.73</v>
      </c>
      <c r="Z204" s="259"/>
      <c r="AA204" s="179">
        <f t="shared" si="82"/>
        <v>40</v>
      </c>
      <c r="AB204" s="259"/>
      <c r="AC204" s="179">
        <f t="shared" si="83"/>
        <v>1394.266018065</v>
      </c>
      <c r="AD204" s="238">
        <f t="shared" si="78"/>
        <v>0</v>
      </c>
      <c r="AE204" s="179">
        <f t="shared" si="84"/>
        <v>2456.996018065</v>
      </c>
      <c r="AF204" s="264"/>
      <c r="AG204" s="179">
        <f t="shared" si="85"/>
        <v>1000</v>
      </c>
      <c r="AH204" s="268"/>
      <c r="AI204" s="179">
        <f t="shared" si="86"/>
        <v>0</v>
      </c>
      <c r="AJ204" s="268"/>
      <c r="AK204" s="179">
        <f t="shared" si="87"/>
        <v>22.73</v>
      </c>
      <c r="AL204" s="268"/>
      <c r="AM204" s="179">
        <f t="shared" si="88"/>
        <v>0</v>
      </c>
      <c r="AN204" s="268"/>
      <c r="AO204" s="179">
        <f t="shared" si="89"/>
        <v>0</v>
      </c>
      <c r="AP204" s="268"/>
      <c r="AQ204" s="179">
        <f t="shared" si="93"/>
        <v>0</v>
      </c>
      <c r="AR204" s="273"/>
      <c r="AS204" s="305">
        <f t="shared" si="90"/>
        <v>0</v>
      </c>
      <c r="AT204" s="273"/>
      <c r="AU204" s="305">
        <f t="shared" si="91"/>
        <v>0</v>
      </c>
    </row>
    <row r="205" spans="1:47" s="34" customFormat="1" hidden="1" x14ac:dyDescent="0.25">
      <c r="A205" s="87"/>
      <c r="B205" s="42"/>
      <c r="C205" s="41"/>
      <c r="D205" s="41"/>
      <c r="E205" s="40"/>
      <c r="F205" s="40"/>
      <c r="G205" s="40"/>
      <c r="H205" s="40"/>
      <c r="I205" s="160"/>
      <c r="J205" s="41"/>
      <c r="K205" s="41"/>
      <c r="L205" s="41"/>
      <c r="M205" s="41"/>
      <c r="N205" s="41"/>
      <c r="O205" s="41"/>
      <c r="P205" s="188"/>
      <c r="Q205" s="236"/>
      <c r="R205" s="280"/>
      <c r="S205" s="179">
        <f t="shared" si="79"/>
        <v>4859.3864915304011</v>
      </c>
      <c r="T205" s="259"/>
      <c r="U205" s="179">
        <f t="shared" si="92"/>
        <v>150</v>
      </c>
      <c r="V205" s="259"/>
      <c r="W205" s="179">
        <f t="shared" si="80"/>
        <v>0</v>
      </c>
      <c r="X205" s="259"/>
      <c r="Y205" s="179">
        <f t="shared" si="81"/>
        <v>1022.73</v>
      </c>
      <c r="Z205" s="259"/>
      <c r="AA205" s="179">
        <f t="shared" si="82"/>
        <v>40</v>
      </c>
      <c r="AB205" s="259"/>
      <c r="AC205" s="179">
        <f t="shared" si="83"/>
        <v>1394.266018065</v>
      </c>
      <c r="AD205" s="238">
        <f t="shared" si="78"/>
        <v>0</v>
      </c>
      <c r="AE205" s="179">
        <f t="shared" si="84"/>
        <v>2456.996018065</v>
      </c>
      <c r="AF205" s="264"/>
      <c r="AG205" s="179">
        <f t="shared" si="85"/>
        <v>1000</v>
      </c>
      <c r="AH205" s="268"/>
      <c r="AI205" s="179">
        <f t="shared" si="86"/>
        <v>0</v>
      </c>
      <c r="AJ205" s="268"/>
      <c r="AK205" s="179">
        <f t="shared" si="87"/>
        <v>22.73</v>
      </c>
      <c r="AL205" s="268"/>
      <c r="AM205" s="179">
        <f t="shared" si="88"/>
        <v>0</v>
      </c>
      <c r="AN205" s="268"/>
      <c r="AO205" s="179">
        <f t="shared" si="89"/>
        <v>0</v>
      </c>
      <c r="AP205" s="268"/>
      <c r="AQ205" s="179">
        <f t="shared" si="93"/>
        <v>0</v>
      </c>
      <c r="AR205" s="273"/>
      <c r="AS205" s="305">
        <f t="shared" si="90"/>
        <v>0</v>
      </c>
      <c r="AT205" s="273"/>
      <c r="AU205" s="305">
        <f t="shared" si="91"/>
        <v>0</v>
      </c>
    </row>
    <row r="206" spans="1:47" s="34" customFormat="1" hidden="1" x14ac:dyDescent="0.25">
      <c r="A206" s="87"/>
      <c r="B206" s="42"/>
      <c r="C206" s="41"/>
      <c r="D206" s="41"/>
      <c r="E206" s="40"/>
      <c r="F206" s="40"/>
      <c r="G206" s="40"/>
      <c r="H206" s="40"/>
      <c r="I206" s="160"/>
      <c r="J206" s="41"/>
      <c r="K206" s="41"/>
      <c r="L206" s="41"/>
      <c r="M206" s="41"/>
      <c r="N206" s="41"/>
      <c r="O206" s="41"/>
      <c r="P206" s="188"/>
      <c r="Q206" s="236"/>
      <c r="R206" s="280"/>
      <c r="S206" s="179">
        <f t="shared" si="79"/>
        <v>4859.3864915304011</v>
      </c>
      <c r="T206" s="259"/>
      <c r="U206" s="179">
        <f t="shared" si="92"/>
        <v>150</v>
      </c>
      <c r="V206" s="259"/>
      <c r="W206" s="179">
        <f t="shared" si="80"/>
        <v>0</v>
      </c>
      <c r="X206" s="259"/>
      <c r="Y206" s="179">
        <f t="shared" si="81"/>
        <v>1022.73</v>
      </c>
      <c r="Z206" s="259"/>
      <c r="AA206" s="179">
        <f t="shared" si="82"/>
        <v>40</v>
      </c>
      <c r="AB206" s="259"/>
      <c r="AC206" s="179">
        <f t="shared" si="83"/>
        <v>1394.266018065</v>
      </c>
      <c r="AD206" s="238">
        <f t="shared" si="78"/>
        <v>0</v>
      </c>
      <c r="AE206" s="179">
        <f t="shared" si="84"/>
        <v>2456.996018065</v>
      </c>
      <c r="AF206" s="264"/>
      <c r="AG206" s="179">
        <f t="shared" si="85"/>
        <v>1000</v>
      </c>
      <c r="AH206" s="268"/>
      <c r="AI206" s="179">
        <f t="shared" si="86"/>
        <v>0</v>
      </c>
      <c r="AJ206" s="268"/>
      <c r="AK206" s="179">
        <f t="shared" si="87"/>
        <v>22.73</v>
      </c>
      <c r="AL206" s="268"/>
      <c r="AM206" s="179">
        <f t="shared" si="88"/>
        <v>0</v>
      </c>
      <c r="AN206" s="268"/>
      <c r="AO206" s="179">
        <f t="shared" si="89"/>
        <v>0</v>
      </c>
      <c r="AP206" s="268"/>
      <c r="AQ206" s="179">
        <f t="shared" si="93"/>
        <v>0</v>
      </c>
      <c r="AR206" s="273"/>
      <c r="AS206" s="305">
        <f t="shared" si="90"/>
        <v>0</v>
      </c>
      <c r="AT206" s="273"/>
      <c r="AU206" s="305">
        <f t="shared" si="91"/>
        <v>0</v>
      </c>
    </row>
    <row r="207" spans="1:47" s="34" customFormat="1" hidden="1" x14ac:dyDescent="0.25">
      <c r="A207" s="87"/>
      <c r="B207" s="42"/>
      <c r="C207" s="41"/>
      <c r="D207" s="41"/>
      <c r="E207" s="40"/>
      <c r="F207" s="40"/>
      <c r="G207" s="40"/>
      <c r="H207" s="40"/>
      <c r="I207" s="160"/>
      <c r="J207" s="41"/>
      <c r="K207" s="41"/>
      <c r="L207" s="41"/>
      <c r="M207" s="41"/>
      <c r="N207" s="41"/>
      <c r="O207" s="41"/>
      <c r="P207" s="188"/>
      <c r="Q207" s="236"/>
      <c r="R207" s="280"/>
      <c r="S207" s="179">
        <f t="shared" si="79"/>
        <v>4859.3864915304011</v>
      </c>
      <c r="T207" s="259"/>
      <c r="U207" s="179">
        <f t="shared" si="92"/>
        <v>150</v>
      </c>
      <c r="V207" s="259"/>
      <c r="W207" s="179">
        <f t="shared" si="80"/>
        <v>0</v>
      </c>
      <c r="X207" s="259"/>
      <c r="Y207" s="179">
        <f t="shared" si="81"/>
        <v>1022.73</v>
      </c>
      <c r="Z207" s="259"/>
      <c r="AA207" s="179">
        <f t="shared" si="82"/>
        <v>40</v>
      </c>
      <c r="AB207" s="259"/>
      <c r="AC207" s="179">
        <f t="shared" si="83"/>
        <v>1394.266018065</v>
      </c>
      <c r="AD207" s="238">
        <f t="shared" si="78"/>
        <v>0</v>
      </c>
      <c r="AE207" s="179">
        <f t="shared" si="84"/>
        <v>2456.996018065</v>
      </c>
      <c r="AF207" s="264"/>
      <c r="AG207" s="179">
        <f t="shared" si="85"/>
        <v>1000</v>
      </c>
      <c r="AH207" s="268"/>
      <c r="AI207" s="179">
        <f t="shared" si="86"/>
        <v>0</v>
      </c>
      <c r="AJ207" s="268"/>
      <c r="AK207" s="179">
        <f t="shared" si="87"/>
        <v>22.73</v>
      </c>
      <c r="AL207" s="268"/>
      <c r="AM207" s="179">
        <f t="shared" si="88"/>
        <v>0</v>
      </c>
      <c r="AN207" s="268"/>
      <c r="AO207" s="179">
        <f t="shared" si="89"/>
        <v>0</v>
      </c>
      <c r="AP207" s="268"/>
      <c r="AQ207" s="179">
        <f t="shared" si="93"/>
        <v>0</v>
      </c>
      <c r="AR207" s="273"/>
      <c r="AS207" s="305">
        <f t="shared" si="90"/>
        <v>0</v>
      </c>
      <c r="AT207" s="273"/>
      <c r="AU207" s="305">
        <f t="shared" si="91"/>
        <v>0</v>
      </c>
    </row>
    <row r="208" spans="1:47" s="34" customFormat="1" hidden="1" x14ac:dyDescent="0.25">
      <c r="A208" s="87"/>
      <c r="B208" s="42"/>
      <c r="C208" s="41"/>
      <c r="D208" s="41"/>
      <c r="E208" s="40"/>
      <c r="F208" s="40"/>
      <c r="G208" s="40"/>
      <c r="H208" s="40"/>
      <c r="I208" s="160"/>
      <c r="J208" s="41"/>
      <c r="K208" s="41"/>
      <c r="L208" s="41"/>
      <c r="M208" s="41"/>
      <c r="N208" s="41"/>
      <c r="O208" s="41"/>
      <c r="P208" s="188"/>
      <c r="Q208" s="236"/>
      <c r="R208" s="280"/>
      <c r="S208" s="179">
        <f t="shared" si="79"/>
        <v>4859.3864915304011</v>
      </c>
      <c r="T208" s="259"/>
      <c r="U208" s="179">
        <f t="shared" si="92"/>
        <v>150</v>
      </c>
      <c r="V208" s="259"/>
      <c r="W208" s="179">
        <f t="shared" si="80"/>
        <v>0</v>
      </c>
      <c r="X208" s="259"/>
      <c r="Y208" s="179">
        <f t="shared" si="81"/>
        <v>1022.73</v>
      </c>
      <c r="Z208" s="259"/>
      <c r="AA208" s="179">
        <f t="shared" si="82"/>
        <v>40</v>
      </c>
      <c r="AB208" s="259"/>
      <c r="AC208" s="179">
        <f t="shared" si="83"/>
        <v>1394.266018065</v>
      </c>
      <c r="AD208" s="238">
        <f t="shared" si="78"/>
        <v>0</v>
      </c>
      <c r="AE208" s="179">
        <f t="shared" si="84"/>
        <v>2456.996018065</v>
      </c>
      <c r="AF208" s="264"/>
      <c r="AG208" s="179">
        <f t="shared" si="85"/>
        <v>1000</v>
      </c>
      <c r="AH208" s="268"/>
      <c r="AI208" s="179">
        <f t="shared" si="86"/>
        <v>0</v>
      </c>
      <c r="AJ208" s="268"/>
      <c r="AK208" s="179">
        <f t="shared" si="87"/>
        <v>22.73</v>
      </c>
      <c r="AL208" s="268"/>
      <c r="AM208" s="179">
        <f t="shared" si="88"/>
        <v>0</v>
      </c>
      <c r="AN208" s="268"/>
      <c r="AO208" s="179">
        <f t="shared" si="89"/>
        <v>0</v>
      </c>
      <c r="AP208" s="268"/>
      <c r="AQ208" s="179">
        <f t="shared" si="93"/>
        <v>0</v>
      </c>
      <c r="AR208" s="273"/>
      <c r="AS208" s="305">
        <f t="shared" si="90"/>
        <v>0</v>
      </c>
      <c r="AT208" s="273"/>
      <c r="AU208" s="305">
        <f t="shared" si="91"/>
        <v>0</v>
      </c>
    </row>
    <row r="209" spans="1:47" s="34" customFormat="1" hidden="1" x14ac:dyDescent="0.25">
      <c r="A209" s="87"/>
      <c r="B209" s="42"/>
      <c r="C209" s="41"/>
      <c r="D209" s="41"/>
      <c r="E209" s="40"/>
      <c r="F209" s="40"/>
      <c r="G209" s="40"/>
      <c r="H209" s="40"/>
      <c r="I209" s="160"/>
      <c r="J209" s="41"/>
      <c r="K209" s="41"/>
      <c r="L209" s="41"/>
      <c r="M209" s="41"/>
      <c r="N209" s="41"/>
      <c r="O209" s="41"/>
      <c r="P209" s="188"/>
      <c r="Q209" s="236"/>
      <c r="R209" s="280"/>
      <c r="S209" s="179">
        <f t="shared" si="79"/>
        <v>4859.3864915304011</v>
      </c>
      <c r="T209" s="259"/>
      <c r="U209" s="179">
        <f t="shared" si="92"/>
        <v>150</v>
      </c>
      <c r="V209" s="259"/>
      <c r="W209" s="179">
        <f t="shared" si="80"/>
        <v>0</v>
      </c>
      <c r="X209" s="259"/>
      <c r="Y209" s="179">
        <f t="shared" si="81"/>
        <v>1022.73</v>
      </c>
      <c r="Z209" s="259"/>
      <c r="AA209" s="179">
        <f t="shared" si="82"/>
        <v>40</v>
      </c>
      <c r="AB209" s="259"/>
      <c r="AC209" s="179">
        <f t="shared" si="83"/>
        <v>1394.266018065</v>
      </c>
      <c r="AD209" s="238">
        <f t="shared" si="78"/>
        <v>0</v>
      </c>
      <c r="AE209" s="179">
        <f t="shared" si="84"/>
        <v>2456.996018065</v>
      </c>
      <c r="AF209" s="264"/>
      <c r="AG209" s="179">
        <f t="shared" si="85"/>
        <v>1000</v>
      </c>
      <c r="AH209" s="268"/>
      <c r="AI209" s="179">
        <f t="shared" si="86"/>
        <v>0</v>
      </c>
      <c r="AJ209" s="268"/>
      <c r="AK209" s="179">
        <f t="shared" si="87"/>
        <v>22.73</v>
      </c>
      <c r="AL209" s="268"/>
      <c r="AM209" s="179">
        <f t="shared" si="88"/>
        <v>0</v>
      </c>
      <c r="AN209" s="268"/>
      <c r="AO209" s="179">
        <f t="shared" si="89"/>
        <v>0</v>
      </c>
      <c r="AP209" s="268"/>
      <c r="AQ209" s="179">
        <f t="shared" si="93"/>
        <v>0</v>
      </c>
      <c r="AR209" s="273"/>
      <c r="AS209" s="305">
        <f t="shared" si="90"/>
        <v>0</v>
      </c>
      <c r="AT209" s="273"/>
      <c r="AU209" s="305">
        <f t="shared" si="91"/>
        <v>0</v>
      </c>
    </row>
    <row r="210" spans="1:47" s="34" customFormat="1" hidden="1" x14ac:dyDescent="0.25">
      <c r="A210" s="87"/>
      <c r="B210" s="42"/>
      <c r="C210" s="41"/>
      <c r="D210" s="41"/>
      <c r="E210" s="40"/>
      <c r="F210" s="40"/>
      <c r="G210" s="40"/>
      <c r="H210" s="40"/>
      <c r="I210" s="160"/>
      <c r="J210" s="41"/>
      <c r="K210" s="41"/>
      <c r="L210" s="41"/>
      <c r="M210" s="41"/>
      <c r="N210" s="41"/>
      <c r="O210" s="41"/>
      <c r="P210" s="188"/>
      <c r="Q210" s="236"/>
      <c r="R210" s="280"/>
      <c r="S210" s="179">
        <f t="shared" si="79"/>
        <v>4859.3864915304011</v>
      </c>
      <c r="T210" s="259"/>
      <c r="U210" s="179">
        <f t="shared" si="92"/>
        <v>150</v>
      </c>
      <c r="V210" s="259"/>
      <c r="W210" s="179">
        <f t="shared" si="80"/>
        <v>0</v>
      </c>
      <c r="X210" s="259"/>
      <c r="Y210" s="179">
        <f t="shared" si="81"/>
        <v>1022.73</v>
      </c>
      <c r="Z210" s="259"/>
      <c r="AA210" s="179">
        <f t="shared" si="82"/>
        <v>40</v>
      </c>
      <c r="AB210" s="259"/>
      <c r="AC210" s="179">
        <f t="shared" si="83"/>
        <v>1394.266018065</v>
      </c>
      <c r="AD210" s="238">
        <f t="shared" si="78"/>
        <v>0</v>
      </c>
      <c r="AE210" s="179">
        <f t="shared" si="84"/>
        <v>2456.996018065</v>
      </c>
      <c r="AF210" s="264"/>
      <c r="AG210" s="179">
        <f t="shared" si="85"/>
        <v>1000</v>
      </c>
      <c r="AH210" s="268"/>
      <c r="AI210" s="179">
        <f t="shared" si="86"/>
        <v>0</v>
      </c>
      <c r="AJ210" s="268"/>
      <c r="AK210" s="179">
        <f t="shared" si="87"/>
        <v>22.73</v>
      </c>
      <c r="AL210" s="268"/>
      <c r="AM210" s="179">
        <f t="shared" si="88"/>
        <v>0</v>
      </c>
      <c r="AN210" s="268"/>
      <c r="AO210" s="179">
        <f t="shared" si="89"/>
        <v>0</v>
      </c>
      <c r="AP210" s="268"/>
      <c r="AQ210" s="179">
        <f t="shared" si="93"/>
        <v>0</v>
      </c>
      <c r="AR210" s="273"/>
      <c r="AS210" s="305">
        <f t="shared" si="90"/>
        <v>0</v>
      </c>
      <c r="AT210" s="273"/>
      <c r="AU210" s="305">
        <f t="shared" si="91"/>
        <v>0</v>
      </c>
    </row>
    <row r="211" spans="1:47" s="34" customFormat="1" hidden="1" x14ac:dyDescent="0.25">
      <c r="A211" s="87"/>
      <c r="B211" s="42"/>
      <c r="C211" s="41"/>
      <c r="D211" s="41"/>
      <c r="E211" s="40"/>
      <c r="F211" s="40"/>
      <c r="G211" s="40"/>
      <c r="H211" s="40"/>
      <c r="I211" s="160"/>
      <c r="J211" s="41"/>
      <c r="K211" s="41"/>
      <c r="L211" s="41"/>
      <c r="M211" s="41"/>
      <c r="N211" s="41"/>
      <c r="O211" s="41"/>
      <c r="P211" s="188"/>
      <c r="Q211" s="236"/>
      <c r="R211" s="280"/>
      <c r="S211" s="179">
        <f t="shared" si="79"/>
        <v>4859.3864915304011</v>
      </c>
      <c r="T211" s="259"/>
      <c r="U211" s="179">
        <f t="shared" si="92"/>
        <v>150</v>
      </c>
      <c r="V211" s="259"/>
      <c r="W211" s="179">
        <f t="shared" si="80"/>
        <v>0</v>
      </c>
      <c r="X211" s="259"/>
      <c r="Y211" s="179">
        <f t="shared" si="81"/>
        <v>1022.73</v>
      </c>
      <c r="Z211" s="259"/>
      <c r="AA211" s="179">
        <f t="shared" si="82"/>
        <v>40</v>
      </c>
      <c r="AB211" s="259"/>
      <c r="AC211" s="179">
        <f t="shared" si="83"/>
        <v>1394.266018065</v>
      </c>
      <c r="AD211" s="238">
        <f t="shared" si="78"/>
        <v>0</v>
      </c>
      <c r="AE211" s="179">
        <f t="shared" si="84"/>
        <v>2456.996018065</v>
      </c>
      <c r="AF211" s="264"/>
      <c r="AG211" s="179">
        <f t="shared" si="85"/>
        <v>1000</v>
      </c>
      <c r="AH211" s="268"/>
      <c r="AI211" s="179">
        <f t="shared" si="86"/>
        <v>0</v>
      </c>
      <c r="AJ211" s="268"/>
      <c r="AK211" s="179">
        <f t="shared" si="87"/>
        <v>22.73</v>
      </c>
      <c r="AL211" s="268"/>
      <c r="AM211" s="179">
        <f t="shared" si="88"/>
        <v>0</v>
      </c>
      <c r="AN211" s="268"/>
      <c r="AO211" s="179">
        <f t="shared" si="89"/>
        <v>0</v>
      </c>
      <c r="AP211" s="268"/>
      <c r="AQ211" s="179">
        <f t="shared" si="93"/>
        <v>0</v>
      </c>
      <c r="AR211" s="273"/>
      <c r="AS211" s="305">
        <f t="shared" si="90"/>
        <v>0</v>
      </c>
      <c r="AT211" s="273"/>
      <c r="AU211" s="305">
        <f t="shared" si="91"/>
        <v>0</v>
      </c>
    </row>
    <row r="212" spans="1:47" s="34" customFormat="1" hidden="1" x14ac:dyDescent="0.25">
      <c r="A212" s="87"/>
      <c r="B212" s="42"/>
      <c r="C212" s="41"/>
      <c r="D212" s="41"/>
      <c r="E212" s="40"/>
      <c r="F212" s="40"/>
      <c r="G212" s="40"/>
      <c r="H212" s="40"/>
      <c r="I212" s="160"/>
      <c r="J212" s="41"/>
      <c r="K212" s="41"/>
      <c r="L212" s="41"/>
      <c r="M212" s="41"/>
      <c r="N212" s="41"/>
      <c r="O212" s="41"/>
      <c r="P212" s="188"/>
      <c r="Q212" s="236"/>
      <c r="R212" s="280"/>
      <c r="S212" s="179">
        <f t="shared" si="79"/>
        <v>4859.3864915304011</v>
      </c>
      <c r="T212" s="259"/>
      <c r="U212" s="179">
        <f t="shared" si="92"/>
        <v>150</v>
      </c>
      <c r="V212" s="259"/>
      <c r="W212" s="179">
        <f t="shared" si="80"/>
        <v>0</v>
      </c>
      <c r="X212" s="259"/>
      <c r="Y212" s="179">
        <f t="shared" si="81"/>
        <v>1022.73</v>
      </c>
      <c r="Z212" s="259"/>
      <c r="AA212" s="179">
        <f t="shared" si="82"/>
        <v>40</v>
      </c>
      <c r="AB212" s="259"/>
      <c r="AC212" s="179">
        <f t="shared" si="83"/>
        <v>1394.266018065</v>
      </c>
      <c r="AD212" s="238">
        <f t="shared" si="78"/>
        <v>0</v>
      </c>
      <c r="AE212" s="179">
        <f t="shared" si="84"/>
        <v>2456.996018065</v>
      </c>
      <c r="AF212" s="264"/>
      <c r="AG212" s="179">
        <f t="shared" si="85"/>
        <v>1000</v>
      </c>
      <c r="AH212" s="268"/>
      <c r="AI212" s="179">
        <f t="shared" si="86"/>
        <v>0</v>
      </c>
      <c r="AJ212" s="268"/>
      <c r="AK212" s="179">
        <f t="shared" si="87"/>
        <v>22.73</v>
      </c>
      <c r="AL212" s="268"/>
      <c r="AM212" s="179">
        <f t="shared" si="88"/>
        <v>0</v>
      </c>
      <c r="AN212" s="268"/>
      <c r="AO212" s="179">
        <f t="shared" si="89"/>
        <v>0</v>
      </c>
      <c r="AP212" s="268"/>
      <c r="AQ212" s="179">
        <f t="shared" si="93"/>
        <v>0</v>
      </c>
      <c r="AR212" s="273"/>
      <c r="AS212" s="305">
        <f t="shared" si="90"/>
        <v>0</v>
      </c>
      <c r="AT212" s="273"/>
      <c r="AU212" s="305">
        <f t="shared" si="91"/>
        <v>0</v>
      </c>
    </row>
    <row r="213" spans="1:47" s="34" customFormat="1" hidden="1" x14ac:dyDescent="0.25">
      <c r="A213" s="87"/>
      <c r="B213" s="42"/>
      <c r="C213" s="41"/>
      <c r="D213" s="41"/>
      <c r="E213" s="40"/>
      <c r="F213" s="40"/>
      <c r="G213" s="40"/>
      <c r="H213" s="40"/>
      <c r="I213" s="160"/>
      <c r="J213" s="41"/>
      <c r="K213" s="41"/>
      <c r="L213" s="41"/>
      <c r="M213" s="41"/>
      <c r="N213" s="41"/>
      <c r="O213" s="41"/>
      <c r="P213" s="188"/>
      <c r="Q213" s="236"/>
      <c r="R213" s="280"/>
      <c r="S213" s="179">
        <f t="shared" si="79"/>
        <v>4859.3864915304011</v>
      </c>
      <c r="T213" s="259"/>
      <c r="U213" s="179">
        <f t="shared" si="92"/>
        <v>150</v>
      </c>
      <c r="V213" s="259"/>
      <c r="W213" s="179">
        <f t="shared" si="80"/>
        <v>0</v>
      </c>
      <c r="X213" s="259"/>
      <c r="Y213" s="179">
        <f t="shared" si="81"/>
        <v>1022.73</v>
      </c>
      <c r="Z213" s="259"/>
      <c r="AA213" s="179">
        <f t="shared" si="82"/>
        <v>40</v>
      </c>
      <c r="AB213" s="259"/>
      <c r="AC213" s="179">
        <f t="shared" si="83"/>
        <v>1394.266018065</v>
      </c>
      <c r="AD213" s="238">
        <f t="shared" si="78"/>
        <v>0</v>
      </c>
      <c r="AE213" s="179">
        <f t="shared" si="84"/>
        <v>2456.996018065</v>
      </c>
      <c r="AF213" s="264"/>
      <c r="AG213" s="179">
        <f t="shared" si="85"/>
        <v>1000</v>
      </c>
      <c r="AH213" s="268"/>
      <c r="AI213" s="179">
        <f t="shared" si="86"/>
        <v>0</v>
      </c>
      <c r="AJ213" s="268"/>
      <c r="AK213" s="179">
        <f t="shared" si="87"/>
        <v>22.73</v>
      </c>
      <c r="AL213" s="268"/>
      <c r="AM213" s="179">
        <f t="shared" si="88"/>
        <v>0</v>
      </c>
      <c r="AN213" s="268"/>
      <c r="AO213" s="179">
        <f t="shared" si="89"/>
        <v>0</v>
      </c>
      <c r="AP213" s="268"/>
      <c r="AQ213" s="179">
        <f t="shared" si="93"/>
        <v>0</v>
      </c>
      <c r="AR213" s="273"/>
      <c r="AS213" s="305">
        <f t="shared" si="90"/>
        <v>0</v>
      </c>
      <c r="AT213" s="273"/>
      <c r="AU213" s="305">
        <f t="shared" si="91"/>
        <v>0</v>
      </c>
    </row>
    <row r="214" spans="1:47" s="34" customFormat="1" hidden="1" x14ac:dyDescent="0.25">
      <c r="A214" s="87"/>
      <c r="B214" s="42"/>
      <c r="C214" s="41"/>
      <c r="D214" s="41"/>
      <c r="E214" s="40"/>
      <c r="F214" s="40"/>
      <c r="G214" s="40"/>
      <c r="H214" s="40"/>
      <c r="I214" s="160"/>
      <c r="J214" s="41"/>
      <c r="K214" s="41"/>
      <c r="L214" s="41"/>
      <c r="M214" s="41"/>
      <c r="N214" s="41"/>
      <c r="O214" s="41"/>
      <c r="P214" s="188"/>
      <c r="Q214" s="236"/>
      <c r="R214" s="280"/>
      <c r="S214" s="179">
        <f t="shared" si="79"/>
        <v>4859.3864915304011</v>
      </c>
      <c r="T214" s="259"/>
      <c r="U214" s="179">
        <f t="shared" si="92"/>
        <v>150</v>
      </c>
      <c r="V214" s="259"/>
      <c r="W214" s="179">
        <f t="shared" si="80"/>
        <v>0</v>
      </c>
      <c r="X214" s="259"/>
      <c r="Y214" s="179">
        <f t="shared" si="81"/>
        <v>1022.73</v>
      </c>
      <c r="Z214" s="259"/>
      <c r="AA214" s="179">
        <f t="shared" si="82"/>
        <v>40</v>
      </c>
      <c r="AB214" s="259"/>
      <c r="AC214" s="179">
        <f t="shared" si="83"/>
        <v>1394.266018065</v>
      </c>
      <c r="AD214" s="238">
        <f t="shared" si="78"/>
        <v>0</v>
      </c>
      <c r="AE214" s="179">
        <f t="shared" si="84"/>
        <v>2456.996018065</v>
      </c>
      <c r="AF214" s="264"/>
      <c r="AG214" s="179">
        <f t="shared" si="85"/>
        <v>1000</v>
      </c>
      <c r="AH214" s="268"/>
      <c r="AI214" s="179">
        <f t="shared" si="86"/>
        <v>0</v>
      </c>
      <c r="AJ214" s="268"/>
      <c r="AK214" s="179">
        <f t="shared" si="87"/>
        <v>22.73</v>
      </c>
      <c r="AL214" s="268"/>
      <c r="AM214" s="179">
        <f t="shared" si="88"/>
        <v>0</v>
      </c>
      <c r="AN214" s="268"/>
      <c r="AO214" s="179">
        <f t="shared" si="89"/>
        <v>0</v>
      </c>
      <c r="AP214" s="268"/>
      <c r="AQ214" s="179">
        <f t="shared" si="93"/>
        <v>0</v>
      </c>
      <c r="AR214" s="273"/>
      <c r="AS214" s="305">
        <f t="shared" si="90"/>
        <v>0</v>
      </c>
      <c r="AT214" s="273"/>
      <c r="AU214" s="305">
        <f t="shared" si="91"/>
        <v>0</v>
      </c>
    </row>
    <row r="215" spans="1:47" s="34" customFormat="1" hidden="1" x14ac:dyDescent="0.25">
      <c r="A215" s="87"/>
      <c r="B215" s="42"/>
      <c r="C215" s="41"/>
      <c r="D215" s="41"/>
      <c r="E215" s="40"/>
      <c r="F215" s="40"/>
      <c r="G215" s="40"/>
      <c r="H215" s="40"/>
      <c r="I215" s="160"/>
      <c r="J215" s="41"/>
      <c r="K215" s="41"/>
      <c r="L215" s="41"/>
      <c r="M215" s="41"/>
      <c r="N215" s="41"/>
      <c r="O215" s="41"/>
      <c r="P215" s="188"/>
      <c r="Q215" s="236"/>
      <c r="R215" s="280"/>
      <c r="S215" s="179">
        <f t="shared" si="79"/>
        <v>4859.3864915304011</v>
      </c>
      <c r="T215" s="259"/>
      <c r="U215" s="179">
        <f t="shared" si="92"/>
        <v>150</v>
      </c>
      <c r="V215" s="259"/>
      <c r="W215" s="179">
        <f t="shared" si="80"/>
        <v>0</v>
      </c>
      <c r="X215" s="259"/>
      <c r="Y215" s="179">
        <f t="shared" si="81"/>
        <v>1022.73</v>
      </c>
      <c r="Z215" s="259"/>
      <c r="AA215" s="179">
        <f t="shared" si="82"/>
        <v>40</v>
      </c>
      <c r="AB215" s="259"/>
      <c r="AC215" s="179">
        <f t="shared" si="83"/>
        <v>1394.266018065</v>
      </c>
      <c r="AD215" s="238">
        <f t="shared" si="78"/>
        <v>0</v>
      </c>
      <c r="AE215" s="179">
        <f t="shared" si="84"/>
        <v>2456.996018065</v>
      </c>
      <c r="AF215" s="264"/>
      <c r="AG215" s="179">
        <f t="shared" si="85"/>
        <v>1000</v>
      </c>
      <c r="AH215" s="268"/>
      <c r="AI215" s="179">
        <f t="shared" si="86"/>
        <v>0</v>
      </c>
      <c r="AJ215" s="268"/>
      <c r="AK215" s="179">
        <f t="shared" si="87"/>
        <v>22.73</v>
      </c>
      <c r="AL215" s="268"/>
      <c r="AM215" s="179">
        <f t="shared" si="88"/>
        <v>0</v>
      </c>
      <c r="AN215" s="268"/>
      <c r="AO215" s="179">
        <f t="shared" si="89"/>
        <v>0</v>
      </c>
      <c r="AP215" s="268"/>
      <c r="AQ215" s="179">
        <f t="shared" si="93"/>
        <v>0</v>
      </c>
      <c r="AR215" s="273"/>
      <c r="AS215" s="305">
        <f t="shared" si="90"/>
        <v>0</v>
      </c>
      <c r="AT215" s="273"/>
      <c r="AU215" s="305">
        <f t="shared" si="91"/>
        <v>0</v>
      </c>
    </row>
    <row r="216" spans="1:47" s="34" customFormat="1" hidden="1" x14ac:dyDescent="0.25">
      <c r="A216" s="87"/>
      <c r="B216" s="42"/>
      <c r="C216" s="41"/>
      <c r="D216" s="41"/>
      <c r="E216" s="40"/>
      <c r="F216" s="40"/>
      <c r="G216" s="40"/>
      <c r="H216" s="40"/>
      <c r="I216" s="160"/>
      <c r="J216" s="41"/>
      <c r="K216" s="41"/>
      <c r="L216" s="41"/>
      <c r="M216" s="41"/>
      <c r="N216" s="41"/>
      <c r="O216" s="41"/>
      <c r="P216" s="188"/>
      <c r="Q216" s="236"/>
      <c r="R216" s="280"/>
      <c r="S216" s="179">
        <f t="shared" si="79"/>
        <v>4859.3864915304011</v>
      </c>
      <c r="T216" s="259"/>
      <c r="U216" s="179">
        <f t="shared" si="92"/>
        <v>150</v>
      </c>
      <c r="V216" s="259"/>
      <c r="W216" s="179">
        <f t="shared" si="80"/>
        <v>0</v>
      </c>
      <c r="X216" s="259"/>
      <c r="Y216" s="179">
        <f t="shared" si="81"/>
        <v>1022.73</v>
      </c>
      <c r="Z216" s="259"/>
      <c r="AA216" s="179">
        <f t="shared" si="82"/>
        <v>40</v>
      </c>
      <c r="AB216" s="259"/>
      <c r="AC216" s="179">
        <f t="shared" si="83"/>
        <v>1394.266018065</v>
      </c>
      <c r="AD216" s="238">
        <f t="shared" si="78"/>
        <v>0</v>
      </c>
      <c r="AE216" s="179">
        <f t="shared" si="84"/>
        <v>2456.996018065</v>
      </c>
      <c r="AF216" s="264"/>
      <c r="AG216" s="179">
        <f t="shared" si="85"/>
        <v>1000</v>
      </c>
      <c r="AH216" s="268"/>
      <c r="AI216" s="179">
        <f t="shared" si="86"/>
        <v>0</v>
      </c>
      <c r="AJ216" s="268"/>
      <c r="AK216" s="179">
        <f t="shared" si="87"/>
        <v>22.73</v>
      </c>
      <c r="AL216" s="268"/>
      <c r="AM216" s="179">
        <f t="shared" si="88"/>
        <v>0</v>
      </c>
      <c r="AN216" s="268"/>
      <c r="AO216" s="179">
        <f t="shared" si="89"/>
        <v>0</v>
      </c>
      <c r="AP216" s="268"/>
      <c r="AQ216" s="179">
        <f t="shared" si="93"/>
        <v>0</v>
      </c>
      <c r="AR216" s="273"/>
      <c r="AS216" s="305">
        <f t="shared" si="90"/>
        <v>0</v>
      </c>
      <c r="AT216" s="273"/>
      <c r="AU216" s="305">
        <f t="shared" si="91"/>
        <v>0</v>
      </c>
    </row>
    <row r="217" spans="1:47" s="34" customFormat="1" hidden="1" x14ac:dyDescent="0.25">
      <c r="A217" s="87"/>
      <c r="B217" s="42"/>
      <c r="C217" s="41"/>
      <c r="D217" s="41"/>
      <c r="E217" s="40"/>
      <c r="F217" s="40"/>
      <c r="G217" s="40"/>
      <c r="H217" s="40"/>
      <c r="I217" s="160"/>
      <c r="J217" s="41"/>
      <c r="K217" s="41"/>
      <c r="L217" s="41"/>
      <c r="M217" s="41"/>
      <c r="N217" s="41"/>
      <c r="O217" s="41"/>
      <c r="P217" s="188"/>
      <c r="Q217" s="236"/>
      <c r="R217" s="280"/>
      <c r="S217" s="179">
        <f t="shared" si="79"/>
        <v>4859.3864915304011</v>
      </c>
      <c r="T217" s="259"/>
      <c r="U217" s="179">
        <f t="shared" si="92"/>
        <v>150</v>
      </c>
      <c r="V217" s="259"/>
      <c r="W217" s="179">
        <f t="shared" si="80"/>
        <v>0</v>
      </c>
      <c r="X217" s="259"/>
      <c r="Y217" s="179">
        <f t="shared" si="81"/>
        <v>1022.73</v>
      </c>
      <c r="Z217" s="259"/>
      <c r="AA217" s="179">
        <f t="shared" si="82"/>
        <v>40</v>
      </c>
      <c r="AB217" s="259"/>
      <c r="AC217" s="179">
        <f t="shared" si="83"/>
        <v>1394.266018065</v>
      </c>
      <c r="AD217" s="238">
        <f t="shared" si="78"/>
        <v>0</v>
      </c>
      <c r="AE217" s="179">
        <f t="shared" si="84"/>
        <v>2456.996018065</v>
      </c>
      <c r="AF217" s="264"/>
      <c r="AG217" s="179">
        <f t="shared" si="85"/>
        <v>1000</v>
      </c>
      <c r="AH217" s="268"/>
      <c r="AI217" s="179">
        <f t="shared" si="86"/>
        <v>0</v>
      </c>
      <c r="AJ217" s="268"/>
      <c r="AK217" s="179">
        <f t="shared" si="87"/>
        <v>22.73</v>
      </c>
      <c r="AL217" s="268"/>
      <c r="AM217" s="179">
        <f t="shared" si="88"/>
        <v>0</v>
      </c>
      <c r="AN217" s="268"/>
      <c r="AO217" s="179">
        <f t="shared" si="89"/>
        <v>0</v>
      </c>
      <c r="AP217" s="268"/>
      <c r="AQ217" s="179">
        <f t="shared" si="93"/>
        <v>0</v>
      </c>
      <c r="AR217" s="273"/>
      <c r="AS217" s="305">
        <f t="shared" si="90"/>
        <v>0</v>
      </c>
      <c r="AT217" s="273"/>
      <c r="AU217" s="305">
        <f t="shared" si="91"/>
        <v>0</v>
      </c>
    </row>
    <row r="218" spans="1:47" s="34" customFormat="1" hidden="1" x14ac:dyDescent="0.25">
      <c r="A218" s="87"/>
      <c r="B218" s="42"/>
      <c r="C218" s="41"/>
      <c r="D218" s="41"/>
      <c r="E218" s="40"/>
      <c r="F218" s="40"/>
      <c r="G218" s="40"/>
      <c r="H218" s="40"/>
      <c r="I218" s="160"/>
      <c r="J218" s="41"/>
      <c r="K218" s="41"/>
      <c r="L218" s="41"/>
      <c r="M218" s="41"/>
      <c r="N218" s="41"/>
      <c r="O218" s="41"/>
      <c r="P218" s="188"/>
      <c r="Q218" s="236"/>
      <c r="R218" s="280"/>
      <c r="S218" s="179">
        <f t="shared" si="79"/>
        <v>4859.3864915304011</v>
      </c>
      <c r="T218" s="259"/>
      <c r="U218" s="179">
        <f t="shared" si="92"/>
        <v>150</v>
      </c>
      <c r="V218" s="259"/>
      <c r="W218" s="179">
        <f t="shared" si="80"/>
        <v>0</v>
      </c>
      <c r="X218" s="259"/>
      <c r="Y218" s="179">
        <f t="shared" si="81"/>
        <v>1022.73</v>
      </c>
      <c r="Z218" s="259"/>
      <c r="AA218" s="179">
        <f t="shared" si="82"/>
        <v>40</v>
      </c>
      <c r="AB218" s="259"/>
      <c r="AC218" s="179">
        <f t="shared" si="83"/>
        <v>1394.266018065</v>
      </c>
      <c r="AD218" s="238">
        <f t="shared" si="78"/>
        <v>0</v>
      </c>
      <c r="AE218" s="179">
        <f t="shared" si="84"/>
        <v>2456.996018065</v>
      </c>
      <c r="AF218" s="264"/>
      <c r="AG218" s="179">
        <f t="shared" si="85"/>
        <v>1000</v>
      </c>
      <c r="AH218" s="268"/>
      <c r="AI218" s="179">
        <f t="shared" si="86"/>
        <v>0</v>
      </c>
      <c r="AJ218" s="268"/>
      <c r="AK218" s="179">
        <f t="shared" si="87"/>
        <v>22.73</v>
      </c>
      <c r="AL218" s="268"/>
      <c r="AM218" s="179">
        <f t="shared" si="88"/>
        <v>0</v>
      </c>
      <c r="AN218" s="268"/>
      <c r="AO218" s="179">
        <f t="shared" si="89"/>
        <v>0</v>
      </c>
      <c r="AP218" s="268"/>
      <c r="AQ218" s="179">
        <f t="shared" si="93"/>
        <v>0</v>
      </c>
      <c r="AR218" s="273"/>
      <c r="AS218" s="305">
        <f t="shared" si="90"/>
        <v>0</v>
      </c>
      <c r="AT218" s="273"/>
      <c r="AU218" s="305">
        <f t="shared" si="91"/>
        <v>0</v>
      </c>
    </row>
    <row r="219" spans="1:47" s="34" customFormat="1" hidden="1" x14ac:dyDescent="0.25">
      <c r="A219" s="87"/>
      <c r="B219" s="42"/>
      <c r="C219" s="41"/>
      <c r="D219" s="41"/>
      <c r="E219" s="40"/>
      <c r="F219" s="40"/>
      <c r="G219" s="40"/>
      <c r="H219" s="40"/>
      <c r="I219" s="160"/>
      <c r="J219" s="41"/>
      <c r="K219" s="41"/>
      <c r="L219" s="41"/>
      <c r="M219" s="41"/>
      <c r="N219" s="41"/>
      <c r="O219" s="41"/>
      <c r="P219" s="188"/>
      <c r="Q219" s="236"/>
      <c r="R219" s="280"/>
      <c r="S219" s="179">
        <f t="shared" si="79"/>
        <v>4859.3864915304011</v>
      </c>
      <c r="T219" s="259"/>
      <c r="U219" s="179">
        <f t="shared" si="92"/>
        <v>150</v>
      </c>
      <c r="V219" s="259"/>
      <c r="W219" s="179">
        <f t="shared" si="80"/>
        <v>0</v>
      </c>
      <c r="X219" s="259"/>
      <c r="Y219" s="179">
        <f t="shared" si="81"/>
        <v>1022.73</v>
      </c>
      <c r="Z219" s="259"/>
      <c r="AA219" s="179">
        <f t="shared" si="82"/>
        <v>40</v>
      </c>
      <c r="AB219" s="259"/>
      <c r="AC219" s="179">
        <f t="shared" si="83"/>
        <v>1394.266018065</v>
      </c>
      <c r="AD219" s="238">
        <f t="shared" si="78"/>
        <v>0</v>
      </c>
      <c r="AE219" s="179">
        <f t="shared" si="84"/>
        <v>2456.996018065</v>
      </c>
      <c r="AF219" s="264"/>
      <c r="AG219" s="179">
        <f t="shared" si="85"/>
        <v>1000</v>
      </c>
      <c r="AH219" s="268"/>
      <c r="AI219" s="179">
        <f t="shared" si="86"/>
        <v>0</v>
      </c>
      <c r="AJ219" s="268"/>
      <c r="AK219" s="179">
        <f t="shared" si="87"/>
        <v>22.73</v>
      </c>
      <c r="AL219" s="268"/>
      <c r="AM219" s="179">
        <f t="shared" si="88"/>
        <v>0</v>
      </c>
      <c r="AN219" s="268"/>
      <c r="AO219" s="179">
        <f t="shared" si="89"/>
        <v>0</v>
      </c>
      <c r="AP219" s="268"/>
      <c r="AQ219" s="179">
        <f t="shared" si="93"/>
        <v>0</v>
      </c>
      <c r="AR219" s="273"/>
      <c r="AS219" s="305">
        <f t="shared" si="90"/>
        <v>0</v>
      </c>
      <c r="AT219" s="273"/>
      <c r="AU219" s="305">
        <f t="shared" si="91"/>
        <v>0</v>
      </c>
    </row>
    <row r="220" spans="1:47" s="34" customFormat="1" hidden="1" x14ac:dyDescent="0.25">
      <c r="A220" s="87"/>
      <c r="B220" s="42"/>
      <c r="C220" s="41"/>
      <c r="D220" s="41"/>
      <c r="E220" s="40"/>
      <c r="F220" s="40"/>
      <c r="G220" s="40"/>
      <c r="H220" s="40"/>
      <c r="I220" s="160"/>
      <c r="J220" s="41"/>
      <c r="K220" s="41"/>
      <c r="L220" s="41"/>
      <c r="M220" s="41"/>
      <c r="N220" s="41"/>
      <c r="O220" s="41"/>
      <c r="P220" s="188"/>
      <c r="Q220" s="236"/>
      <c r="R220" s="280"/>
      <c r="S220" s="179">
        <f t="shared" si="79"/>
        <v>4859.3864915304011</v>
      </c>
      <c r="T220" s="259"/>
      <c r="U220" s="179">
        <f t="shared" si="92"/>
        <v>150</v>
      </c>
      <c r="V220" s="259"/>
      <c r="W220" s="179">
        <f t="shared" si="80"/>
        <v>0</v>
      </c>
      <c r="X220" s="259"/>
      <c r="Y220" s="179">
        <f t="shared" si="81"/>
        <v>1022.73</v>
      </c>
      <c r="Z220" s="259"/>
      <c r="AA220" s="179">
        <f t="shared" si="82"/>
        <v>40</v>
      </c>
      <c r="AB220" s="259"/>
      <c r="AC220" s="179">
        <f t="shared" si="83"/>
        <v>1394.266018065</v>
      </c>
      <c r="AD220" s="238">
        <f t="shared" si="78"/>
        <v>0</v>
      </c>
      <c r="AE220" s="179">
        <f t="shared" si="84"/>
        <v>2456.996018065</v>
      </c>
      <c r="AF220" s="264"/>
      <c r="AG220" s="179">
        <f t="shared" si="85"/>
        <v>1000</v>
      </c>
      <c r="AH220" s="268"/>
      <c r="AI220" s="179">
        <f t="shared" si="86"/>
        <v>0</v>
      </c>
      <c r="AJ220" s="268"/>
      <c r="AK220" s="179">
        <f t="shared" si="87"/>
        <v>22.73</v>
      </c>
      <c r="AL220" s="268"/>
      <c r="AM220" s="179">
        <f t="shared" si="88"/>
        <v>0</v>
      </c>
      <c r="AN220" s="268"/>
      <c r="AO220" s="179">
        <f t="shared" si="89"/>
        <v>0</v>
      </c>
      <c r="AP220" s="268"/>
      <c r="AQ220" s="179">
        <f t="shared" si="93"/>
        <v>0</v>
      </c>
      <c r="AR220" s="273"/>
      <c r="AS220" s="305">
        <f t="shared" si="90"/>
        <v>0</v>
      </c>
      <c r="AT220" s="273"/>
      <c r="AU220" s="305">
        <f t="shared" si="91"/>
        <v>0</v>
      </c>
    </row>
    <row r="221" spans="1:47" s="34" customFormat="1" hidden="1" x14ac:dyDescent="0.25">
      <c r="A221" s="87"/>
      <c r="B221" s="42"/>
      <c r="C221" s="41"/>
      <c r="D221" s="41"/>
      <c r="E221" s="40"/>
      <c r="F221" s="40"/>
      <c r="G221" s="40"/>
      <c r="H221" s="40"/>
      <c r="I221" s="160"/>
      <c r="J221" s="41"/>
      <c r="K221" s="41"/>
      <c r="L221" s="41"/>
      <c r="M221" s="41"/>
      <c r="N221" s="41"/>
      <c r="O221" s="41"/>
      <c r="P221" s="188"/>
      <c r="Q221" s="236"/>
      <c r="R221" s="280"/>
      <c r="S221" s="179">
        <f t="shared" si="79"/>
        <v>4859.3864915304011</v>
      </c>
      <c r="T221" s="259"/>
      <c r="U221" s="179">
        <f t="shared" si="92"/>
        <v>150</v>
      </c>
      <c r="V221" s="259"/>
      <c r="W221" s="179">
        <f t="shared" si="80"/>
        <v>0</v>
      </c>
      <c r="X221" s="259"/>
      <c r="Y221" s="179">
        <f t="shared" si="81"/>
        <v>1022.73</v>
      </c>
      <c r="Z221" s="259"/>
      <c r="AA221" s="179">
        <f t="shared" si="82"/>
        <v>40</v>
      </c>
      <c r="AB221" s="259"/>
      <c r="AC221" s="179">
        <f t="shared" si="83"/>
        <v>1394.266018065</v>
      </c>
      <c r="AD221" s="238">
        <f t="shared" si="78"/>
        <v>0</v>
      </c>
      <c r="AE221" s="179">
        <f t="shared" si="84"/>
        <v>2456.996018065</v>
      </c>
      <c r="AF221" s="264"/>
      <c r="AG221" s="179">
        <f t="shared" si="85"/>
        <v>1000</v>
      </c>
      <c r="AH221" s="268"/>
      <c r="AI221" s="179">
        <f t="shared" si="86"/>
        <v>0</v>
      </c>
      <c r="AJ221" s="268"/>
      <c r="AK221" s="179">
        <f t="shared" si="87"/>
        <v>22.73</v>
      </c>
      <c r="AL221" s="268"/>
      <c r="AM221" s="179">
        <f t="shared" si="88"/>
        <v>0</v>
      </c>
      <c r="AN221" s="268"/>
      <c r="AO221" s="179">
        <f t="shared" si="89"/>
        <v>0</v>
      </c>
      <c r="AP221" s="268"/>
      <c r="AQ221" s="179">
        <f t="shared" si="93"/>
        <v>0</v>
      </c>
      <c r="AR221" s="273"/>
      <c r="AS221" s="305">
        <f t="shared" si="90"/>
        <v>0</v>
      </c>
      <c r="AT221" s="273"/>
      <c r="AU221" s="305">
        <f t="shared" si="91"/>
        <v>0</v>
      </c>
    </row>
    <row r="222" spans="1:47" s="34" customFormat="1" hidden="1" x14ac:dyDescent="0.25">
      <c r="A222" s="87"/>
      <c r="B222" s="42"/>
      <c r="C222" s="41"/>
      <c r="D222" s="41"/>
      <c r="E222" s="40"/>
      <c r="F222" s="40"/>
      <c r="G222" s="40"/>
      <c r="H222" s="40"/>
      <c r="I222" s="160"/>
      <c r="J222" s="41"/>
      <c r="K222" s="41"/>
      <c r="L222" s="41"/>
      <c r="M222" s="41"/>
      <c r="N222" s="41"/>
      <c r="O222" s="41"/>
      <c r="P222" s="188"/>
      <c r="Q222" s="236"/>
      <c r="R222" s="280"/>
      <c r="S222" s="179">
        <f t="shared" si="79"/>
        <v>4859.3864915304011</v>
      </c>
      <c r="T222" s="259"/>
      <c r="U222" s="179">
        <f t="shared" si="92"/>
        <v>150</v>
      </c>
      <c r="V222" s="259"/>
      <c r="W222" s="179">
        <f t="shared" si="80"/>
        <v>0</v>
      </c>
      <c r="X222" s="259"/>
      <c r="Y222" s="179">
        <f t="shared" si="81"/>
        <v>1022.73</v>
      </c>
      <c r="Z222" s="259"/>
      <c r="AA222" s="179">
        <f t="shared" si="82"/>
        <v>40</v>
      </c>
      <c r="AB222" s="259"/>
      <c r="AC222" s="179">
        <f t="shared" si="83"/>
        <v>1394.266018065</v>
      </c>
      <c r="AD222" s="238">
        <f t="shared" si="78"/>
        <v>0</v>
      </c>
      <c r="AE222" s="179">
        <f t="shared" si="84"/>
        <v>2456.996018065</v>
      </c>
      <c r="AF222" s="264"/>
      <c r="AG222" s="179">
        <f t="shared" si="85"/>
        <v>1000</v>
      </c>
      <c r="AH222" s="268"/>
      <c r="AI222" s="179">
        <f t="shared" si="86"/>
        <v>0</v>
      </c>
      <c r="AJ222" s="268"/>
      <c r="AK222" s="179">
        <f t="shared" si="87"/>
        <v>22.73</v>
      </c>
      <c r="AL222" s="268"/>
      <c r="AM222" s="179">
        <f t="shared" si="88"/>
        <v>0</v>
      </c>
      <c r="AN222" s="268"/>
      <c r="AO222" s="179">
        <f t="shared" si="89"/>
        <v>0</v>
      </c>
      <c r="AP222" s="268"/>
      <c r="AQ222" s="179">
        <f t="shared" si="93"/>
        <v>0</v>
      </c>
      <c r="AR222" s="273"/>
      <c r="AS222" s="305">
        <f t="shared" si="90"/>
        <v>0</v>
      </c>
      <c r="AT222" s="273"/>
      <c r="AU222" s="305">
        <f t="shared" si="91"/>
        <v>0</v>
      </c>
    </row>
    <row r="223" spans="1:47" s="34" customFormat="1" hidden="1" x14ac:dyDescent="0.25">
      <c r="A223" s="87"/>
      <c r="B223" s="42"/>
      <c r="C223" s="41"/>
      <c r="D223" s="41"/>
      <c r="E223" s="40"/>
      <c r="F223" s="40"/>
      <c r="G223" s="40"/>
      <c r="H223" s="40"/>
      <c r="I223" s="160"/>
      <c r="J223" s="41"/>
      <c r="K223" s="41"/>
      <c r="L223" s="41"/>
      <c r="M223" s="41"/>
      <c r="N223" s="41"/>
      <c r="O223" s="41"/>
      <c r="P223" s="188"/>
      <c r="Q223" s="236"/>
      <c r="R223" s="280"/>
      <c r="S223" s="179">
        <f t="shared" si="79"/>
        <v>4859.3864915304011</v>
      </c>
      <c r="T223" s="259"/>
      <c r="U223" s="179">
        <f t="shared" si="92"/>
        <v>150</v>
      </c>
      <c r="V223" s="259"/>
      <c r="W223" s="179">
        <f t="shared" si="80"/>
        <v>0</v>
      </c>
      <c r="X223" s="259"/>
      <c r="Y223" s="179">
        <f t="shared" si="81"/>
        <v>1022.73</v>
      </c>
      <c r="Z223" s="259"/>
      <c r="AA223" s="179">
        <f t="shared" si="82"/>
        <v>40</v>
      </c>
      <c r="AB223" s="259"/>
      <c r="AC223" s="179">
        <f t="shared" si="83"/>
        <v>1394.266018065</v>
      </c>
      <c r="AD223" s="238">
        <f t="shared" si="78"/>
        <v>0</v>
      </c>
      <c r="AE223" s="179">
        <f t="shared" si="84"/>
        <v>2456.996018065</v>
      </c>
      <c r="AF223" s="264"/>
      <c r="AG223" s="179">
        <f t="shared" si="85"/>
        <v>1000</v>
      </c>
      <c r="AH223" s="268"/>
      <c r="AI223" s="179">
        <f t="shared" si="86"/>
        <v>0</v>
      </c>
      <c r="AJ223" s="268"/>
      <c r="AK223" s="179">
        <f t="shared" si="87"/>
        <v>22.73</v>
      </c>
      <c r="AL223" s="268"/>
      <c r="AM223" s="179">
        <f t="shared" si="88"/>
        <v>0</v>
      </c>
      <c r="AN223" s="268"/>
      <c r="AO223" s="179">
        <f t="shared" si="89"/>
        <v>0</v>
      </c>
      <c r="AP223" s="268"/>
      <c r="AQ223" s="179">
        <f t="shared" si="93"/>
        <v>0</v>
      </c>
      <c r="AR223" s="273"/>
      <c r="AS223" s="305">
        <f t="shared" si="90"/>
        <v>0</v>
      </c>
      <c r="AT223" s="273"/>
      <c r="AU223" s="305">
        <f t="shared" si="91"/>
        <v>0</v>
      </c>
    </row>
    <row r="224" spans="1:47" s="34" customFormat="1" hidden="1" x14ac:dyDescent="0.25">
      <c r="A224" s="87"/>
      <c r="B224" s="42"/>
      <c r="C224" s="41"/>
      <c r="D224" s="41"/>
      <c r="E224" s="40"/>
      <c r="F224" s="40"/>
      <c r="G224" s="40"/>
      <c r="H224" s="40"/>
      <c r="I224" s="160"/>
      <c r="J224" s="41"/>
      <c r="K224" s="41"/>
      <c r="L224" s="41"/>
      <c r="M224" s="41"/>
      <c r="N224" s="41"/>
      <c r="O224" s="41"/>
      <c r="P224" s="188"/>
      <c r="Q224" s="236"/>
      <c r="R224" s="280"/>
      <c r="S224" s="179">
        <f t="shared" si="79"/>
        <v>4859.3864915304011</v>
      </c>
      <c r="T224" s="259"/>
      <c r="U224" s="179">
        <f t="shared" si="92"/>
        <v>150</v>
      </c>
      <c r="V224" s="259"/>
      <c r="W224" s="179">
        <f t="shared" si="80"/>
        <v>0</v>
      </c>
      <c r="X224" s="259"/>
      <c r="Y224" s="179">
        <f t="shared" si="81"/>
        <v>1022.73</v>
      </c>
      <c r="Z224" s="259"/>
      <c r="AA224" s="179">
        <f t="shared" si="82"/>
        <v>40</v>
      </c>
      <c r="AB224" s="259"/>
      <c r="AC224" s="179">
        <f t="shared" si="83"/>
        <v>1394.266018065</v>
      </c>
      <c r="AD224" s="238">
        <f t="shared" si="78"/>
        <v>0</v>
      </c>
      <c r="AE224" s="179">
        <f t="shared" si="84"/>
        <v>2456.996018065</v>
      </c>
      <c r="AF224" s="264"/>
      <c r="AG224" s="179">
        <f t="shared" si="85"/>
        <v>1000</v>
      </c>
      <c r="AH224" s="268"/>
      <c r="AI224" s="179">
        <f t="shared" si="86"/>
        <v>0</v>
      </c>
      <c r="AJ224" s="268"/>
      <c r="AK224" s="179">
        <f t="shared" si="87"/>
        <v>22.73</v>
      </c>
      <c r="AL224" s="268"/>
      <c r="AM224" s="179">
        <f t="shared" si="88"/>
        <v>0</v>
      </c>
      <c r="AN224" s="268"/>
      <c r="AO224" s="179">
        <f t="shared" si="89"/>
        <v>0</v>
      </c>
      <c r="AP224" s="268"/>
      <c r="AQ224" s="179">
        <f t="shared" si="93"/>
        <v>0</v>
      </c>
      <c r="AR224" s="273"/>
      <c r="AS224" s="305">
        <f t="shared" si="90"/>
        <v>0</v>
      </c>
      <c r="AT224" s="273"/>
      <c r="AU224" s="305">
        <f t="shared" si="91"/>
        <v>0</v>
      </c>
    </row>
    <row r="225" spans="1:47" s="34" customFormat="1" hidden="1" x14ac:dyDescent="0.25">
      <c r="A225" s="87"/>
      <c r="B225" s="42"/>
      <c r="C225" s="41"/>
      <c r="D225" s="41"/>
      <c r="E225" s="40"/>
      <c r="F225" s="40"/>
      <c r="G225" s="40"/>
      <c r="H225" s="40"/>
      <c r="I225" s="160"/>
      <c r="J225" s="41"/>
      <c r="K225" s="41"/>
      <c r="L225" s="41"/>
      <c r="M225" s="41"/>
      <c r="N225" s="41"/>
      <c r="O225" s="41"/>
      <c r="P225" s="188"/>
      <c r="Q225" s="236"/>
      <c r="R225" s="280"/>
      <c r="S225" s="179">
        <f t="shared" si="79"/>
        <v>4859.3864915304011</v>
      </c>
      <c r="T225" s="259"/>
      <c r="U225" s="179">
        <f t="shared" si="92"/>
        <v>150</v>
      </c>
      <c r="V225" s="259"/>
      <c r="W225" s="179">
        <f t="shared" si="80"/>
        <v>0</v>
      </c>
      <c r="X225" s="259"/>
      <c r="Y225" s="179">
        <f t="shared" si="81"/>
        <v>1022.73</v>
      </c>
      <c r="Z225" s="259"/>
      <c r="AA225" s="179">
        <f t="shared" si="82"/>
        <v>40</v>
      </c>
      <c r="AB225" s="259"/>
      <c r="AC225" s="179">
        <f t="shared" si="83"/>
        <v>1394.266018065</v>
      </c>
      <c r="AD225" s="238">
        <f t="shared" si="78"/>
        <v>0</v>
      </c>
      <c r="AE225" s="179">
        <f t="shared" si="84"/>
        <v>2456.996018065</v>
      </c>
      <c r="AF225" s="264"/>
      <c r="AG225" s="179">
        <f t="shared" si="85"/>
        <v>1000</v>
      </c>
      <c r="AH225" s="268"/>
      <c r="AI225" s="179">
        <f t="shared" si="86"/>
        <v>0</v>
      </c>
      <c r="AJ225" s="268"/>
      <c r="AK225" s="179">
        <f t="shared" si="87"/>
        <v>22.73</v>
      </c>
      <c r="AL225" s="268"/>
      <c r="AM225" s="179">
        <f t="shared" si="88"/>
        <v>0</v>
      </c>
      <c r="AN225" s="268"/>
      <c r="AO225" s="179">
        <f t="shared" si="89"/>
        <v>0</v>
      </c>
      <c r="AP225" s="268"/>
      <c r="AQ225" s="179">
        <f t="shared" si="93"/>
        <v>0</v>
      </c>
      <c r="AR225" s="273"/>
      <c r="AS225" s="305">
        <f t="shared" si="90"/>
        <v>0</v>
      </c>
      <c r="AT225" s="273"/>
      <c r="AU225" s="305">
        <f t="shared" si="91"/>
        <v>0</v>
      </c>
    </row>
    <row r="226" spans="1:47" s="34" customFormat="1" hidden="1" x14ac:dyDescent="0.25">
      <c r="A226" s="87"/>
      <c r="B226" s="42"/>
      <c r="C226" s="41"/>
      <c r="D226" s="41"/>
      <c r="E226" s="40"/>
      <c r="F226" s="40"/>
      <c r="G226" s="40"/>
      <c r="H226" s="40"/>
      <c r="I226" s="160"/>
      <c r="J226" s="41"/>
      <c r="K226" s="41"/>
      <c r="L226" s="41"/>
      <c r="M226" s="41"/>
      <c r="N226" s="41"/>
      <c r="O226" s="41"/>
      <c r="P226" s="188"/>
      <c r="Q226" s="236"/>
      <c r="R226" s="280"/>
      <c r="S226" s="179">
        <f t="shared" si="79"/>
        <v>4859.3864915304011</v>
      </c>
      <c r="T226" s="259"/>
      <c r="U226" s="179">
        <f t="shared" si="92"/>
        <v>150</v>
      </c>
      <c r="V226" s="259"/>
      <c r="W226" s="179">
        <f t="shared" si="80"/>
        <v>0</v>
      </c>
      <c r="X226" s="259"/>
      <c r="Y226" s="179">
        <f t="shared" si="81"/>
        <v>1022.73</v>
      </c>
      <c r="Z226" s="259"/>
      <c r="AA226" s="179">
        <f t="shared" si="82"/>
        <v>40</v>
      </c>
      <c r="AB226" s="259"/>
      <c r="AC226" s="179">
        <f t="shared" si="83"/>
        <v>1394.266018065</v>
      </c>
      <c r="AD226" s="238">
        <f t="shared" si="78"/>
        <v>0</v>
      </c>
      <c r="AE226" s="179">
        <f t="shared" si="84"/>
        <v>2456.996018065</v>
      </c>
      <c r="AF226" s="264"/>
      <c r="AG226" s="179">
        <f t="shared" si="85"/>
        <v>1000</v>
      </c>
      <c r="AH226" s="268"/>
      <c r="AI226" s="179">
        <f t="shared" si="86"/>
        <v>0</v>
      </c>
      <c r="AJ226" s="268"/>
      <c r="AK226" s="179">
        <f t="shared" si="87"/>
        <v>22.73</v>
      </c>
      <c r="AL226" s="268"/>
      <c r="AM226" s="179">
        <f t="shared" si="88"/>
        <v>0</v>
      </c>
      <c r="AN226" s="268"/>
      <c r="AO226" s="179">
        <f t="shared" si="89"/>
        <v>0</v>
      </c>
      <c r="AP226" s="268"/>
      <c r="AQ226" s="179">
        <f t="shared" si="93"/>
        <v>0</v>
      </c>
      <c r="AR226" s="273"/>
      <c r="AS226" s="305">
        <f t="shared" si="90"/>
        <v>0</v>
      </c>
      <c r="AT226" s="273"/>
      <c r="AU226" s="305">
        <f t="shared" si="91"/>
        <v>0</v>
      </c>
    </row>
    <row r="227" spans="1:47" s="34" customFormat="1" hidden="1" x14ac:dyDescent="0.25">
      <c r="A227" s="87"/>
      <c r="B227" s="42"/>
      <c r="C227" s="41"/>
      <c r="D227" s="41"/>
      <c r="E227" s="40"/>
      <c r="F227" s="40"/>
      <c r="G227" s="40"/>
      <c r="H227" s="40"/>
      <c r="I227" s="160"/>
      <c r="J227" s="41"/>
      <c r="K227" s="41"/>
      <c r="L227" s="41"/>
      <c r="M227" s="41"/>
      <c r="N227" s="41"/>
      <c r="O227" s="41"/>
      <c r="P227" s="188"/>
      <c r="Q227" s="236"/>
      <c r="R227" s="280"/>
      <c r="S227" s="179">
        <f t="shared" si="79"/>
        <v>4859.3864915304011</v>
      </c>
      <c r="T227" s="259"/>
      <c r="U227" s="179">
        <f t="shared" si="92"/>
        <v>150</v>
      </c>
      <c r="V227" s="259"/>
      <c r="W227" s="179">
        <f t="shared" si="80"/>
        <v>0</v>
      </c>
      <c r="X227" s="259"/>
      <c r="Y227" s="179">
        <f t="shared" si="81"/>
        <v>1022.73</v>
      </c>
      <c r="Z227" s="259"/>
      <c r="AA227" s="179">
        <f t="shared" si="82"/>
        <v>40</v>
      </c>
      <c r="AB227" s="259"/>
      <c r="AC227" s="179">
        <f t="shared" si="83"/>
        <v>1394.266018065</v>
      </c>
      <c r="AD227" s="238">
        <f t="shared" si="78"/>
        <v>0</v>
      </c>
      <c r="AE227" s="179">
        <f t="shared" si="84"/>
        <v>2456.996018065</v>
      </c>
      <c r="AF227" s="264"/>
      <c r="AG227" s="179">
        <f t="shared" si="85"/>
        <v>1000</v>
      </c>
      <c r="AH227" s="268"/>
      <c r="AI227" s="179">
        <f t="shared" si="86"/>
        <v>0</v>
      </c>
      <c r="AJ227" s="268"/>
      <c r="AK227" s="179">
        <f t="shared" si="87"/>
        <v>22.73</v>
      </c>
      <c r="AL227" s="268"/>
      <c r="AM227" s="179">
        <f t="shared" si="88"/>
        <v>0</v>
      </c>
      <c r="AN227" s="268"/>
      <c r="AO227" s="179">
        <f t="shared" si="89"/>
        <v>0</v>
      </c>
      <c r="AP227" s="268"/>
      <c r="AQ227" s="179">
        <f t="shared" si="93"/>
        <v>0</v>
      </c>
      <c r="AR227" s="273"/>
      <c r="AS227" s="305">
        <f t="shared" si="90"/>
        <v>0</v>
      </c>
      <c r="AT227" s="273"/>
      <c r="AU227" s="305">
        <f t="shared" si="91"/>
        <v>0</v>
      </c>
    </row>
    <row r="228" spans="1:47" s="34" customFormat="1" hidden="1" x14ac:dyDescent="0.25">
      <c r="A228" s="87"/>
      <c r="B228" s="42"/>
      <c r="C228" s="41"/>
      <c r="D228" s="41"/>
      <c r="E228" s="40"/>
      <c r="F228" s="40"/>
      <c r="G228" s="40"/>
      <c r="H228" s="40"/>
      <c r="I228" s="160"/>
      <c r="J228" s="41"/>
      <c r="K228" s="41"/>
      <c r="L228" s="41"/>
      <c r="M228" s="41"/>
      <c r="N228" s="41"/>
      <c r="O228" s="41"/>
      <c r="P228" s="188"/>
      <c r="Q228" s="236"/>
      <c r="R228" s="280"/>
      <c r="S228" s="179">
        <f t="shared" si="79"/>
        <v>4859.3864915304011</v>
      </c>
      <c r="T228" s="259"/>
      <c r="U228" s="179">
        <f t="shared" si="92"/>
        <v>150</v>
      </c>
      <c r="V228" s="259"/>
      <c r="W228" s="179">
        <f t="shared" si="80"/>
        <v>0</v>
      </c>
      <c r="X228" s="259"/>
      <c r="Y228" s="179">
        <f t="shared" si="81"/>
        <v>1022.73</v>
      </c>
      <c r="Z228" s="259"/>
      <c r="AA228" s="179">
        <f t="shared" si="82"/>
        <v>40</v>
      </c>
      <c r="AB228" s="259"/>
      <c r="AC228" s="179">
        <f t="shared" si="83"/>
        <v>1394.266018065</v>
      </c>
      <c r="AD228" s="238">
        <f t="shared" si="78"/>
        <v>0</v>
      </c>
      <c r="AE228" s="179">
        <f t="shared" si="84"/>
        <v>2456.996018065</v>
      </c>
      <c r="AF228" s="264"/>
      <c r="AG228" s="179">
        <f t="shared" si="85"/>
        <v>1000</v>
      </c>
      <c r="AH228" s="268"/>
      <c r="AI228" s="179">
        <f t="shared" si="86"/>
        <v>0</v>
      </c>
      <c r="AJ228" s="268"/>
      <c r="AK228" s="179">
        <f t="shared" si="87"/>
        <v>22.73</v>
      </c>
      <c r="AL228" s="268"/>
      <c r="AM228" s="179">
        <f t="shared" si="88"/>
        <v>0</v>
      </c>
      <c r="AN228" s="268"/>
      <c r="AO228" s="179">
        <f t="shared" si="89"/>
        <v>0</v>
      </c>
      <c r="AP228" s="268"/>
      <c r="AQ228" s="179">
        <f t="shared" si="93"/>
        <v>0</v>
      </c>
      <c r="AR228" s="273"/>
      <c r="AS228" s="305">
        <f t="shared" si="90"/>
        <v>0</v>
      </c>
      <c r="AT228" s="273"/>
      <c r="AU228" s="305">
        <f t="shared" si="91"/>
        <v>0</v>
      </c>
    </row>
    <row r="229" spans="1:47" s="34" customFormat="1" hidden="1" x14ac:dyDescent="0.25">
      <c r="A229" s="87"/>
      <c r="B229" s="42"/>
      <c r="C229" s="41"/>
      <c r="D229" s="41"/>
      <c r="E229" s="40"/>
      <c r="F229" s="40"/>
      <c r="G229" s="40"/>
      <c r="H229" s="40"/>
      <c r="I229" s="160"/>
      <c r="J229" s="41"/>
      <c r="K229" s="41"/>
      <c r="L229" s="41"/>
      <c r="M229" s="41"/>
      <c r="N229" s="41"/>
      <c r="O229" s="41"/>
      <c r="P229" s="188"/>
      <c r="Q229" s="236"/>
      <c r="R229" s="280"/>
      <c r="S229" s="179">
        <f t="shared" si="79"/>
        <v>4859.3864915304011</v>
      </c>
      <c r="T229" s="259"/>
      <c r="U229" s="179">
        <f t="shared" si="92"/>
        <v>150</v>
      </c>
      <c r="V229" s="259"/>
      <c r="W229" s="179">
        <f t="shared" si="80"/>
        <v>0</v>
      </c>
      <c r="X229" s="259"/>
      <c r="Y229" s="179">
        <f t="shared" si="81"/>
        <v>1022.73</v>
      </c>
      <c r="Z229" s="259"/>
      <c r="AA229" s="179">
        <f t="shared" si="82"/>
        <v>40</v>
      </c>
      <c r="AB229" s="259"/>
      <c r="AC229" s="179">
        <f t="shared" si="83"/>
        <v>1394.266018065</v>
      </c>
      <c r="AD229" s="238">
        <f t="shared" si="78"/>
        <v>0</v>
      </c>
      <c r="AE229" s="179">
        <f t="shared" si="84"/>
        <v>2456.996018065</v>
      </c>
      <c r="AF229" s="264"/>
      <c r="AG229" s="179">
        <f t="shared" si="85"/>
        <v>1000</v>
      </c>
      <c r="AH229" s="268"/>
      <c r="AI229" s="179">
        <f t="shared" si="86"/>
        <v>0</v>
      </c>
      <c r="AJ229" s="268"/>
      <c r="AK229" s="179">
        <f t="shared" si="87"/>
        <v>22.73</v>
      </c>
      <c r="AL229" s="268"/>
      <c r="AM229" s="179">
        <f t="shared" si="88"/>
        <v>0</v>
      </c>
      <c r="AN229" s="268"/>
      <c r="AO229" s="179">
        <f t="shared" si="89"/>
        <v>0</v>
      </c>
      <c r="AP229" s="268"/>
      <c r="AQ229" s="179">
        <f t="shared" si="93"/>
        <v>0</v>
      </c>
      <c r="AR229" s="273"/>
      <c r="AS229" s="305">
        <f t="shared" si="90"/>
        <v>0</v>
      </c>
      <c r="AT229" s="273"/>
      <c r="AU229" s="305">
        <f t="shared" si="91"/>
        <v>0</v>
      </c>
    </row>
    <row r="230" spans="1:47" s="34" customFormat="1" hidden="1" x14ac:dyDescent="0.25">
      <c r="A230" s="87"/>
      <c r="B230" s="42"/>
      <c r="C230" s="41"/>
      <c r="D230" s="41"/>
      <c r="E230" s="40"/>
      <c r="F230" s="40"/>
      <c r="G230" s="40"/>
      <c r="H230" s="40"/>
      <c r="I230" s="160"/>
      <c r="J230" s="41"/>
      <c r="K230" s="41"/>
      <c r="L230" s="41"/>
      <c r="M230" s="41"/>
      <c r="N230" s="41"/>
      <c r="O230" s="41"/>
      <c r="P230" s="188"/>
      <c r="Q230" s="236"/>
      <c r="R230" s="280"/>
      <c r="S230" s="179">
        <f t="shared" si="79"/>
        <v>4859.3864915304011</v>
      </c>
      <c r="T230" s="259"/>
      <c r="U230" s="179">
        <f t="shared" si="92"/>
        <v>150</v>
      </c>
      <c r="V230" s="259"/>
      <c r="W230" s="179">
        <f t="shared" si="80"/>
        <v>0</v>
      </c>
      <c r="X230" s="259"/>
      <c r="Y230" s="179">
        <f t="shared" si="81"/>
        <v>1022.73</v>
      </c>
      <c r="Z230" s="259"/>
      <c r="AA230" s="179">
        <f t="shared" si="82"/>
        <v>40</v>
      </c>
      <c r="AB230" s="259"/>
      <c r="AC230" s="179">
        <f t="shared" si="83"/>
        <v>1394.266018065</v>
      </c>
      <c r="AD230" s="238">
        <f t="shared" si="78"/>
        <v>0</v>
      </c>
      <c r="AE230" s="179">
        <f t="shared" si="84"/>
        <v>2456.996018065</v>
      </c>
      <c r="AF230" s="264"/>
      <c r="AG230" s="179">
        <f t="shared" si="85"/>
        <v>1000</v>
      </c>
      <c r="AH230" s="268"/>
      <c r="AI230" s="179">
        <f t="shared" si="86"/>
        <v>0</v>
      </c>
      <c r="AJ230" s="268"/>
      <c r="AK230" s="179">
        <f t="shared" si="87"/>
        <v>22.73</v>
      </c>
      <c r="AL230" s="268"/>
      <c r="AM230" s="179">
        <f t="shared" si="88"/>
        <v>0</v>
      </c>
      <c r="AN230" s="268"/>
      <c r="AO230" s="179">
        <f t="shared" si="89"/>
        <v>0</v>
      </c>
      <c r="AP230" s="268"/>
      <c r="AQ230" s="179">
        <f t="shared" si="93"/>
        <v>0</v>
      </c>
      <c r="AR230" s="273"/>
      <c r="AS230" s="305">
        <f t="shared" si="90"/>
        <v>0</v>
      </c>
      <c r="AT230" s="273"/>
      <c r="AU230" s="305">
        <f t="shared" si="91"/>
        <v>0</v>
      </c>
    </row>
    <row r="231" spans="1:47" s="34" customFormat="1" hidden="1" x14ac:dyDescent="0.25">
      <c r="A231" s="87"/>
      <c r="B231" s="42"/>
      <c r="C231" s="41"/>
      <c r="D231" s="41"/>
      <c r="E231" s="40"/>
      <c r="F231" s="40"/>
      <c r="G231" s="40"/>
      <c r="H231" s="40"/>
      <c r="I231" s="160"/>
      <c r="J231" s="41"/>
      <c r="K231" s="41"/>
      <c r="L231" s="41"/>
      <c r="M231" s="41"/>
      <c r="N231" s="41"/>
      <c r="O231" s="41"/>
      <c r="P231" s="188"/>
      <c r="Q231" s="236"/>
      <c r="R231" s="280"/>
      <c r="S231" s="179">
        <f t="shared" si="79"/>
        <v>4859.3864915304011</v>
      </c>
      <c r="T231" s="259"/>
      <c r="U231" s="179">
        <f t="shared" si="92"/>
        <v>150</v>
      </c>
      <c r="V231" s="259"/>
      <c r="W231" s="179">
        <f t="shared" si="80"/>
        <v>0</v>
      </c>
      <c r="X231" s="259"/>
      <c r="Y231" s="179">
        <f t="shared" si="81"/>
        <v>1022.73</v>
      </c>
      <c r="Z231" s="259"/>
      <c r="AA231" s="179">
        <f t="shared" si="82"/>
        <v>40</v>
      </c>
      <c r="AB231" s="259"/>
      <c r="AC231" s="179">
        <f t="shared" si="83"/>
        <v>1394.266018065</v>
      </c>
      <c r="AD231" s="238">
        <f t="shared" si="78"/>
        <v>0</v>
      </c>
      <c r="AE231" s="179">
        <f t="shared" si="84"/>
        <v>2456.996018065</v>
      </c>
      <c r="AF231" s="264"/>
      <c r="AG231" s="179">
        <f t="shared" si="85"/>
        <v>1000</v>
      </c>
      <c r="AH231" s="268"/>
      <c r="AI231" s="179">
        <f t="shared" si="86"/>
        <v>0</v>
      </c>
      <c r="AJ231" s="268"/>
      <c r="AK231" s="179">
        <f t="shared" si="87"/>
        <v>22.73</v>
      </c>
      <c r="AL231" s="268"/>
      <c r="AM231" s="179">
        <f t="shared" si="88"/>
        <v>0</v>
      </c>
      <c r="AN231" s="268"/>
      <c r="AO231" s="179">
        <f t="shared" si="89"/>
        <v>0</v>
      </c>
      <c r="AP231" s="268"/>
      <c r="AQ231" s="179">
        <f t="shared" si="93"/>
        <v>0</v>
      </c>
      <c r="AR231" s="273"/>
      <c r="AS231" s="305">
        <f t="shared" si="90"/>
        <v>0</v>
      </c>
      <c r="AT231" s="273"/>
      <c r="AU231" s="305">
        <f t="shared" si="91"/>
        <v>0</v>
      </c>
    </row>
    <row r="232" spans="1:47" s="34" customFormat="1" hidden="1" x14ac:dyDescent="0.25">
      <c r="A232" s="87"/>
      <c r="B232" s="42"/>
      <c r="C232" s="41"/>
      <c r="D232" s="41"/>
      <c r="E232" s="40"/>
      <c r="F232" s="40"/>
      <c r="G232" s="40"/>
      <c r="H232" s="40"/>
      <c r="I232" s="160"/>
      <c r="J232" s="41"/>
      <c r="K232" s="41"/>
      <c r="L232" s="41"/>
      <c r="M232" s="41"/>
      <c r="N232" s="41"/>
      <c r="O232" s="41"/>
      <c r="P232" s="188"/>
      <c r="Q232" s="236"/>
      <c r="R232" s="280"/>
      <c r="S232" s="179">
        <f t="shared" si="79"/>
        <v>4859.3864915304011</v>
      </c>
      <c r="T232" s="259"/>
      <c r="U232" s="179">
        <f t="shared" si="92"/>
        <v>150</v>
      </c>
      <c r="V232" s="259"/>
      <c r="W232" s="179">
        <f t="shared" si="80"/>
        <v>0</v>
      </c>
      <c r="X232" s="259"/>
      <c r="Y232" s="179">
        <f t="shared" si="81"/>
        <v>1022.73</v>
      </c>
      <c r="Z232" s="259"/>
      <c r="AA232" s="179">
        <f t="shared" si="82"/>
        <v>40</v>
      </c>
      <c r="AB232" s="259"/>
      <c r="AC232" s="179">
        <f t="shared" si="83"/>
        <v>1394.266018065</v>
      </c>
      <c r="AD232" s="238">
        <f t="shared" si="78"/>
        <v>0</v>
      </c>
      <c r="AE232" s="179">
        <f t="shared" si="84"/>
        <v>2456.996018065</v>
      </c>
      <c r="AF232" s="264"/>
      <c r="AG232" s="179">
        <f t="shared" si="85"/>
        <v>1000</v>
      </c>
      <c r="AH232" s="268"/>
      <c r="AI232" s="179">
        <f t="shared" si="86"/>
        <v>0</v>
      </c>
      <c r="AJ232" s="268"/>
      <c r="AK232" s="179">
        <f t="shared" si="87"/>
        <v>22.73</v>
      </c>
      <c r="AL232" s="268"/>
      <c r="AM232" s="179">
        <f t="shared" si="88"/>
        <v>0</v>
      </c>
      <c r="AN232" s="268"/>
      <c r="AO232" s="179">
        <f t="shared" si="89"/>
        <v>0</v>
      </c>
      <c r="AP232" s="268"/>
      <c r="AQ232" s="179">
        <f t="shared" si="93"/>
        <v>0</v>
      </c>
      <c r="AR232" s="273"/>
      <c r="AS232" s="305">
        <f t="shared" si="90"/>
        <v>0</v>
      </c>
      <c r="AT232" s="273"/>
      <c r="AU232" s="305">
        <f t="shared" si="91"/>
        <v>0</v>
      </c>
    </row>
    <row r="233" spans="1:47" s="34" customFormat="1" hidden="1" x14ac:dyDescent="0.25">
      <c r="A233" s="87"/>
      <c r="B233" s="42"/>
      <c r="C233" s="41"/>
      <c r="D233" s="41"/>
      <c r="E233" s="40"/>
      <c r="F233" s="40"/>
      <c r="G233" s="40"/>
      <c r="H233" s="40"/>
      <c r="I233" s="160"/>
      <c r="J233" s="41"/>
      <c r="K233" s="41"/>
      <c r="L233" s="41"/>
      <c r="M233" s="41"/>
      <c r="N233" s="41"/>
      <c r="O233" s="41"/>
      <c r="P233" s="188"/>
      <c r="Q233" s="236"/>
      <c r="R233" s="280"/>
      <c r="S233" s="179">
        <f t="shared" si="79"/>
        <v>4859.3864915304011</v>
      </c>
      <c r="T233" s="259"/>
      <c r="U233" s="179">
        <f t="shared" si="92"/>
        <v>150</v>
      </c>
      <c r="V233" s="259"/>
      <c r="W233" s="179">
        <f t="shared" si="80"/>
        <v>0</v>
      </c>
      <c r="X233" s="259"/>
      <c r="Y233" s="179">
        <f t="shared" si="81"/>
        <v>1022.73</v>
      </c>
      <c r="Z233" s="259"/>
      <c r="AA233" s="179">
        <f t="shared" si="82"/>
        <v>40</v>
      </c>
      <c r="AB233" s="259"/>
      <c r="AC233" s="179">
        <f t="shared" si="83"/>
        <v>1394.266018065</v>
      </c>
      <c r="AD233" s="238">
        <f t="shared" si="78"/>
        <v>0</v>
      </c>
      <c r="AE233" s="179">
        <f t="shared" si="84"/>
        <v>2456.996018065</v>
      </c>
      <c r="AF233" s="264"/>
      <c r="AG233" s="179">
        <f t="shared" si="85"/>
        <v>1000</v>
      </c>
      <c r="AH233" s="268"/>
      <c r="AI233" s="179">
        <f t="shared" si="86"/>
        <v>0</v>
      </c>
      <c r="AJ233" s="268"/>
      <c r="AK233" s="179">
        <f t="shared" si="87"/>
        <v>22.73</v>
      </c>
      <c r="AL233" s="268"/>
      <c r="AM233" s="179">
        <f t="shared" si="88"/>
        <v>0</v>
      </c>
      <c r="AN233" s="268"/>
      <c r="AO233" s="179">
        <f t="shared" si="89"/>
        <v>0</v>
      </c>
      <c r="AP233" s="268"/>
      <c r="AQ233" s="179">
        <f t="shared" si="93"/>
        <v>0</v>
      </c>
      <c r="AR233" s="273"/>
      <c r="AS233" s="305">
        <f t="shared" si="90"/>
        <v>0</v>
      </c>
      <c r="AT233" s="273"/>
      <c r="AU233" s="305">
        <f t="shared" si="91"/>
        <v>0</v>
      </c>
    </row>
    <row r="234" spans="1:47" s="34" customFormat="1" hidden="1" x14ac:dyDescent="0.25">
      <c r="A234" s="87"/>
      <c r="B234" s="42"/>
      <c r="C234" s="41"/>
      <c r="D234" s="41"/>
      <c r="E234" s="40"/>
      <c r="F234" s="40"/>
      <c r="G234" s="40"/>
      <c r="H234" s="40"/>
      <c r="I234" s="160"/>
      <c r="J234" s="41"/>
      <c r="K234" s="41"/>
      <c r="L234" s="41"/>
      <c r="M234" s="41"/>
      <c r="N234" s="41"/>
      <c r="O234" s="41"/>
      <c r="P234" s="188"/>
      <c r="Q234" s="236"/>
      <c r="R234" s="280"/>
      <c r="S234" s="179">
        <f t="shared" si="79"/>
        <v>4859.3864915304011</v>
      </c>
      <c r="T234" s="259"/>
      <c r="U234" s="179">
        <f t="shared" si="92"/>
        <v>150</v>
      </c>
      <c r="V234" s="259"/>
      <c r="W234" s="179">
        <f t="shared" si="80"/>
        <v>0</v>
      </c>
      <c r="X234" s="259"/>
      <c r="Y234" s="179">
        <f t="shared" si="81"/>
        <v>1022.73</v>
      </c>
      <c r="Z234" s="259"/>
      <c r="AA234" s="179">
        <f t="shared" si="82"/>
        <v>40</v>
      </c>
      <c r="AB234" s="259"/>
      <c r="AC234" s="179">
        <f t="shared" si="83"/>
        <v>1394.266018065</v>
      </c>
      <c r="AD234" s="238">
        <f t="shared" si="78"/>
        <v>0</v>
      </c>
      <c r="AE234" s="179">
        <f t="shared" si="84"/>
        <v>2456.996018065</v>
      </c>
      <c r="AF234" s="264"/>
      <c r="AG234" s="179">
        <f t="shared" si="85"/>
        <v>1000</v>
      </c>
      <c r="AH234" s="268"/>
      <c r="AI234" s="179">
        <f t="shared" si="86"/>
        <v>0</v>
      </c>
      <c r="AJ234" s="268"/>
      <c r="AK234" s="179">
        <f t="shared" si="87"/>
        <v>22.73</v>
      </c>
      <c r="AL234" s="268"/>
      <c r="AM234" s="179">
        <f t="shared" si="88"/>
        <v>0</v>
      </c>
      <c r="AN234" s="268"/>
      <c r="AO234" s="179">
        <f t="shared" si="89"/>
        <v>0</v>
      </c>
      <c r="AP234" s="268"/>
      <c r="AQ234" s="179">
        <f t="shared" si="93"/>
        <v>0</v>
      </c>
      <c r="AR234" s="273"/>
      <c r="AS234" s="305">
        <f t="shared" si="90"/>
        <v>0</v>
      </c>
      <c r="AT234" s="273"/>
      <c r="AU234" s="305">
        <f t="shared" si="91"/>
        <v>0</v>
      </c>
    </row>
    <row r="235" spans="1:47" s="34" customFormat="1" hidden="1" x14ac:dyDescent="0.25">
      <c r="A235" s="87"/>
      <c r="B235" s="42"/>
      <c r="C235" s="41"/>
      <c r="D235" s="41"/>
      <c r="E235" s="40"/>
      <c r="F235" s="40"/>
      <c r="G235" s="40"/>
      <c r="H235" s="40"/>
      <c r="I235" s="160"/>
      <c r="J235" s="41"/>
      <c r="K235" s="41"/>
      <c r="L235" s="41"/>
      <c r="M235" s="41"/>
      <c r="N235" s="41"/>
      <c r="O235" s="41"/>
      <c r="P235" s="188"/>
      <c r="Q235" s="236"/>
      <c r="R235" s="280"/>
      <c r="S235" s="179">
        <f t="shared" si="79"/>
        <v>4859.3864915304011</v>
      </c>
      <c r="T235" s="259"/>
      <c r="U235" s="179">
        <f t="shared" si="92"/>
        <v>150</v>
      </c>
      <c r="V235" s="259"/>
      <c r="W235" s="179">
        <f t="shared" si="80"/>
        <v>0</v>
      </c>
      <c r="X235" s="259"/>
      <c r="Y235" s="179">
        <f t="shared" si="81"/>
        <v>1022.73</v>
      </c>
      <c r="Z235" s="259"/>
      <c r="AA235" s="179">
        <f t="shared" si="82"/>
        <v>40</v>
      </c>
      <c r="AB235" s="259"/>
      <c r="AC235" s="179">
        <f t="shared" si="83"/>
        <v>1394.266018065</v>
      </c>
      <c r="AD235" s="238">
        <f t="shared" si="78"/>
        <v>0</v>
      </c>
      <c r="AE235" s="179">
        <f t="shared" si="84"/>
        <v>2456.996018065</v>
      </c>
      <c r="AF235" s="264"/>
      <c r="AG235" s="179">
        <f t="shared" si="85"/>
        <v>1000</v>
      </c>
      <c r="AH235" s="268"/>
      <c r="AI235" s="179">
        <f t="shared" si="86"/>
        <v>0</v>
      </c>
      <c r="AJ235" s="268"/>
      <c r="AK235" s="179">
        <f t="shared" si="87"/>
        <v>22.73</v>
      </c>
      <c r="AL235" s="268"/>
      <c r="AM235" s="179">
        <f t="shared" si="88"/>
        <v>0</v>
      </c>
      <c r="AN235" s="268"/>
      <c r="AO235" s="179">
        <f t="shared" si="89"/>
        <v>0</v>
      </c>
      <c r="AP235" s="268"/>
      <c r="AQ235" s="179">
        <f t="shared" si="93"/>
        <v>0</v>
      </c>
      <c r="AR235" s="273"/>
      <c r="AS235" s="305">
        <f t="shared" si="90"/>
        <v>0</v>
      </c>
      <c r="AT235" s="273"/>
      <c r="AU235" s="305">
        <f t="shared" si="91"/>
        <v>0</v>
      </c>
    </row>
    <row r="236" spans="1:47" s="34" customFormat="1" hidden="1" x14ac:dyDescent="0.25">
      <c r="A236" s="87"/>
      <c r="B236" s="42"/>
      <c r="C236" s="41"/>
      <c r="D236" s="41"/>
      <c r="E236" s="40"/>
      <c r="F236" s="40"/>
      <c r="G236" s="40"/>
      <c r="H236" s="40"/>
      <c r="I236" s="160"/>
      <c r="J236" s="41"/>
      <c r="K236" s="41"/>
      <c r="L236" s="41"/>
      <c r="M236" s="41"/>
      <c r="N236" s="41"/>
      <c r="O236" s="41"/>
      <c r="P236" s="188"/>
      <c r="Q236" s="236"/>
      <c r="R236" s="280"/>
      <c r="S236" s="179">
        <f t="shared" si="79"/>
        <v>4859.3864915304011</v>
      </c>
      <c r="T236" s="259"/>
      <c r="U236" s="179">
        <f t="shared" si="92"/>
        <v>150</v>
      </c>
      <c r="V236" s="259"/>
      <c r="W236" s="179">
        <f t="shared" si="80"/>
        <v>0</v>
      </c>
      <c r="X236" s="259"/>
      <c r="Y236" s="179">
        <f t="shared" si="81"/>
        <v>1022.73</v>
      </c>
      <c r="Z236" s="259"/>
      <c r="AA236" s="179">
        <f t="shared" si="82"/>
        <v>40</v>
      </c>
      <c r="AB236" s="259"/>
      <c r="AC236" s="179">
        <f t="shared" si="83"/>
        <v>1394.266018065</v>
      </c>
      <c r="AD236" s="238">
        <f t="shared" si="78"/>
        <v>0</v>
      </c>
      <c r="AE236" s="179">
        <f t="shared" si="84"/>
        <v>2456.996018065</v>
      </c>
      <c r="AF236" s="264"/>
      <c r="AG236" s="179">
        <f t="shared" si="85"/>
        <v>1000</v>
      </c>
      <c r="AH236" s="268"/>
      <c r="AI236" s="179">
        <f t="shared" si="86"/>
        <v>0</v>
      </c>
      <c r="AJ236" s="268"/>
      <c r="AK236" s="179">
        <f t="shared" si="87"/>
        <v>22.73</v>
      </c>
      <c r="AL236" s="268"/>
      <c r="AM236" s="179">
        <f t="shared" si="88"/>
        <v>0</v>
      </c>
      <c r="AN236" s="268"/>
      <c r="AO236" s="179">
        <f t="shared" si="89"/>
        <v>0</v>
      </c>
      <c r="AP236" s="268"/>
      <c r="AQ236" s="179">
        <f t="shared" si="93"/>
        <v>0</v>
      </c>
      <c r="AR236" s="273"/>
      <c r="AS236" s="305">
        <f t="shared" si="90"/>
        <v>0</v>
      </c>
      <c r="AT236" s="273"/>
      <c r="AU236" s="305">
        <f t="shared" si="91"/>
        <v>0</v>
      </c>
    </row>
    <row r="237" spans="1:47" s="34" customFormat="1" hidden="1" x14ac:dyDescent="0.25">
      <c r="A237" s="87"/>
      <c r="B237" s="42"/>
      <c r="C237" s="41"/>
      <c r="D237" s="41"/>
      <c r="E237" s="40"/>
      <c r="F237" s="40"/>
      <c r="G237" s="40"/>
      <c r="H237" s="40"/>
      <c r="I237" s="160"/>
      <c r="J237" s="41"/>
      <c r="K237" s="41"/>
      <c r="L237" s="41"/>
      <c r="M237" s="41"/>
      <c r="N237" s="41"/>
      <c r="O237" s="41"/>
      <c r="P237" s="188"/>
      <c r="Q237" s="236"/>
      <c r="R237" s="280"/>
      <c r="S237" s="179">
        <f t="shared" si="79"/>
        <v>4859.3864915304011</v>
      </c>
      <c r="T237" s="259"/>
      <c r="U237" s="179">
        <f t="shared" si="92"/>
        <v>150</v>
      </c>
      <c r="V237" s="259"/>
      <c r="W237" s="179">
        <f t="shared" si="80"/>
        <v>0</v>
      </c>
      <c r="X237" s="259"/>
      <c r="Y237" s="179">
        <f t="shared" si="81"/>
        <v>1022.73</v>
      </c>
      <c r="Z237" s="259"/>
      <c r="AA237" s="179">
        <f t="shared" si="82"/>
        <v>40</v>
      </c>
      <c r="AB237" s="259"/>
      <c r="AC237" s="179">
        <f t="shared" si="83"/>
        <v>1394.266018065</v>
      </c>
      <c r="AD237" s="238">
        <f t="shared" si="78"/>
        <v>0</v>
      </c>
      <c r="AE237" s="179">
        <f t="shared" si="84"/>
        <v>2456.996018065</v>
      </c>
      <c r="AF237" s="264"/>
      <c r="AG237" s="179">
        <f t="shared" si="85"/>
        <v>1000</v>
      </c>
      <c r="AH237" s="268"/>
      <c r="AI237" s="179">
        <f t="shared" si="86"/>
        <v>0</v>
      </c>
      <c r="AJ237" s="268"/>
      <c r="AK237" s="179">
        <f t="shared" si="87"/>
        <v>22.73</v>
      </c>
      <c r="AL237" s="268"/>
      <c r="AM237" s="179">
        <f t="shared" si="88"/>
        <v>0</v>
      </c>
      <c r="AN237" s="268"/>
      <c r="AO237" s="179">
        <f t="shared" si="89"/>
        <v>0</v>
      </c>
      <c r="AP237" s="268"/>
      <c r="AQ237" s="179">
        <f t="shared" si="93"/>
        <v>0</v>
      </c>
      <c r="AR237" s="273"/>
      <c r="AS237" s="305">
        <f t="shared" si="90"/>
        <v>0</v>
      </c>
      <c r="AT237" s="273"/>
      <c r="AU237" s="305">
        <f t="shared" si="91"/>
        <v>0</v>
      </c>
    </row>
    <row r="238" spans="1:47" s="34" customFormat="1" hidden="1" x14ac:dyDescent="0.25">
      <c r="A238" s="87"/>
      <c r="B238" s="42"/>
      <c r="C238" s="41"/>
      <c r="D238" s="41"/>
      <c r="E238" s="40"/>
      <c r="F238" s="40"/>
      <c r="G238" s="40"/>
      <c r="H238" s="40"/>
      <c r="I238" s="160"/>
      <c r="J238" s="41"/>
      <c r="K238" s="41"/>
      <c r="L238" s="41"/>
      <c r="M238" s="41"/>
      <c r="N238" s="41"/>
      <c r="O238" s="41"/>
      <c r="P238" s="188"/>
      <c r="Q238" s="236"/>
      <c r="R238" s="280"/>
      <c r="S238" s="179">
        <f t="shared" si="79"/>
        <v>4859.3864915304011</v>
      </c>
      <c r="T238" s="259"/>
      <c r="U238" s="179">
        <f t="shared" si="92"/>
        <v>150</v>
      </c>
      <c r="V238" s="259"/>
      <c r="W238" s="179">
        <f t="shared" si="80"/>
        <v>0</v>
      </c>
      <c r="X238" s="259"/>
      <c r="Y238" s="179">
        <f t="shared" si="81"/>
        <v>1022.73</v>
      </c>
      <c r="Z238" s="259"/>
      <c r="AA238" s="179">
        <f t="shared" si="82"/>
        <v>40</v>
      </c>
      <c r="AB238" s="259"/>
      <c r="AC238" s="179">
        <f t="shared" si="83"/>
        <v>1394.266018065</v>
      </c>
      <c r="AD238" s="238">
        <f t="shared" si="78"/>
        <v>0</v>
      </c>
      <c r="AE238" s="179">
        <f t="shared" si="84"/>
        <v>2456.996018065</v>
      </c>
      <c r="AF238" s="264"/>
      <c r="AG238" s="179">
        <f t="shared" si="85"/>
        <v>1000</v>
      </c>
      <c r="AH238" s="268"/>
      <c r="AI238" s="179">
        <f t="shared" si="86"/>
        <v>0</v>
      </c>
      <c r="AJ238" s="268"/>
      <c r="AK238" s="179">
        <f t="shared" si="87"/>
        <v>22.73</v>
      </c>
      <c r="AL238" s="268"/>
      <c r="AM238" s="179">
        <f t="shared" si="88"/>
        <v>0</v>
      </c>
      <c r="AN238" s="268"/>
      <c r="AO238" s="179">
        <f t="shared" si="89"/>
        <v>0</v>
      </c>
      <c r="AP238" s="268"/>
      <c r="AQ238" s="179">
        <f t="shared" si="93"/>
        <v>0</v>
      </c>
      <c r="AR238" s="273"/>
      <c r="AS238" s="305">
        <f t="shared" si="90"/>
        <v>0</v>
      </c>
      <c r="AT238" s="273"/>
      <c r="AU238" s="305">
        <f t="shared" si="91"/>
        <v>0</v>
      </c>
    </row>
    <row r="239" spans="1:47" s="34" customFormat="1" hidden="1" x14ac:dyDescent="0.25">
      <c r="A239" s="87"/>
      <c r="B239" s="42"/>
      <c r="C239" s="41"/>
      <c r="D239" s="41"/>
      <c r="E239" s="40"/>
      <c r="F239" s="40"/>
      <c r="G239" s="40"/>
      <c r="H239" s="40"/>
      <c r="I239" s="160"/>
      <c r="J239" s="41"/>
      <c r="K239" s="41"/>
      <c r="L239" s="41"/>
      <c r="M239" s="41"/>
      <c r="N239" s="41"/>
      <c r="O239" s="41"/>
      <c r="P239" s="188"/>
      <c r="Q239" s="236"/>
      <c r="R239" s="280"/>
      <c r="S239" s="179">
        <f t="shared" si="79"/>
        <v>4859.3864915304011</v>
      </c>
      <c r="T239" s="259"/>
      <c r="U239" s="179">
        <f t="shared" si="92"/>
        <v>150</v>
      </c>
      <c r="V239" s="259"/>
      <c r="W239" s="179">
        <f t="shared" si="80"/>
        <v>0</v>
      </c>
      <c r="X239" s="259"/>
      <c r="Y239" s="179">
        <f t="shared" si="81"/>
        <v>1022.73</v>
      </c>
      <c r="Z239" s="259"/>
      <c r="AA239" s="179">
        <f t="shared" si="82"/>
        <v>40</v>
      </c>
      <c r="AB239" s="259"/>
      <c r="AC239" s="179">
        <f t="shared" si="83"/>
        <v>1394.266018065</v>
      </c>
      <c r="AD239" s="238">
        <f t="shared" si="78"/>
        <v>0</v>
      </c>
      <c r="AE239" s="179">
        <f t="shared" si="84"/>
        <v>2456.996018065</v>
      </c>
      <c r="AF239" s="264"/>
      <c r="AG239" s="179">
        <f t="shared" si="85"/>
        <v>1000</v>
      </c>
      <c r="AH239" s="268"/>
      <c r="AI239" s="179">
        <f t="shared" si="86"/>
        <v>0</v>
      </c>
      <c r="AJ239" s="268"/>
      <c r="AK239" s="179">
        <f t="shared" si="87"/>
        <v>22.73</v>
      </c>
      <c r="AL239" s="268"/>
      <c r="AM239" s="179">
        <f t="shared" si="88"/>
        <v>0</v>
      </c>
      <c r="AN239" s="268"/>
      <c r="AO239" s="179">
        <f t="shared" si="89"/>
        <v>0</v>
      </c>
      <c r="AP239" s="268"/>
      <c r="AQ239" s="179">
        <f t="shared" si="93"/>
        <v>0</v>
      </c>
      <c r="AR239" s="273"/>
      <c r="AS239" s="305">
        <f t="shared" si="90"/>
        <v>0</v>
      </c>
      <c r="AT239" s="273"/>
      <c r="AU239" s="305">
        <f t="shared" si="91"/>
        <v>0</v>
      </c>
    </row>
    <row r="240" spans="1:47" s="34" customFormat="1" hidden="1" x14ac:dyDescent="0.25">
      <c r="A240" s="87"/>
      <c r="B240" s="42"/>
      <c r="C240" s="41"/>
      <c r="D240" s="41"/>
      <c r="E240" s="40"/>
      <c r="F240" s="40"/>
      <c r="G240" s="40"/>
      <c r="H240" s="40"/>
      <c r="I240" s="160"/>
      <c r="J240" s="41"/>
      <c r="K240" s="41"/>
      <c r="L240" s="41"/>
      <c r="M240" s="41"/>
      <c r="N240" s="41"/>
      <c r="O240" s="41"/>
      <c r="P240" s="188"/>
      <c r="Q240" s="236"/>
      <c r="R240" s="280"/>
      <c r="S240" s="179">
        <f t="shared" si="79"/>
        <v>4859.3864915304011</v>
      </c>
      <c r="T240" s="259"/>
      <c r="U240" s="179">
        <f t="shared" si="92"/>
        <v>150</v>
      </c>
      <c r="V240" s="259"/>
      <c r="W240" s="179">
        <f t="shared" si="80"/>
        <v>0</v>
      </c>
      <c r="X240" s="259"/>
      <c r="Y240" s="179">
        <f t="shared" si="81"/>
        <v>1022.73</v>
      </c>
      <c r="Z240" s="259"/>
      <c r="AA240" s="179">
        <f t="shared" si="82"/>
        <v>40</v>
      </c>
      <c r="AB240" s="259"/>
      <c r="AC240" s="179">
        <f t="shared" si="83"/>
        <v>1394.266018065</v>
      </c>
      <c r="AD240" s="238">
        <f t="shared" si="78"/>
        <v>0</v>
      </c>
      <c r="AE240" s="179">
        <f t="shared" si="84"/>
        <v>2456.996018065</v>
      </c>
      <c r="AF240" s="264"/>
      <c r="AG240" s="179">
        <f t="shared" si="85"/>
        <v>1000</v>
      </c>
      <c r="AH240" s="268"/>
      <c r="AI240" s="179">
        <f t="shared" si="86"/>
        <v>0</v>
      </c>
      <c r="AJ240" s="268"/>
      <c r="AK240" s="179">
        <f t="shared" si="87"/>
        <v>22.73</v>
      </c>
      <c r="AL240" s="268"/>
      <c r="AM240" s="179">
        <f t="shared" si="88"/>
        <v>0</v>
      </c>
      <c r="AN240" s="268"/>
      <c r="AO240" s="179">
        <f t="shared" si="89"/>
        <v>0</v>
      </c>
      <c r="AP240" s="268"/>
      <c r="AQ240" s="179">
        <f t="shared" si="93"/>
        <v>0</v>
      </c>
      <c r="AR240" s="273"/>
      <c r="AS240" s="305">
        <f t="shared" si="90"/>
        <v>0</v>
      </c>
      <c r="AT240" s="273"/>
      <c r="AU240" s="305">
        <f t="shared" si="91"/>
        <v>0</v>
      </c>
    </row>
    <row r="241" spans="1:47" s="34" customFormat="1" hidden="1" x14ac:dyDescent="0.25">
      <c r="A241" s="87"/>
      <c r="B241" s="42"/>
      <c r="C241" s="41"/>
      <c r="D241" s="41"/>
      <c r="E241" s="40"/>
      <c r="F241" s="40"/>
      <c r="G241" s="40"/>
      <c r="H241" s="40"/>
      <c r="I241" s="160"/>
      <c r="J241" s="41"/>
      <c r="K241" s="41"/>
      <c r="L241" s="41"/>
      <c r="M241" s="41"/>
      <c r="N241" s="41"/>
      <c r="O241" s="41"/>
      <c r="P241" s="188"/>
      <c r="Q241" s="236"/>
      <c r="R241" s="280"/>
      <c r="S241" s="179">
        <f t="shared" si="79"/>
        <v>4859.3864915304011</v>
      </c>
      <c r="T241" s="259"/>
      <c r="U241" s="179">
        <f t="shared" si="92"/>
        <v>150</v>
      </c>
      <c r="V241" s="259"/>
      <c r="W241" s="179">
        <f t="shared" si="80"/>
        <v>0</v>
      </c>
      <c r="X241" s="259"/>
      <c r="Y241" s="179">
        <f t="shared" si="81"/>
        <v>1022.73</v>
      </c>
      <c r="Z241" s="259"/>
      <c r="AA241" s="179">
        <f t="shared" si="82"/>
        <v>40</v>
      </c>
      <c r="AB241" s="259"/>
      <c r="AC241" s="179">
        <f t="shared" si="83"/>
        <v>1394.266018065</v>
      </c>
      <c r="AD241" s="238">
        <f t="shared" si="78"/>
        <v>0</v>
      </c>
      <c r="AE241" s="179">
        <f t="shared" si="84"/>
        <v>2456.996018065</v>
      </c>
      <c r="AF241" s="264"/>
      <c r="AG241" s="179">
        <f t="shared" si="85"/>
        <v>1000</v>
      </c>
      <c r="AH241" s="268"/>
      <c r="AI241" s="179">
        <f t="shared" si="86"/>
        <v>0</v>
      </c>
      <c r="AJ241" s="268"/>
      <c r="AK241" s="179">
        <f t="shared" si="87"/>
        <v>22.73</v>
      </c>
      <c r="AL241" s="268"/>
      <c r="AM241" s="179">
        <f t="shared" si="88"/>
        <v>0</v>
      </c>
      <c r="AN241" s="268"/>
      <c r="AO241" s="179">
        <f t="shared" si="89"/>
        <v>0</v>
      </c>
      <c r="AP241" s="268"/>
      <c r="AQ241" s="179">
        <f t="shared" si="93"/>
        <v>0</v>
      </c>
      <c r="AR241" s="273"/>
      <c r="AS241" s="305">
        <f t="shared" si="90"/>
        <v>0</v>
      </c>
      <c r="AT241" s="273"/>
      <c r="AU241" s="305">
        <f t="shared" si="91"/>
        <v>0</v>
      </c>
    </row>
    <row r="242" spans="1:47" s="34" customFormat="1" hidden="1" x14ac:dyDescent="0.25">
      <c r="A242" s="87"/>
      <c r="B242" s="42"/>
      <c r="C242" s="41"/>
      <c r="D242" s="41"/>
      <c r="E242" s="40"/>
      <c r="F242" s="40"/>
      <c r="G242" s="40"/>
      <c r="H242" s="40"/>
      <c r="I242" s="160"/>
      <c r="J242" s="41"/>
      <c r="K242" s="41"/>
      <c r="L242" s="41"/>
      <c r="M242" s="41"/>
      <c r="N242" s="41"/>
      <c r="O242" s="41"/>
      <c r="P242" s="188"/>
      <c r="Q242" s="236"/>
      <c r="R242" s="280"/>
      <c r="S242" s="179">
        <f t="shared" si="79"/>
        <v>4859.3864915304011</v>
      </c>
      <c r="T242" s="259"/>
      <c r="U242" s="179">
        <f t="shared" si="92"/>
        <v>150</v>
      </c>
      <c r="V242" s="259"/>
      <c r="W242" s="179">
        <f t="shared" si="80"/>
        <v>0</v>
      </c>
      <c r="X242" s="259"/>
      <c r="Y242" s="179">
        <f t="shared" si="81"/>
        <v>1022.73</v>
      </c>
      <c r="Z242" s="259"/>
      <c r="AA242" s="179">
        <f t="shared" si="82"/>
        <v>40</v>
      </c>
      <c r="AB242" s="259"/>
      <c r="AC242" s="179">
        <f t="shared" si="83"/>
        <v>1394.266018065</v>
      </c>
      <c r="AD242" s="238">
        <f t="shared" si="78"/>
        <v>0</v>
      </c>
      <c r="AE242" s="179">
        <f t="shared" si="84"/>
        <v>2456.996018065</v>
      </c>
      <c r="AF242" s="264"/>
      <c r="AG242" s="179">
        <f t="shared" si="85"/>
        <v>1000</v>
      </c>
      <c r="AH242" s="268"/>
      <c r="AI242" s="179">
        <f t="shared" si="86"/>
        <v>0</v>
      </c>
      <c r="AJ242" s="268"/>
      <c r="AK242" s="179">
        <f t="shared" si="87"/>
        <v>22.73</v>
      </c>
      <c r="AL242" s="268"/>
      <c r="AM242" s="179">
        <f t="shared" si="88"/>
        <v>0</v>
      </c>
      <c r="AN242" s="268"/>
      <c r="AO242" s="179">
        <f t="shared" si="89"/>
        <v>0</v>
      </c>
      <c r="AP242" s="268"/>
      <c r="AQ242" s="179">
        <f t="shared" si="93"/>
        <v>0</v>
      </c>
      <c r="AR242" s="273"/>
      <c r="AS242" s="305">
        <f t="shared" si="90"/>
        <v>0</v>
      </c>
      <c r="AT242" s="273"/>
      <c r="AU242" s="305">
        <f t="shared" si="91"/>
        <v>0</v>
      </c>
    </row>
    <row r="243" spans="1:47" s="34" customFormat="1" hidden="1" x14ac:dyDescent="0.25">
      <c r="A243" s="87"/>
      <c r="B243" s="42"/>
      <c r="C243" s="41"/>
      <c r="D243" s="41"/>
      <c r="E243" s="40"/>
      <c r="F243" s="40"/>
      <c r="G243" s="40"/>
      <c r="H243" s="40"/>
      <c r="I243" s="160"/>
      <c r="J243" s="41"/>
      <c r="K243" s="41"/>
      <c r="L243" s="41"/>
      <c r="M243" s="41"/>
      <c r="N243" s="41"/>
      <c r="O243" s="41"/>
      <c r="P243" s="188"/>
      <c r="Q243" s="236"/>
      <c r="R243" s="280"/>
      <c r="S243" s="179">
        <f t="shared" si="79"/>
        <v>4859.3864915304011</v>
      </c>
      <c r="T243" s="259"/>
      <c r="U243" s="179">
        <f t="shared" si="92"/>
        <v>150</v>
      </c>
      <c r="V243" s="259"/>
      <c r="W243" s="179">
        <f t="shared" si="80"/>
        <v>0</v>
      </c>
      <c r="X243" s="259"/>
      <c r="Y243" s="179">
        <f t="shared" si="81"/>
        <v>1022.73</v>
      </c>
      <c r="Z243" s="259"/>
      <c r="AA243" s="179">
        <f t="shared" si="82"/>
        <v>40</v>
      </c>
      <c r="AB243" s="259"/>
      <c r="AC243" s="179">
        <f t="shared" si="83"/>
        <v>1394.266018065</v>
      </c>
      <c r="AD243" s="238">
        <f t="shared" si="78"/>
        <v>0</v>
      </c>
      <c r="AE243" s="179">
        <f t="shared" si="84"/>
        <v>2456.996018065</v>
      </c>
      <c r="AF243" s="264"/>
      <c r="AG243" s="179">
        <f t="shared" si="85"/>
        <v>1000</v>
      </c>
      <c r="AH243" s="268"/>
      <c r="AI243" s="179">
        <f t="shared" si="86"/>
        <v>0</v>
      </c>
      <c r="AJ243" s="268"/>
      <c r="AK243" s="179">
        <f t="shared" si="87"/>
        <v>22.73</v>
      </c>
      <c r="AL243" s="268"/>
      <c r="AM243" s="179">
        <f t="shared" si="88"/>
        <v>0</v>
      </c>
      <c r="AN243" s="268"/>
      <c r="AO243" s="179">
        <f t="shared" si="89"/>
        <v>0</v>
      </c>
      <c r="AP243" s="268"/>
      <c r="AQ243" s="179">
        <f t="shared" si="93"/>
        <v>0</v>
      </c>
      <c r="AR243" s="273"/>
      <c r="AS243" s="305">
        <f t="shared" si="90"/>
        <v>0</v>
      </c>
      <c r="AT243" s="273"/>
      <c r="AU243" s="305">
        <f t="shared" si="91"/>
        <v>0</v>
      </c>
    </row>
    <row r="244" spans="1:47" s="34" customFormat="1" hidden="1" x14ac:dyDescent="0.25">
      <c r="A244" s="87"/>
      <c r="B244" s="42"/>
      <c r="C244" s="41"/>
      <c r="D244" s="41"/>
      <c r="E244" s="40"/>
      <c r="F244" s="40"/>
      <c r="G244" s="40"/>
      <c r="H244" s="40"/>
      <c r="I244" s="160"/>
      <c r="J244" s="41"/>
      <c r="K244" s="41"/>
      <c r="L244" s="41"/>
      <c r="M244" s="41"/>
      <c r="N244" s="41"/>
      <c r="O244" s="41"/>
      <c r="P244" s="188"/>
      <c r="Q244" s="236"/>
      <c r="R244" s="280"/>
      <c r="S244" s="179">
        <f t="shared" si="79"/>
        <v>4859.3864915304011</v>
      </c>
      <c r="T244" s="259"/>
      <c r="U244" s="179">
        <f t="shared" si="92"/>
        <v>150</v>
      </c>
      <c r="V244" s="259"/>
      <c r="W244" s="179">
        <f t="shared" si="80"/>
        <v>0</v>
      </c>
      <c r="X244" s="259"/>
      <c r="Y244" s="179">
        <f t="shared" si="81"/>
        <v>1022.73</v>
      </c>
      <c r="Z244" s="259"/>
      <c r="AA244" s="179">
        <f t="shared" si="82"/>
        <v>40</v>
      </c>
      <c r="AB244" s="259"/>
      <c r="AC244" s="179">
        <f t="shared" si="83"/>
        <v>1394.266018065</v>
      </c>
      <c r="AD244" s="238">
        <f t="shared" si="78"/>
        <v>0</v>
      </c>
      <c r="AE244" s="179">
        <f t="shared" si="84"/>
        <v>2456.996018065</v>
      </c>
      <c r="AF244" s="264"/>
      <c r="AG244" s="179">
        <f t="shared" si="85"/>
        <v>1000</v>
      </c>
      <c r="AH244" s="268"/>
      <c r="AI244" s="179">
        <f t="shared" si="86"/>
        <v>0</v>
      </c>
      <c r="AJ244" s="268"/>
      <c r="AK244" s="179">
        <f t="shared" si="87"/>
        <v>22.73</v>
      </c>
      <c r="AL244" s="268"/>
      <c r="AM244" s="179">
        <f t="shared" si="88"/>
        <v>0</v>
      </c>
      <c r="AN244" s="268"/>
      <c r="AO244" s="179">
        <f t="shared" si="89"/>
        <v>0</v>
      </c>
      <c r="AP244" s="268"/>
      <c r="AQ244" s="179">
        <f t="shared" si="93"/>
        <v>0</v>
      </c>
      <c r="AR244" s="273"/>
      <c r="AS244" s="305">
        <f t="shared" si="90"/>
        <v>0</v>
      </c>
      <c r="AT244" s="273"/>
      <c r="AU244" s="305">
        <f t="shared" si="91"/>
        <v>0</v>
      </c>
    </row>
    <row r="245" spans="1:47" s="34" customFormat="1" hidden="1" x14ac:dyDescent="0.25">
      <c r="A245" s="87"/>
      <c r="B245" s="42"/>
      <c r="C245" s="41"/>
      <c r="D245" s="41"/>
      <c r="E245" s="40"/>
      <c r="F245" s="40"/>
      <c r="G245" s="40"/>
      <c r="H245" s="40"/>
      <c r="I245" s="160"/>
      <c r="J245" s="41"/>
      <c r="K245" s="41"/>
      <c r="L245" s="41"/>
      <c r="M245" s="41"/>
      <c r="N245" s="41"/>
      <c r="O245" s="41"/>
      <c r="P245" s="188"/>
      <c r="Q245" s="236"/>
      <c r="R245" s="280"/>
      <c r="S245" s="179">
        <f t="shared" si="79"/>
        <v>4859.3864915304011</v>
      </c>
      <c r="T245" s="259"/>
      <c r="U245" s="179">
        <f t="shared" si="92"/>
        <v>150</v>
      </c>
      <c r="V245" s="259"/>
      <c r="W245" s="179">
        <f t="shared" si="80"/>
        <v>0</v>
      </c>
      <c r="X245" s="259"/>
      <c r="Y245" s="179">
        <f t="shared" si="81"/>
        <v>1022.73</v>
      </c>
      <c r="Z245" s="259"/>
      <c r="AA245" s="179">
        <f t="shared" si="82"/>
        <v>40</v>
      </c>
      <c r="AB245" s="259"/>
      <c r="AC245" s="179">
        <f t="shared" si="83"/>
        <v>1394.266018065</v>
      </c>
      <c r="AD245" s="238">
        <f t="shared" si="78"/>
        <v>0</v>
      </c>
      <c r="AE245" s="179">
        <f t="shared" si="84"/>
        <v>2456.996018065</v>
      </c>
      <c r="AF245" s="264"/>
      <c r="AG245" s="179">
        <f t="shared" si="85"/>
        <v>1000</v>
      </c>
      <c r="AH245" s="268"/>
      <c r="AI245" s="179">
        <f t="shared" si="86"/>
        <v>0</v>
      </c>
      <c r="AJ245" s="268"/>
      <c r="AK245" s="179">
        <f t="shared" si="87"/>
        <v>22.73</v>
      </c>
      <c r="AL245" s="268"/>
      <c r="AM245" s="179">
        <f t="shared" si="88"/>
        <v>0</v>
      </c>
      <c r="AN245" s="268"/>
      <c r="AO245" s="179">
        <f t="shared" si="89"/>
        <v>0</v>
      </c>
      <c r="AP245" s="268"/>
      <c r="AQ245" s="179">
        <f t="shared" si="93"/>
        <v>0</v>
      </c>
      <c r="AR245" s="273"/>
      <c r="AS245" s="305">
        <f t="shared" si="90"/>
        <v>0</v>
      </c>
      <c r="AT245" s="273"/>
      <c r="AU245" s="305">
        <f t="shared" si="91"/>
        <v>0</v>
      </c>
    </row>
    <row r="246" spans="1:47" s="34" customFormat="1" hidden="1" x14ac:dyDescent="0.25">
      <c r="A246" s="87"/>
      <c r="B246" s="42"/>
      <c r="C246" s="41"/>
      <c r="D246" s="41"/>
      <c r="E246" s="40"/>
      <c r="F246" s="40"/>
      <c r="G246" s="40"/>
      <c r="H246" s="40"/>
      <c r="I246" s="160"/>
      <c r="J246" s="41"/>
      <c r="K246" s="41"/>
      <c r="L246" s="41"/>
      <c r="M246" s="41"/>
      <c r="N246" s="41"/>
      <c r="O246" s="41"/>
      <c r="P246" s="188"/>
      <c r="Q246" s="236"/>
      <c r="R246" s="280"/>
      <c r="S246" s="179">
        <f t="shared" si="79"/>
        <v>4859.3864915304011</v>
      </c>
      <c r="T246" s="259"/>
      <c r="U246" s="179">
        <f t="shared" si="92"/>
        <v>150</v>
      </c>
      <c r="V246" s="259"/>
      <c r="W246" s="179">
        <f t="shared" si="80"/>
        <v>0</v>
      </c>
      <c r="X246" s="259"/>
      <c r="Y246" s="179">
        <f t="shared" si="81"/>
        <v>1022.73</v>
      </c>
      <c r="Z246" s="259"/>
      <c r="AA246" s="179">
        <f t="shared" si="82"/>
        <v>40</v>
      </c>
      <c r="AB246" s="259"/>
      <c r="AC246" s="179">
        <f t="shared" si="83"/>
        <v>1394.266018065</v>
      </c>
      <c r="AD246" s="238">
        <f t="shared" si="78"/>
        <v>0</v>
      </c>
      <c r="AE246" s="179">
        <f t="shared" si="84"/>
        <v>2456.996018065</v>
      </c>
      <c r="AF246" s="264"/>
      <c r="AG246" s="179">
        <f t="shared" si="85"/>
        <v>1000</v>
      </c>
      <c r="AH246" s="268"/>
      <c r="AI246" s="179">
        <f t="shared" si="86"/>
        <v>0</v>
      </c>
      <c r="AJ246" s="268"/>
      <c r="AK246" s="179">
        <f t="shared" si="87"/>
        <v>22.73</v>
      </c>
      <c r="AL246" s="268"/>
      <c r="AM246" s="179">
        <f t="shared" si="88"/>
        <v>0</v>
      </c>
      <c r="AN246" s="268"/>
      <c r="AO246" s="179">
        <f t="shared" si="89"/>
        <v>0</v>
      </c>
      <c r="AP246" s="268"/>
      <c r="AQ246" s="179">
        <f t="shared" si="93"/>
        <v>0</v>
      </c>
      <c r="AR246" s="273"/>
      <c r="AS246" s="305">
        <f t="shared" si="90"/>
        <v>0</v>
      </c>
      <c r="AT246" s="273"/>
      <c r="AU246" s="305">
        <f t="shared" si="91"/>
        <v>0</v>
      </c>
    </row>
    <row r="247" spans="1:47" s="34" customFormat="1" hidden="1" x14ac:dyDescent="0.25">
      <c r="A247" s="87"/>
      <c r="B247" s="42"/>
      <c r="C247" s="41"/>
      <c r="D247" s="41"/>
      <c r="E247" s="40"/>
      <c r="F247" s="40"/>
      <c r="G247" s="40"/>
      <c r="H247" s="40"/>
      <c r="I247" s="160"/>
      <c r="J247" s="41"/>
      <c r="K247" s="41"/>
      <c r="L247" s="41"/>
      <c r="M247" s="41"/>
      <c r="N247" s="41"/>
      <c r="O247" s="41"/>
      <c r="P247" s="188"/>
      <c r="Q247" s="236"/>
      <c r="R247" s="280"/>
      <c r="S247" s="179">
        <f t="shared" si="79"/>
        <v>4859.3864915304011</v>
      </c>
      <c r="T247" s="259"/>
      <c r="U247" s="179">
        <f t="shared" si="92"/>
        <v>150</v>
      </c>
      <c r="V247" s="259"/>
      <c r="W247" s="179">
        <f t="shared" si="80"/>
        <v>0</v>
      </c>
      <c r="X247" s="259"/>
      <c r="Y247" s="179">
        <f t="shared" si="81"/>
        <v>1022.73</v>
      </c>
      <c r="Z247" s="259"/>
      <c r="AA247" s="179">
        <f t="shared" si="82"/>
        <v>40</v>
      </c>
      <c r="AB247" s="259"/>
      <c r="AC247" s="179">
        <f t="shared" si="83"/>
        <v>1394.266018065</v>
      </c>
      <c r="AD247" s="238">
        <f t="shared" si="78"/>
        <v>0</v>
      </c>
      <c r="AE247" s="179">
        <f t="shared" si="84"/>
        <v>2456.996018065</v>
      </c>
      <c r="AF247" s="264"/>
      <c r="AG247" s="179">
        <f t="shared" si="85"/>
        <v>1000</v>
      </c>
      <c r="AH247" s="268"/>
      <c r="AI247" s="179">
        <f t="shared" si="86"/>
        <v>0</v>
      </c>
      <c r="AJ247" s="268"/>
      <c r="AK247" s="179">
        <f t="shared" si="87"/>
        <v>22.73</v>
      </c>
      <c r="AL247" s="268"/>
      <c r="AM247" s="179">
        <f t="shared" si="88"/>
        <v>0</v>
      </c>
      <c r="AN247" s="268"/>
      <c r="AO247" s="179">
        <f t="shared" si="89"/>
        <v>0</v>
      </c>
      <c r="AP247" s="268"/>
      <c r="AQ247" s="179">
        <f t="shared" si="93"/>
        <v>0</v>
      </c>
      <c r="AR247" s="273"/>
      <c r="AS247" s="305">
        <f t="shared" si="90"/>
        <v>0</v>
      </c>
      <c r="AT247" s="273"/>
      <c r="AU247" s="305">
        <f t="shared" si="91"/>
        <v>0</v>
      </c>
    </row>
    <row r="248" spans="1:47" s="34" customFormat="1" hidden="1" x14ac:dyDescent="0.25">
      <c r="A248" s="87"/>
      <c r="B248" s="42"/>
      <c r="C248" s="41"/>
      <c r="D248" s="41"/>
      <c r="E248" s="40"/>
      <c r="F248" s="40"/>
      <c r="G248" s="40"/>
      <c r="H248" s="40"/>
      <c r="I248" s="160"/>
      <c r="J248" s="41"/>
      <c r="K248" s="41"/>
      <c r="L248" s="41"/>
      <c r="M248" s="41"/>
      <c r="N248" s="41"/>
      <c r="O248" s="41"/>
      <c r="P248" s="188"/>
      <c r="Q248" s="236"/>
      <c r="R248" s="280"/>
      <c r="S248" s="179">
        <f t="shared" si="79"/>
        <v>4859.3864915304011</v>
      </c>
      <c r="T248" s="259"/>
      <c r="U248" s="179">
        <f t="shared" si="92"/>
        <v>150</v>
      </c>
      <c r="V248" s="259"/>
      <c r="W248" s="179">
        <f t="shared" si="80"/>
        <v>0</v>
      </c>
      <c r="X248" s="259"/>
      <c r="Y248" s="179">
        <f t="shared" si="81"/>
        <v>1022.73</v>
      </c>
      <c r="Z248" s="259"/>
      <c r="AA248" s="179">
        <f t="shared" si="82"/>
        <v>40</v>
      </c>
      <c r="AB248" s="259"/>
      <c r="AC248" s="179">
        <f t="shared" si="83"/>
        <v>1394.266018065</v>
      </c>
      <c r="AD248" s="238">
        <f t="shared" si="78"/>
        <v>0</v>
      </c>
      <c r="AE248" s="179">
        <f t="shared" si="84"/>
        <v>2456.996018065</v>
      </c>
      <c r="AF248" s="264"/>
      <c r="AG248" s="179">
        <f t="shared" si="85"/>
        <v>1000</v>
      </c>
      <c r="AH248" s="268"/>
      <c r="AI248" s="179">
        <f t="shared" si="86"/>
        <v>0</v>
      </c>
      <c r="AJ248" s="268"/>
      <c r="AK248" s="179">
        <f t="shared" si="87"/>
        <v>22.73</v>
      </c>
      <c r="AL248" s="268"/>
      <c r="AM248" s="179">
        <f t="shared" si="88"/>
        <v>0</v>
      </c>
      <c r="AN248" s="268"/>
      <c r="AO248" s="179">
        <f t="shared" si="89"/>
        <v>0</v>
      </c>
      <c r="AP248" s="268"/>
      <c r="AQ248" s="179">
        <f t="shared" si="93"/>
        <v>0</v>
      </c>
      <c r="AR248" s="273"/>
      <c r="AS248" s="305">
        <f t="shared" si="90"/>
        <v>0</v>
      </c>
      <c r="AT248" s="273"/>
      <c r="AU248" s="305">
        <f t="shared" si="91"/>
        <v>0</v>
      </c>
    </row>
    <row r="249" spans="1:47" s="34" customFormat="1" hidden="1" x14ac:dyDescent="0.25">
      <c r="A249" s="87"/>
      <c r="B249" s="42"/>
      <c r="C249" s="41"/>
      <c r="D249" s="41"/>
      <c r="E249" s="40"/>
      <c r="F249" s="40"/>
      <c r="G249" s="40"/>
      <c r="H249" s="40"/>
      <c r="I249" s="160"/>
      <c r="J249" s="41"/>
      <c r="K249" s="41"/>
      <c r="L249" s="41"/>
      <c r="M249" s="41"/>
      <c r="N249" s="41"/>
      <c r="O249" s="41"/>
      <c r="P249" s="188"/>
      <c r="Q249" s="236"/>
      <c r="R249" s="280"/>
      <c r="S249" s="179">
        <f t="shared" si="79"/>
        <v>4859.3864915304011</v>
      </c>
      <c r="T249" s="259"/>
      <c r="U249" s="179">
        <f t="shared" si="92"/>
        <v>150</v>
      </c>
      <c r="V249" s="259"/>
      <c r="W249" s="179">
        <f t="shared" si="80"/>
        <v>0</v>
      </c>
      <c r="X249" s="259"/>
      <c r="Y249" s="179">
        <f t="shared" si="81"/>
        <v>1022.73</v>
      </c>
      <c r="Z249" s="259"/>
      <c r="AA249" s="179">
        <f t="shared" si="82"/>
        <v>40</v>
      </c>
      <c r="AB249" s="259"/>
      <c r="AC249" s="179">
        <f t="shared" si="83"/>
        <v>1394.266018065</v>
      </c>
      <c r="AD249" s="238">
        <f t="shared" si="78"/>
        <v>0</v>
      </c>
      <c r="AE249" s="179">
        <f t="shared" si="84"/>
        <v>2456.996018065</v>
      </c>
      <c r="AF249" s="264"/>
      <c r="AG249" s="179">
        <f t="shared" si="85"/>
        <v>1000</v>
      </c>
      <c r="AH249" s="268"/>
      <c r="AI249" s="179">
        <f t="shared" si="86"/>
        <v>0</v>
      </c>
      <c r="AJ249" s="268"/>
      <c r="AK249" s="179">
        <f t="shared" si="87"/>
        <v>22.73</v>
      </c>
      <c r="AL249" s="268"/>
      <c r="AM249" s="179">
        <f t="shared" si="88"/>
        <v>0</v>
      </c>
      <c r="AN249" s="268"/>
      <c r="AO249" s="179">
        <f t="shared" si="89"/>
        <v>0</v>
      </c>
      <c r="AP249" s="268"/>
      <c r="AQ249" s="179">
        <f t="shared" si="93"/>
        <v>0</v>
      </c>
      <c r="AR249" s="273"/>
      <c r="AS249" s="305">
        <f t="shared" si="90"/>
        <v>0</v>
      </c>
      <c r="AT249" s="273"/>
      <c r="AU249" s="305">
        <f t="shared" si="91"/>
        <v>0</v>
      </c>
    </row>
    <row r="250" spans="1:47" s="34" customFormat="1" hidden="1" x14ac:dyDescent="0.25">
      <c r="A250" s="87"/>
      <c r="B250" s="42"/>
      <c r="C250" s="41"/>
      <c r="D250" s="41"/>
      <c r="E250" s="40"/>
      <c r="F250" s="40"/>
      <c r="G250" s="40"/>
      <c r="H250" s="40"/>
      <c r="I250" s="160"/>
      <c r="J250" s="41"/>
      <c r="K250" s="41"/>
      <c r="L250" s="41"/>
      <c r="M250" s="41"/>
      <c r="N250" s="41"/>
      <c r="O250" s="41"/>
      <c r="P250" s="188"/>
      <c r="Q250" s="236"/>
      <c r="R250" s="280"/>
      <c r="S250" s="179">
        <f t="shared" si="79"/>
        <v>4859.3864915304011</v>
      </c>
      <c r="T250" s="259"/>
      <c r="U250" s="179">
        <f t="shared" si="92"/>
        <v>150</v>
      </c>
      <c r="V250" s="259"/>
      <c r="W250" s="179">
        <f t="shared" si="80"/>
        <v>0</v>
      </c>
      <c r="X250" s="259"/>
      <c r="Y250" s="179">
        <f t="shared" si="81"/>
        <v>1022.73</v>
      </c>
      <c r="Z250" s="259"/>
      <c r="AA250" s="179">
        <f t="shared" si="82"/>
        <v>40</v>
      </c>
      <c r="AB250" s="259"/>
      <c r="AC250" s="179">
        <f t="shared" si="83"/>
        <v>1394.266018065</v>
      </c>
      <c r="AD250" s="238">
        <f t="shared" si="78"/>
        <v>0</v>
      </c>
      <c r="AE250" s="179">
        <f t="shared" si="84"/>
        <v>2456.996018065</v>
      </c>
      <c r="AF250" s="264"/>
      <c r="AG250" s="179">
        <f t="shared" si="85"/>
        <v>1000</v>
      </c>
      <c r="AH250" s="268"/>
      <c r="AI250" s="179">
        <f t="shared" si="86"/>
        <v>0</v>
      </c>
      <c r="AJ250" s="268"/>
      <c r="AK250" s="179">
        <f t="shared" si="87"/>
        <v>22.73</v>
      </c>
      <c r="AL250" s="268"/>
      <c r="AM250" s="179">
        <f t="shared" si="88"/>
        <v>0</v>
      </c>
      <c r="AN250" s="268"/>
      <c r="AO250" s="179">
        <f t="shared" si="89"/>
        <v>0</v>
      </c>
      <c r="AP250" s="268"/>
      <c r="AQ250" s="179">
        <f t="shared" si="93"/>
        <v>0</v>
      </c>
      <c r="AR250" s="273"/>
      <c r="AS250" s="305">
        <f t="shared" si="90"/>
        <v>0</v>
      </c>
      <c r="AT250" s="273"/>
      <c r="AU250" s="305">
        <f t="shared" si="91"/>
        <v>0</v>
      </c>
    </row>
    <row r="251" spans="1:47" s="34" customFormat="1" hidden="1" x14ac:dyDescent="0.25">
      <c r="A251" s="87"/>
      <c r="B251" s="42"/>
      <c r="C251" s="41"/>
      <c r="D251" s="41"/>
      <c r="E251" s="40"/>
      <c r="F251" s="40"/>
      <c r="G251" s="40"/>
      <c r="H251" s="40"/>
      <c r="I251" s="160"/>
      <c r="J251" s="41"/>
      <c r="K251" s="41"/>
      <c r="L251" s="41"/>
      <c r="M251" s="41"/>
      <c r="N251" s="41"/>
      <c r="O251" s="41"/>
      <c r="P251" s="188"/>
      <c r="Q251" s="236"/>
      <c r="R251" s="280"/>
      <c r="S251" s="179">
        <f t="shared" si="79"/>
        <v>4859.3864915304011</v>
      </c>
      <c r="T251" s="259"/>
      <c r="U251" s="179">
        <f t="shared" si="92"/>
        <v>150</v>
      </c>
      <c r="V251" s="259"/>
      <c r="W251" s="179">
        <f t="shared" si="80"/>
        <v>0</v>
      </c>
      <c r="X251" s="259"/>
      <c r="Y251" s="179">
        <f t="shared" si="81"/>
        <v>1022.73</v>
      </c>
      <c r="Z251" s="259"/>
      <c r="AA251" s="179">
        <f t="shared" si="82"/>
        <v>40</v>
      </c>
      <c r="AB251" s="259"/>
      <c r="AC251" s="179">
        <f t="shared" si="83"/>
        <v>1394.266018065</v>
      </c>
      <c r="AD251" s="238">
        <f t="shared" si="78"/>
        <v>0</v>
      </c>
      <c r="AE251" s="179">
        <f t="shared" si="84"/>
        <v>2456.996018065</v>
      </c>
      <c r="AF251" s="264"/>
      <c r="AG251" s="179">
        <f t="shared" si="85"/>
        <v>1000</v>
      </c>
      <c r="AH251" s="268"/>
      <c r="AI251" s="179">
        <f t="shared" si="86"/>
        <v>0</v>
      </c>
      <c r="AJ251" s="268"/>
      <c r="AK251" s="179">
        <f t="shared" si="87"/>
        <v>22.73</v>
      </c>
      <c r="AL251" s="268"/>
      <c r="AM251" s="179">
        <f t="shared" si="88"/>
        <v>0</v>
      </c>
      <c r="AN251" s="268"/>
      <c r="AO251" s="179">
        <f t="shared" si="89"/>
        <v>0</v>
      </c>
      <c r="AP251" s="268"/>
      <c r="AQ251" s="179">
        <f t="shared" si="93"/>
        <v>0</v>
      </c>
      <c r="AR251" s="273"/>
      <c r="AS251" s="305">
        <f t="shared" si="90"/>
        <v>0</v>
      </c>
      <c r="AT251" s="273"/>
      <c r="AU251" s="305">
        <f t="shared" si="91"/>
        <v>0</v>
      </c>
    </row>
    <row r="252" spans="1:47" s="34" customFormat="1" hidden="1" x14ac:dyDescent="0.25">
      <c r="A252" s="87"/>
      <c r="B252" s="42"/>
      <c r="C252" s="41"/>
      <c r="D252" s="41"/>
      <c r="E252" s="40"/>
      <c r="F252" s="40"/>
      <c r="G252" s="40"/>
      <c r="H252" s="40"/>
      <c r="I252" s="160"/>
      <c r="J252" s="41"/>
      <c r="K252" s="41"/>
      <c r="L252" s="41"/>
      <c r="M252" s="41"/>
      <c r="N252" s="41"/>
      <c r="O252" s="41"/>
      <c r="P252" s="188"/>
      <c r="Q252" s="236"/>
      <c r="R252" s="280"/>
      <c r="S252" s="179">
        <f t="shared" si="79"/>
        <v>4859.3864915304011</v>
      </c>
      <c r="T252" s="259"/>
      <c r="U252" s="179">
        <f t="shared" si="92"/>
        <v>150</v>
      </c>
      <c r="V252" s="259"/>
      <c r="W252" s="179">
        <f t="shared" si="80"/>
        <v>0</v>
      </c>
      <c r="X252" s="259"/>
      <c r="Y252" s="179">
        <f t="shared" si="81"/>
        <v>1022.73</v>
      </c>
      <c r="Z252" s="259"/>
      <c r="AA252" s="179">
        <f t="shared" si="82"/>
        <v>40</v>
      </c>
      <c r="AB252" s="259"/>
      <c r="AC252" s="179">
        <f t="shared" si="83"/>
        <v>1394.266018065</v>
      </c>
      <c r="AD252" s="238">
        <f t="shared" si="78"/>
        <v>0</v>
      </c>
      <c r="AE252" s="179">
        <f t="shared" si="84"/>
        <v>2456.996018065</v>
      </c>
      <c r="AF252" s="264"/>
      <c r="AG252" s="179">
        <f t="shared" si="85"/>
        <v>1000</v>
      </c>
      <c r="AH252" s="268"/>
      <c r="AI252" s="179">
        <f t="shared" si="86"/>
        <v>0</v>
      </c>
      <c r="AJ252" s="268"/>
      <c r="AK252" s="179">
        <f t="shared" si="87"/>
        <v>22.73</v>
      </c>
      <c r="AL252" s="268"/>
      <c r="AM252" s="179">
        <f t="shared" si="88"/>
        <v>0</v>
      </c>
      <c r="AN252" s="268"/>
      <c r="AO252" s="179">
        <f t="shared" si="89"/>
        <v>0</v>
      </c>
      <c r="AP252" s="268"/>
      <c r="AQ252" s="179">
        <f t="shared" si="93"/>
        <v>0</v>
      </c>
      <c r="AR252" s="273"/>
      <c r="AS252" s="305">
        <f t="shared" si="90"/>
        <v>0</v>
      </c>
      <c r="AT252" s="273"/>
      <c r="AU252" s="305">
        <f t="shared" si="91"/>
        <v>0</v>
      </c>
    </row>
    <row r="253" spans="1:47" s="34" customFormat="1" hidden="1" x14ac:dyDescent="0.25">
      <c r="A253" s="87"/>
      <c r="B253" s="42"/>
      <c r="C253" s="41"/>
      <c r="D253" s="41"/>
      <c r="E253" s="40"/>
      <c r="F253" s="40"/>
      <c r="G253" s="40"/>
      <c r="H253" s="40"/>
      <c r="I253" s="160"/>
      <c r="J253" s="41"/>
      <c r="K253" s="41"/>
      <c r="L253" s="41"/>
      <c r="M253" s="41"/>
      <c r="N253" s="41"/>
      <c r="O253" s="41"/>
      <c r="P253" s="188"/>
      <c r="Q253" s="236"/>
      <c r="R253" s="280"/>
      <c r="S253" s="179">
        <f t="shared" si="79"/>
        <v>4859.3864915304011</v>
      </c>
      <c r="T253" s="259"/>
      <c r="U253" s="179">
        <f t="shared" si="92"/>
        <v>150</v>
      </c>
      <c r="V253" s="259"/>
      <c r="W253" s="179">
        <f t="shared" si="80"/>
        <v>0</v>
      </c>
      <c r="X253" s="259"/>
      <c r="Y253" s="179">
        <f t="shared" si="81"/>
        <v>1022.73</v>
      </c>
      <c r="Z253" s="259"/>
      <c r="AA253" s="179">
        <f t="shared" si="82"/>
        <v>40</v>
      </c>
      <c r="AB253" s="259"/>
      <c r="AC253" s="179">
        <f t="shared" si="83"/>
        <v>1394.266018065</v>
      </c>
      <c r="AD253" s="238">
        <f t="shared" si="78"/>
        <v>0</v>
      </c>
      <c r="AE253" s="179">
        <f t="shared" si="84"/>
        <v>2456.996018065</v>
      </c>
      <c r="AF253" s="264"/>
      <c r="AG253" s="179">
        <f t="shared" si="85"/>
        <v>1000</v>
      </c>
      <c r="AH253" s="268"/>
      <c r="AI253" s="179">
        <f t="shared" si="86"/>
        <v>0</v>
      </c>
      <c r="AJ253" s="268"/>
      <c r="AK253" s="179">
        <f t="shared" si="87"/>
        <v>22.73</v>
      </c>
      <c r="AL253" s="268"/>
      <c r="AM253" s="179">
        <f t="shared" si="88"/>
        <v>0</v>
      </c>
      <c r="AN253" s="268"/>
      <c r="AO253" s="179">
        <f t="shared" si="89"/>
        <v>0</v>
      </c>
      <c r="AP253" s="268"/>
      <c r="AQ253" s="179">
        <f t="shared" si="93"/>
        <v>0</v>
      </c>
      <c r="AR253" s="273"/>
      <c r="AS253" s="305">
        <f t="shared" si="90"/>
        <v>0</v>
      </c>
      <c r="AT253" s="273"/>
      <c r="AU253" s="305">
        <f t="shared" si="91"/>
        <v>0</v>
      </c>
    </row>
    <row r="254" spans="1:47" s="34" customFormat="1" hidden="1" x14ac:dyDescent="0.25">
      <c r="A254" s="87"/>
      <c r="B254" s="42"/>
      <c r="C254" s="41"/>
      <c r="D254" s="41"/>
      <c r="E254" s="40"/>
      <c r="F254" s="40"/>
      <c r="G254" s="40"/>
      <c r="H254" s="40"/>
      <c r="I254" s="160"/>
      <c r="J254" s="41"/>
      <c r="K254" s="41"/>
      <c r="L254" s="41"/>
      <c r="M254" s="41"/>
      <c r="N254" s="41"/>
      <c r="O254" s="41"/>
      <c r="P254" s="188"/>
      <c r="Q254" s="236"/>
      <c r="R254" s="280"/>
      <c r="S254" s="179">
        <f t="shared" si="79"/>
        <v>4859.3864915304011</v>
      </c>
      <c r="T254" s="259"/>
      <c r="U254" s="179">
        <f t="shared" si="92"/>
        <v>150</v>
      </c>
      <c r="V254" s="259"/>
      <c r="W254" s="179">
        <f t="shared" si="80"/>
        <v>0</v>
      </c>
      <c r="X254" s="259"/>
      <c r="Y254" s="179">
        <f t="shared" si="81"/>
        <v>1022.73</v>
      </c>
      <c r="Z254" s="259"/>
      <c r="AA254" s="179">
        <f t="shared" si="82"/>
        <v>40</v>
      </c>
      <c r="AB254" s="259"/>
      <c r="AC254" s="179">
        <f t="shared" si="83"/>
        <v>1394.266018065</v>
      </c>
      <c r="AD254" s="238">
        <f t="shared" si="78"/>
        <v>0</v>
      </c>
      <c r="AE254" s="179">
        <f t="shared" si="84"/>
        <v>2456.996018065</v>
      </c>
      <c r="AF254" s="264"/>
      <c r="AG254" s="179">
        <f t="shared" si="85"/>
        <v>1000</v>
      </c>
      <c r="AH254" s="268"/>
      <c r="AI254" s="179">
        <f t="shared" si="86"/>
        <v>0</v>
      </c>
      <c r="AJ254" s="268"/>
      <c r="AK254" s="179">
        <f t="shared" si="87"/>
        <v>22.73</v>
      </c>
      <c r="AL254" s="268"/>
      <c r="AM254" s="179">
        <f t="shared" si="88"/>
        <v>0</v>
      </c>
      <c r="AN254" s="268"/>
      <c r="AO254" s="179">
        <f t="shared" si="89"/>
        <v>0</v>
      </c>
      <c r="AP254" s="268"/>
      <c r="AQ254" s="179">
        <f t="shared" si="93"/>
        <v>0</v>
      </c>
      <c r="AR254" s="273"/>
      <c r="AS254" s="305">
        <f t="shared" si="90"/>
        <v>0</v>
      </c>
      <c r="AT254" s="273"/>
      <c r="AU254" s="305">
        <f t="shared" si="91"/>
        <v>0</v>
      </c>
    </row>
    <row r="255" spans="1:47" s="34" customFormat="1" hidden="1" x14ac:dyDescent="0.25">
      <c r="A255" s="87"/>
      <c r="B255" s="42"/>
      <c r="C255" s="41"/>
      <c r="D255" s="41"/>
      <c r="E255" s="40"/>
      <c r="F255" s="40"/>
      <c r="G255" s="40"/>
      <c r="H255" s="40"/>
      <c r="I255" s="160"/>
      <c r="J255" s="41"/>
      <c r="K255" s="41"/>
      <c r="L255" s="41"/>
      <c r="M255" s="41"/>
      <c r="N255" s="41"/>
      <c r="O255" s="41"/>
      <c r="P255" s="188"/>
      <c r="Q255" s="236"/>
      <c r="R255" s="280"/>
      <c r="S255" s="179">
        <f t="shared" si="79"/>
        <v>4859.3864915304011</v>
      </c>
      <c r="T255" s="259"/>
      <c r="U255" s="179">
        <f t="shared" si="92"/>
        <v>150</v>
      </c>
      <c r="V255" s="259"/>
      <c r="W255" s="179">
        <f t="shared" si="80"/>
        <v>0</v>
      </c>
      <c r="X255" s="259"/>
      <c r="Y255" s="179">
        <f t="shared" si="81"/>
        <v>1022.73</v>
      </c>
      <c r="Z255" s="259"/>
      <c r="AA255" s="179">
        <f t="shared" si="82"/>
        <v>40</v>
      </c>
      <c r="AB255" s="259"/>
      <c r="AC255" s="179">
        <f t="shared" si="83"/>
        <v>1394.266018065</v>
      </c>
      <c r="AD255" s="238">
        <f t="shared" si="78"/>
        <v>0</v>
      </c>
      <c r="AE255" s="179">
        <f t="shared" si="84"/>
        <v>2456.996018065</v>
      </c>
      <c r="AF255" s="264"/>
      <c r="AG255" s="179">
        <f t="shared" si="85"/>
        <v>1000</v>
      </c>
      <c r="AH255" s="268"/>
      <c r="AI255" s="179">
        <f t="shared" si="86"/>
        <v>0</v>
      </c>
      <c r="AJ255" s="268"/>
      <c r="AK255" s="179">
        <f t="shared" si="87"/>
        <v>22.73</v>
      </c>
      <c r="AL255" s="268"/>
      <c r="AM255" s="179">
        <f t="shared" si="88"/>
        <v>0</v>
      </c>
      <c r="AN255" s="268"/>
      <c r="AO255" s="179">
        <f t="shared" si="89"/>
        <v>0</v>
      </c>
      <c r="AP255" s="268"/>
      <c r="AQ255" s="179">
        <f t="shared" si="93"/>
        <v>0</v>
      </c>
      <c r="AR255" s="273"/>
      <c r="AS255" s="305">
        <f t="shared" si="90"/>
        <v>0</v>
      </c>
      <c r="AT255" s="273"/>
      <c r="AU255" s="305">
        <f t="shared" si="91"/>
        <v>0</v>
      </c>
    </row>
    <row r="256" spans="1:47" s="34" customFormat="1" hidden="1" x14ac:dyDescent="0.25">
      <c r="A256" s="87"/>
      <c r="B256" s="42"/>
      <c r="C256" s="41"/>
      <c r="D256" s="41"/>
      <c r="E256" s="40"/>
      <c r="F256" s="40"/>
      <c r="G256" s="40"/>
      <c r="H256" s="40"/>
      <c r="I256" s="160"/>
      <c r="J256" s="41"/>
      <c r="K256" s="41"/>
      <c r="L256" s="41"/>
      <c r="M256" s="41"/>
      <c r="N256" s="41"/>
      <c r="O256" s="41"/>
      <c r="P256" s="188"/>
      <c r="Q256" s="236"/>
      <c r="R256" s="280"/>
      <c r="S256" s="179">
        <f t="shared" si="79"/>
        <v>4859.3864915304011</v>
      </c>
      <c r="T256" s="259"/>
      <c r="U256" s="179">
        <f t="shared" si="92"/>
        <v>150</v>
      </c>
      <c r="V256" s="259"/>
      <c r="W256" s="179">
        <f t="shared" si="80"/>
        <v>0</v>
      </c>
      <c r="X256" s="259"/>
      <c r="Y256" s="179">
        <f t="shared" si="81"/>
        <v>1022.73</v>
      </c>
      <c r="Z256" s="259"/>
      <c r="AA256" s="179">
        <f t="shared" si="82"/>
        <v>40</v>
      </c>
      <c r="AB256" s="259"/>
      <c r="AC256" s="179">
        <f t="shared" si="83"/>
        <v>1394.266018065</v>
      </c>
      <c r="AD256" s="238">
        <f t="shared" si="78"/>
        <v>0</v>
      </c>
      <c r="AE256" s="179">
        <f t="shared" si="84"/>
        <v>2456.996018065</v>
      </c>
      <c r="AF256" s="264"/>
      <c r="AG256" s="179">
        <f t="shared" si="85"/>
        <v>1000</v>
      </c>
      <c r="AH256" s="268"/>
      <c r="AI256" s="179">
        <f t="shared" si="86"/>
        <v>0</v>
      </c>
      <c r="AJ256" s="268"/>
      <c r="AK256" s="179">
        <f t="shared" si="87"/>
        <v>22.73</v>
      </c>
      <c r="AL256" s="268"/>
      <c r="AM256" s="179">
        <f t="shared" si="88"/>
        <v>0</v>
      </c>
      <c r="AN256" s="268"/>
      <c r="AO256" s="179">
        <f t="shared" si="89"/>
        <v>0</v>
      </c>
      <c r="AP256" s="268"/>
      <c r="AQ256" s="179">
        <f t="shared" si="93"/>
        <v>0</v>
      </c>
      <c r="AR256" s="273"/>
      <c r="AS256" s="305">
        <f t="shared" si="90"/>
        <v>0</v>
      </c>
      <c r="AT256" s="273"/>
      <c r="AU256" s="305">
        <f t="shared" si="91"/>
        <v>0</v>
      </c>
    </row>
    <row r="257" spans="1:47" s="34" customFormat="1" hidden="1" x14ac:dyDescent="0.25">
      <c r="A257" s="87"/>
      <c r="B257" s="42"/>
      <c r="C257" s="41"/>
      <c r="D257" s="41"/>
      <c r="E257" s="40"/>
      <c r="F257" s="40"/>
      <c r="G257" s="40"/>
      <c r="H257" s="40"/>
      <c r="I257" s="160"/>
      <c r="J257" s="41"/>
      <c r="K257" s="41"/>
      <c r="L257" s="41"/>
      <c r="M257" s="41"/>
      <c r="N257" s="41"/>
      <c r="O257" s="41"/>
      <c r="P257" s="188"/>
      <c r="Q257" s="236"/>
      <c r="R257" s="280"/>
      <c r="S257" s="179">
        <f t="shared" si="79"/>
        <v>4859.3864915304011</v>
      </c>
      <c r="T257" s="259"/>
      <c r="U257" s="179">
        <f t="shared" si="92"/>
        <v>150</v>
      </c>
      <c r="V257" s="259"/>
      <c r="W257" s="179">
        <f t="shared" si="80"/>
        <v>0</v>
      </c>
      <c r="X257" s="259"/>
      <c r="Y257" s="179">
        <f t="shared" si="81"/>
        <v>1022.73</v>
      </c>
      <c r="Z257" s="259"/>
      <c r="AA257" s="179">
        <f t="shared" si="82"/>
        <v>40</v>
      </c>
      <c r="AB257" s="259"/>
      <c r="AC257" s="179">
        <f t="shared" si="83"/>
        <v>1394.266018065</v>
      </c>
      <c r="AD257" s="238">
        <f t="shared" ref="AD257:AD320" si="94">Mat_Col_Deduct+Mat_Col_Copay+Mat_Col_Coinsur</f>
        <v>0</v>
      </c>
      <c r="AE257" s="179">
        <f t="shared" si="84"/>
        <v>2456.996018065</v>
      </c>
      <c r="AF257" s="264"/>
      <c r="AG257" s="179">
        <f t="shared" si="85"/>
        <v>1000</v>
      </c>
      <c r="AH257" s="268"/>
      <c r="AI257" s="179">
        <f t="shared" si="86"/>
        <v>0</v>
      </c>
      <c r="AJ257" s="268"/>
      <c r="AK257" s="179">
        <f t="shared" si="87"/>
        <v>22.73</v>
      </c>
      <c r="AL257" s="268"/>
      <c r="AM257" s="179">
        <f t="shared" si="88"/>
        <v>0</v>
      </c>
      <c r="AN257" s="268"/>
      <c r="AO257" s="179">
        <f t="shared" si="89"/>
        <v>0</v>
      </c>
      <c r="AP257" s="268"/>
      <c r="AQ257" s="179">
        <f t="shared" si="93"/>
        <v>0</v>
      </c>
      <c r="AR257" s="273"/>
      <c r="AS257" s="305">
        <f t="shared" si="90"/>
        <v>0</v>
      </c>
      <c r="AT257" s="273"/>
      <c r="AU257" s="305">
        <f t="shared" si="91"/>
        <v>0</v>
      </c>
    </row>
    <row r="258" spans="1:47" s="34" customFormat="1" hidden="1" x14ac:dyDescent="0.25">
      <c r="A258" s="87"/>
      <c r="B258" s="42"/>
      <c r="C258" s="41"/>
      <c r="D258" s="41"/>
      <c r="E258" s="40"/>
      <c r="F258" s="40"/>
      <c r="G258" s="40"/>
      <c r="H258" s="40"/>
      <c r="I258" s="160"/>
      <c r="J258" s="41"/>
      <c r="K258" s="41"/>
      <c r="L258" s="41"/>
      <c r="M258" s="41"/>
      <c r="N258" s="41"/>
      <c r="O258" s="41"/>
      <c r="P258" s="188"/>
      <c r="Q258" s="236"/>
      <c r="R258" s="280"/>
      <c r="S258" s="179">
        <f t="shared" si="79"/>
        <v>4859.3864915304011</v>
      </c>
      <c r="T258" s="259"/>
      <c r="U258" s="179">
        <f t="shared" si="92"/>
        <v>150</v>
      </c>
      <c r="V258" s="259"/>
      <c r="W258" s="179">
        <f t="shared" si="80"/>
        <v>0</v>
      </c>
      <c r="X258" s="259"/>
      <c r="Y258" s="179">
        <f t="shared" si="81"/>
        <v>1022.73</v>
      </c>
      <c r="Z258" s="259"/>
      <c r="AA258" s="179">
        <f t="shared" si="82"/>
        <v>40</v>
      </c>
      <c r="AB258" s="259"/>
      <c r="AC258" s="179">
        <f t="shared" si="83"/>
        <v>1394.266018065</v>
      </c>
      <c r="AD258" s="238">
        <f t="shared" si="94"/>
        <v>0</v>
      </c>
      <c r="AE258" s="179">
        <f t="shared" si="84"/>
        <v>2456.996018065</v>
      </c>
      <c r="AF258" s="264"/>
      <c r="AG258" s="179">
        <f t="shared" si="85"/>
        <v>1000</v>
      </c>
      <c r="AH258" s="268"/>
      <c r="AI258" s="179">
        <f t="shared" si="86"/>
        <v>0</v>
      </c>
      <c r="AJ258" s="268"/>
      <c r="AK258" s="179">
        <f t="shared" si="87"/>
        <v>22.73</v>
      </c>
      <c r="AL258" s="268"/>
      <c r="AM258" s="179">
        <f t="shared" si="88"/>
        <v>0</v>
      </c>
      <c r="AN258" s="268"/>
      <c r="AO258" s="179">
        <f t="shared" si="89"/>
        <v>0</v>
      </c>
      <c r="AP258" s="268"/>
      <c r="AQ258" s="179">
        <f t="shared" si="93"/>
        <v>0</v>
      </c>
      <c r="AR258" s="273"/>
      <c r="AS258" s="305">
        <f t="shared" si="90"/>
        <v>0</v>
      </c>
      <c r="AT258" s="273"/>
      <c r="AU258" s="305">
        <f t="shared" si="91"/>
        <v>0</v>
      </c>
    </row>
    <row r="259" spans="1:47" s="34" customFormat="1" hidden="1" x14ac:dyDescent="0.25">
      <c r="A259" s="87"/>
      <c r="B259" s="42"/>
      <c r="C259" s="41"/>
      <c r="D259" s="41"/>
      <c r="E259" s="40"/>
      <c r="F259" s="40"/>
      <c r="G259" s="40"/>
      <c r="H259" s="40"/>
      <c r="I259" s="160"/>
      <c r="J259" s="41"/>
      <c r="K259" s="41"/>
      <c r="L259" s="41"/>
      <c r="M259" s="41"/>
      <c r="N259" s="41"/>
      <c r="O259" s="41"/>
      <c r="P259" s="188"/>
      <c r="Q259" s="236"/>
      <c r="R259" s="280"/>
      <c r="S259" s="179">
        <f t="shared" ref="S259:S322" si="95">S258+R259</f>
        <v>4859.3864915304011</v>
      </c>
      <c r="T259" s="259"/>
      <c r="U259" s="179">
        <f t="shared" si="92"/>
        <v>150</v>
      </c>
      <c r="V259" s="259"/>
      <c r="W259" s="179">
        <f t="shared" ref="W259:W322" si="96">W258+V259</f>
        <v>0</v>
      </c>
      <c r="X259" s="259"/>
      <c r="Y259" s="179">
        <f t="shared" ref="Y259:Y322" si="97">Y258+X259</f>
        <v>1022.73</v>
      </c>
      <c r="Z259" s="259"/>
      <c r="AA259" s="179">
        <f t="shared" ref="AA259:AA322" si="98">AA258+Z259</f>
        <v>40</v>
      </c>
      <c r="AB259" s="259"/>
      <c r="AC259" s="179">
        <f t="shared" ref="AC259:AC322" si="99">AC258+AB259</f>
        <v>1394.266018065</v>
      </c>
      <c r="AD259" s="238">
        <f t="shared" si="94"/>
        <v>0</v>
      </c>
      <c r="AE259" s="179">
        <f t="shared" ref="AE259:AE322" si="100">AE258+AD259</f>
        <v>2456.996018065</v>
      </c>
      <c r="AF259" s="264"/>
      <c r="AG259" s="179">
        <f t="shared" ref="AG259:AG322" si="101">AG258+AF259</f>
        <v>1000</v>
      </c>
      <c r="AH259" s="268"/>
      <c r="AI259" s="179">
        <f t="shared" ref="AI259:AI322" si="102">AI258+AH259</f>
        <v>0</v>
      </c>
      <c r="AJ259" s="268"/>
      <c r="AK259" s="179">
        <f t="shared" ref="AK259:AK322" si="103">AK258+AJ259</f>
        <v>22.73</v>
      </c>
      <c r="AL259" s="268"/>
      <c r="AM259" s="179">
        <f t="shared" ref="AM259:AM322" si="104">AM258+AL259</f>
        <v>0</v>
      </c>
      <c r="AN259" s="268"/>
      <c r="AO259" s="179">
        <f t="shared" ref="AO259:AO322" si="105">AO258+AN259</f>
        <v>0</v>
      </c>
      <c r="AP259" s="268"/>
      <c r="AQ259" s="179">
        <f t="shared" si="93"/>
        <v>0</v>
      </c>
      <c r="AR259" s="273"/>
      <c r="AS259" s="305">
        <f t="shared" ref="AS259:AS322" si="106">AS258+AR259</f>
        <v>0</v>
      </c>
      <c r="AT259" s="273"/>
      <c r="AU259" s="305">
        <f t="shared" ref="AU259:AU322" si="107">AU258+AT259</f>
        <v>0</v>
      </c>
    </row>
    <row r="260" spans="1:47" s="34" customFormat="1" hidden="1" x14ac:dyDescent="0.25">
      <c r="A260" s="87"/>
      <c r="B260" s="42"/>
      <c r="C260" s="41"/>
      <c r="D260" s="41"/>
      <c r="E260" s="40"/>
      <c r="F260" s="40"/>
      <c r="G260" s="40"/>
      <c r="H260" s="40"/>
      <c r="I260" s="160"/>
      <c r="J260" s="41"/>
      <c r="K260" s="41"/>
      <c r="L260" s="41"/>
      <c r="M260" s="41"/>
      <c r="N260" s="41"/>
      <c r="O260" s="41"/>
      <c r="P260" s="188"/>
      <c r="Q260" s="236"/>
      <c r="R260" s="280"/>
      <c r="S260" s="179">
        <f t="shared" si="95"/>
        <v>4859.3864915304011</v>
      </c>
      <c r="T260" s="259"/>
      <c r="U260" s="179">
        <f t="shared" si="92"/>
        <v>150</v>
      </c>
      <c r="V260" s="259"/>
      <c r="W260" s="179">
        <f t="shared" si="96"/>
        <v>0</v>
      </c>
      <c r="X260" s="259"/>
      <c r="Y260" s="179">
        <f t="shared" si="97"/>
        <v>1022.73</v>
      </c>
      <c r="Z260" s="259"/>
      <c r="AA260" s="179">
        <f t="shared" si="98"/>
        <v>40</v>
      </c>
      <c r="AB260" s="259"/>
      <c r="AC260" s="179">
        <f t="shared" si="99"/>
        <v>1394.266018065</v>
      </c>
      <c r="AD260" s="238">
        <f t="shared" si="94"/>
        <v>0</v>
      </c>
      <c r="AE260" s="179">
        <f t="shared" si="100"/>
        <v>2456.996018065</v>
      </c>
      <c r="AF260" s="264"/>
      <c r="AG260" s="179">
        <f t="shared" si="101"/>
        <v>1000</v>
      </c>
      <c r="AH260" s="268"/>
      <c r="AI260" s="179">
        <f t="shared" si="102"/>
        <v>0</v>
      </c>
      <c r="AJ260" s="268"/>
      <c r="AK260" s="179">
        <f t="shared" si="103"/>
        <v>22.73</v>
      </c>
      <c r="AL260" s="268"/>
      <c r="AM260" s="179">
        <f t="shared" si="104"/>
        <v>0</v>
      </c>
      <c r="AN260" s="268"/>
      <c r="AO260" s="179">
        <f t="shared" si="105"/>
        <v>0</v>
      </c>
      <c r="AP260" s="268"/>
      <c r="AQ260" s="179">
        <f t="shared" si="93"/>
        <v>0</v>
      </c>
      <c r="AR260" s="273"/>
      <c r="AS260" s="305">
        <f t="shared" si="106"/>
        <v>0</v>
      </c>
      <c r="AT260" s="273"/>
      <c r="AU260" s="305">
        <f t="shared" si="107"/>
        <v>0</v>
      </c>
    </row>
    <row r="261" spans="1:47" s="34" customFormat="1" hidden="1" x14ac:dyDescent="0.25">
      <c r="A261" s="87"/>
      <c r="B261" s="42"/>
      <c r="C261" s="41"/>
      <c r="D261" s="41"/>
      <c r="E261" s="40"/>
      <c r="F261" s="40"/>
      <c r="G261" s="40"/>
      <c r="H261" s="40"/>
      <c r="I261" s="160"/>
      <c r="J261" s="41"/>
      <c r="K261" s="41"/>
      <c r="L261" s="41"/>
      <c r="M261" s="41"/>
      <c r="N261" s="41"/>
      <c r="O261" s="41"/>
      <c r="P261" s="188"/>
      <c r="Q261" s="236"/>
      <c r="R261" s="280"/>
      <c r="S261" s="179">
        <f t="shared" si="95"/>
        <v>4859.3864915304011</v>
      </c>
      <c r="T261" s="259"/>
      <c r="U261" s="179">
        <f t="shared" ref="U261:U324" si="108">U260+T261</f>
        <v>150</v>
      </c>
      <c r="V261" s="259"/>
      <c r="W261" s="179">
        <f t="shared" si="96"/>
        <v>0</v>
      </c>
      <c r="X261" s="259"/>
      <c r="Y261" s="179">
        <f t="shared" si="97"/>
        <v>1022.73</v>
      </c>
      <c r="Z261" s="259"/>
      <c r="AA261" s="179">
        <f t="shared" si="98"/>
        <v>40</v>
      </c>
      <c r="AB261" s="259"/>
      <c r="AC261" s="179">
        <f t="shared" si="99"/>
        <v>1394.266018065</v>
      </c>
      <c r="AD261" s="238">
        <f t="shared" si="94"/>
        <v>0</v>
      </c>
      <c r="AE261" s="179">
        <f t="shared" si="100"/>
        <v>2456.996018065</v>
      </c>
      <c r="AF261" s="264"/>
      <c r="AG261" s="179">
        <f t="shared" si="101"/>
        <v>1000</v>
      </c>
      <c r="AH261" s="268"/>
      <c r="AI261" s="179">
        <f t="shared" si="102"/>
        <v>0</v>
      </c>
      <c r="AJ261" s="268"/>
      <c r="AK261" s="179">
        <f t="shared" si="103"/>
        <v>22.73</v>
      </c>
      <c r="AL261" s="268"/>
      <c r="AM261" s="179">
        <f t="shared" si="104"/>
        <v>0</v>
      </c>
      <c r="AN261" s="268"/>
      <c r="AO261" s="179">
        <f t="shared" si="105"/>
        <v>0</v>
      </c>
      <c r="AP261" s="268"/>
      <c r="AQ261" s="179">
        <f t="shared" ref="AQ261:AQ324" si="109">AQ260+AP261</f>
        <v>0</v>
      </c>
      <c r="AR261" s="273"/>
      <c r="AS261" s="305">
        <f t="shared" si="106"/>
        <v>0</v>
      </c>
      <c r="AT261" s="273"/>
      <c r="AU261" s="305">
        <f t="shared" si="107"/>
        <v>0</v>
      </c>
    </row>
    <row r="262" spans="1:47" s="34" customFormat="1" hidden="1" x14ac:dyDescent="0.25">
      <c r="A262" s="87"/>
      <c r="B262" s="42"/>
      <c r="C262" s="41"/>
      <c r="D262" s="41"/>
      <c r="E262" s="40"/>
      <c r="F262" s="40"/>
      <c r="G262" s="40"/>
      <c r="H262" s="40"/>
      <c r="I262" s="160"/>
      <c r="J262" s="41"/>
      <c r="K262" s="41"/>
      <c r="L262" s="41"/>
      <c r="M262" s="41"/>
      <c r="N262" s="41"/>
      <c r="O262" s="41"/>
      <c r="P262" s="188"/>
      <c r="Q262" s="236"/>
      <c r="R262" s="280"/>
      <c r="S262" s="179">
        <f t="shared" si="95"/>
        <v>4859.3864915304011</v>
      </c>
      <c r="T262" s="259"/>
      <c r="U262" s="179">
        <f t="shared" si="108"/>
        <v>150</v>
      </c>
      <c r="V262" s="259"/>
      <c r="W262" s="179">
        <f t="shared" si="96"/>
        <v>0</v>
      </c>
      <c r="X262" s="259"/>
      <c r="Y262" s="179">
        <f t="shared" si="97"/>
        <v>1022.73</v>
      </c>
      <c r="Z262" s="259"/>
      <c r="AA262" s="179">
        <f t="shared" si="98"/>
        <v>40</v>
      </c>
      <c r="AB262" s="259"/>
      <c r="AC262" s="179">
        <f t="shared" si="99"/>
        <v>1394.266018065</v>
      </c>
      <c r="AD262" s="238">
        <f t="shared" si="94"/>
        <v>0</v>
      </c>
      <c r="AE262" s="179">
        <f t="shared" si="100"/>
        <v>2456.996018065</v>
      </c>
      <c r="AF262" s="264"/>
      <c r="AG262" s="179">
        <f t="shared" si="101"/>
        <v>1000</v>
      </c>
      <c r="AH262" s="268"/>
      <c r="AI262" s="179">
        <f t="shared" si="102"/>
        <v>0</v>
      </c>
      <c r="AJ262" s="268"/>
      <c r="AK262" s="179">
        <f t="shared" si="103"/>
        <v>22.73</v>
      </c>
      <c r="AL262" s="268"/>
      <c r="AM262" s="179">
        <f t="shared" si="104"/>
        <v>0</v>
      </c>
      <c r="AN262" s="268"/>
      <c r="AO262" s="179">
        <f t="shared" si="105"/>
        <v>0</v>
      </c>
      <c r="AP262" s="268"/>
      <c r="AQ262" s="179">
        <f t="shared" si="109"/>
        <v>0</v>
      </c>
      <c r="AR262" s="273"/>
      <c r="AS262" s="305">
        <f t="shared" si="106"/>
        <v>0</v>
      </c>
      <c r="AT262" s="273"/>
      <c r="AU262" s="305">
        <f t="shared" si="107"/>
        <v>0</v>
      </c>
    </row>
    <row r="263" spans="1:47" s="34" customFormat="1" hidden="1" x14ac:dyDescent="0.25">
      <c r="A263" s="87"/>
      <c r="B263" s="42"/>
      <c r="C263" s="41"/>
      <c r="D263" s="41"/>
      <c r="E263" s="40"/>
      <c r="F263" s="40"/>
      <c r="G263" s="40"/>
      <c r="H263" s="40"/>
      <c r="I263" s="160"/>
      <c r="J263" s="41"/>
      <c r="K263" s="41"/>
      <c r="L263" s="41"/>
      <c r="M263" s="41"/>
      <c r="N263" s="41"/>
      <c r="O263" s="41"/>
      <c r="P263" s="188"/>
      <c r="Q263" s="236"/>
      <c r="R263" s="280"/>
      <c r="S263" s="179">
        <f t="shared" si="95"/>
        <v>4859.3864915304011</v>
      </c>
      <c r="T263" s="259"/>
      <c r="U263" s="179">
        <f t="shared" si="108"/>
        <v>150</v>
      </c>
      <c r="V263" s="259"/>
      <c r="W263" s="179">
        <f t="shared" si="96"/>
        <v>0</v>
      </c>
      <c r="X263" s="259"/>
      <c r="Y263" s="179">
        <f t="shared" si="97"/>
        <v>1022.73</v>
      </c>
      <c r="Z263" s="259"/>
      <c r="AA263" s="179">
        <f t="shared" si="98"/>
        <v>40</v>
      </c>
      <c r="AB263" s="259"/>
      <c r="AC263" s="179">
        <f t="shared" si="99"/>
        <v>1394.266018065</v>
      </c>
      <c r="AD263" s="238">
        <f t="shared" si="94"/>
        <v>0</v>
      </c>
      <c r="AE263" s="179">
        <f t="shared" si="100"/>
        <v>2456.996018065</v>
      </c>
      <c r="AF263" s="264"/>
      <c r="AG263" s="179">
        <f t="shared" si="101"/>
        <v>1000</v>
      </c>
      <c r="AH263" s="268"/>
      <c r="AI263" s="179">
        <f t="shared" si="102"/>
        <v>0</v>
      </c>
      <c r="AJ263" s="268"/>
      <c r="AK263" s="179">
        <f t="shared" si="103"/>
        <v>22.73</v>
      </c>
      <c r="AL263" s="268"/>
      <c r="AM263" s="179">
        <f t="shared" si="104"/>
        <v>0</v>
      </c>
      <c r="AN263" s="268"/>
      <c r="AO263" s="179">
        <f t="shared" si="105"/>
        <v>0</v>
      </c>
      <c r="AP263" s="268"/>
      <c r="AQ263" s="179">
        <f t="shared" si="109"/>
        <v>0</v>
      </c>
      <c r="AR263" s="273"/>
      <c r="AS263" s="305">
        <f t="shared" si="106"/>
        <v>0</v>
      </c>
      <c r="AT263" s="273"/>
      <c r="AU263" s="305">
        <f t="shared" si="107"/>
        <v>0</v>
      </c>
    </row>
    <row r="264" spans="1:47" s="34" customFormat="1" hidden="1" x14ac:dyDescent="0.25">
      <c r="A264" s="87"/>
      <c r="B264" s="42"/>
      <c r="C264" s="41"/>
      <c r="D264" s="41"/>
      <c r="E264" s="40"/>
      <c r="F264" s="40"/>
      <c r="G264" s="40"/>
      <c r="H264" s="40"/>
      <c r="I264" s="160"/>
      <c r="J264" s="41"/>
      <c r="K264" s="41"/>
      <c r="L264" s="41"/>
      <c r="M264" s="41"/>
      <c r="N264" s="41"/>
      <c r="O264" s="41"/>
      <c r="P264" s="188"/>
      <c r="Q264" s="236"/>
      <c r="R264" s="280"/>
      <c r="S264" s="179">
        <f t="shared" si="95"/>
        <v>4859.3864915304011</v>
      </c>
      <c r="T264" s="259"/>
      <c r="U264" s="179">
        <f t="shared" si="108"/>
        <v>150</v>
      </c>
      <c r="V264" s="259"/>
      <c r="W264" s="179">
        <f t="shared" si="96"/>
        <v>0</v>
      </c>
      <c r="X264" s="259"/>
      <c r="Y264" s="179">
        <f t="shared" si="97"/>
        <v>1022.73</v>
      </c>
      <c r="Z264" s="259"/>
      <c r="AA264" s="179">
        <f t="shared" si="98"/>
        <v>40</v>
      </c>
      <c r="AB264" s="259"/>
      <c r="AC264" s="179">
        <f t="shared" si="99"/>
        <v>1394.266018065</v>
      </c>
      <c r="AD264" s="238">
        <f t="shared" si="94"/>
        <v>0</v>
      </c>
      <c r="AE264" s="179">
        <f t="shared" si="100"/>
        <v>2456.996018065</v>
      </c>
      <c r="AF264" s="264"/>
      <c r="AG264" s="179">
        <f t="shared" si="101"/>
        <v>1000</v>
      </c>
      <c r="AH264" s="268"/>
      <c r="AI264" s="179">
        <f t="shared" si="102"/>
        <v>0</v>
      </c>
      <c r="AJ264" s="268"/>
      <c r="AK264" s="179">
        <f t="shared" si="103"/>
        <v>22.73</v>
      </c>
      <c r="AL264" s="268"/>
      <c r="AM264" s="179">
        <f t="shared" si="104"/>
        <v>0</v>
      </c>
      <c r="AN264" s="268"/>
      <c r="AO264" s="179">
        <f t="shared" si="105"/>
        <v>0</v>
      </c>
      <c r="AP264" s="268"/>
      <c r="AQ264" s="179">
        <f t="shared" si="109"/>
        <v>0</v>
      </c>
      <c r="AR264" s="273"/>
      <c r="AS264" s="305">
        <f t="shared" si="106"/>
        <v>0</v>
      </c>
      <c r="AT264" s="273"/>
      <c r="AU264" s="305">
        <f t="shared" si="107"/>
        <v>0</v>
      </c>
    </row>
    <row r="265" spans="1:47" s="34" customFormat="1" hidden="1" x14ac:dyDescent="0.25">
      <c r="A265" s="87"/>
      <c r="B265" s="42"/>
      <c r="C265" s="41"/>
      <c r="D265" s="41"/>
      <c r="E265" s="40"/>
      <c r="F265" s="40"/>
      <c r="G265" s="40"/>
      <c r="H265" s="40"/>
      <c r="I265" s="160"/>
      <c r="J265" s="41"/>
      <c r="K265" s="41"/>
      <c r="L265" s="41"/>
      <c r="M265" s="41"/>
      <c r="N265" s="41"/>
      <c r="O265" s="41"/>
      <c r="P265" s="188"/>
      <c r="Q265" s="236"/>
      <c r="R265" s="280"/>
      <c r="S265" s="179">
        <f t="shared" si="95"/>
        <v>4859.3864915304011</v>
      </c>
      <c r="T265" s="259"/>
      <c r="U265" s="179">
        <f t="shared" si="108"/>
        <v>150</v>
      </c>
      <c r="V265" s="259"/>
      <c r="W265" s="179">
        <f t="shared" si="96"/>
        <v>0</v>
      </c>
      <c r="X265" s="259"/>
      <c r="Y265" s="179">
        <f t="shared" si="97"/>
        <v>1022.73</v>
      </c>
      <c r="Z265" s="259"/>
      <c r="AA265" s="179">
        <f t="shared" si="98"/>
        <v>40</v>
      </c>
      <c r="AB265" s="259"/>
      <c r="AC265" s="179">
        <f t="shared" si="99"/>
        <v>1394.266018065</v>
      </c>
      <c r="AD265" s="238">
        <f t="shared" si="94"/>
        <v>0</v>
      </c>
      <c r="AE265" s="179">
        <f t="shared" si="100"/>
        <v>2456.996018065</v>
      </c>
      <c r="AF265" s="264"/>
      <c r="AG265" s="179">
        <f t="shared" si="101"/>
        <v>1000</v>
      </c>
      <c r="AH265" s="268"/>
      <c r="AI265" s="179">
        <f t="shared" si="102"/>
        <v>0</v>
      </c>
      <c r="AJ265" s="268"/>
      <c r="AK265" s="179">
        <f t="shared" si="103"/>
        <v>22.73</v>
      </c>
      <c r="AL265" s="268"/>
      <c r="AM265" s="179">
        <f t="shared" si="104"/>
        <v>0</v>
      </c>
      <c r="AN265" s="268"/>
      <c r="AO265" s="179">
        <f t="shared" si="105"/>
        <v>0</v>
      </c>
      <c r="AP265" s="268"/>
      <c r="AQ265" s="179">
        <f t="shared" si="109"/>
        <v>0</v>
      </c>
      <c r="AR265" s="273"/>
      <c r="AS265" s="305">
        <f t="shared" si="106"/>
        <v>0</v>
      </c>
      <c r="AT265" s="273"/>
      <c r="AU265" s="305">
        <f t="shared" si="107"/>
        <v>0</v>
      </c>
    </row>
    <row r="266" spans="1:47" s="34" customFormat="1" hidden="1" x14ac:dyDescent="0.25">
      <c r="A266" s="87"/>
      <c r="B266" s="42"/>
      <c r="C266" s="41"/>
      <c r="D266" s="41"/>
      <c r="E266" s="40"/>
      <c r="F266" s="40"/>
      <c r="G266" s="40"/>
      <c r="H266" s="40"/>
      <c r="I266" s="160"/>
      <c r="J266" s="41"/>
      <c r="K266" s="41"/>
      <c r="L266" s="41"/>
      <c r="M266" s="41"/>
      <c r="N266" s="41"/>
      <c r="O266" s="41"/>
      <c r="P266" s="188"/>
      <c r="Q266" s="236"/>
      <c r="R266" s="280"/>
      <c r="S266" s="179">
        <f t="shared" si="95"/>
        <v>4859.3864915304011</v>
      </c>
      <c r="T266" s="259"/>
      <c r="U266" s="179">
        <f t="shared" si="108"/>
        <v>150</v>
      </c>
      <c r="V266" s="259"/>
      <c r="W266" s="179">
        <f t="shared" si="96"/>
        <v>0</v>
      </c>
      <c r="X266" s="259"/>
      <c r="Y266" s="179">
        <f t="shared" si="97"/>
        <v>1022.73</v>
      </c>
      <c r="Z266" s="259"/>
      <c r="AA266" s="179">
        <f t="shared" si="98"/>
        <v>40</v>
      </c>
      <c r="AB266" s="259"/>
      <c r="AC266" s="179">
        <f t="shared" si="99"/>
        <v>1394.266018065</v>
      </c>
      <c r="AD266" s="238">
        <f t="shared" si="94"/>
        <v>0</v>
      </c>
      <c r="AE266" s="179">
        <f t="shared" si="100"/>
        <v>2456.996018065</v>
      </c>
      <c r="AF266" s="264"/>
      <c r="AG266" s="179">
        <f t="shared" si="101"/>
        <v>1000</v>
      </c>
      <c r="AH266" s="268"/>
      <c r="AI266" s="179">
        <f t="shared" si="102"/>
        <v>0</v>
      </c>
      <c r="AJ266" s="268"/>
      <c r="AK266" s="179">
        <f t="shared" si="103"/>
        <v>22.73</v>
      </c>
      <c r="AL266" s="268"/>
      <c r="AM266" s="179">
        <f t="shared" si="104"/>
        <v>0</v>
      </c>
      <c r="AN266" s="268"/>
      <c r="AO266" s="179">
        <f t="shared" si="105"/>
        <v>0</v>
      </c>
      <c r="AP266" s="268"/>
      <c r="AQ266" s="179">
        <f t="shared" si="109"/>
        <v>0</v>
      </c>
      <c r="AR266" s="273"/>
      <c r="AS266" s="305">
        <f t="shared" si="106"/>
        <v>0</v>
      </c>
      <c r="AT266" s="273"/>
      <c r="AU266" s="305">
        <f t="shared" si="107"/>
        <v>0</v>
      </c>
    </row>
    <row r="267" spans="1:47" s="34" customFormat="1" hidden="1" x14ac:dyDescent="0.25">
      <c r="A267" s="87"/>
      <c r="B267" s="42"/>
      <c r="C267" s="41"/>
      <c r="D267" s="41"/>
      <c r="E267" s="40"/>
      <c r="F267" s="40"/>
      <c r="G267" s="40"/>
      <c r="H267" s="40"/>
      <c r="I267" s="160"/>
      <c r="J267" s="41"/>
      <c r="K267" s="41"/>
      <c r="L267" s="41"/>
      <c r="M267" s="41"/>
      <c r="N267" s="41"/>
      <c r="O267" s="41"/>
      <c r="P267" s="188"/>
      <c r="Q267" s="236"/>
      <c r="R267" s="280"/>
      <c r="S267" s="179">
        <f t="shared" si="95"/>
        <v>4859.3864915304011</v>
      </c>
      <c r="T267" s="259"/>
      <c r="U267" s="179">
        <f t="shared" si="108"/>
        <v>150</v>
      </c>
      <c r="V267" s="259"/>
      <c r="W267" s="179">
        <f t="shared" si="96"/>
        <v>0</v>
      </c>
      <c r="X267" s="259"/>
      <c r="Y267" s="179">
        <f t="shared" si="97"/>
        <v>1022.73</v>
      </c>
      <c r="Z267" s="259"/>
      <c r="AA267" s="179">
        <f t="shared" si="98"/>
        <v>40</v>
      </c>
      <c r="AB267" s="259"/>
      <c r="AC267" s="179">
        <f t="shared" si="99"/>
        <v>1394.266018065</v>
      </c>
      <c r="AD267" s="238">
        <f t="shared" si="94"/>
        <v>0</v>
      </c>
      <c r="AE267" s="179">
        <f t="shared" si="100"/>
        <v>2456.996018065</v>
      </c>
      <c r="AF267" s="264"/>
      <c r="AG267" s="179">
        <f t="shared" si="101"/>
        <v>1000</v>
      </c>
      <c r="AH267" s="268"/>
      <c r="AI267" s="179">
        <f t="shared" si="102"/>
        <v>0</v>
      </c>
      <c r="AJ267" s="268"/>
      <c r="AK267" s="179">
        <f t="shared" si="103"/>
        <v>22.73</v>
      </c>
      <c r="AL267" s="268"/>
      <c r="AM267" s="179">
        <f t="shared" si="104"/>
        <v>0</v>
      </c>
      <c r="AN267" s="268"/>
      <c r="AO267" s="179">
        <f t="shared" si="105"/>
        <v>0</v>
      </c>
      <c r="AP267" s="268"/>
      <c r="AQ267" s="179">
        <f t="shared" si="109"/>
        <v>0</v>
      </c>
      <c r="AR267" s="273"/>
      <c r="AS267" s="305">
        <f t="shared" si="106"/>
        <v>0</v>
      </c>
      <c r="AT267" s="273"/>
      <c r="AU267" s="305">
        <f t="shared" si="107"/>
        <v>0</v>
      </c>
    </row>
    <row r="268" spans="1:47" s="34" customFormat="1" hidden="1" x14ac:dyDescent="0.25">
      <c r="A268" s="87"/>
      <c r="B268" s="42"/>
      <c r="C268" s="41"/>
      <c r="D268" s="41"/>
      <c r="E268" s="40"/>
      <c r="F268" s="40"/>
      <c r="G268" s="40"/>
      <c r="H268" s="40"/>
      <c r="I268" s="160"/>
      <c r="J268" s="41"/>
      <c r="K268" s="41"/>
      <c r="L268" s="41"/>
      <c r="M268" s="41"/>
      <c r="N268" s="41"/>
      <c r="O268" s="41"/>
      <c r="P268" s="188"/>
      <c r="Q268" s="236"/>
      <c r="R268" s="280"/>
      <c r="S268" s="179">
        <f t="shared" si="95"/>
        <v>4859.3864915304011</v>
      </c>
      <c r="T268" s="259"/>
      <c r="U268" s="179">
        <f t="shared" si="108"/>
        <v>150</v>
      </c>
      <c r="V268" s="259"/>
      <c r="W268" s="179">
        <f t="shared" si="96"/>
        <v>0</v>
      </c>
      <c r="X268" s="259"/>
      <c r="Y268" s="179">
        <f t="shared" si="97"/>
        <v>1022.73</v>
      </c>
      <c r="Z268" s="259"/>
      <c r="AA268" s="179">
        <f t="shared" si="98"/>
        <v>40</v>
      </c>
      <c r="AB268" s="259"/>
      <c r="AC268" s="179">
        <f t="shared" si="99"/>
        <v>1394.266018065</v>
      </c>
      <c r="AD268" s="238">
        <f t="shared" si="94"/>
        <v>0</v>
      </c>
      <c r="AE268" s="179">
        <f t="shared" si="100"/>
        <v>2456.996018065</v>
      </c>
      <c r="AF268" s="264"/>
      <c r="AG268" s="179">
        <f t="shared" si="101"/>
        <v>1000</v>
      </c>
      <c r="AH268" s="268"/>
      <c r="AI268" s="179">
        <f t="shared" si="102"/>
        <v>0</v>
      </c>
      <c r="AJ268" s="268"/>
      <c r="AK268" s="179">
        <f t="shared" si="103"/>
        <v>22.73</v>
      </c>
      <c r="AL268" s="268"/>
      <c r="AM268" s="179">
        <f t="shared" si="104"/>
        <v>0</v>
      </c>
      <c r="AN268" s="268"/>
      <c r="AO268" s="179">
        <f t="shared" si="105"/>
        <v>0</v>
      </c>
      <c r="AP268" s="268"/>
      <c r="AQ268" s="179">
        <f t="shared" si="109"/>
        <v>0</v>
      </c>
      <c r="AR268" s="273"/>
      <c r="AS268" s="305">
        <f t="shared" si="106"/>
        <v>0</v>
      </c>
      <c r="AT268" s="273"/>
      <c r="AU268" s="305">
        <f t="shared" si="107"/>
        <v>0</v>
      </c>
    </row>
    <row r="269" spans="1:47" s="34" customFormat="1" hidden="1" x14ac:dyDescent="0.25">
      <c r="A269" s="87"/>
      <c r="B269" s="42"/>
      <c r="C269" s="41"/>
      <c r="D269" s="41"/>
      <c r="E269" s="40"/>
      <c r="F269" s="40"/>
      <c r="G269" s="40"/>
      <c r="H269" s="40"/>
      <c r="I269" s="160"/>
      <c r="J269" s="41"/>
      <c r="K269" s="41"/>
      <c r="L269" s="41"/>
      <c r="M269" s="41"/>
      <c r="N269" s="41"/>
      <c r="O269" s="41"/>
      <c r="P269" s="188"/>
      <c r="Q269" s="236"/>
      <c r="R269" s="280"/>
      <c r="S269" s="179">
        <f t="shared" si="95"/>
        <v>4859.3864915304011</v>
      </c>
      <c r="T269" s="259"/>
      <c r="U269" s="179">
        <f t="shared" si="108"/>
        <v>150</v>
      </c>
      <c r="V269" s="259"/>
      <c r="W269" s="179">
        <f t="shared" si="96"/>
        <v>0</v>
      </c>
      <c r="X269" s="259"/>
      <c r="Y269" s="179">
        <f t="shared" si="97"/>
        <v>1022.73</v>
      </c>
      <c r="Z269" s="259"/>
      <c r="AA269" s="179">
        <f t="shared" si="98"/>
        <v>40</v>
      </c>
      <c r="AB269" s="259"/>
      <c r="AC269" s="179">
        <f t="shared" si="99"/>
        <v>1394.266018065</v>
      </c>
      <c r="AD269" s="238">
        <f t="shared" si="94"/>
        <v>0</v>
      </c>
      <c r="AE269" s="179">
        <f t="shared" si="100"/>
        <v>2456.996018065</v>
      </c>
      <c r="AF269" s="264"/>
      <c r="AG269" s="179">
        <f t="shared" si="101"/>
        <v>1000</v>
      </c>
      <c r="AH269" s="268"/>
      <c r="AI269" s="179">
        <f t="shared" si="102"/>
        <v>0</v>
      </c>
      <c r="AJ269" s="268"/>
      <c r="AK269" s="179">
        <f t="shared" si="103"/>
        <v>22.73</v>
      </c>
      <c r="AL269" s="268"/>
      <c r="AM269" s="179">
        <f t="shared" si="104"/>
        <v>0</v>
      </c>
      <c r="AN269" s="268"/>
      <c r="AO269" s="179">
        <f t="shared" si="105"/>
        <v>0</v>
      </c>
      <c r="AP269" s="268"/>
      <c r="AQ269" s="179">
        <f t="shared" si="109"/>
        <v>0</v>
      </c>
      <c r="AR269" s="273"/>
      <c r="AS269" s="305">
        <f t="shared" si="106"/>
        <v>0</v>
      </c>
      <c r="AT269" s="273"/>
      <c r="AU269" s="305">
        <f t="shared" si="107"/>
        <v>0</v>
      </c>
    </row>
    <row r="270" spans="1:47" s="34" customFormat="1" hidden="1" x14ac:dyDescent="0.25">
      <c r="A270" s="87"/>
      <c r="B270" s="42"/>
      <c r="C270" s="41"/>
      <c r="D270" s="41"/>
      <c r="E270" s="40"/>
      <c r="F270" s="40"/>
      <c r="G270" s="40"/>
      <c r="H270" s="40"/>
      <c r="I270" s="160"/>
      <c r="J270" s="41"/>
      <c r="K270" s="41"/>
      <c r="L270" s="41"/>
      <c r="M270" s="41"/>
      <c r="N270" s="41"/>
      <c r="O270" s="41"/>
      <c r="P270" s="188"/>
      <c r="Q270" s="236"/>
      <c r="R270" s="280"/>
      <c r="S270" s="179">
        <f t="shared" si="95"/>
        <v>4859.3864915304011</v>
      </c>
      <c r="T270" s="259"/>
      <c r="U270" s="179">
        <f t="shared" si="108"/>
        <v>150</v>
      </c>
      <c r="V270" s="259"/>
      <c r="W270" s="179">
        <f t="shared" si="96"/>
        <v>0</v>
      </c>
      <c r="X270" s="259"/>
      <c r="Y270" s="179">
        <f t="shared" si="97"/>
        <v>1022.73</v>
      </c>
      <c r="Z270" s="259"/>
      <c r="AA270" s="179">
        <f t="shared" si="98"/>
        <v>40</v>
      </c>
      <c r="AB270" s="259"/>
      <c r="AC270" s="179">
        <f t="shared" si="99"/>
        <v>1394.266018065</v>
      </c>
      <c r="AD270" s="238">
        <f t="shared" si="94"/>
        <v>0</v>
      </c>
      <c r="AE270" s="179">
        <f t="shared" si="100"/>
        <v>2456.996018065</v>
      </c>
      <c r="AF270" s="264"/>
      <c r="AG270" s="179">
        <f t="shared" si="101"/>
        <v>1000</v>
      </c>
      <c r="AH270" s="268"/>
      <c r="AI270" s="179">
        <f t="shared" si="102"/>
        <v>0</v>
      </c>
      <c r="AJ270" s="268"/>
      <c r="AK270" s="179">
        <f t="shared" si="103"/>
        <v>22.73</v>
      </c>
      <c r="AL270" s="268"/>
      <c r="AM270" s="179">
        <f t="shared" si="104"/>
        <v>0</v>
      </c>
      <c r="AN270" s="268"/>
      <c r="AO270" s="179">
        <f t="shared" si="105"/>
        <v>0</v>
      </c>
      <c r="AP270" s="268"/>
      <c r="AQ270" s="179">
        <f t="shared" si="109"/>
        <v>0</v>
      </c>
      <c r="AR270" s="273"/>
      <c r="AS270" s="305">
        <f t="shared" si="106"/>
        <v>0</v>
      </c>
      <c r="AT270" s="273"/>
      <c r="AU270" s="305">
        <f t="shared" si="107"/>
        <v>0</v>
      </c>
    </row>
    <row r="271" spans="1:47" s="34" customFormat="1" hidden="1" x14ac:dyDescent="0.25">
      <c r="A271" s="87"/>
      <c r="B271" s="42"/>
      <c r="C271" s="41"/>
      <c r="D271" s="41"/>
      <c r="E271" s="40"/>
      <c r="F271" s="40"/>
      <c r="G271" s="40"/>
      <c r="H271" s="40"/>
      <c r="I271" s="160"/>
      <c r="J271" s="41"/>
      <c r="K271" s="41"/>
      <c r="L271" s="41"/>
      <c r="M271" s="41"/>
      <c r="N271" s="41"/>
      <c r="O271" s="41"/>
      <c r="P271" s="188"/>
      <c r="Q271" s="236"/>
      <c r="R271" s="280"/>
      <c r="S271" s="179">
        <f t="shared" si="95"/>
        <v>4859.3864915304011</v>
      </c>
      <c r="T271" s="259"/>
      <c r="U271" s="179">
        <f t="shared" si="108"/>
        <v>150</v>
      </c>
      <c r="V271" s="259"/>
      <c r="W271" s="179">
        <f t="shared" si="96"/>
        <v>0</v>
      </c>
      <c r="X271" s="259"/>
      <c r="Y271" s="179">
        <f t="shared" si="97"/>
        <v>1022.73</v>
      </c>
      <c r="Z271" s="259"/>
      <c r="AA271" s="179">
        <f t="shared" si="98"/>
        <v>40</v>
      </c>
      <c r="AB271" s="259"/>
      <c r="AC271" s="179">
        <f t="shared" si="99"/>
        <v>1394.266018065</v>
      </c>
      <c r="AD271" s="238">
        <f t="shared" si="94"/>
        <v>0</v>
      </c>
      <c r="AE271" s="179">
        <f t="shared" si="100"/>
        <v>2456.996018065</v>
      </c>
      <c r="AF271" s="264"/>
      <c r="AG271" s="179">
        <f t="shared" si="101"/>
        <v>1000</v>
      </c>
      <c r="AH271" s="268"/>
      <c r="AI271" s="179">
        <f t="shared" si="102"/>
        <v>0</v>
      </c>
      <c r="AJ271" s="268"/>
      <c r="AK271" s="179">
        <f t="shared" si="103"/>
        <v>22.73</v>
      </c>
      <c r="AL271" s="268"/>
      <c r="AM271" s="179">
        <f t="shared" si="104"/>
        <v>0</v>
      </c>
      <c r="AN271" s="268"/>
      <c r="AO271" s="179">
        <f t="shared" si="105"/>
        <v>0</v>
      </c>
      <c r="AP271" s="268"/>
      <c r="AQ271" s="179">
        <f t="shared" si="109"/>
        <v>0</v>
      </c>
      <c r="AR271" s="273"/>
      <c r="AS271" s="305">
        <f t="shared" si="106"/>
        <v>0</v>
      </c>
      <c r="AT271" s="273"/>
      <c r="AU271" s="305">
        <f t="shared" si="107"/>
        <v>0</v>
      </c>
    </row>
    <row r="272" spans="1:47" s="34" customFormat="1" hidden="1" x14ac:dyDescent="0.25">
      <c r="A272" s="87"/>
      <c r="B272" s="42"/>
      <c r="C272" s="41"/>
      <c r="D272" s="41"/>
      <c r="E272" s="40"/>
      <c r="F272" s="40"/>
      <c r="G272" s="40"/>
      <c r="H272" s="40"/>
      <c r="I272" s="160"/>
      <c r="J272" s="41"/>
      <c r="K272" s="41"/>
      <c r="L272" s="41"/>
      <c r="M272" s="41"/>
      <c r="N272" s="41"/>
      <c r="O272" s="41"/>
      <c r="P272" s="188"/>
      <c r="Q272" s="236"/>
      <c r="R272" s="280"/>
      <c r="S272" s="179">
        <f t="shared" si="95"/>
        <v>4859.3864915304011</v>
      </c>
      <c r="T272" s="259"/>
      <c r="U272" s="179">
        <f t="shared" si="108"/>
        <v>150</v>
      </c>
      <c r="V272" s="259"/>
      <c r="W272" s="179">
        <f t="shared" si="96"/>
        <v>0</v>
      </c>
      <c r="X272" s="259"/>
      <c r="Y272" s="179">
        <f t="shared" si="97"/>
        <v>1022.73</v>
      </c>
      <c r="Z272" s="259"/>
      <c r="AA272" s="179">
        <f t="shared" si="98"/>
        <v>40</v>
      </c>
      <c r="AB272" s="259"/>
      <c r="AC272" s="179">
        <f t="shared" si="99"/>
        <v>1394.266018065</v>
      </c>
      <c r="AD272" s="238">
        <f t="shared" si="94"/>
        <v>0</v>
      </c>
      <c r="AE272" s="179">
        <f t="shared" si="100"/>
        <v>2456.996018065</v>
      </c>
      <c r="AF272" s="264"/>
      <c r="AG272" s="179">
        <f t="shared" si="101"/>
        <v>1000</v>
      </c>
      <c r="AH272" s="268"/>
      <c r="AI272" s="179">
        <f t="shared" si="102"/>
        <v>0</v>
      </c>
      <c r="AJ272" s="268"/>
      <c r="AK272" s="179">
        <f t="shared" si="103"/>
        <v>22.73</v>
      </c>
      <c r="AL272" s="268"/>
      <c r="AM272" s="179">
        <f t="shared" si="104"/>
        <v>0</v>
      </c>
      <c r="AN272" s="268"/>
      <c r="AO272" s="179">
        <f t="shared" si="105"/>
        <v>0</v>
      </c>
      <c r="AP272" s="268"/>
      <c r="AQ272" s="179">
        <f t="shared" si="109"/>
        <v>0</v>
      </c>
      <c r="AR272" s="273"/>
      <c r="AS272" s="305">
        <f t="shared" si="106"/>
        <v>0</v>
      </c>
      <c r="AT272" s="273"/>
      <c r="AU272" s="305">
        <f t="shared" si="107"/>
        <v>0</v>
      </c>
    </row>
    <row r="273" spans="1:47" s="34" customFormat="1" hidden="1" x14ac:dyDescent="0.25">
      <c r="A273" s="87"/>
      <c r="B273" s="42"/>
      <c r="C273" s="41"/>
      <c r="D273" s="41"/>
      <c r="E273" s="40"/>
      <c r="F273" s="40"/>
      <c r="G273" s="40"/>
      <c r="H273" s="40"/>
      <c r="I273" s="160"/>
      <c r="J273" s="41"/>
      <c r="K273" s="41"/>
      <c r="L273" s="41"/>
      <c r="M273" s="41"/>
      <c r="N273" s="41"/>
      <c r="O273" s="41"/>
      <c r="P273" s="188"/>
      <c r="Q273" s="236"/>
      <c r="R273" s="280"/>
      <c r="S273" s="179">
        <f t="shared" si="95"/>
        <v>4859.3864915304011</v>
      </c>
      <c r="T273" s="259"/>
      <c r="U273" s="179">
        <f t="shared" si="108"/>
        <v>150</v>
      </c>
      <c r="V273" s="259"/>
      <c r="W273" s="179">
        <f t="shared" si="96"/>
        <v>0</v>
      </c>
      <c r="X273" s="259"/>
      <c r="Y273" s="179">
        <f t="shared" si="97"/>
        <v>1022.73</v>
      </c>
      <c r="Z273" s="259"/>
      <c r="AA273" s="179">
        <f t="shared" si="98"/>
        <v>40</v>
      </c>
      <c r="AB273" s="259"/>
      <c r="AC273" s="179">
        <f t="shared" si="99"/>
        <v>1394.266018065</v>
      </c>
      <c r="AD273" s="238">
        <f t="shared" si="94"/>
        <v>0</v>
      </c>
      <c r="AE273" s="179">
        <f t="shared" si="100"/>
        <v>2456.996018065</v>
      </c>
      <c r="AF273" s="264"/>
      <c r="AG273" s="179">
        <f t="shared" si="101"/>
        <v>1000</v>
      </c>
      <c r="AH273" s="268"/>
      <c r="AI273" s="179">
        <f t="shared" si="102"/>
        <v>0</v>
      </c>
      <c r="AJ273" s="268"/>
      <c r="AK273" s="179">
        <f t="shared" si="103"/>
        <v>22.73</v>
      </c>
      <c r="AL273" s="268"/>
      <c r="AM273" s="179">
        <f t="shared" si="104"/>
        <v>0</v>
      </c>
      <c r="AN273" s="268"/>
      <c r="AO273" s="179">
        <f t="shared" si="105"/>
        <v>0</v>
      </c>
      <c r="AP273" s="268"/>
      <c r="AQ273" s="179">
        <f t="shared" si="109"/>
        <v>0</v>
      </c>
      <c r="AR273" s="273"/>
      <c r="AS273" s="305">
        <f t="shared" si="106"/>
        <v>0</v>
      </c>
      <c r="AT273" s="273"/>
      <c r="AU273" s="305">
        <f t="shared" si="107"/>
        <v>0</v>
      </c>
    </row>
    <row r="274" spans="1:47" s="34" customFormat="1" hidden="1" x14ac:dyDescent="0.25">
      <c r="A274" s="87"/>
      <c r="B274" s="42"/>
      <c r="C274" s="41"/>
      <c r="D274" s="41"/>
      <c r="E274" s="40"/>
      <c r="F274" s="40"/>
      <c r="G274" s="40"/>
      <c r="H274" s="40"/>
      <c r="I274" s="160"/>
      <c r="J274" s="41"/>
      <c r="K274" s="41"/>
      <c r="L274" s="41"/>
      <c r="M274" s="41"/>
      <c r="N274" s="41"/>
      <c r="O274" s="41"/>
      <c r="P274" s="188"/>
      <c r="Q274" s="236"/>
      <c r="R274" s="280"/>
      <c r="S274" s="179">
        <f t="shared" si="95"/>
        <v>4859.3864915304011</v>
      </c>
      <c r="T274" s="259"/>
      <c r="U274" s="179">
        <f t="shared" si="108"/>
        <v>150</v>
      </c>
      <c r="V274" s="259"/>
      <c r="W274" s="179">
        <f t="shared" si="96"/>
        <v>0</v>
      </c>
      <c r="X274" s="259"/>
      <c r="Y274" s="179">
        <f t="shared" si="97"/>
        <v>1022.73</v>
      </c>
      <c r="Z274" s="259"/>
      <c r="AA274" s="179">
        <f t="shared" si="98"/>
        <v>40</v>
      </c>
      <c r="AB274" s="259"/>
      <c r="AC274" s="179">
        <f t="shared" si="99"/>
        <v>1394.266018065</v>
      </c>
      <c r="AD274" s="238">
        <f t="shared" si="94"/>
        <v>0</v>
      </c>
      <c r="AE274" s="179">
        <f t="shared" si="100"/>
        <v>2456.996018065</v>
      </c>
      <c r="AF274" s="264"/>
      <c r="AG274" s="179">
        <f t="shared" si="101"/>
        <v>1000</v>
      </c>
      <c r="AH274" s="268"/>
      <c r="AI274" s="179">
        <f t="shared" si="102"/>
        <v>0</v>
      </c>
      <c r="AJ274" s="268"/>
      <c r="AK274" s="179">
        <f t="shared" si="103"/>
        <v>22.73</v>
      </c>
      <c r="AL274" s="268"/>
      <c r="AM274" s="179">
        <f t="shared" si="104"/>
        <v>0</v>
      </c>
      <c r="AN274" s="268"/>
      <c r="AO274" s="179">
        <f t="shared" si="105"/>
        <v>0</v>
      </c>
      <c r="AP274" s="268"/>
      <c r="AQ274" s="179">
        <f t="shared" si="109"/>
        <v>0</v>
      </c>
      <c r="AR274" s="273"/>
      <c r="AS274" s="305">
        <f t="shared" si="106"/>
        <v>0</v>
      </c>
      <c r="AT274" s="273"/>
      <c r="AU274" s="305">
        <f t="shared" si="107"/>
        <v>0</v>
      </c>
    </row>
    <row r="275" spans="1:47" s="34" customFormat="1" hidden="1" x14ac:dyDescent="0.25">
      <c r="A275" s="87"/>
      <c r="B275" s="42"/>
      <c r="C275" s="41"/>
      <c r="D275" s="41"/>
      <c r="E275" s="40"/>
      <c r="F275" s="40"/>
      <c r="G275" s="40"/>
      <c r="H275" s="40"/>
      <c r="I275" s="160"/>
      <c r="J275" s="41"/>
      <c r="K275" s="41"/>
      <c r="L275" s="41"/>
      <c r="M275" s="41"/>
      <c r="N275" s="41"/>
      <c r="O275" s="41"/>
      <c r="P275" s="188"/>
      <c r="Q275" s="236"/>
      <c r="R275" s="280"/>
      <c r="S275" s="179">
        <f t="shared" si="95"/>
        <v>4859.3864915304011</v>
      </c>
      <c r="T275" s="259"/>
      <c r="U275" s="179">
        <f t="shared" si="108"/>
        <v>150</v>
      </c>
      <c r="V275" s="259"/>
      <c r="W275" s="179">
        <f t="shared" si="96"/>
        <v>0</v>
      </c>
      <c r="X275" s="259"/>
      <c r="Y275" s="179">
        <f t="shared" si="97"/>
        <v>1022.73</v>
      </c>
      <c r="Z275" s="259"/>
      <c r="AA275" s="179">
        <f t="shared" si="98"/>
        <v>40</v>
      </c>
      <c r="AB275" s="259"/>
      <c r="AC275" s="179">
        <f t="shared" si="99"/>
        <v>1394.266018065</v>
      </c>
      <c r="AD275" s="238">
        <f t="shared" si="94"/>
        <v>0</v>
      </c>
      <c r="AE275" s="179">
        <f t="shared" si="100"/>
        <v>2456.996018065</v>
      </c>
      <c r="AF275" s="264"/>
      <c r="AG275" s="179">
        <f t="shared" si="101"/>
        <v>1000</v>
      </c>
      <c r="AH275" s="268"/>
      <c r="AI275" s="179">
        <f t="shared" si="102"/>
        <v>0</v>
      </c>
      <c r="AJ275" s="268"/>
      <c r="AK275" s="179">
        <f t="shared" si="103"/>
        <v>22.73</v>
      </c>
      <c r="AL275" s="268"/>
      <c r="AM275" s="179">
        <f t="shared" si="104"/>
        <v>0</v>
      </c>
      <c r="AN275" s="268"/>
      <c r="AO275" s="179">
        <f t="shared" si="105"/>
        <v>0</v>
      </c>
      <c r="AP275" s="268"/>
      <c r="AQ275" s="179">
        <f t="shared" si="109"/>
        <v>0</v>
      </c>
      <c r="AR275" s="273"/>
      <c r="AS275" s="305">
        <f t="shared" si="106"/>
        <v>0</v>
      </c>
      <c r="AT275" s="273"/>
      <c r="AU275" s="305">
        <f t="shared" si="107"/>
        <v>0</v>
      </c>
    </row>
    <row r="276" spans="1:47" s="34" customFormat="1" hidden="1" x14ac:dyDescent="0.25">
      <c r="A276" s="87"/>
      <c r="B276" s="42"/>
      <c r="C276" s="41"/>
      <c r="D276" s="41"/>
      <c r="E276" s="40"/>
      <c r="F276" s="40"/>
      <c r="G276" s="40"/>
      <c r="H276" s="40"/>
      <c r="I276" s="160"/>
      <c r="J276" s="41"/>
      <c r="K276" s="41"/>
      <c r="L276" s="41"/>
      <c r="M276" s="41"/>
      <c r="N276" s="41"/>
      <c r="O276" s="41"/>
      <c r="P276" s="188"/>
      <c r="Q276" s="236"/>
      <c r="R276" s="280"/>
      <c r="S276" s="179">
        <f t="shared" si="95"/>
        <v>4859.3864915304011</v>
      </c>
      <c r="T276" s="259"/>
      <c r="U276" s="179">
        <f t="shared" si="108"/>
        <v>150</v>
      </c>
      <c r="V276" s="259"/>
      <c r="W276" s="179">
        <f t="shared" si="96"/>
        <v>0</v>
      </c>
      <c r="X276" s="259"/>
      <c r="Y276" s="179">
        <f t="shared" si="97"/>
        <v>1022.73</v>
      </c>
      <c r="Z276" s="259"/>
      <c r="AA276" s="179">
        <f t="shared" si="98"/>
        <v>40</v>
      </c>
      <c r="AB276" s="259"/>
      <c r="AC276" s="179">
        <f t="shared" si="99"/>
        <v>1394.266018065</v>
      </c>
      <c r="AD276" s="238">
        <f t="shared" si="94"/>
        <v>0</v>
      </c>
      <c r="AE276" s="179">
        <f t="shared" si="100"/>
        <v>2456.996018065</v>
      </c>
      <c r="AF276" s="264"/>
      <c r="AG276" s="179">
        <f t="shared" si="101"/>
        <v>1000</v>
      </c>
      <c r="AH276" s="268"/>
      <c r="AI276" s="179">
        <f t="shared" si="102"/>
        <v>0</v>
      </c>
      <c r="AJ276" s="268"/>
      <c r="AK276" s="179">
        <f t="shared" si="103"/>
        <v>22.73</v>
      </c>
      <c r="AL276" s="268"/>
      <c r="AM276" s="179">
        <f t="shared" si="104"/>
        <v>0</v>
      </c>
      <c r="AN276" s="268"/>
      <c r="AO276" s="179">
        <f t="shared" si="105"/>
        <v>0</v>
      </c>
      <c r="AP276" s="268"/>
      <c r="AQ276" s="179">
        <f t="shared" si="109"/>
        <v>0</v>
      </c>
      <c r="AR276" s="273"/>
      <c r="AS276" s="305">
        <f t="shared" si="106"/>
        <v>0</v>
      </c>
      <c r="AT276" s="273"/>
      <c r="AU276" s="305">
        <f t="shared" si="107"/>
        <v>0</v>
      </c>
    </row>
    <row r="277" spans="1:47" s="34" customFormat="1" hidden="1" x14ac:dyDescent="0.25">
      <c r="A277" s="87"/>
      <c r="B277" s="42"/>
      <c r="C277" s="41"/>
      <c r="D277" s="41"/>
      <c r="E277" s="40"/>
      <c r="F277" s="40"/>
      <c r="G277" s="40"/>
      <c r="H277" s="40"/>
      <c r="I277" s="160"/>
      <c r="J277" s="41"/>
      <c r="K277" s="41"/>
      <c r="L277" s="41"/>
      <c r="M277" s="41"/>
      <c r="N277" s="41"/>
      <c r="O277" s="41"/>
      <c r="P277" s="188"/>
      <c r="Q277" s="236"/>
      <c r="R277" s="280"/>
      <c r="S277" s="179">
        <f t="shared" si="95"/>
        <v>4859.3864915304011</v>
      </c>
      <c r="T277" s="259"/>
      <c r="U277" s="179">
        <f t="shared" si="108"/>
        <v>150</v>
      </c>
      <c r="V277" s="259"/>
      <c r="W277" s="179">
        <f t="shared" si="96"/>
        <v>0</v>
      </c>
      <c r="X277" s="259"/>
      <c r="Y277" s="179">
        <f t="shared" si="97"/>
        <v>1022.73</v>
      </c>
      <c r="Z277" s="259"/>
      <c r="AA277" s="179">
        <f t="shared" si="98"/>
        <v>40</v>
      </c>
      <c r="AB277" s="259"/>
      <c r="AC277" s="179">
        <f t="shared" si="99"/>
        <v>1394.266018065</v>
      </c>
      <c r="AD277" s="238">
        <f t="shared" si="94"/>
        <v>0</v>
      </c>
      <c r="AE277" s="179">
        <f t="shared" si="100"/>
        <v>2456.996018065</v>
      </c>
      <c r="AF277" s="264"/>
      <c r="AG277" s="179">
        <f t="shared" si="101"/>
        <v>1000</v>
      </c>
      <c r="AH277" s="268"/>
      <c r="AI277" s="179">
        <f t="shared" si="102"/>
        <v>0</v>
      </c>
      <c r="AJ277" s="268"/>
      <c r="AK277" s="179">
        <f t="shared" si="103"/>
        <v>22.73</v>
      </c>
      <c r="AL277" s="268"/>
      <c r="AM277" s="179">
        <f t="shared" si="104"/>
        <v>0</v>
      </c>
      <c r="AN277" s="268"/>
      <c r="AO277" s="179">
        <f t="shared" si="105"/>
        <v>0</v>
      </c>
      <c r="AP277" s="268"/>
      <c r="AQ277" s="179">
        <f t="shared" si="109"/>
        <v>0</v>
      </c>
      <c r="AR277" s="273"/>
      <c r="AS277" s="305">
        <f t="shared" si="106"/>
        <v>0</v>
      </c>
      <c r="AT277" s="273"/>
      <c r="AU277" s="305">
        <f t="shared" si="107"/>
        <v>0</v>
      </c>
    </row>
    <row r="278" spans="1:47" s="34" customFormat="1" hidden="1" x14ac:dyDescent="0.25">
      <c r="A278" s="87"/>
      <c r="B278" s="42"/>
      <c r="C278" s="41"/>
      <c r="D278" s="41"/>
      <c r="E278" s="40"/>
      <c r="F278" s="40"/>
      <c r="G278" s="40"/>
      <c r="H278" s="40"/>
      <c r="I278" s="160"/>
      <c r="J278" s="41"/>
      <c r="K278" s="41"/>
      <c r="L278" s="41"/>
      <c r="M278" s="41"/>
      <c r="N278" s="41"/>
      <c r="O278" s="41"/>
      <c r="P278" s="188"/>
      <c r="Q278" s="236"/>
      <c r="R278" s="280"/>
      <c r="S278" s="179">
        <f t="shared" si="95"/>
        <v>4859.3864915304011</v>
      </c>
      <c r="T278" s="259"/>
      <c r="U278" s="179">
        <f t="shared" si="108"/>
        <v>150</v>
      </c>
      <c r="V278" s="259"/>
      <c r="W278" s="179">
        <f t="shared" si="96"/>
        <v>0</v>
      </c>
      <c r="X278" s="259"/>
      <c r="Y278" s="179">
        <f t="shared" si="97"/>
        <v>1022.73</v>
      </c>
      <c r="Z278" s="259"/>
      <c r="AA278" s="179">
        <f t="shared" si="98"/>
        <v>40</v>
      </c>
      <c r="AB278" s="259"/>
      <c r="AC278" s="179">
        <f t="shared" si="99"/>
        <v>1394.266018065</v>
      </c>
      <c r="AD278" s="238">
        <f t="shared" si="94"/>
        <v>0</v>
      </c>
      <c r="AE278" s="179">
        <f t="shared" si="100"/>
        <v>2456.996018065</v>
      </c>
      <c r="AF278" s="264"/>
      <c r="AG278" s="179">
        <f t="shared" si="101"/>
        <v>1000</v>
      </c>
      <c r="AH278" s="268"/>
      <c r="AI278" s="179">
        <f t="shared" si="102"/>
        <v>0</v>
      </c>
      <c r="AJ278" s="268"/>
      <c r="AK278" s="179">
        <f t="shared" si="103"/>
        <v>22.73</v>
      </c>
      <c r="AL278" s="268"/>
      <c r="AM278" s="179">
        <f t="shared" si="104"/>
        <v>0</v>
      </c>
      <c r="AN278" s="268"/>
      <c r="AO278" s="179">
        <f t="shared" si="105"/>
        <v>0</v>
      </c>
      <c r="AP278" s="268"/>
      <c r="AQ278" s="179">
        <f t="shared" si="109"/>
        <v>0</v>
      </c>
      <c r="AR278" s="273"/>
      <c r="AS278" s="305">
        <f t="shared" si="106"/>
        <v>0</v>
      </c>
      <c r="AT278" s="273"/>
      <c r="AU278" s="305">
        <f t="shared" si="107"/>
        <v>0</v>
      </c>
    </row>
    <row r="279" spans="1:47" s="34" customFormat="1" hidden="1" x14ac:dyDescent="0.25">
      <c r="A279" s="87"/>
      <c r="B279" s="42"/>
      <c r="C279" s="41"/>
      <c r="D279" s="41"/>
      <c r="E279" s="40"/>
      <c r="F279" s="40"/>
      <c r="G279" s="40"/>
      <c r="H279" s="40"/>
      <c r="I279" s="160"/>
      <c r="J279" s="41"/>
      <c r="K279" s="41"/>
      <c r="L279" s="41"/>
      <c r="M279" s="41"/>
      <c r="N279" s="41"/>
      <c r="O279" s="41"/>
      <c r="P279" s="188"/>
      <c r="Q279" s="236"/>
      <c r="R279" s="280"/>
      <c r="S279" s="179">
        <f t="shared" si="95"/>
        <v>4859.3864915304011</v>
      </c>
      <c r="T279" s="259"/>
      <c r="U279" s="179">
        <f t="shared" si="108"/>
        <v>150</v>
      </c>
      <c r="V279" s="259"/>
      <c r="W279" s="179">
        <f t="shared" si="96"/>
        <v>0</v>
      </c>
      <c r="X279" s="259"/>
      <c r="Y279" s="179">
        <f t="shared" si="97"/>
        <v>1022.73</v>
      </c>
      <c r="Z279" s="259"/>
      <c r="AA279" s="179">
        <f t="shared" si="98"/>
        <v>40</v>
      </c>
      <c r="AB279" s="259"/>
      <c r="AC279" s="179">
        <f t="shared" si="99"/>
        <v>1394.266018065</v>
      </c>
      <c r="AD279" s="238">
        <f t="shared" si="94"/>
        <v>0</v>
      </c>
      <c r="AE279" s="179">
        <f t="shared" si="100"/>
        <v>2456.996018065</v>
      </c>
      <c r="AF279" s="264"/>
      <c r="AG279" s="179">
        <f t="shared" si="101"/>
        <v>1000</v>
      </c>
      <c r="AH279" s="268"/>
      <c r="AI279" s="179">
        <f t="shared" si="102"/>
        <v>0</v>
      </c>
      <c r="AJ279" s="268"/>
      <c r="AK279" s="179">
        <f t="shared" si="103"/>
        <v>22.73</v>
      </c>
      <c r="AL279" s="268"/>
      <c r="AM279" s="179">
        <f t="shared" si="104"/>
        <v>0</v>
      </c>
      <c r="AN279" s="268"/>
      <c r="AO279" s="179">
        <f t="shared" si="105"/>
        <v>0</v>
      </c>
      <c r="AP279" s="268"/>
      <c r="AQ279" s="179">
        <f t="shared" si="109"/>
        <v>0</v>
      </c>
      <c r="AR279" s="273"/>
      <c r="AS279" s="305">
        <f t="shared" si="106"/>
        <v>0</v>
      </c>
      <c r="AT279" s="273"/>
      <c r="AU279" s="305">
        <f t="shared" si="107"/>
        <v>0</v>
      </c>
    </row>
    <row r="280" spans="1:47" s="34" customFormat="1" hidden="1" x14ac:dyDescent="0.25">
      <c r="A280" s="87"/>
      <c r="B280" s="42"/>
      <c r="C280" s="41"/>
      <c r="D280" s="41"/>
      <c r="E280" s="40"/>
      <c r="F280" s="40"/>
      <c r="G280" s="40"/>
      <c r="H280" s="40"/>
      <c r="I280" s="160"/>
      <c r="J280" s="41"/>
      <c r="K280" s="41"/>
      <c r="L280" s="41"/>
      <c r="M280" s="41"/>
      <c r="N280" s="41"/>
      <c r="O280" s="41"/>
      <c r="P280" s="188"/>
      <c r="Q280" s="236"/>
      <c r="R280" s="280"/>
      <c r="S280" s="179">
        <f t="shared" si="95"/>
        <v>4859.3864915304011</v>
      </c>
      <c r="T280" s="259"/>
      <c r="U280" s="179">
        <f t="shared" si="108"/>
        <v>150</v>
      </c>
      <c r="V280" s="259"/>
      <c r="W280" s="179">
        <f t="shared" si="96"/>
        <v>0</v>
      </c>
      <c r="X280" s="259"/>
      <c r="Y280" s="179">
        <f t="shared" si="97"/>
        <v>1022.73</v>
      </c>
      <c r="Z280" s="259"/>
      <c r="AA280" s="179">
        <f t="shared" si="98"/>
        <v>40</v>
      </c>
      <c r="AB280" s="259"/>
      <c r="AC280" s="179">
        <f t="shared" si="99"/>
        <v>1394.266018065</v>
      </c>
      <c r="AD280" s="238">
        <f t="shared" si="94"/>
        <v>0</v>
      </c>
      <c r="AE280" s="179">
        <f t="shared" si="100"/>
        <v>2456.996018065</v>
      </c>
      <c r="AF280" s="264"/>
      <c r="AG280" s="179">
        <f t="shared" si="101"/>
        <v>1000</v>
      </c>
      <c r="AH280" s="268"/>
      <c r="AI280" s="179">
        <f t="shared" si="102"/>
        <v>0</v>
      </c>
      <c r="AJ280" s="268"/>
      <c r="AK280" s="179">
        <f t="shared" si="103"/>
        <v>22.73</v>
      </c>
      <c r="AL280" s="268"/>
      <c r="AM280" s="179">
        <f t="shared" si="104"/>
        <v>0</v>
      </c>
      <c r="AN280" s="268"/>
      <c r="AO280" s="179">
        <f t="shared" si="105"/>
        <v>0</v>
      </c>
      <c r="AP280" s="268"/>
      <c r="AQ280" s="179">
        <f t="shared" si="109"/>
        <v>0</v>
      </c>
      <c r="AR280" s="273"/>
      <c r="AS280" s="305">
        <f t="shared" si="106"/>
        <v>0</v>
      </c>
      <c r="AT280" s="273"/>
      <c r="AU280" s="305">
        <f t="shared" si="107"/>
        <v>0</v>
      </c>
    </row>
    <row r="281" spans="1:47" s="34" customFormat="1" hidden="1" x14ac:dyDescent="0.25">
      <c r="A281" s="87"/>
      <c r="B281" s="42"/>
      <c r="C281" s="41"/>
      <c r="D281" s="41"/>
      <c r="E281" s="40"/>
      <c r="F281" s="40"/>
      <c r="G281" s="40"/>
      <c r="H281" s="40"/>
      <c r="I281" s="160"/>
      <c r="J281" s="41"/>
      <c r="K281" s="41"/>
      <c r="L281" s="41"/>
      <c r="M281" s="41"/>
      <c r="N281" s="41"/>
      <c r="O281" s="41"/>
      <c r="P281" s="188"/>
      <c r="Q281" s="236"/>
      <c r="R281" s="280"/>
      <c r="S281" s="179">
        <f t="shared" si="95"/>
        <v>4859.3864915304011</v>
      </c>
      <c r="T281" s="259"/>
      <c r="U281" s="179">
        <f t="shared" si="108"/>
        <v>150</v>
      </c>
      <c r="V281" s="259"/>
      <c r="W281" s="179">
        <f t="shared" si="96"/>
        <v>0</v>
      </c>
      <c r="X281" s="259"/>
      <c r="Y281" s="179">
        <f t="shared" si="97"/>
        <v>1022.73</v>
      </c>
      <c r="Z281" s="259"/>
      <c r="AA281" s="179">
        <f t="shared" si="98"/>
        <v>40</v>
      </c>
      <c r="AB281" s="259"/>
      <c r="AC281" s="179">
        <f t="shared" si="99"/>
        <v>1394.266018065</v>
      </c>
      <c r="AD281" s="238">
        <f t="shared" si="94"/>
        <v>0</v>
      </c>
      <c r="AE281" s="179">
        <f t="shared" si="100"/>
        <v>2456.996018065</v>
      </c>
      <c r="AF281" s="264"/>
      <c r="AG281" s="179">
        <f t="shared" si="101"/>
        <v>1000</v>
      </c>
      <c r="AH281" s="268"/>
      <c r="AI281" s="179">
        <f t="shared" si="102"/>
        <v>0</v>
      </c>
      <c r="AJ281" s="268"/>
      <c r="AK281" s="179">
        <f t="shared" si="103"/>
        <v>22.73</v>
      </c>
      <c r="AL281" s="268"/>
      <c r="AM281" s="179">
        <f t="shared" si="104"/>
        <v>0</v>
      </c>
      <c r="AN281" s="268"/>
      <c r="AO281" s="179">
        <f t="shared" si="105"/>
        <v>0</v>
      </c>
      <c r="AP281" s="268"/>
      <c r="AQ281" s="179">
        <f t="shared" si="109"/>
        <v>0</v>
      </c>
      <c r="AR281" s="273"/>
      <c r="AS281" s="305">
        <f t="shared" si="106"/>
        <v>0</v>
      </c>
      <c r="AT281" s="273"/>
      <c r="AU281" s="305">
        <f t="shared" si="107"/>
        <v>0</v>
      </c>
    </row>
    <row r="282" spans="1:47" s="34" customFormat="1" hidden="1" x14ac:dyDescent="0.25">
      <c r="A282" s="87"/>
      <c r="B282" s="42"/>
      <c r="C282" s="41"/>
      <c r="D282" s="41"/>
      <c r="E282" s="40"/>
      <c r="F282" s="40"/>
      <c r="G282" s="40"/>
      <c r="H282" s="40"/>
      <c r="I282" s="160"/>
      <c r="J282" s="41"/>
      <c r="K282" s="41"/>
      <c r="L282" s="41"/>
      <c r="M282" s="41"/>
      <c r="N282" s="41"/>
      <c r="O282" s="41"/>
      <c r="P282" s="188"/>
      <c r="Q282" s="236"/>
      <c r="R282" s="280"/>
      <c r="S282" s="179">
        <f t="shared" si="95"/>
        <v>4859.3864915304011</v>
      </c>
      <c r="T282" s="259"/>
      <c r="U282" s="179">
        <f t="shared" si="108"/>
        <v>150</v>
      </c>
      <c r="V282" s="259"/>
      <c r="W282" s="179">
        <f t="shared" si="96"/>
        <v>0</v>
      </c>
      <c r="X282" s="259"/>
      <c r="Y282" s="179">
        <f t="shared" si="97"/>
        <v>1022.73</v>
      </c>
      <c r="Z282" s="259"/>
      <c r="AA282" s="179">
        <f t="shared" si="98"/>
        <v>40</v>
      </c>
      <c r="AB282" s="259"/>
      <c r="AC282" s="179">
        <f t="shared" si="99"/>
        <v>1394.266018065</v>
      </c>
      <c r="AD282" s="238">
        <f t="shared" si="94"/>
        <v>0</v>
      </c>
      <c r="AE282" s="179">
        <f t="shared" si="100"/>
        <v>2456.996018065</v>
      </c>
      <c r="AF282" s="264"/>
      <c r="AG282" s="179">
        <f t="shared" si="101"/>
        <v>1000</v>
      </c>
      <c r="AH282" s="268"/>
      <c r="AI282" s="179">
        <f t="shared" si="102"/>
        <v>0</v>
      </c>
      <c r="AJ282" s="268"/>
      <c r="AK282" s="179">
        <f t="shared" si="103"/>
        <v>22.73</v>
      </c>
      <c r="AL282" s="268"/>
      <c r="AM282" s="179">
        <f t="shared" si="104"/>
        <v>0</v>
      </c>
      <c r="AN282" s="268"/>
      <c r="AO282" s="179">
        <f t="shared" si="105"/>
        <v>0</v>
      </c>
      <c r="AP282" s="268"/>
      <c r="AQ282" s="179">
        <f t="shared" si="109"/>
        <v>0</v>
      </c>
      <c r="AR282" s="273"/>
      <c r="AS282" s="305">
        <f t="shared" si="106"/>
        <v>0</v>
      </c>
      <c r="AT282" s="273"/>
      <c r="AU282" s="305">
        <f t="shared" si="107"/>
        <v>0</v>
      </c>
    </row>
    <row r="283" spans="1:47" s="34" customFormat="1" hidden="1" x14ac:dyDescent="0.25">
      <c r="A283" s="87"/>
      <c r="B283" s="42"/>
      <c r="C283" s="41"/>
      <c r="D283" s="41"/>
      <c r="E283" s="40"/>
      <c r="F283" s="40"/>
      <c r="G283" s="40"/>
      <c r="H283" s="40"/>
      <c r="I283" s="160"/>
      <c r="J283" s="41"/>
      <c r="K283" s="41"/>
      <c r="L283" s="41"/>
      <c r="M283" s="41"/>
      <c r="N283" s="41"/>
      <c r="O283" s="41"/>
      <c r="P283" s="188"/>
      <c r="Q283" s="236"/>
      <c r="R283" s="280"/>
      <c r="S283" s="179">
        <f t="shared" si="95"/>
        <v>4859.3864915304011</v>
      </c>
      <c r="T283" s="259"/>
      <c r="U283" s="179">
        <f t="shared" si="108"/>
        <v>150</v>
      </c>
      <c r="V283" s="259"/>
      <c r="W283" s="179">
        <f t="shared" si="96"/>
        <v>0</v>
      </c>
      <c r="X283" s="259"/>
      <c r="Y283" s="179">
        <f t="shared" si="97"/>
        <v>1022.73</v>
      </c>
      <c r="Z283" s="259"/>
      <c r="AA283" s="179">
        <f t="shared" si="98"/>
        <v>40</v>
      </c>
      <c r="AB283" s="259"/>
      <c r="AC283" s="179">
        <f t="shared" si="99"/>
        <v>1394.266018065</v>
      </c>
      <c r="AD283" s="238">
        <f t="shared" si="94"/>
        <v>0</v>
      </c>
      <c r="AE283" s="179">
        <f t="shared" si="100"/>
        <v>2456.996018065</v>
      </c>
      <c r="AF283" s="264"/>
      <c r="AG283" s="179">
        <f t="shared" si="101"/>
        <v>1000</v>
      </c>
      <c r="AH283" s="268"/>
      <c r="AI283" s="179">
        <f t="shared" si="102"/>
        <v>0</v>
      </c>
      <c r="AJ283" s="268"/>
      <c r="AK283" s="179">
        <f t="shared" si="103"/>
        <v>22.73</v>
      </c>
      <c r="AL283" s="268"/>
      <c r="AM283" s="179">
        <f t="shared" si="104"/>
        <v>0</v>
      </c>
      <c r="AN283" s="268"/>
      <c r="AO283" s="179">
        <f t="shared" si="105"/>
        <v>0</v>
      </c>
      <c r="AP283" s="268"/>
      <c r="AQ283" s="179">
        <f t="shared" si="109"/>
        <v>0</v>
      </c>
      <c r="AR283" s="273"/>
      <c r="AS283" s="305">
        <f t="shared" si="106"/>
        <v>0</v>
      </c>
      <c r="AT283" s="273"/>
      <c r="AU283" s="305">
        <f t="shared" si="107"/>
        <v>0</v>
      </c>
    </row>
    <row r="284" spans="1:47" s="34" customFormat="1" hidden="1" x14ac:dyDescent="0.25">
      <c r="A284" s="87"/>
      <c r="B284" s="42"/>
      <c r="C284" s="41"/>
      <c r="D284" s="41"/>
      <c r="E284" s="40"/>
      <c r="F284" s="40"/>
      <c r="G284" s="40"/>
      <c r="H284" s="40"/>
      <c r="I284" s="160"/>
      <c r="J284" s="41"/>
      <c r="K284" s="41"/>
      <c r="L284" s="41"/>
      <c r="M284" s="41"/>
      <c r="N284" s="41"/>
      <c r="O284" s="41"/>
      <c r="P284" s="188"/>
      <c r="Q284" s="236"/>
      <c r="R284" s="280"/>
      <c r="S284" s="179">
        <f t="shared" si="95"/>
        <v>4859.3864915304011</v>
      </c>
      <c r="T284" s="259"/>
      <c r="U284" s="179">
        <f t="shared" si="108"/>
        <v>150</v>
      </c>
      <c r="V284" s="259"/>
      <c r="W284" s="179">
        <f t="shared" si="96"/>
        <v>0</v>
      </c>
      <c r="X284" s="259"/>
      <c r="Y284" s="179">
        <f t="shared" si="97"/>
        <v>1022.73</v>
      </c>
      <c r="Z284" s="259"/>
      <c r="AA284" s="179">
        <f t="shared" si="98"/>
        <v>40</v>
      </c>
      <c r="AB284" s="259"/>
      <c r="AC284" s="179">
        <f t="shared" si="99"/>
        <v>1394.266018065</v>
      </c>
      <c r="AD284" s="238">
        <f t="shared" si="94"/>
        <v>0</v>
      </c>
      <c r="AE284" s="179">
        <f t="shared" si="100"/>
        <v>2456.996018065</v>
      </c>
      <c r="AF284" s="264"/>
      <c r="AG284" s="179">
        <f t="shared" si="101"/>
        <v>1000</v>
      </c>
      <c r="AH284" s="268"/>
      <c r="AI284" s="179">
        <f t="shared" si="102"/>
        <v>0</v>
      </c>
      <c r="AJ284" s="268"/>
      <c r="AK284" s="179">
        <f t="shared" si="103"/>
        <v>22.73</v>
      </c>
      <c r="AL284" s="268"/>
      <c r="AM284" s="179">
        <f t="shared" si="104"/>
        <v>0</v>
      </c>
      <c r="AN284" s="268"/>
      <c r="AO284" s="179">
        <f t="shared" si="105"/>
        <v>0</v>
      </c>
      <c r="AP284" s="268"/>
      <c r="AQ284" s="179">
        <f t="shared" si="109"/>
        <v>0</v>
      </c>
      <c r="AR284" s="273"/>
      <c r="AS284" s="305">
        <f t="shared" si="106"/>
        <v>0</v>
      </c>
      <c r="AT284" s="273"/>
      <c r="AU284" s="305">
        <f t="shared" si="107"/>
        <v>0</v>
      </c>
    </row>
    <row r="285" spans="1:47" s="34" customFormat="1" hidden="1" x14ac:dyDescent="0.25">
      <c r="A285" s="87"/>
      <c r="B285" s="42"/>
      <c r="C285" s="41"/>
      <c r="D285" s="41"/>
      <c r="E285" s="40"/>
      <c r="F285" s="40"/>
      <c r="G285" s="40"/>
      <c r="H285" s="40"/>
      <c r="I285" s="160"/>
      <c r="J285" s="41"/>
      <c r="K285" s="41"/>
      <c r="L285" s="41"/>
      <c r="M285" s="41"/>
      <c r="N285" s="41"/>
      <c r="O285" s="41"/>
      <c r="P285" s="188"/>
      <c r="Q285" s="236"/>
      <c r="R285" s="280"/>
      <c r="S285" s="179">
        <f t="shared" si="95"/>
        <v>4859.3864915304011</v>
      </c>
      <c r="T285" s="259"/>
      <c r="U285" s="179">
        <f t="shared" si="108"/>
        <v>150</v>
      </c>
      <c r="V285" s="259"/>
      <c r="W285" s="179">
        <f t="shared" si="96"/>
        <v>0</v>
      </c>
      <c r="X285" s="259"/>
      <c r="Y285" s="179">
        <f t="shared" si="97"/>
        <v>1022.73</v>
      </c>
      <c r="Z285" s="259"/>
      <c r="AA285" s="179">
        <f t="shared" si="98"/>
        <v>40</v>
      </c>
      <c r="AB285" s="259"/>
      <c r="AC285" s="179">
        <f t="shared" si="99"/>
        <v>1394.266018065</v>
      </c>
      <c r="AD285" s="238">
        <f t="shared" si="94"/>
        <v>0</v>
      </c>
      <c r="AE285" s="179">
        <f t="shared" si="100"/>
        <v>2456.996018065</v>
      </c>
      <c r="AF285" s="264"/>
      <c r="AG285" s="179">
        <f t="shared" si="101"/>
        <v>1000</v>
      </c>
      <c r="AH285" s="268"/>
      <c r="AI285" s="179">
        <f t="shared" si="102"/>
        <v>0</v>
      </c>
      <c r="AJ285" s="268"/>
      <c r="AK285" s="179">
        <f t="shared" si="103"/>
        <v>22.73</v>
      </c>
      <c r="AL285" s="268"/>
      <c r="AM285" s="179">
        <f t="shared" si="104"/>
        <v>0</v>
      </c>
      <c r="AN285" s="268"/>
      <c r="AO285" s="179">
        <f t="shared" si="105"/>
        <v>0</v>
      </c>
      <c r="AP285" s="268"/>
      <c r="AQ285" s="179">
        <f t="shared" si="109"/>
        <v>0</v>
      </c>
      <c r="AR285" s="273"/>
      <c r="AS285" s="305">
        <f t="shared" si="106"/>
        <v>0</v>
      </c>
      <c r="AT285" s="273"/>
      <c r="AU285" s="305">
        <f t="shared" si="107"/>
        <v>0</v>
      </c>
    </row>
    <row r="286" spans="1:47" s="34" customFormat="1" hidden="1" x14ac:dyDescent="0.25">
      <c r="A286" s="87"/>
      <c r="B286" s="42"/>
      <c r="C286" s="41"/>
      <c r="D286" s="41"/>
      <c r="E286" s="40"/>
      <c r="F286" s="40"/>
      <c r="G286" s="40"/>
      <c r="H286" s="40"/>
      <c r="I286" s="160"/>
      <c r="J286" s="41"/>
      <c r="K286" s="41"/>
      <c r="L286" s="41"/>
      <c r="M286" s="41"/>
      <c r="N286" s="41"/>
      <c r="O286" s="41"/>
      <c r="P286" s="188"/>
      <c r="Q286" s="236"/>
      <c r="R286" s="280"/>
      <c r="S286" s="179">
        <f t="shared" si="95"/>
        <v>4859.3864915304011</v>
      </c>
      <c r="T286" s="259"/>
      <c r="U286" s="179">
        <f t="shared" si="108"/>
        <v>150</v>
      </c>
      <c r="V286" s="259"/>
      <c r="W286" s="179">
        <f t="shared" si="96"/>
        <v>0</v>
      </c>
      <c r="X286" s="259"/>
      <c r="Y286" s="179">
        <f t="shared" si="97"/>
        <v>1022.73</v>
      </c>
      <c r="Z286" s="259"/>
      <c r="AA286" s="179">
        <f t="shared" si="98"/>
        <v>40</v>
      </c>
      <c r="AB286" s="259"/>
      <c r="AC286" s="179">
        <f t="shared" si="99"/>
        <v>1394.266018065</v>
      </c>
      <c r="AD286" s="238">
        <f t="shared" si="94"/>
        <v>0</v>
      </c>
      <c r="AE286" s="179">
        <f t="shared" si="100"/>
        <v>2456.996018065</v>
      </c>
      <c r="AF286" s="264"/>
      <c r="AG286" s="179">
        <f t="shared" si="101"/>
        <v>1000</v>
      </c>
      <c r="AH286" s="268"/>
      <c r="AI286" s="179">
        <f t="shared" si="102"/>
        <v>0</v>
      </c>
      <c r="AJ286" s="268"/>
      <c r="AK286" s="179">
        <f t="shared" si="103"/>
        <v>22.73</v>
      </c>
      <c r="AL286" s="268"/>
      <c r="AM286" s="179">
        <f t="shared" si="104"/>
        <v>0</v>
      </c>
      <c r="AN286" s="268"/>
      <c r="AO286" s="179">
        <f t="shared" si="105"/>
        <v>0</v>
      </c>
      <c r="AP286" s="268"/>
      <c r="AQ286" s="179">
        <f t="shared" si="109"/>
        <v>0</v>
      </c>
      <c r="AR286" s="273"/>
      <c r="AS286" s="305">
        <f t="shared" si="106"/>
        <v>0</v>
      </c>
      <c r="AT286" s="273"/>
      <c r="AU286" s="305">
        <f t="shared" si="107"/>
        <v>0</v>
      </c>
    </row>
    <row r="287" spans="1:47" s="34" customFormat="1" hidden="1" x14ac:dyDescent="0.25">
      <c r="A287" s="87"/>
      <c r="B287" s="42"/>
      <c r="C287" s="41"/>
      <c r="D287" s="41"/>
      <c r="E287" s="40"/>
      <c r="F287" s="40"/>
      <c r="G287" s="40"/>
      <c r="H287" s="40"/>
      <c r="I287" s="160"/>
      <c r="J287" s="41"/>
      <c r="K287" s="41"/>
      <c r="L287" s="41"/>
      <c r="M287" s="41"/>
      <c r="N287" s="41"/>
      <c r="O287" s="41"/>
      <c r="P287" s="188"/>
      <c r="Q287" s="236"/>
      <c r="R287" s="280"/>
      <c r="S287" s="179">
        <f t="shared" si="95"/>
        <v>4859.3864915304011</v>
      </c>
      <c r="T287" s="259"/>
      <c r="U287" s="179">
        <f t="shared" si="108"/>
        <v>150</v>
      </c>
      <c r="V287" s="259"/>
      <c r="W287" s="179">
        <f t="shared" si="96"/>
        <v>0</v>
      </c>
      <c r="X287" s="259"/>
      <c r="Y287" s="179">
        <f t="shared" si="97"/>
        <v>1022.73</v>
      </c>
      <c r="Z287" s="259"/>
      <c r="AA287" s="179">
        <f t="shared" si="98"/>
        <v>40</v>
      </c>
      <c r="AB287" s="259"/>
      <c r="AC287" s="179">
        <f t="shared" si="99"/>
        <v>1394.266018065</v>
      </c>
      <c r="AD287" s="238">
        <f t="shared" si="94"/>
        <v>0</v>
      </c>
      <c r="AE287" s="179">
        <f t="shared" si="100"/>
        <v>2456.996018065</v>
      </c>
      <c r="AF287" s="264"/>
      <c r="AG287" s="179">
        <f t="shared" si="101"/>
        <v>1000</v>
      </c>
      <c r="AH287" s="268"/>
      <c r="AI287" s="179">
        <f t="shared" si="102"/>
        <v>0</v>
      </c>
      <c r="AJ287" s="268"/>
      <c r="AK287" s="179">
        <f t="shared" si="103"/>
        <v>22.73</v>
      </c>
      <c r="AL287" s="268"/>
      <c r="AM287" s="179">
        <f t="shared" si="104"/>
        <v>0</v>
      </c>
      <c r="AN287" s="268"/>
      <c r="AO287" s="179">
        <f t="shared" si="105"/>
        <v>0</v>
      </c>
      <c r="AP287" s="268"/>
      <c r="AQ287" s="179">
        <f t="shared" si="109"/>
        <v>0</v>
      </c>
      <c r="AR287" s="273"/>
      <c r="AS287" s="305">
        <f t="shared" si="106"/>
        <v>0</v>
      </c>
      <c r="AT287" s="273"/>
      <c r="AU287" s="305">
        <f t="shared" si="107"/>
        <v>0</v>
      </c>
    </row>
    <row r="288" spans="1:47" s="34" customFormat="1" hidden="1" x14ac:dyDescent="0.25">
      <c r="A288" s="87"/>
      <c r="B288" s="42"/>
      <c r="C288" s="41"/>
      <c r="D288" s="41"/>
      <c r="E288" s="40"/>
      <c r="F288" s="40"/>
      <c r="G288" s="40"/>
      <c r="H288" s="40"/>
      <c r="I288" s="160"/>
      <c r="J288" s="41"/>
      <c r="K288" s="41"/>
      <c r="L288" s="41"/>
      <c r="M288" s="41"/>
      <c r="N288" s="41"/>
      <c r="O288" s="41"/>
      <c r="P288" s="188"/>
      <c r="Q288" s="236"/>
      <c r="R288" s="280"/>
      <c r="S288" s="179">
        <f t="shared" si="95"/>
        <v>4859.3864915304011</v>
      </c>
      <c r="T288" s="259"/>
      <c r="U288" s="179">
        <f t="shared" si="108"/>
        <v>150</v>
      </c>
      <c r="V288" s="259"/>
      <c r="W288" s="179">
        <f t="shared" si="96"/>
        <v>0</v>
      </c>
      <c r="X288" s="259"/>
      <c r="Y288" s="179">
        <f t="shared" si="97"/>
        <v>1022.73</v>
      </c>
      <c r="Z288" s="259"/>
      <c r="AA288" s="179">
        <f t="shared" si="98"/>
        <v>40</v>
      </c>
      <c r="AB288" s="259"/>
      <c r="AC288" s="179">
        <f t="shared" si="99"/>
        <v>1394.266018065</v>
      </c>
      <c r="AD288" s="238">
        <f t="shared" si="94"/>
        <v>0</v>
      </c>
      <c r="AE288" s="179">
        <f t="shared" si="100"/>
        <v>2456.996018065</v>
      </c>
      <c r="AF288" s="264"/>
      <c r="AG288" s="179">
        <f t="shared" si="101"/>
        <v>1000</v>
      </c>
      <c r="AH288" s="268"/>
      <c r="AI288" s="179">
        <f t="shared" si="102"/>
        <v>0</v>
      </c>
      <c r="AJ288" s="268"/>
      <c r="AK288" s="179">
        <f t="shared" si="103"/>
        <v>22.73</v>
      </c>
      <c r="AL288" s="268"/>
      <c r="AM288" s="179">
        <f t="shared" si="104"/>
        <v>0</v>
      </c>
      <c r="AN288" s="268"/>
      <c r="AO288" s="179">
        <f t="shared" si="105"/>
        <v>0</v>
      </c>
      <c r="AP288" s="268"/>
      <c r="AQ288" s="179">
        <f t="shared" si="109"/>
        <v>0</v>
      </c>
      <c r="AR288" s="273"/>
      <c r="AS288" s="305">
        <f t="shared" si="106"/>
        <v>0</v>
      </c>
      <c r="AT288" s="273"/>
      <c r="AU288" s="305">
        <f t="shared" si="107"/>
        <v>0</v>
      </c>
    </row>
    <row r="289" spans="1:47" s="34" customFormat="1" hidden="1" x14ac:dyDescent="0.25">
      <c r="A289" s="87"/>
      <c r="B289" s="42"/>
      <c r="C289" s="41"/>
      <c r="D289" s="41"/>
      <c r="E289" s="40"/>
      <c r="F289" s="40"/>
      <c r="G289" s="40"/>
      <c r="H289" s="40"/>
      <c r="I289" s="160"/>
      <c r="J289" s="41"/>
      <c r="K289" s="41"/>
      <c r="L289" s="41"/>
      <c r="M289" s="41"/>
      <c r="N289" s="41"/>
      <c r="O289" s="41"/>
      <c r="P289" s="188"/>
      <c r="Q289" s="236"/>
      <c r="R289" s="280"/>
      <c r="S289" s="179">
        <f t="shared" si="95"/>
        <v>4859.3864915304011</v>
      </c>
      <c r="T289" s="259"/>
      <c r="U289" s="179">
        <f t="shared" si="108"/>
        <v>150</v>
      </c>
      <c r="V289" s="259"/>
      <c r="W289" s="179">
        <f t="shared" si="96"/>
        <v>0</v>
      </c>
      <c r="X289" s="259"/>
      <c r="Y289" s="179">
        <f t="shared" si="97"/>
        <v>1022.73</v>
      </c>
      <c r="Z289" s="259"/>
      <c r="AA289" s="179">
        <f t="shared" si="98"/>
        <v>40</v>
      </c>
      <c r="AB289" s="259"/>
      <c r="AC289" s="179">
        <f t="shared" si="99"/>
        <v>1394.266018065</v>
      </c>
      <c r="AD289" s="238">
        <f t="shared" si="94"/>
        <v>0</v>
      </c>
      <c r="AE289" s="179">
        <f t="shared" si="100"/>
        <v>2456.996018065</v>
      </c>
      <c r="AF289" s="264"/>
      <c r="AG289" s="179">
        <f t="shared" si="101"/>
        <v>1000</v>
      </c>
      <c r="AH289" s="268"/>
      <c r="AI289" s="179">
        <f t="shared" si="102"/>
        <v>0</v>
      </c>
      <c r="AJ289" s="268"/>
      <c r="AK289" s="179">
        <f t="shared" si="103"/>
        <v>22.73</v>
      </c>
      <c r="AL289" s="268"/>
      <c r="AM289" s="179">
        <f t="shared" si="104"/>
        <v>0</v>
      </c>
      <c r="AN289" s="268"/>
      <c r="AO289" s="179">
        <f t="shared" si="105"/>
        <v>0</v>
      </c>
      <c r="AP289" s="268"/>
      <c r="AQ289" s="179">
        <f t="shared" si="109"/>
        <v>0</v>
      </c>
      <c r="AR289" s="273"/>
      <c r="AS289" s="305">
        <f t="shared" si="106"/>
        <v>0</v>
      </c>
      <c r="AT289" s="273"/>
      <c r="AU289" s="305">
        <f t="shared" si="107"/>
        <v>0</v>
      </c>
    </row>
    <row r="290" spans="1:47" s="34" customFormat="1" hidden="1" x14ac:dyDescent="0.25">
      <c r="A290" s="87"/>
      <c r="B290" s="42"/>
      <c r="C290" s="41"/>
      <c r="D290" s="41"/>
      <c r="E290" s="40"/>
      <c r="F290" s="40"/>
      <c r="G290" s="40"/>
      <c r="H290" s="40"/>
      <c r="I290" s="160"/>
      <c r="J290" s="41"/>
      <c r="K290" s="41"/>
      <c r="L290" s="41"/>
      <c r="M290" s="41"/>
      <c r="N290" s="41"/>
      <c r="O290" s="41"/>
      <c r="P290" s="188"/>
      <c r="Q290" s="236"/>
      <c r="R290" s="280"/>
      <c r="S290" s="179">
        <f t="shared" si="95"/>
        <v>4859.3864915304011</v>
      </c>
      <c r="T290" s="259"/>
      <c r="U290" s="179">
        <f t="shared" si="108"/>
        <v>150</v>
      </c>
      <c r="V290" s="259"/>
      <c r="W290" s="179">
        <f t="shared" si="96"/>
        <v>0</v>
      </c>
      <c r="X290" s="259"/>
      <c r="Y290" s="179">
        <f t="shared" si="97"/>
        <v>1022.73</v>
      </c>
      <c r="Z290" s="259"/>
      <c r="AA290" s="179">
        <f t="shared" si="98"/>
        <v>40</v>
      </c>
      <c r="AB290" s="259"/>
      <c r="AC290" s="179">
        <f t="shared" si="99"/>
        <v>1394.266018065</v>
      </c>
      <c r="AD290" s="238">
        <f t="shared" si="94"/>
        <v>0</v>
      </c>
      <c r="AE290" s="179">
        <f t="shared" si="100"/>
        <v>2456.996018065</v>
      </c>
      <c r="AF290" s="264"/>
      <c r="AG290" s="179">
        <f t="shared" si="101"/>
        <v>1000</v>
      </c>
      <c r="AH290" s="268"/>
      <c r="AI290" s="179">
        <f t="shared" si="102"/>
        <v>0</v>
      </c>
      <c r="AJ290" s="268"/>
      <c r="AK290" s="179">
        <f t="shared" si="103"/>
        <v>22.73</v>
      </c>
      <c r="AL290" s="268"/>
      <c r="AM290" s="179">
        <f t="shared" si="104"/>
        <v>0</v>
      </c>
      <c r="AN290" s="268"/>
      <c r="AO290" s="179">
        <f t="shared" si="105"/>
        <v>0</v>
      </c>
      <c r="AP290" s="268"/>
      <c r="AQ290" s="179">
        <f t="shared" si="109"/>
        <v>0</v>
      </c>
      <c r="AR290" s="273"/>
      <c r="AS290" s="305">
        <f t="shared" si="106"/>
        <v>0</v>
      </c>
      <c r="AT290" s="273"/>
      <c r="AU290" s="305">
        <f t="shared" si="107"/>
        <v>0</v>
      </c>
    </row>
    <row r="291" spans="1:47" s="34" customFormat="1" hidden="1" x14ac:dyDescent="0.25">
      <c r="A291" s="87"/>
      <c r="B291" s="42"/>
      <c r="C291" s="41"/>
      <c r="D291" s="41"/>
      <c r="E291" s="40"/>
      <c r="F291" s="40"/>
      <c r="G291" s="40"/>
      <c r="H291" s="40"/>
      <c r="I291" s="160"/>
      <c r="J291" s="41"/>
      <c r="K291" s="41"/>
      <c r="L291" s="41"/>
      <c r="M291" s="41"/>
      <c r="N291" s="41"/>
      <c r="O291" s="41"/>
      <c r="P291" s="188"/>
      <c r="Q291" s="236"/>
      <c r="R291" s="280"/>
      <c r="S291" s="179">
        <f t="shared" si="95"/>
        <v>4859.3864915304011</v>
      </c>
      <c r="T291" s="259"/>
      <c r="U291" s="179">
        <f t="shared" si="108"/>
        <v>150</v>
      </c>
      <c r="V291" s="259"/>
      <c r="W291" s="179">
        <f t="shared" si="96"/>
        <v>0</v>
      </c>
      <c r="X291" s="259"/>
      <c r="Y291" s="179">
        <f t="shared" si="97"/>
        <v>1022.73</v>
      </c>
      <c r="Z291" s="259"/>
      <c r="AA291" s="179">
        <f t="shared" si="98"/>
        <v>40</v>
      </c>
      <c r="AB291" s="259"/>
      <c r="AC291" s="179">
        <f t="shared" si="99"/>
        <v>1394.266018065</v>
      </c>
      <c r="AD291" s="238">
        <f t="shared" si="94"/>
        <v>0</v>
      </c>
      <c r="AE291" s="179">
        <f t="shared" si="100"/>
        <v>2456.996018065</v>
      </c>
      <c r="AF291" s="264"/>
      <c r="AG291" s="179">
        <f t="shared" si="101"/>
        <v>1000</v>
      </c>
      <c r="AH291" s="268"/>
      <c r="AI291" s="179">
        <f t="shared" si="102"/>
        <v>0</v>
      </c>
      <c r="AJ291" s="268"/>
      <c r="AK291" s="179">
        <f t="shared" si="103"/>
        <v>22.73</v>
      </c>
      <c r="AL291" s="268"/>
      <c r="AM291" s="179">
        <f t="shared" si="104"/>
        <v>0</v>
      </c>
      <c r="AN291" s="268"/>
      <c r="AO291" s="179">
        <f t="shared" si="105"/>
        <v>0</v>
      </c>
      <c r="AP291" s="268"/>
      <c r="AQ291" s="179">
        <f t="shared" si="109"/>
        <v>0</v>
      </c>
      <c r="AR291" s="273"/>
      <c r="AS291" s="305">
        <f t="shared" si="106"/>
        <v>0</v>
      </c>
      <c r="AT291" s="273"/>
      <c r="AU291" s="305">
        <f t="shared" si="107"/>
        <v>0</v>
      </c>
    </row>
    <row r="292" spans="1:47" s="34" customFormat="1" hidden="1" x14ac:dyDescent="0.25">
      <c r="A292" s="87"/>
      <c r="B292" s="42"/>
      <c r="C292" s="41"/>
      <c r="D292" s="41"/>
      <c r="E292" s="40"/>
      <c r="F292" s="40"/>
      <c r="G292" s="40"/>
      <c r="H292" s="40"/>
      <c r="I292" s="160"/>
      <c r="J292" s="41"/>
      <c r="K292" s="41"/>
      <c r="L292" s="41"/>
      <c r="M292" s="41"/>
      <c r="N292" s="41"/>
      <c r="O292" s="41"/>
      <c r="P292" s="188"/>
      <c r="Q292" s="236"/>
      <c r="R292" s="280"/>
      <c r="S292" s="179">
        <f t="shared" si="95"/>
        <v>4859.3864915304011</v>
      </c>
      <c r="T292" s="259"/>
      <c r="U292" s="179">
        <f t="shared" si="108"/>
        <v>150</v>
      </c>
      <c r="V292" s="259"/>
      <c r="W292" s="179">
        <f t="shared" si="96"/>
        <v>0</v>
      </c>
      <c r="X292" s="259"/>
      <c r="Y292" s="179">
        <f t="shared" si="97"/>
        <v>1022.73</v>
      </c>
      <c r="Z292" s="259"/>
      <c r="AA292" s="179">
        <f t="shared" si="98"/>
        <v>40</v>
      </c>
      <c r="AB292" s="259"/>
      <c r="AC292" s="179">
        <f t="shared" si="99"/>
        <v>1394.266018065</v>
      </c>
      <c r="AD292" s="238">
        <f t="shared" si="94"/>
        <v>0</v>
      </c>
      <c r="AE292" s="179">
        <f t="shared" si="100"/>
        <v>2456.996018065</v>
      </c>
      <c r="AF292" s="264"/>
      <c r="AG292" s="179">
        <f t="shared" si="101"/>
        <v>1000</v>
      </c>
      <c r="AH292" s="268"/>
      <c r="AI292" s="179">
        <f t="shared" si="102"/>
        <v>0</v>
      </c>
      <c r="AJ292" s="268"/>
      <c r="AK292" s="179">
        <f t="shared" si="103"/>
        <v>22.73</v>
      </c>
      <c r="AL292" s="268"/>
      <c r="AM292" s="179">
        <f t="shared" si="104"/>
        <v>0</v>
      </c>
      <c r="AN292" s="268"/>
      <c r="AO292" s="179">
        <f t="shared" si="105"/>
        <v>0</v>
      </c>
      <c r="AP292" s="268"/>
      <c r="AQ292" s="179">
        <f t="shared" si="109"/>
        <v>0</v>
      </c>
      <c r="AR292" s="273"/>
      <c r="AS292" s="305">
        <f t="shared" si="106"/>
        <v>0</v>
      </c>
      <c r="AT292" s="273"/>
      <c r="AU292" s="305">
        <f t="shared" si="107"/>
        <v>0</v>
      </c>
    </row>
    <row r="293" spans="1:47" s="34" customFormat="1" hidden="1" x14ac:dyDescent="0.25">
      <c r="A293" s="87"/>
      <c r="B293" s="42"/>
      <c r="C293" s="41"/>
      <c r="D293" s="41"/>
      <c r="E293" s="40"/>
      <c r="F293" s="40"/>
      <c r="G293" s="40"/>
      <c r="H293" s="40"/>
      <c r="I293" s="160"/>
      <c r="J293" s="41"/>
      <c r="K293" s="41"/>
      <c r="L293" s="41"/>
      <c r="M293" s="41"/>
      <c r="N293" s="41"/>
      <c r="O293" s="41"/>
      <c r="P293" s="188"/>
      <c r="Q293" s="236"/>
      <c r="R293" s="280"/>
      <c r="S293" s="179">
        <f t="shared" si="95"/>
        <v>4859.3864915304011</v>
      </c>
      <c r="T293" s="259"/>
      <c r="U293" s="179">
        <f t="shared" si="108"/>
        <v>150</v>
      </c>
      <c r="V293" s="259"/>
      <c r="W293" s="179">
        <f t="shared" si="96"/>
        <v>0</v>
      </c>
      <c r="X293" s="259"/>
      <c r="Y293" s="179">
        <f t="shared" si="97"/>
        <v>1022.73</v>
      </c>
      <c r="Z293" s="259"/>
      <c r="AA293" s="179">
        <f t="shared" si="98"/>
        <v>40</v>
      </c>
      <c r="AB293" s="259"/>
      <c r="AC293" s="179">
        <f t="shared" si="99"/>
        <v>1394.266018065</v>
      </c>
      <c r="AD293" s="238">
        <f t="shared" si="94"/>
        <v>0</v>
      </c>
      <c r="AE293" s="179">
        <f t="shared" si="100"/>
        <v>2456.996018065</v>
      </c>
      <c r="AF293" s="264"/>
      <c r="AG293" s="179">
        <f t="shared" si="101"/>
        <v>1000</v>
      </c>
      <c r="AH293" s="268"/>
      <c r="AI293" s="179">
        <f t="shared" si="102"/>
        <v>0</v>
      </c>
      <c r="AJ293" s="268"/>
      <c r="AK293" s="179">
        <f t="shared" si="103"/>
        <v>22.73</v>
      </c>
      <c r="AL293" s="268"/>
      <c r="AM293" s="179">
        <f t="shared" si="104"/>
        <v>0</v>
      </c>
      <c r="AN293" s="268"/>
      <c r="AO293" s="179">
        <f t="shared" si="105"/>
        <v>0</v>
      </c>
      <c r="AP293" s="268"/>
      <c r="AQ293" s="179">
        <f t="shared" si="109"/>
        <v>0</v>
      </c>
      <c r="AR293" s="273"/>
      <c r="AS293" s="305">
        <f t="shared" si="106"/>
        <v>0</v>
      </c>
      <c r="AT293" s="273"/>
      <c r="AU293" s="305">
        <f t="shared" si="107"/>
        <v>0</v>
      </c>
    </row>
    <row r="294" spans="1:47" s="34" customFormat="1" hidden="1" x14ac:dyDescent="0.25">
      <c r="A294" s="87"/>
      <c r="B294" s="42"/>
      <c r="C294" s="41"/>
      <c r="D294" s="41"/>
      <c r="E294" s="40"/>
      <c r="F294" s="40"/>
      <c r="G294" s="40"/>
      <c r="H294" s="40"/>
      <c r="I294" s="160"/>
      <c r="J294" s="41"/>
      <c r="K294" s="41"/>
      <c r="L294" s="41"/>
      <c r="M294" s="41"/>
      <c r="N294" s="41"/>
      <c r="O294" s="41"/>
      <c r="P294" s="188"/>
      <c r="Q294" s="236"/>
      <c r="R294" s="280"/>
      <c r="S294" s="179">
        <f t="shared" si="95"/>
        <v>4859.3864915304011</v>
      </c>
      <c r="T294" s="259"/>
      <c r="U294" s="179">
        <f t="shared" si="108"/>
        <v>150</v>
      </c>
      <c r="V294" s="259"/>
      <c r="W294" s="179">
        <f t="shared" si="96"/>
        <v>0</v>
      </c>
      <c r="X294" s="259"/>
      <c r="Y294" s="179">
        <f t="shared" si="97"/>
        <v>1022.73</v>
      </c>
      <c r="Z294" s="259"/>
      <c r="AA294" s="179">
        <f t="shared" si="98"/>
        <v>40</v>
      </c>
      <c r="AB294" s="259"/>
      <c r="AC294" s="179">
        <f t="shared" si="99"/>
        <v>1394.266018065</v>
      </c>
      <c r="AD294" s="238">
        <f t="shared" si="94"/>
        <v>0</v>
      </c>
      <c r="AE294" s="179">
        <f t="shared" si="100"/>
        <v>2456.996018065</v>
      </c>
      <c r="AF294" s="264"/>
      <c r="AG294" s="179">
        <f t="shared" si="101"/>
        <v>1000</v>
      </c>
      <c r="AH294" s="268"/>
      <c r="AI294" s="179">
        <f t="shared" si="102"/>
        <v>0</v>
      </c>
      <c r="AJ294" s="268"/>
      <c r="AK294" s="179">
        <f t="shared" si="103"/>
        <v>22.73</v>
      </c>
      <c r="AL294" s="268"/>
      <c r="AM294" s="179">
        <f t="shared" si="104"/>
        <v>0</v>
      </c>
      <c r="AN294" s="268"/>
      <c r="AO294" s="179">
        <f t="shared" si="105"/>
        <v>0</v>
      </c>
      <c r="AP294" s="268"/>
      <c r="AQ294" s="179">
        <f t="shared" si="109"/>
        <v>0</v>
      </c>
      <c r="AR294" s="273"/>
      <c r="AS294" s="305">
        <f t="shared" si="106"/>
        <v>0</v>
      </c>
      <c r="AT294" s="273"/>
      <c r="AU294" s="305">
        <f t="shared" si="107"/>
        <v>0</v>
      </c>
    </row>
    <row r="295" spans="1:47" s="34" customFormat="1" hidden="1" x14ac:dyDescent="0.25">
      <c r="A295" s="87"/>
      <c r="B295" s="42"/>
      <c r="C295" s="41"/>
      <c r="D295" s="41"/>
      <c r="E295" s="40"/>
      <c r="F295" s="40"/>
      <c r="G295" s="40"/>
      <c r="H295" s="40"/>
      <c r="I295" s="160"/>
      <c r="J295" s="41"/>
      <c r="K295" s="41"/>
      <c r="L295" s="41"/>
      <c r="M295" s="41"/>
      <c r="N295" s="41"/>
      <c r="O295" s="41"/>
      <c r="P295" s="188"/>
      <c r="Q295" s="236"/>
      <c r="R295" s="280"/>
      <c r="S295" s="179">
        <f t="shared" si="95"/>
        <v>4859.3864915304011</v>
      </c>
      <c r="T295" s="259"/>
      <c r="U295" s="179">
        <f t="shared" si="108"/>
        <v>150</v>
      </c>
      <c r="V295" s="259"/>
      <c r="W295" s="179">
        <f t="shared" si="96"/>
        <v>0</v>
      </c>
      <c r="X295" s="259"/>
      <c r="Y295" s="179">
        <f t="shared" si="97"/>
        <v>1022.73</v>
      </c>
      <c r="Z295" s="259"/>
      <c r="AA295" s="179">
        <f t="shared" si="98"/>
        <v>40</v>
      </c>
      <c r="AB295" s="259"/>
      <c r="AC295" s="179">
        <f t="shared" si="99"/>
        <v>1394.266018065</v>
      </c>
      <c r="AD295" s="238">
        <f t="shared" si="94"/>
        <v>0</v>
      </c>
      <c r="AE295" s="179">
        <f t="shared" si="100"/>
        <v>2456.996018065</v>
      </c>
      <c r="AF295" s="264"/>
      <c r="AG295" s="179">
        <f t="shared" si="101"/>
        <v>1000</v>
      </c>
      <c r="AH295" s="268"/>
      <c r="AI295" s="179">
        <f t="shared" si="102"/>
        <v>0</v>
      </c>
      <c r="AJ295" s="268"/>
      <c r="AK295" s="179">
        <f t="shared" si="103"/>
        <v>22.73</v>
      </c>
      <c r="AL295" s="268"/>
      <c r="AM295" s="179">
        <f t="shared" si="104"/>
        <v>0</v>
      </c>
      <c r="AN295" s="268"/>
      <c r="AO295" s="179">
        <f t="shared" si="105"/>
        <v>0</v>
      </c>
      <c r="AP295" s="268"/>
      <c r="AQ295" s="179">
        <f t="shared" si="109"/>
        <v>0</v>
      </c>
      <c r="AR295" s="273"/>
      <c r="AS295" s="305">
        <f t="shared" si="106"/>
        <v>0</v>
      </c>
      <c r="AT295" s="273"/>
      <c r="AU295" s="305">
        <f t="shared" si="107"/>
        <v>0</v>
      </c>
    </row>
    <row r="296" spans="1:47" s="34" customFormat="1" hidden="1" x14ac:dyDescent="0.25">
      <c r="A296" s="87"/>
      <c r="B296" s="42"/>
      <c r="C296" s="41"/>
      <c r="D296" s="41"/>
      <c r="E296" s="40"/>
      <c r="F296" s="40"/>
      <c r="G296" s="40"/>
      <c r="H296" s="40"/>
      <c r="I296" s="160"/>
      <c r="J296" s="41"/>
      <c r="K296" s="41"/>
      <c r="L296" s="41"/>
      <c r="M296" s="41"/>
      <c r="N296" s="41"/>
      <c r="O296" s="41"/>
      <c r="P296" s="188"/>
      <c r="Q296" s="236"/>
      <c r="R296" s="280"/>
      <c r="S296" s="179">
        <f t="shared" si="95"/>
        <v>4859.3864915304011</v>
      </c>
      <c r="T296" s="259"/>
      <c r="U296" s="179">
        <f t="shared" si="108"/>
        <v>150</v>
      </c>
      <c r="V296" s="259"/>
      <c r="W296" s="179">
        <f t="shared" si="96"/>
        <v>0</v>
      </c>
      <c r="X296" s="259"/>
      <c r="Y296" s="179">
        <f t="shared" si="97"/>
        <v>1022.73</v>
      </c>
      <c r="Z296" s="259"/>
      <c r="AA296" s="179">
        <f t="shared" si="98"/>
        <v>40</v>
      </c>
      <c r="AB296" s="259"/>
      <c r="AC296" s="179">
        <f t="shared" si="99"/>
        <v>1394.266018065</v>
      </c>
      <c r="AD296" s="238">
        <f t="shared" si="94"/>
        <v>0</v>
      </c>
      <c r="AE296" s="179">
        <f t="shared" si="100"/>
        <v>2456.996018065</v>
      </c>
      <c r="AF296" s="264"/>
      <c r="AG296" s="179">
        <f t="shared" si="101"/>
        <v>1000</v>
      </c>
      <c r="AH296" s="268"/>
      <c r="AI296" s="179">
        <f t="shared" si="102"/>
        <v>0</v>
      </c>
      <c r="AJ296" s="268"/>
      <c r="AK296" s="179">
        <f t="shared" si="103"/>
        <v>22.73</v>
      </c>
      <c r="AL296" s="268"/>
      <c r="AM296" s="179">
        <f t="shared" si="104"/>
        <v>0</v>
      </c>
      <c r="AN296" s="268"/>
      <c r="AO296" s="179">
        <f t="shared" si="105"/>
        <v>0</v>
      </c>
      <c r="AP296" s="268"/>
      <c r="AQ296" s="179">
        <f t="shared" si="109"/>
        <v>0</v>
      </c>
      <c r="AR296" s="273"/>
      <c r="AS296" s="305">
        <f t="shared" si="106"/>
        <v>0</v>
      </c>
      <c r="AT296" s="273"/>
      <c r="AU296" s="305">
        <f t="shared" si="107"/>
        <v>0</v>
      </c>
    </row>
    <row r="297" spans="1:47" s="34" customFormat="1" hidden="1" x14ac:dyDescent="0.25">
      <c r="A297" s="87"/>
      <c r="B297" s="42"/>
      <c r="C297" s="41"/>
      <c r="D297" s="41"/>
      <c r="E297" s="40"/>
      <c r="F297" s="40"/>
      <c r="G297" s="40"/>
      <c r="H297" s="40"/>
      <c r="I297" s="160"/>
      <c r="J297" s="41"/>
      <c r="K297" s="41"/>
      <c r="L297" s="41"/>
      <c r="M297" s="41"/>
      <c r="N297" s="41"/>
      <c r="O297" s="41"/>
      <c r="P297" s="188"/>
      <c r="Q297" s="236"/>
      <c r="R297" s="280"/>
      <c r="S297" s="179">
        <f t="shared" si="95"/>
        <v>4859.3864915304011</v>
      </c>
      <c r="T297" s="259"/>
      <c r="U297" s="179">
        <f t="shared" si="108"/>
        <v>150</v>
      </c>
      <c r="V297" s="259"/>
      <c r="W297" s="179">
        <f t="shared" si="96"/>
        <v>0</v>
      </c>
      <c r="X297" s="259"/>
      <c r="Y297" s="179">
        <f t="shared" si="97"/>
        <v>1022.73</v>
      </c>
      <c r="Z297" s="259"/>
      <c r="AA297" s="179">
        <f t="shared" si="98"/>
        <v>40</v>
      </c>
      <c r="AB297" s="259"/>
      <c r="AC297" s="179">
        <f t="shared" si="99"/>
        <v>1394.266018065</v>
      </c>
      <c r="AD297" s="238">
        <f t="shared" si="94"/>
        <v>0</v>
      </c>
      <c r="AE297" s="179">
        <f t="shared" si="100"/>
        <v>2456.996018065</v>
      </c>
      <c r="AF297" s="264"/>
      <c r="AG297" s="179">
        <f t="shared" si="101"/>
        <v>1000</v>
      </c>
      <c r="AH297" s="268"/>
      <c r="AI297" s="179">
        <f t="shared" si="102"/>
        <v>0</v>
      </c>
      <c r="AJ297" s="268"/>
      <c r="AK297" s="179">
        <f t="shared" si="103"/>
        <v>22.73</v>
      </c>
      <c r="AL297" s="268"/>
      <c r="AM297" s="179">
        <f t="shared" si="104"/>
        <v>0</v>
      </c>
      <c r="AN297" s="268"/>
      <c r="AO297" s="179">
        <f t="shared" si="105"/>
        <v>0</v>
      </c>
      <c r="AP297" s="268"/>
      <c r="AQ297" s="179">
        <f t="shared" si="109"/>
        <v>0</v>
      </c>
      <c r="AR297" s="273"/>
      <c r="AS297" s="305">
        <f t="shared" si="106"/>
        <v>0</v>
      </c>
      <c r="AT297" s="273"/>
      <c r="AU297" s="305">
        <f t="shared" si="107"/>
        <v>0</v>
      </c>
    </row>
    <row r="298" spans="1:47" s="34" customFormat="1" hidden="1" x14ac:dyDescent="0.25">
      <c r="A298" s="87"/>
      <c r="B298" s="42"/>
      <c r="C298" s="41"/>
      <c r="D298" s="41"/>
      <c r="E298" s="40"/>
      <c r="F298" s="40"/>
      <c r="G298" s="40"/>
      <c r="H298" s="40"/>
      <c r="I298" s="160"/>
      <c r="J298" s="41"/>
      <c r="K298" s="41"/>
      <c r="L298" s="41"/>
      <c r="M298" s="41"/>
      <c r="N298" s="41"/>
      <c r="O298" s="41"/>
      <c r="P298" s="188"/>
      <c r="Q298" s="236"/>
      <c r="R298" s="280"/>
      <c r="S298" s="179">
        <f t="shared" si="95"/>
        <v>4859.3864915304011</v>
      </c>
      <c r="T298" s="259"/>
      <c r="U298" s="179">
        <f t="shared" si="108"/>
        <v>150</v>
      </c>
      <c r="V298" s="259"/>
      <c r="W298" s="179">
        <f t="shared" si="96"/>
        <v>0</v>
      </c>
      <c r="X298" s="259"/>
      <c r="Y298" s="179">
        <f t="shared" si="97"/>
        <v>1022.73</v>
      </c>
      <c r="Z298" s="259"/>
      <c r="AA298" s="179">
        <f t="shared" si="98"/>
        <v>40</v>
      </c>
      <c r="AB298" s="259"/>
      <c r="AC298" s="179">
        <f t="shared" si="99"/>
        <v>1394.266018065</v>
      </c>
      <c r="AD298" s="238">
        <f t="shared" si="94"/>
        <v>0</v>
      </c>
      <c r="AE298" s="179">
        <f t="shared" si="100"/>
        <v>2456.996018065</v>
      </c>
      <c r="AF298" s="264"/>
      <c r="AG298" s="179">
        <f t="shared" si="101"/>
        <v>1000</v>
      </c>
      <c r="AH298" s="268"/>
      <c r="AI298" s="179">
        <f t="shared" si="102"/>
        <v>0</v>
      </c>
      <c r="AJ298" s="268"/>
      <c r="AK298" s="179">
        <f t="shared" si="103"/>
        <v>22.73</v>
      </c>
      <c r="AL298" s="268"/>
      <c r="AM298" s="179">
        <f t="shared" si="104"/>
        <v>0</v>
      </c>
      <c r="AN298" s="268"/>
      <c r="AO298" s="179">
        <f t="shared" si="105"/>
        <v>0</v>
      </c>
      <c r="AP298" s="268"/>
      <c r="AQ298" s="179">
        <f t="shared" si="109"/>
        <v>0</v>
      </c>
      <c r="AR298" s="273"/>
      <c r="AS298" s="305">
        <f t="shared" si="106"/>
        <v>0</v>
      </c>
      <c r="AT298" s="273"/>
      <c r="AU298" s="305">
        <f t="shared" si="107"/>
        <v>0</v>
      </c>
    </row>
    <row r="299" spans="1:47" s="34" customFormat="1" hidden="1" x14ac:dyDescent="0.25">
      <c r="A299" s="87"/>
      <c r="B299" s="42"/>
      <c r="C299" s="41"/>
      <c r="D299" s="41"/>
      <c r="E299" s="40"/>
      <c r="F299" s="40"/>
      <c r="G299" s="40"/>
      <c r="H299" s="40"/>
      <c r="I299" s="160"/>
      <c r="J299" s="41"/>
      <c r="K299" s="41"/>
      <c r="L299" s="41"/>
      <c r="M299" s="41"/>
      <c r="N299" s="41"/>
      <c r="O299" s="41"/>
      <c r="P299" s="188"/>
      <c r="Q299" s="236"/>
      <c r="R299" s="280"/>
      <c r="S299" s="179">
        <f t="shared" si="95"/>
        <v>4859.3864915304011</v>
      </c>
      <c r="T299" s="259"/>
      <c r="U299" s="179">
        <f t="shared" si="108"/>
        <v>150</v>
      </c>
      <c r="V299" s="259"/>
      <c r="W299" s="179">
        <f t="shared" si="96"/>
        <v>0</v>
      </c>
      <c r="X299" s="259"/>
      <c r="Y299" s="179">
        <f t="shared" si="97"/>
        <v>1022.73</v>
      </c>
      <c r="Z299" s="259"/>
      <c r="AA299" s="179">
        <f t="shared" si="98"/>
        <v>40</v>
      </c>
      <c r="AB299" s="259"/>
      <c r="AC299" s="179">
        <f t="shared" si="99"/>
        <v>1394.266018065</v>
      </c>
      <c r="AD299" s="238">
        <f t="shared" si="94"/>
        <v>0</v>
      </c>
      <c r="AE299" s="179">
        <f t="shared" si="100"/>
        <v>2456.996018065</v>
      </c>
      <c r="AF299" s="264"/>
      <c r="AG299" s="179">
        <f t="shared" si="101"/>
        <v>1000</v>
      </c>
      <c r="AH299" s="268"/>
      <c r="AI299" s="179">
        <f t="shared" si="102"/>
        <v>0</v>
      </c>
      <c r="AJ299" s="268"/>
      <c r="AK299" s="179">
        <f t="shared" si="103"/>
        <v>22.73</v>
      </c>
      <c r="AL299" s="268"/>
      <c r="AM299" s="179">
        <f t="shared" si="104"/>
        <v>0</v>
      </c>
      <c r="AN299" s="268"/>
      <c r="AO299" s="179">
        <f t="shared" si="105"/>
        <v>0</v>
      </c>
      <c r="AP299" s="268"/>
      <c r="AQ299" s="179">
        <f t="shared" si="109"/>
        <v>0</v>
      </c>
      <c r="AR299" s="273"/>
      <c r="AS299" s="305">
        <f t="shared" si="106"/>
        <v>0</v>
      </c>
      <c r="AT299" s="273"/>
      <c r="AU299" s="305">
        <f t="shared" si="107"/>
        <v>0</v>
      </c>
    </row>
    <row r="300" spans="1:47" s="34" customFormat="1" hidden="1" x14ac:dyDescent="0.25">
      <c r="A300" s="87"/>
      <c r="B300" s="42"/>
      <c r="C300" s="41"/>
      <c r="D300" s="41"/>
      <c r="E300" s="40"/>
      <c r="F300" s="40"/>
      <c r="G300" s="40"/>
      <c r="H300" s="40"/>
      <c r="I300" s="160"/>
      <c r="J300" s="41"/>
      <c r="K300" s="41"/>
      <c r="L300" s="41"/>
      <c r="M300" s="41"/>
      <c r="N300" s="41"/>
      <c r="O300" s="41"/>
      <c r="P300" s="188"/>
      <c r="Q300" s="236"/>
      <c r="R300" s="280"/>
      <c r="S300" s="179">
        <f t="shared" si="95"/>
        <v>4859.3864915304011</v>
      </c>
      <c r="T300" s="259"/>
      <c r="U300" s="179">
        <f t="shared" si="108"/>
        <v>150</v>
      </c>
      <c r="V300" s="259"/>
      <c r="W300" s="179">
        <f t="shared" si="96"/>
        <v>0</v>
      </c>
      <c r="X300" s="259"/>
      <c r="Y300" s="179">
        <f t="shared" si="97"/>
        <v>1022.73</v>
      </c>
      <c r="Z300" s="259"/>
      <c r="AA300" s="179">
        <f t="shared" si="98"/>
        <v>40</v>
      </c>
      <c r="AB300" s="259"/>
      <c r="AC300" s="179">
        <f t="shared" si="99"/>
        <v>1394.266018065</v>
      </c>
      <c r="AD300" s="238">
        <f t="shared" si="94"/>
        <v>0</v>
      </c>
      <c r="AE300" s="179">
        <f t="shared" si="100"/>
        <v>2456.996018065</v>
      </c>
      <c r="AF300" s="264"/>
      <c r="AG300" s="179">
        <f t="shared" si="101"/>
        <v>1000</v>
      </c>
      <c r="AH300" s="268"/>
      <c r="AI300" s="179">
        <f t="shared" si="102"/>
        <v>0</v>
      </c>
      <c r="AJ300" s="268"/>
      <c r="AK300" s="179">
        <f t="shared" si="103"/>
        <v>22.73</v>
      </c>
      <c r="AL300" s="268"/>
      <c r="AM300" s="179">
        <f t="shared" si="104"/>
        <v>0</v>
      </c>
      <c r="AN300" s="268"/>
      <c r="AO300" s="179">
        <f t="shared" si="105"/>
        <v>0</v>
      </c>
      <c r="AP300" s="268"/>
      <c r="AQ300" s="179">
        <f t="shared" si="109"/>
        <v>0</v>
      </c>
      <c r="AR300" s="273"/>
      <c r="AS300" s="305">
        <f t="shared" si="106"/>
        <v>0</v>
      </c>
      <c r="AT300" s="273"/>
      <c r="AU300" s="305">
        <f t="shared" si="107"/>
        <v>0</v>
      </c>
    </row>
    <row r="301" spans="1:47" s="34" customFormat="1" hidden="1" x14ac:dyDescent="0.25">
      <c r="A301" s="87"/>
      <c r="B301" s="42"/>
      <c r="C301" s="41"/>
      <c r="D301" s="41"/>
      <c r="E301" s="40"/>
      <c r="F301" s="40"/>
      <c r="G301" s="40"/>
      <c r="H301" s="40"/>
      <c r="I301" s="160"/>
      <c r="J301" s="41"/>
      <c r="K301" s="41"/>
      <c r="L301" s="41"/>
      <c r="M301" s="41"/>
      <c r="N301" s="41"/>
      <c r="O301" s="41"/>
      <c r="P301" s="188"/>
      <c r="Q301" s="236"/>
      <c r="R301" s="280"/>
      <c r="S301" s="179">
        <f t="shared" si="95"/>
        <v>4859.3864915304011</v>
      </c>
      <c r="T301" s="259"/>
      <c r="U301" s="179">
        <f t="shared" si="108"/>
        <v>150</v>
      </c>
      <c r="V301" s="259"/>
      <c r="W301" s="179">
        <f t="shared" si="96"/>
        <v>0</v>
      </c>
      <c r="X301" s="259"/>
      <c r="Y301" s="179">
        <f t="shared" si="97"/>
        <v>1022.73</v>
      </c>
      <c r="Z301" s="259"/>
      <c r="AA301" s="179">
        <f t="shared" si="98"/>
        <v>40</v>
      </c>
      <c r="AB301" s="259"/>
      <c r="AC301" s="179">
        <f t="shared" si="99"/>
        <v>1394.266018065</v>
      </c>
      <c r="AD301" s="238">
        <f t="shared" si="94"/>
        <v>0</v>
      </c>
      <c r="AE301" s="179">
        <f t="shared" si="100"/>
        <v>2456.996018065</v>
      </c>
      <c r="AF301" s="264"/>
      <c r="AG301" s="179">
        <f t="shared" si="101"/>
        <v>1000</v>
      </c>
      <c r="AH301" s="268"/>
      <c r="AI301" s="179">
        <f t="shared" si="102"/>
        <v>0</v>
      </c>
      <c r="AJ301" s="268"/>
      <c r="AK301" s="179">
        <f t="shared" si="103"/>
        <v>22.73</v>
      </c>
      <c r="AL301" s="268"/>
      <c r="AM301" s="179">
        <f t="shared" si="104"/>
        <v>0</v>
      </c>
      <c r="AN301" s="268"/>
      <c r="AO301" s="179">
        <f t="shared" si="105"/>
        <v>0</v>
      </c>
      <c r="AP301" s="268"/>
      <c r="AQ301" s="179">
        <f t="shared" si="109"/>
        <v>0</v>
      </c>
      <c r="AR301" s="273"/>
      <c r="AS301" s="305">
        <f t="shared" si="106"/>
        <v>0</v>
      </c>
      <c r="AT301" s="273"/>
      <c r="AU301" s="305">
        <f t="shared" si="107"/>
        <v>0</v>
      </c>
    </row>
    <row r="302" spans="1:47" s="34" customFormat="1" hidden="1" x14ac:dyDescent="0.25">
      <c r="A302" s="87"/>
      <c r="B302" s="42"/>
      <c r="C302" s="41"/>
      <c r="D302" s="41"/>
      <c r="E302" s="40"/>
      <c r="F302" s="40"/>
      <c r="G302" s="40"/>
      <c r="H302" s="40"/>
      <c r="I302" s="160"/>
      <c r="J302" s="41"/>
      <c r="K302" s="41"/>
      <c r="L302" s="41"/>
      <c r="M302" s="41"/>
      <c r="N302" s="41"/>
      <c r="O302" s="41"/>
      <c r="P302" s="188"/>
      <c r="Q302" s="236"/>
      <c r="R302" s="280"/>
      <c r="S302" s="179">
        <f t="shared" si="95"/>
        <v>4859.3864915304011</v>
      </c>
      <c r="T302" s="259"/>
      <c r="U302" s="179">
        <f t="shared" si="108"/>
        <v>150</v>
      </c>
      <c r="V302" s="259"/>
      <c r="W302" s="179">
        <f t="shared" si="96"/>
        <v>0</v>
      </c>
      <c r="X302" s="259"/>
      <c r="Y302" s="179">
        <f t="shared" si="97"/>
        <v>1022.73</v>
      </c>
      <c r="Z302" s="259"/>
      <c r="AA302" s="179">
        <f t="shared" si="98"/>
        <v>40</v>
      </c>
      <c r="AB302" s="259"/>
      <c r="AC302" s="179">
        <f t="shared" si="99"/>
        <v>1394.266018065</v>
      </c>
      <c r="AD302" s="238">
        <f t="shared" si="94"/>
        <v>0</v>
      </c>
      <c r="AE302" s="179">
        <f t="shared" si="100"/>
        <v>2456.996018065</v>
      </c>
      <c r="AF302" s="264"/>
      <c r="AG302" s="179">
        <f t="shared" si="101"/>
        <v>1000</v>
      </c>
      <c r="AH302" s="268"/>
      <c r="AI302" s="179">
        <f t="shared" si="102"/>
        <v>0</v>
      </c>
      <c r="AJ302" s="268"/>
      <c r="AK302" s="179">
        <f t="shared" si="103"/>
        <v>22.73</v>
      </c>
      <c r="AL302" s="268"/>
      <c r="AM302" s="179">
        <f t="shared" si="104"/>
        <v>0</v>
      </c>
      <c r="AN302" s="268"/>
      <c r="AO302" s="179">
        <f t="shared" si="105"/>
        <v>0</v>
      </c>
      <c r="AP302" s="268"/>
      <c r="AQ302" s="179">
        <f t="shared" si="109"/>
        <v>0</v>
      </c>
      <c r="AR302" s="273"/>
      <c r="AS302" s="305">
        <f t="shared" si="106"/>
        <v>0</v>
      </c>
      <c r="AT302" s="273"/>
      <c r="AU302" s="305">
        <f t="shared" si="107"/>
        <v>0</v>
      </c>
    </row>
    <row r="303" spans="1:47" s="34" customFormat="1" hidden="1" x14ac:dyDescent="0.25">
      <c r="A303" s="87"/>
      <c r="B303" s="42"/>
      <c r="C303" s="41"/>
      <c r="D303" s="41"/>
      <c r="E303" s="40"/>
      <c r="F303" s="40"/>
      <c r="G303" s="40"/>
      <c r="H303" s="40"/>
      <c r="I303" s="160"/>
      <c r="J303" s="41"/>
      <c r="K303" s="41"/>
      <c r="L303" s="41"/>
      <c r="M303" s="41"/>
      <c r="N303" s="41"/>
      <c r="O303" s="41"/>
      <c r="P303" s="188"/>
      <c r="Q303" s="236"/>
      <c r="R303" s="280"/>
      <c r="S303" s="179">
        <f t="shared" si="95"/>
        <v>4859.3864915304011</v>
      </c>
      <c r="T303" s="259"/>
      <c r="U303" s="179">
        <f t="shared" si="108"/>
        <v>150</v>
      </c>
      <c r="V303" s="259"/>
      <c r="W303" s="179">
        <f t="shared" si="96"/>
        <v>0</v>
      </c>
      <c r="X303" s="259"/>
      <c r="Y303" s="179">
        <f t="shared" si="97"/>
        <v>1022.73</v>
      </c>
      <c r="Z303" s="259"/>
      <c r="AA303" s="179">
        <f t="shared" si="98"/>
        <v>40</v>
      </c>
      <c r="AB303" s="259"/>
      <c r="AC303" s="179">
        <f t="shared" si="99"/>
        <v>1394.266018065</v>
      </c>
      <c r="AD303" s="238">
        <f t="shared" si="94"/>
        <v>0</v>
      </c>
      <c r="AE303" s="179">
        <f t="shared" si="100"/>
        <v>2456.996018065</v>
      </c>
      <c r="AF303" s="264"/>
      <c r="AG303" s="179">
        <f t="shared" si="101"/>
        <v>1000</v>
      </c>
      <c r="AH303" s="268"/>
      <c r="AI303" s="179">
        <f t="shared" si="102"/>
        <v>0</v>
      </c>
      <c r="AJ303" s="268"/>
      <c r="AK303" s="179">
        <f t="shared" si="103"/>
        <v>22.73</v>
      </c>
      <c r="AL303" s="268"/>
      <c r="AM303" s="179">
        <f t="shared" si="104"/>
        <v>0</v>
      </c>
      <c r="AN303" s="268"/>
      <c r="AO303" s="179">
        <f t="shared" si="105"/>
        <v>0</v>
      </c>
      <c r="AP303" s="268"/>
      <c r="AQ303" s="179">
        <f t="shared" si="109"/>
        <v>0</v>
      </c>
      <c r="AR303" s="273"/>
      <c r="AS303" s="305">
        <f t="shared" si="106"/>
        <v>0</v>
      </c>
      <c r="AT303" s="273"/>
      <c r="AU303" s="305">
        <f t="shared" si="107"/>
        <v>0</v>
      </c>
    </row>
    <row r="304" spans="1:47" s="34" customFormat="1" hidden="1" x14ac:dyDescent="0.25">
      <c r="A304" s="87"/>
      <c r="B304" s="42"/>
      <c r="C304" s="41"/>
      <c r="D304" s="41"/>
      <c r="E304" s="40"/>
      <c r="F304" s="40"/>
      <c r="G304" s="40"/>
      <c r="H304" s="40"/>
      <c r="I304" s="160"/>
      <c r="J304" s="41"/>
      <c r="K304" s="41"/>
      <c r="L304" s="41"/>
      <c r="M304" s="41"/>
      <c r="N304" s="41"/>
      <c r="O304" s="41"/>
      <c r="P304" s="188"/>
      <c r="Q304" s="236"/>
      <c r="R304" s="280"/>
      <c r="S304" s="179">
        <f t="shared" si="95"/>
        <v>4859.3864915304011</v>
      </c>
      <c r="T304" s="259"/>
      <c r="U304" s="179">
        <f t="shared" si="108"/>
        <v>150</v>
      </c>
      <c r="V304" s="259"/>
      <c r="W304" s="179">
        <f t="shared" si="96"/>
        <v>0</v>
      </c>
      <c r="X304" s="259"/>
      <c r="Y304" s="179">
        <f t="shared" si="97"/>
        <v>1022.73</v>
      </c>
      <c r="Z304" s="259"/>
      <c r="AA304" s="179">
        <f t="shared" si="98"/>
        <v>40</v>
      </c>
      <c r="AB304" s="259"/>
      <c r="AC304" s="179">
        <f t="shared" si="99"/>
        <v>1394.266018065</v>
      </c>
      <c r="AD304" s="238">
        <f t="shared" si="94"/>
        <v>0</v>
      </c>
      <c r="AE304" s="179">
        <f t="shared" si="100"/>
        <v>2456.996018065</v>
      </c>
      <c r="AF304" s="264"/>
      <c r="AG304" s="179">
        <f t="shared" si="101"/>
        <v>1000</v>
      </c>
      <c r="AH304" s="268"/>
      <c r="AI304" s="179">
        <f t="shared" si="102"/>
        <v>0</v>
      </c>
      <c r="AJ304" s="268"/>
      <c r="AK304" s="179">
        <f t="shared" si="103"/>
        <v>22.73</v>
      </c>
      <c r="AL304" s="268"/>
      <c r="AM304" s="179">
        <f t="shared" si="104"/>
        <v>0</v>
      </c>
      <c r="AN304" s="268"/>
      <c r="AO304" s="179">
        <f t="shared" si="105"/>
        <v>0</v>
      </c>
      <c r="AP304" s="268"/>
      <c r="AQ304" s="179">
        <f t="shared" si="109"/>
        <v>0</v>
      </c>
      <c r="AR304" s="273"/>
      <c r="AS304" s="305">
        <f t="shared" si="106"/>
        <v>0</v>
      </c>
      <c r="AT304" s="273"/>
      <c r="AU304" s="305">
        <f t="shared" si="107"/>
        <v>0</v>
      </c>
    </row>
    <row r="305" spans="1:47" s="34" customFormat="1" hidden="1" x14ac:dyDescent="0.25">
      <c r="A305" s="87"/>
      <c r="B305" s="42"/>
      <c r="C305" s="41"/>
      <c r="D305" s="41"/>
      <c r="E305" s="40"/>
      <c r="F305" s="40"/>
      <c r="G305" s="40"/>
      <c r="H305" s="40"/>
      <c r="I305" s="160"/>
      <c r="J305" s="41"/>
      <c r="K305" s="41"/>
      <c r="L305" s="41"/>
      <c r="M305" s="41"/>
      <c r="N305" s="41"/>
      <c r="O305" s="41"/>
      <c r="P305" s="188"/>
      <c r="Q305" s="236"/>
      <c r="R305" s="280"/>
      <c r="S305" s="179">
        <f t="shared" si="95"/>
        <v>4859.3864915304011</v>
      </c>
      <c r="T305" s="259"/>
      <c r="U305" s="179">
        <f t="shared" si="108"/>
        <v>150</v>
      </c>
      <c r="V305" s="259"/>
      <c r="W305" s="179">
        <f t="shared" si="96"/>
        <v>0</v>
      </c>
      <c r="X305" s="259"/>
      <c r="Y305" s="179">
        <f t="shared" si="97"/>
        <v>1022.73</v>
      </c>
      <c r="Z305" s="259"/>
      <c r="AA305" s="179">
        <f t="shared" si="98"/>
        <v>40</v>
      </c>
      <c r="AB305" s="259"/>
      <c r="AC305" s="179">
        <f t="shared" si="99"/>
        <v>1394.266018065</v>
      </c>
      <c r="AD305" s="238">
        <f t="shared" si="94"/>
        <v>0</v>
      </c>
      <c r="AE305" s="179">
        <f t="shared" si="100"/>
        <v>2456.996018065</v>
      </c>
      <c r="AF305" s="264"/>
      <c r="AG305" s="179">
        <f t="shared" si="101"/>
        <v>1000</v>
      </c>
      <c r="AH305" s="268"/>
      <c r="AI305" s="179">
        <f t="shared" si="102"/>
        <v>0</v>
      </c>
      <c r="AJ305" s="268"/>
      <c r="AK305" s="179">
        <f t="shared" si="103"/>
        <v>22.73</v>
      </c>
      <c r="AL305" s="268"/>
      <c r="AM305" s="179">
        <f t="shared" si="104"/>
        <v>0</v>
      </c>
      <c r="AN305" s="268"/>
      <c r="AO305" s="179">
        <f t="shared" si="105"/>
        <v>0</v>
      </c>
      <c r="AP305" s="268"/>
      <c r="AQ305" s="179">
        <f t="shared" si="109"/>
        <v>0</v>
      </c>
      <c r="AR305" s="273"/>
      <c r="AS305" s="305">
        <f t="shared" si="106"/>
        <v>0</v>
      </c>
      <c r="AT305" s="273"/>
      <c r="AU305" s="305">
        <f t="shared" si="107"/>
        <v>0</v>
      </c>
    </row>
    <row r="306" spans="1:47" s="34" customFormat="1" hidden="1" x14ac:dyDescent="0.25">
      <c r="A306" s="87"/>
      <c r="B306" s="42"/>
      <c r="C306" s="41"/>
      <c r="D306" s="41"/>
      <c r="E306" s="40"/>
      <c r="F306" s="40"/>
      <c r="G306" s="40"/>
      <c r="H306" s="40"/>
      <c r="I306" s="160"/>
      <c r="J306" s="41"/>
      <c r="K306" s="41"/>
      <c r="L306" s="41"/>
      <c r="M306" s="41"/>
      <c r="N306" s="41"/>
      <c r="O306" s="41"/>
      <c r="P306" s="188"/>
      <c r="Q306" s="236"/>
      <c r="R306" s="280"/>
      <c r="S306" s="179">
        <f t="shared" si="95"/>
        <v>4859.3864915304011</v>
      </c>
      <c r="T306" s="259"/>
      <c r="U306" s="179">
        <f t="shared" si="108"/>
        <v>150</v>
      </c>
      <c r="V306" s="259"/>
      <c r="W306" s="179">
        <f t="shared" si="96"/>
        <v>0</v>
      </c>
      <c r="X306" s="259"/>
      <c r="Y306" s="179">
        <f t="shared" si="97"/>
        <v>1022.73</v>
      </c>
      <c r="Z306" s="259"/>
      <c r="AA306" s="179">
        <f t="shared" si="98"/>
        <v>40</v>
      </c>
      <c r="AB306" s="259"/>
      <c r="AC306" s="179">
        <f t="shared" si="99"/>
        <v>1394.266018065</v>
      </c>
      <c r="AD306" s="238">
        <f t="shared" si="94"/>
        <v>0</v>
      </c>
      <c r="AE306" s="179">
        <f t="shared" si="100"/>
        <v>2456.996018065</v>
      </c>
      <c r="AF306" s="264"/>
      <c r="AG306" s="179">
        <f t="shared" si="101"/>
        <v>1000</v>
      </c>
      <c r="AH306" s="268"/>
      <c r="AI306" s="179">
        <f t="shared" si="102"/>
        <v>0</v>
      </c>
      <c r="AJ306" s="268"/>
      <c r="AK306" s="179">
        <f t="shared" si="103"/>
        <v>22.73</v>
      </c>
      <c r="AL306" s="268"/>
      <c r="AM306" s="179">
        <f t="shared" si="104"/>
        <v>0</v>
      </c>
      <c r="AN306" s="268"/>
      <c r="AO306" s="179">
        <f t="shared" si="105"/>
        <v>0</v>
      </c>
      <c r="AP306" s="268"/>
      <c r="AQ306" s="179">
        <f t="shared" si="109"/>
        <v>0</v>
      </c>
      <c r="AR306" s="273"/>
      <c r="AS306" s="305">
        <f t="shared" si="106"/>
        <v>0</v>
      </c>
      <c r="AT306" s="273"/>
      <c r="AU306" s="305">
        <f t="shared" si="107"/>
        <v>0</v>
      </c>
    </row>
    <row r="307" spans="1:47" s="34" customFormat="1" hidden="1" x14ac:dyDescent="0.25">
      <c r="A307" s="87"/>
      <c r="B307" s="42"/>
      <c r="C307" s="41"/>
      <c r="D307" s="41"/>
      <c r="E307" s="40"/>
      <c r="F307" s="40"/>
      <c r="G307" s="40"/>
      <c r="H307" s="40"/>
      <c r="I307" s="160"/>
      <c r="J307" s="41"/>
      <c r="K307" s="41"/>
      <c r="L307" s="41"/>
      <c r="M307" s="41"/>
      <c r="N307" s="41"/>
      <c r="O307" s="41"/>
      <c r="P307" s="188"/>
      <c r="Q307" s="236"/>
      <c r="R307" s="280"/>
      <c r="S307" s="179">
        <f t="shared" si="95"/>
        <v>4859.3864915304011</v>
      </c>
      <c r="T307" s="259"/>
      <c r="U307" s="179">
        <f t="shared" si="108"/>
        <v>150</v>
      </c>
      <c r="V307" s="259"/>
      <c r="W307" s="179">
        <f t="shared" si="96"/>
        <v>0</v>
      </c>
      <c r="X307" s="259"/>
      <c r="Y307" s="179">
        <f t="shared" si="97"/>
        <v>1022.73</v>
      </c>
      <c r="Z307" s="259"/>
      <c r="AA307" s="179">
        <f t="shared" si="98"/>
        <v>40</v>
      </c>
      <c r="AB307" s="259"/>
      <c r="AC307" s="179">
        <f t="shared" si="99"/>
        <v>1394.266018065</v>
      </c>
      <c r="AD307" s="238">
        <f t="shared" si="94"/>
        <v>0</v>
      </c>
      <c r="AE307" s="179">
        <f t="shared" si="100"/>
        <v>2456.996018065</v>
      </c>
      <c r="AF307" s="264"/>
      <c r="AG307" s="179">
        <f t="shared" si="101"/>
        <v>1000</v>
      </c>
      <c r="AH307" s="268"/>
      <c r="AI307" s="179">
        <f t="shared" si="102"/>
        <v>0</v>
      </c>
      <c r="AJ307" s="268"/>
      <c r="AK307" s="179">
        <f t="shared" si="103"/>
        <v>22.73</v>
      </c>
      <c r="AL307" s="268"/>
      <c r="AM307" s="179">
        <f t="shared" si="104"/>
        <v>0</v>
      </c>
      <c r="AN307" s="268"/>
      <c r="AO307" s="179">
        <f t="shared" si="105"/>
        <v>0</v>
      </c>
      <c r="AP307" s="268"/>
      <c r="AQ307" s="179">
        <f t="shared" si="109"/>
        <v>0</v>
      </c>
      <c r="AR307" s="273"/>
      <c r="AS307" s="305">
        <f t="shared" si="106"/>
        <v>0</v>
      </c>
      <c r="AT307" s="273"/>
      <c r="AU307" s="305">
        <f t="shared" si="107"/>
        <v>0</v>
      </c>
    </row>
    <row r="308" spans="1:47" s="34" customFormat="1" hidden="1" x14ac:dyDescent="0.25">
      <c r="A308" s="87"/>
      <c r="B308" s="42"/>
      <c r="C308" s="41"/>
      <c r="D308" s="41"/>
      <c r="E308" s="40"/>
      <c r="F308" s="40"/>
      <c r="G308" s="40"/>
      <c r="H308" s="40"/>
      <c r="I308" s="160"/>
      <c r="J308" s="41"/>
      <c r="K308" s="41"/>
      <c r="L308" s="41"/>
      <c r="M308" s="41"/>
      <c r="N308" s="41"/>
      <c r="O308" s="41"/>
      <c r="P308" s="188"/>
      <c r="Q308" s="236"/>
      <c r="R308" s="280"/>
      <c r="S308" s="179">
        <f t="shared" si="95"/>
        <v>4859.3864915304011</v>
      </c>
      <c r="T308" s="259"/>
      <c r="U308" s="179">
        <f t="shared" si="108"/>
        <v>150</v>
      </c>
      <c r="V308" s="259"/>
      <c r="W308" s="179">
        <f t="shared" si="96"/>
        <v>0</v>
      </c>
      <c r="X308" s="259"/>
      <c r="Y308" s="179">
        <f t="shared" si="97"/>
        <v>1022.73</v>
      </c>
      <c r="Z308" s="259"/>
      <c r="AA308" s="179">
        <f t="shared" si="98"/>
        <v>40</v>
      </c>
      <c r="AB308" s="259"/>
      <c r="AC308" s="179">
        <f t="shared" si="99"/>
        <v>1394.266018065</v>
      </c>
      <c r="AD308" s="238">
        <f t="shared" si="94"/>
        <v>0</v>
      </c>
      <c r="AE308" s="179">
        <f t="shared" si="100"/>
        <v>2456.996018065</v>
      </c>
      <c r="AF308" s="264"/>
      <c r="AG308" s="179">
        <f t="shared" si="101"/>
        <v>1000</v>
      </c>
      <c r="AH308" s="268"/>
      <c r="AI308" s="179">
        <f t="shared" si="102"/>
        <v>0</v>
      </c>
      <c r="AJ308" s="268"/>
      <c r="AK308" s="179">
        <f t="shared" si="103"/>
        <v>22.73</v>
      </c>
      <c r="AL308" s="268"/>
      <c r="AM308" s="179">
        <f t="shared" si="104"/>
        <v>0</v>
      </c>
      <c r="AN308" s="268"/>
      <c r="AO308" s="179">
        <f t="shared" si="105"/>
        <v>0</v>
      </c>
      <c r="AP308" s="268"/>
      <c r="AQ308" s="179">
        <f t="shared" si="109"/>
        <v>0</v>
      </c>
      <c r="AR308" s="273"/>
      <c r="AS308" s="305">
        <f t="shared" si="106"/>
        <v>0</v>
      </c>
      <c r="AT308" s="273"/>
      <c r="AU308" s="305">
        <f t="shared" si="107"/>
        <v>0</v>
      </c>
    </row>
    <row r="309" spans="1:47" s="34" customFormat="1" hidden="1" x14ac:dyDescent="0.25">
      <c r="A309" s="87"/>
      <c r="B309" s="42"/>
      <c r="C309" s="41"/>
      <c r="D309" s="41"/>
      <c r="E309" s="40"/>
      <c r="F309" s="40"/>
      <c r="G309" s="40"/>
      <c r="H309" s="40"/>
      <c r="I309" s="160"/>
      <c r="J309" s="41"/>
      <c r="K309" s="41"/>
      <c r="L309" s="41"/>
      <c r="M309" s="41"/>
      <c r="N309" s="41"/>
      <c r="O309" s="41"/>
      <c r="P309" s="188"/>
      <c r="Q309" s="236"/>
      <c r="R309" s="280"/>
      <c r="S309" s="179">
        <f t="shared" si="95"/>
        <v>4859.3864915304011</v>
      </c>
      <c r="T309" s="259"/>
      <c r="U309" s="179">
        <f t="shared" si="108"/>
        <v>150</v>
      </c>
      <c r="V309" s="259"/>
      <c r="W309" s="179">
        <f t="shared" si="96"/>
        <v>0</v>
      </c>
      <c r="X309" s="259"/>
      <c r="Y309" s="179">
        <f t="shared" si="97"/>
        <v>1022.73</v>
      </c>
      <c r="Z309" s="259"/>
      <c r="AA309" s="179">
        <f t="shared" si="98"/>
        <v>40</v>
      </c>
      <c r="AB309" s="259"/>
      <c r="AC309" s="179">
        <f t="shared" si="99"/>
        <v>1394.266018065</v>
      </c>
      <c r="AD309" s="238">
        <f t="shared" si="94"/>
        <v>0</v>
      </c>
      <c r="AE309" s="179">
        <f t="shared" si="100"/>
        <v>2456.996018065</v>
      </c>
      <c r="AF309" s="264"/>
      <c r="AG309" s="179">
        <f t="shared" si="101"/>
        <v>1000</v>
      </c>
      <c r="AH309" s="268"/>
      <c r="AI309" s="179">
        <f t="shared" si="102"/>
        <v>0</v>
      </c>
      <c r="AJ309" s="268"/>
      <c r="AK309" s="179">
        <f t="shared" si="103"/>
        <v>22.73</v>
      </c>
      <c r="AL309" s="268"/>
      <c r="AM309" s="179">
        <f t="shared" si="104"/>
        <v>0</v>
      </c>
      <c r="AN309" s="268"/>
      <c r="AO309" s="179">
        <f t="shared" si="105"/>
        <v>0</v>
      </c>
      <c r="AP309" s="268"/>
      <c r="AQ309" s="179">
        <f t="shared" si="109"/>
        <v>0</v>
      </c>
      <c r="AR309" s="273"/>
      <c r="AS309" s="305">
        <f t="shared" si="106"/>
        <v>0</v>
      </c>
      <c r="AT309" s="273"/>
      <c r="AU309" s="305">
        <f t="shared" si="107"/>
        <v>0</v>
      </c>
    </row>
    <row r="310" spans="1:47" s="34" customFormat="1" hidden="1" x14ac:dyDescent="0.25">
      <c r="A310" s="87"/>
      <c r="B310" s="42"/>
      <c r="C310" s="41"/>
      <c r="D310" s="41"/>
      <c r="E310" s="40"/>
      <c r="F310" s="40"/>
      <c r="G310" s="40"/>
      <c r="H310" s="40"/>
      <c r="I310" s="160"/>
      <c r="J310" s="41"/>
      <c r="K310" s="41"/>
      <c r="L310" s="41"/>
      <c r="M310" s="41"/>
      <c r="N310" s="41"/>
      <c r="O310" s="41"/>
      <c r="P310" s="188"/>
      <c r="Q310" s="236"/>
      <c r="R310" s="280"/>
      <c r="S310" s="179">
        <f t="shared" si="95"/>
        <v>4859.3864915304011</v>
      </c>
      <c r="T310" s="259"/>
      <c r="U310" s="179">
        <f t="shared" si="108"/>
        <v>150</v>
      </c>
      <c r="V310" s="259"/>
      <c r="W310" s="179">
        <f t="shared" si="96"/>
        <v>0</v>
      </c>
      <c r="X310" s="259"/>
      <c r="Y310" s="179">
        <f t="shared" si="97"/>
        <v>1022.73</v>
      </c>
      <c r="Z310" s="259"/>
      <c r="AA310" s="179">
        <f t="shared" si="98"/>
        <v>40</v>
      </c>
      <c r="AB310" s="259"/>
      <c r="AC310" s="179">
        <f t="shared" si="99"/>
        <v>1394.266018065</v>
      </c>
      <c r="AD310" s="238">
        <f t="shared" si="94"/>
        <v>0</v>
      </c>
      <c r="AE310" s="179">
        <f t="shared" si="100"/>
        <v>2456.996018065</v>
      </c>
      <c r="AF310" s="264"/>
      <c r="AG310" s="179">
        <f t="shared" si="101"/>
        <v>1000</v>
      </c>
      <c r="AH310" s="268"/>
      <c r="AI310" s="179">
        <f t="shared" si="102"/>
        <v>0</v>
      </c>
      <c r="AJ310" s="268"/>
      <c r="AK310" s="179">
        <f t="shared" si="103"/>
        <v>22.73</v>
      </c>
      <c r="AL310" s="268"/>
      <c r="AM310" s="179">
        <f t="shared" si="104"/>
        <v>0</v>
      </c>
      <c r="AN310" s="268"/>
      <c r="AO310" s="179">
        <f t="shared" si="105"/>
        <v>0</v>
      </c>
      <c r="AP310" s="268"/>
      <c r="AQ310" s="179">
        <f t="shared" si="109"/>
        <v>0</v>
      </c>
      <c r="AR310" s="273"/>
      <c r="AS310" s="305">
        <f t="shared" si="106"/>
        <v>0</v>
      </c>
      <c r="AT310" s="273"/>
      <c r="AU310" s="305">
        <f t="shared" si="107"/>
        <v>0</v>
      </c>
    </row>
    <row r="311" spans="1:47" s="34" customFormat="1" hidden="1" x14ac:dyDescent="0.25">
      <c r="A311" s="87"/>
      <c r="B311" s="42"/>
      <c r="C311" s="41"/>
      <c r="D311" s="41"/>
      <c r="E311" s="40"/>
      <c r="F311" s="40"/>
      <c r="G311" s="40"/>
      <c r="H311" s="40"/>
      <c r="I311" s="160"/>
      <c r="J311" s="41"/>
      <c r="K311" s="41"/>
      <c r="L311" s="41"/>
      <c r="M311" s="41"/>
      <c r="N311" s="41"/>
      <c r="O311" s="41"/>
      <c r="P311" s="188"/>
      <c r="Q311" s="236"/>
      <c r="R311" s="280"/>
      <c r="S311" s="179">
        <f t="shared" si="95"/>
        <v>4859.3864915304011</v>
      </c>
      <c r="T311" s="259"/>
      <c r="U311" s="179">
        <f t="shared" si="108"/>
        <v>150</v>
      </c>
      <c r="V311" s="259"/>
      <c r="W311" s="179">
        <f t="shared" si="96"/>
        <v>0</v>
      </c>
      <c r="X311" s="259"/>
      <c r="Y311" s="179">
        <f t="shared" si="97"/>
        <v>1022.73</v>
      </c>
      <c r="Z311" s="259"/>
      <c r="AA311" s="179">
        <f t="shared" si="98"/>
        <v>40</v>
      </c>
      <c r="AB311" s="259"/>
      <c r="AC311" s="179">
        <f t="shared" si="99"/>
        <v>1394.266018065</v>
      </c>
      <c r="AD311" s="238">
        <f t="shared" si="94"/>
        <v>0</v>
      </c>
      <c r="AE311" s="179">
        <f t="shared" si="100"/>
        <v>2456.996018065</v>
      </c>
      <c r="AF311" s="264"/>
      <c r="AG311" s="179">
        <f t="shared" si="101"/>
        <v>1000</v>
      </c>
      <c r="AH311" s="268"/>
      <c r="AI311" s="179">
        <f t="shared" si="102"/>
        <v>0</v>
      </c>
      <c r="AJ311" s="268"/>
      <c r="AK311" s="179">
        <f t="shared" si="103"/>
        <v>22.73</v>
      </c>
      <c r="AL311" s="268"/>
      <c r="AM311" s="179">
        <f t="shared" si="104"/>
        <v>0</v>
      </c>
      <c r="AN311" s="268"/>
      <c r="AO311" s="179">
        <f t="shared" si="105"/>
        <v>0</v>
      </c>
      <c r="AP311" s="268"/>
      <c r="AQ311" s="179">
        <f t="shared" si="109"/>
        <v>0</v>
      </c>
      <c r="AR311" s="273"/>
      <c r="AS311" s="305">
        <f t="shared" si="106"/>
        <v>0</v>
      </c>
      <c r="AT311" s="273"/>
      <c r="AU311" s="305">
        <f t="shared" si="107"/>
        <v>0</v>
      </c>
    </row>
    <row r="312" spans="1:47" s="34" customFormat="1" hidden="1" x14ac:dyDescent="0.25">
      <c r="A312" s="87"/>
      <c r="B312" s="42"/>
      <c r="C312" s="41"/>
      <c r="D312" s="41"/>
      <c r="E312" s="40"/>
      <c r="F312" s="40"/>
      <c r="G312" s="40"/>
      <c r="H312" s="40"/>
      <c r="I312" s="160"/>
      <c r="J312" s="41"/>
      <c r="K312" s="41"/>
      <c r="L312" s="41"/>
      <c r="M312" s="41"/>
      <c r="N312" s="41"/>
      <c r="O312" s="41"/>
      <c r="P312" s="188"/>
      <c r="Q312" s="236"/>
      <c r="R312" s="280"/>
      <c r="S312" s="179">
        <f t="shared" si="95"/>
        <v>4859.3864915304011</v>
      </c>
      <c r="T312" s="259"/>
      <c r="U312" s="179">
        <f t="shared" si="108"/>
        <v>150</v>
      </c>
      <c r="V312" s="259"/>
      <c r="W312" s="179">
        <f t="shared" si="96"/>
        <v>0</v>
      </c>
      <c r="X312" s="259"/>
      <c r="Y312" s="179">
        <f t="shared" si="97"/>
        <v>1022.73</v>
      </c>
      <c r="Z312" s="259"/>
      <c r="AA312" s="179">
        <f t="shared" si="98"/>
        <v>40</v>
      </c>
      <c r="AB312" s="259"/>
      <c r="AC312" s="179">
        <f t="shared" si="99"/>
        <v>1394.266018065</v>
      </c>
      <c r="AD312" s="238">
        <f t="shared" si="94"/>
        <v>0</v>
      </c>
      <c r="AE312" s="179">
        <f t="shared" si="100"/>
        <v>2456.996018065</v>
      </c>
      <c r="AF312" s="264"/>
      <c r="AG312" s="179">
        <f t="shared" si="101"/>
        <v>1000</v>
      </c>
      <c r="AH312" s="268"/>
      <c r="AI312" s="179">
        <f t="shared" si="102"/>
        <v>0</v>
      </c>
      <c r="AJ312" s="268"/>
      <c r="AK312" s="179">
        <f t="shared" si="103"/>
        <v>22.73</v>
      </c>
      <c r="AL312" s="268"/>
      <c r="AM312" s="179">
        <f t="shared" si="104"/>
        <v>0</v>
      </c>
      <c r="AN312" s="268"/>
      <c r="AO312" s="179">
        <f t="shared" si="105"/>
        <v>0</v>
      </c>
      <c r="AP312" s="268"/>
      <c r="AQ312" s="179">
        <f t="shared" si="109"/>
        <v>0</v>
      </c>
      <c r="AR312" s="273"/>
      <c r="AS312" s="305">
        <f t="shared" si="106"/>
        <v>0</v>
      </c>
      <c r="AT312" s="273"/>
      <c r="AU312" s="305">
        <f t="shared" si="107"/>
        <v>0</v>
      </c>
    </row>
    <row r="313" spans="1:47" s="34" customFormat="1" hidden="1" x14ac:dyDescent="0.25">
      <c r="A313" s="87"/>
      <c r="B313" s="42"/>
      <c r="C313" s="41"/>
      <c r="D313" s="41"/>
      <c r="E313" s="40"/>
      <c r="F313" s="40"/>
      <c r="G313" s="40"/>
      <c r="H313" s="40"/>
      <c r="I313" s="160"/>
      <c r="J313" s="41"/>
      <c r="K313" s="41"/>
      <c r="L313" s="41"/>
      <c r="M313" s="41"/>
      <c r="N313" s="41"/>
      <c r="O313" s="41"/>
      <c r="P313" s="188"/>
      <c r="Q313" s="236"/>
      <c r="R313" s="280"/>
      <c r="S313" s="179">
        <f t="shared" si="95"/>
        <v>4859.3864915304011</v>
      </c>
      <c r="T313" s="259"/>
      <c r="U313" s="179">
        <f t="shared" si="108"/>
        <v>150</v>
      </c>
      <c r="V313" s="259"/>
      <c r="W313" s="179">
        <f t="shared" si="96"/>
        <v>0</v>
      </c>
      <c r="X313" s="259"/>
      <c r="Y313" s="179">
        <f t="shared" si="97"/>
        <v>1022.73</v>
      </c>
      <c r="Z313" s="259"/>
      <c r="AA313" s="179">
        <f t="shared" si="98"/>
        <v>40</v>
      </c>
      <c r="AB313" s="259"/>
      <c r="AC313" s="179">
        <f t="shared" si="99"/>
        <v>1394.266018065</v>
      </c>
      <c r="AD313" s="238">
        <f t="shared" si="94"/>
        <v>0</v>
      </c>
      <c r="AE313" s="179">
        <f t="shared" si="100"/>
        <v>2456.996018065</v>
      </c>
      <c r="AF313" s="264"/>
      <c r="AG313" s="179">
        <f t="shared" si="101"/>
        <v>1000</v>
      </c>
      <c r="AH313" s="268"/>
      <c r="AI313" s="179">
        <f t="shared" si="102"/>
        <v>0</v>
      </c>
      <c r="AJ313" s="268"/>
      <c r="AK313" s="179">
        <f t="shared" si="103"/>
        <v>22.73</v>
      </c>
      <c r="AL313" s="268"/>
      <c r="AM313" s="179">
        <f t="shared" si="104"/>
        <v>0</v>
      </c>
      <c r="AN313" s="268"/>
      <c r="AO313" s="179">
        <f t="shared" si="105"/>
        <v>0</v>
      </c>
      <c r="AP313" s="268"/>
      <c r="AQ313" s="179">
        <f t="shared" si="109"/>
        <v>0</v>
      </c>
      <c r="AR313" s="273"/>
      <c r="AS313" s="305">
        <f t="shared" si="106"/>
        <v>0</v>
      </c>
      <c r="AT313" s="273"/>
      <c r="AU313" s="305">
        <f t="shared" si="107"/>
        <v>0</v>
      </c>
    </row>
    <row r="314" spans="1:47" s="34" customFormat="1" hidden="1" x14ac:dyDescent="0.25">
      <c r="A314" s="87"/>
      <c r="B314" s="42"/>
      <c r="C314" s="41"/>
      <c r="D314" s="41"/>
      <c r="E314" s="40"/>
      <c r="F314" s="40"/>
      <c r="G314" s="40"/>
      <c r="H314" s="40"/>
      <c r="I314" s="160"/>
      <c r="J314" s="41"/>
      <c r="K314" s="41"/>
      <c r="L314" s="41"/>
      <c r="M314" s="41"/>
      <c r="N314" s="41"/>
      <c r="O314" s="41"/>
      <c r="P314" s="188"/>
      <c r="Q314" s="236"/>
      <c r="R314" s="280"/>
      <c r="S314" s="179">
        <f t="shared" si="95"/>
        <v>4859.3864915304011</v>
      </c>
      <c r="T314" s="259"/>
      <c r="U314" s="179">
        <f t="shared" si="108"/>
        <v>150</v>
      </c>
      <c r="V314" s="259"/>
      <c r="W314" s="179">
        <f t="shared" si="96"/>
        <v>0</v>
      </c>
      <c r="X314" s="259"/>
      <c r="Y314" s="179">
        <f t="shared" si="97"/>
        <v>1022.73</v>
      </c>
      <c r="Z314" s="259"/>
      <c r="AA314" s="179">
        <f t="shared" si="98"/>
        <v>40</v>
      </c>
      <c r="AB314" s="259"/>
      <c r="AC314" s="179">
        <f t="shared" si="99"/>
        <v>1394.266018065</v>
      </c>
      <c r="AD314" s="238">
        <f t="shared" si="94"/>
        <v>0</v>
      </c>
      <c r="AE314" s="179">
        <f t="shared" si="100"/>
        <v>2456.996018065</v>
      </c>
      <c r="AF314" s="264"/>
      <c r="AG314" s="179">
        <f t="shared" si="101"/>
        <v>1000</v>
      </c>
      <c r="AH314" s="268"/>
      <c r="AI314" s="179">
        <f t="shared" si="102"/>
        <v>0</v>
      </c>
      <c r="AJ314" s="268"/>
      <c r="AK314" s="179">
        <f t="shared" si="103"/>
        <v>22.73</v>
      </c>
      <c r="AL314" s="268"/>
      <c r="AM314" s="179">
        <f t="shared" si="104"/>
        <v>0</v>
      </c>
      <c r="AN314" s="268"/>
      <c r="AO314" s="179">
        <f t="shared" si="105"/>
        <v>0</v>
      </c>
      <c r="AP314" s="268"/>
      <c r="AQ314" s="179">
        <f t="shared" si="109"/>
        <v>0</v>
      </c>
      <c r="AR314" s="273"/>
      <c r="AS314" s="305">
        <f t="shared" si="106"/>
        <v>0</v>
      </c>
      <c r="AT314" s="273"/>
      <c r="AU314" s="305">
        <f t="shared" si="107"/>
        <v>0</v>
      </c>
    </row>
    <row r="315" spans="1:47" s="34" customFormat="1" hidden="1" x14ac:dyDescent="0.25">
      <c r="A315" s="87"/>
      <c r="B315" s="42"/>
      <c r="C315" s="41"/>
      <c r="D315" s="41"/>
      <c r="E315" s="40"/>
      <c r="F315" s="40"/>
      <c r="G315" s="40"/>
      <c r="H315" s="40"/>
      <c r="I315" s="160"/>
      <c r="J315" s="41"/>
      <c r="K315" s="41"/>
      <c r="L315" s="41"/>
      <c r="M315" s="41"/>
      <c r="N315" s="41"/>
      <c r="O315" s="41"/>
      <c r="P315" s="188"/>
      <c r="Q315" s="236"/>
      <c r="R315" s="280"/>
      <c r="S315" s="179">
        <f t="shared" si="95"/>
        <v>4859.3864915304011</v>
      </c>
      <c r="T315" s="259"/>
      <c r="U315" s="179">
        <f t="shared" si="108"/>
        <v>150</v>
      </c>
      <c r="V315" s="259"/>
      <c r="W315" s="179">
        <f t="shared" si="96"/>
        <v>0</v>
      </c>
      <c r="X315" s="259"/>
      <c r="Y315" s="179">
        <f t="shared" si="97"/>
        <v>1022.73</v>
      </c>
      <c r="Z315" s="259"/>
      <c r="AA315" s="179">
        <f t="shared" si="98"/>
        <v>40</v>
      </c>
      <c r="AB315" s="259"/>
      <c r="AC315" s="179">
        <f t="shared" si="99"/>
        <v>1394.266018065</v>
      </c>
      <c r="AD315" s="238">
        <f t="shared" si="94"/>
        <v>0</v>
      </c>
      <c r="AE315" s="179">
        <f t="shared" si="100"/>
        <v>2456.996018065</v>
      </c>
      <c r="AF315" s="264"/>
      <c r="AG315" s="179">
        <f t="shared" si="101"/>
        <v>1000</v>
      </c>
      <c r="AH315" s="268"/>
      <c r="AI315" s="179">
        <f t="shared" si="102"/>
        <v>0</v>
      </c>
      <c r="AJ315" s="268"/>
      <c r="AK315" s="179">
        <f t="shared" si="103"/>
        <v>22.73</v>
      </c>
      <c r="AL315" s="268"/>
      <c r="AM315" s="179">
        <f t="shared" si="104"/>
        <v>0</v>
      </c>
      <c r="AN315" s="268"/>
      <c r="AO315" s="179">
        <f t="shared" si="105"/>
        <v>0</v>
      </c>
      <c r="AP315" s="268"/>
      <c r="AQ315" s="179">
        <f t="shared" si="109"/>
        <v>0</v>
      </c>
      <c r="AR315" s="273"/>
      <c r="AS315" s="305">
        <f t="shared" si="106"/>
        <v>0</v>
      </c>
      <c r="AT315" s="273"/>
      <c r="AU315" s="305">
        <f t="shared" si="107"/>
        <v>0</v>
      </c>
    </row>
    <row r="316" spans="1:47" s="34" customFormat="1" hidden="1" x14ac:dyDescent="0.25">
      <c r="A316" s="87"/>
      <c r="B316" s="42"/>
      <c r="C316" s="41"/>
      <c r="D316" s="41"/>
      <c r="E316" s="40"/>
      <c r="F316" s="40"/>
      <c r="G316" s="40"/>
      <c r="H316" s="40"/>
      <c r="I316" s="160"/>
      <c r="J316" s="41"/>
      <c r="K316" s="41"/>
      <c r="L316" s="41"/>
      <c r="M316" s="41"/>
      <c r="N316" s="41"/>
      <c r="O316" s="41"/>
      <c r="P316" s="188"/>
      <c r="Q316" s="236"/>
      <c r="R316" s="280"/>
      <c r="S316" s="179">
        <f t="shared" si="95"/>
        <v>4859.3864915304011</v>
      </c>
      <c r="T316" s="259"/>
      <c r="U316" s="179">
        <f t="shared" si="108"/>
        <v>150</v>
      </c>
      <c r="V316" s="259"/>
      <c r="W316" s="179">
        <f t="shared" si="96"/>
        <v>0</v>
      </c>
      <c r="X316" s="259"/>
      <c r="Y316" s="179">
        <f t="shared" si="97"/>
        <v>1022.73</v>
      </c>
      <c r="Z316" s="259"/>
      <c r="AA316" s="179">
        <f t="shared" si="98"/>
        <v>40</v>
      </c>
      <c r="AB316" s="259"/>
      <c r="AC316" s="179">
        <f t="shared" si="99"/>
        <v>1394.266018065</v>
      </c>
      <c r="AD316" s="238">
        <f t="shared" si="94"/>
        <v>0</v>
      </c>
      <c r="AE316" s="179">
        <f t="shared" si="100"/>
        <v>2456.996018065</v>
      </c>
      <c r="AF316" s="264"/>
      <c r="AG316" s="179">
        <f t="shared" si="101"/>
        <v>1000</v>
      </c>
      <c r="AH316" s="268"/>
      <c r="AI316" s="179">
        <f t="shared" si="102"/>
        <v>0</v>
      </c>
      <c r="AJ316" s="268"/>
      <c r="AK316" s="179">
        <f t="shared" si="103"/>
        <v>22.73</v>
      </c>
      <c r="AL316" s="268"/>
      <c r="AM316" s="179">
        <f t="shared" si="104"/>
        <v>0</v>
      </c>
      <c r="AN316" s="268"/>
      <c r="AO316" s="179">
        <f t="shared" si="105"/>
        <v>0</v>
      </c>
      <c r="AP316" s="268"/>
      <c r="AQ316" s="179">
        <f t="shared" si="109"/>
        <v>0</v>
      </c>
      <c r="AR316" s="273"/>
      <c r="AS316" s="305">
        <f t="shared" si="106"/>
        <v>0</v>
      </c>
      <c r="AT316" s="273"/>
      <c r="AU316" s="305">
        <f t="shared" si="107"/>
        <v>0</v>
      </c>
    </row>
    <row r="317" spans="1:47" s="34" customFormat="1" hidden="1" x14ac:dyDescent="0.25">
      <c r="A317" s="87"/>
      <c r="B317" s="42"/>
      <c r="C317" s="41"/>
      <c r="D317" s="41"/>
      <c r="E317" s="40"/>
      <c r="F317" s="40"/>
      <c r="G317" s="40"/>
      <c r="H317" s="40"/>
      <c r="I317" s="160"/>
      <c r="J317" s="41"/>
      <c r="K317" s="41"/>
      <c r="L317" s="41"/>
      <c r="M317" s="41"/>
      <c r="N317" s="41"/>
      <c r="O317" s="41"/>
      <c r="P317" s="188"/>
      <c r="Q317" s="236"/>
      <c r="R317" s="280"/>
      <c r="S317" s="179">
        <f t="shared" si="95"/>
        <v>4859.3864915304011</v>
      </c>
      <c r="T317" s="259"/>
      <c r="U317" s="179">
        <f t="shared" si="108"/>
        <v>150</v>
      </c>
      <c r="V317" s="259"/>
      <c r="W317" s="179">
        <f t="shared" si="96"/>
        <v>0</v>
      </c>
      <c r="X317" s="259"/>
      <c r="Y317" s="179">
        <f t="shared" si="97"/>
        <v>1022.73</v>
      </c>
      <c r="Z317" s="259"/>
      <c r="AA317" s="179">
        <f t="shared" si="98"/>
        <v>40</v>
      </c>
      <c r="AB317" s="259"/>
      <c r="AC317" s="179">
        <f t="shared" si="99"/>
        <v>1394.266018065</v>
      </c>
      <c r="AD317" s="238">
        <f t="shared" si="94"/>
        <v>0</v>
      </c>
      <c r="AE317" s="179">
        <f t="shared" si="100"/>
        <v>2456.996018065</v>
      </c>
      <c r="AF317" s="264"/>
      <c r="AG317" s="179">
        <f t="shared" si="101"/>
        <v>1000</v>
      </c>
      <c r="AH317" s="268"/>
      <c r="AI317" s="179">
        <f t="shared" si="102"/>
        <v>0</v>
      </c>
      <c r="AJ317" s="268"/>
      <c r="AK317" s="179">
        <f t="shared" si="103"/>
        <v>22.73</v>
      </c>
      <c r="AL317" s="268"/>
      <c r="AM317" s="179">
        <f t="shared" si="104"/>
        <v>0</v>
      </c>
      <c r="AN317" s="268"/>
      <c r="AO317" s="179">
        <f t="shared" si="105"/>
        <v>0</v>
      </c>
      <c r="AP317" s="268"/>
      <c r="AQ317" s="179">
        <f t="shared" si="109"/>
        <v>0</v>
      </c>
      <c r="AR317" s="273"/>
      <c r="AS317" s="305">
        <f t="shared" si="106"/>
        <v>0</v>
      </c>
      <c r="AT317" s="273"/>
      <c r="AU317" s="305">
        <f t="shared" si="107"/>
        <v>0</v>
      </c>
    </row>
    <row r="318" spans="1:47" s="34" customFormat="1" hidden="1" x14ac:dyDescent="0.25">
      <c r="A318" s="87"/>
      <c r="B318" s="42"/>
      <c r="C318" s="41"/>
      <c r="D318" s="41"/>
      <c r="E318" s="40"/>
      <c r="F318" s="40"/>
      <c r="G318" s="40"/>
      <c r="H318" s="40"/>
      <c r="I318" s="160"/>
      <c r="J318" s="41"/>
      <c r="K318" s="41"/>
      <c r="L318" s="41"/>
      <c r="M318" s="41"/>
      <c r="N318" s="41"/>
      <c r="O318" s="41"/>
      <c r="P318" s="188"/>
      <c r="Q318" s="236"/>
      <c r="R318" s="280"/>
      <c r="S318" s="179">
        <f t="shared" si="95"/>
        <v>4859.3864915304011</v>
      </c>
      <c r="T318" s="259"/>
      <c r="U318" s="179">
        <f t="shared" si="108"/>
        <v>150</v>
      </c>
      <c r="V318" s="259"/>
      <c r="W318" s="179">
        <f t="shared" si="96"/>
        <v>0</v>
      </c>
      <c r="X318" s="259"/>
      <c r="Y318" s="179">
        <f t="shared" si="97"/>
        <v>1022.73</v>
      </c>
      <c r="Z318" s="259"/>
      <c r="AA318" s="179">
        <f t="shared" si="98"/>
        <v>40</v>
      </c>
      <c r="AB318" s="259"/>
      <c r="AC318" s="179">
        <f t="shared" si="99"/>
        <v>1394.266018065</v>
      </c>
      <c r="AD318" s="238">
        <f t="shared" si="94"/>
        <v>0</v>
      </c>
      <c r="AE318" s="179">
        <f t="shared" si="100"/>
        <v>2456.996018065</v>
      </c>
      <c r="AF318" s="264"/>
      <c r="AG318" s="179">
        <f t="shared" si="101"/>
        <v>1000</v>
      </c>
      <c r="AH318" s="268"/>
      <c r="AI318" s="179">
        <f t="shared" si="102"/>
        <v>0</v>
      </c>
      <c r="AJ318" s="268"/>
      <c r="AK318" s="179">
        <f t="shared" si="103"/>
        <v>22.73</v>
      </c>
      <c r="AL318" s="268"/>
      <c r="AM318" s="179">
        <f t="shared" si="104"/>
        <v>0</v>
      </c>
      <c r="AN318" s="268"/>
      <c r="AO318" s="179">
        <f t="shared" si="105"/>
        <v>0</v>
      </c>
      <c r="AP318" s="268"/>
      <c r="AQ318" s="179">
        <f t="shared" si="109"/>
        <v>0</v>
      </c>
      <c r="AR318" s="273"/>
      <c r="AS318" s="305">
        <f t="shared" si="106"/>
        <v>0</v>
      </c>
      <c r="AT318" s="273"/>
      <c r="AU318" s="305">
        <f t="shared" si="107"/>
        <v>0</v>
      </c>
    </row>
    <row r="319" spans="1:47" s="34" customFormat="1" hidden="1" x14ac:dyDescent="0.25">
      <c r="A319" s="87"/>
      <c r="B319" s="42"/>
      <c r="C319" s="41"/>
      <c r="D319" s="41"/>
      <c r="E319" s="40"/>
      <c r="F319" s="40"/>
      <c r="G319" s="40"/>
      <c r="H319" s="40"/>
      <c r="I319" s="160"/>
      <c r="J319" s="41"/>
      <c r="K319" s="41"/>
      <c r="L319" s="41"/>
      <c r="M319" s="41"/>
      <c r="N319" s="41"/>
      <c r="O319" s="41"/>
      <c r="P319" s="188"/>
      <c r="Q319" s="236"/>
      <c r="R319" s="280"/>
      <c r="S319" s="179">
        <f t="shared" si="95"/>
        <v>4859.3864915304011</v>
      </c>
      <c r="T319" s="259"/>
      <c r="U319" s="179">
        <f t="shared" si="108"/>
        <v>150</v>
      </c>
      <c r="V319" s="259"/>
      <c r="W319" s="179">
        <f t="shared" si="96"/>
        <v>0</v>
      </c>
      <c r="X319" s="259"/>
      <c r="Y319" s="179">
        <f t="shared" si="97"/>
        <v>1022.73</v>
      </c>
      <c r="Z319" s="259"/>
      <c r="AA319" s="179">
        <f t="shared" si="98"/>
        <v>40</v>
      </c>
      <c r="AB319" s="259"/>
      <c r="AC319" s="179">
        <f t="shared" si="99"/>
        <v>1394.266018065</v>
      </c>
      <c r="AD319" s="238">
        <f t="shared" si="94"/>
        <v>0</v>
      </c>
      <c r="AE319" s="179">
        <f t="shared" si="100"/>
        <v>2456.996018065</v>
      </c>
      <c r="AF319" s="264"/>
      <c r="AG319" s="179">
        <f t="shared" si="101"/>
        <v>1000</v>
      </c>
      <c r="AH319" s="268"/>
      <c r="AI319" s="179">
        <f t="shared" si="102"/>
        <v>0</v>
      </c>
      <c r="AJ319" s="268"/>
      <c r="AK319" s="179">
        <f t="shared" si="103"/>
        <v>22.73</v>
      </c>
      <c r="AL319" s="268"/>
      <c r="AM319" s="179">
        <f t="shared" si="104"/>
        <v>0</v>
      </c>
      <c r="AN319" s="268"/>
      <c r="AO319" s="179">
        <f t="shared" si="105"/>
        <v>0</v>
      </c>
      <c r="AP319" s="268"/>
      <c r="AQ319" s="179">
        <f t="shared" si="109"/>
        <v>0</v>
      </c>
      <c r="AR319" s="273"/>
      <c r="AS319" s="305">
        <f t="shared" si="106"/>
        <v>0</v>
      </c>
      <c r="AT319" s="273"/>
      <c r="AU319" s="305">
        <f t="shared" si="107"/>
        <v>0</v>
      </c>
    </row>
    <row r="320" spans="1:47" s="34" customFormat="1" hidden="1" x14ac:dyDescent="0.25">
      <c r="A320" s="87"/>
      <c r="B320" s="42"/>
      <c r="C320" s="41"/>
      <c r="D320" s="41"/>
      <c r="E320" s="40"/>
      <c r="F320" s="40"/>
      <c r="G320" s="40"/>
      <c r="H320" s="40"/>
      <c r="I320" s="160"/>
      <c r="J320" s="41"/>
      <c r="K320" s="41"/>
      <c r="L320" s="41"/>
      <c r="M320" s="41"/>
      <c r="N320" s="41"/>
      <c r="O320" s="41"/>
      <c r="P320" s="188"/>
      <c r="Q320" s="236"/>
      <c r="R320" s="280"/>
      <c r="S320" s="179">
        <f t="shared" si="95"/>
        <v>4859.3864915304011</v>
      </c>
      <c r="T320" s="259"/>
      <c r="U320" s="179">
        <f t="shared" si="108"/>
        <v>150</v>
      </c>
      <c r="V320" s="259"/>
      <c r="W320" s="179">
        <f t="shared" si="96"/>
        <v>0</v>
      </c>
      <c r="X320" s="259"/>
      <c r="Y320" s="179">
        <f t="shared" si="97"/>
        <v>1022.73</v>
      </c>
      <c r="Z320" s="259"/>
      <c r="AA320" s="179">
        <f t="shared" si="98"/>
        <v>40</v>
      </c>
      <c r="AB320" s="259"/>
      <c r="AC320" s="179">
        <f t="shared" si="99"/>
        <v>1394.266018065</v>
      </c>
      <c r="AD320" s="238">
        <f t="shared" si="94"/>
        <v>0</v>
      </c>
      <c r="AE320" s="179">
        <f t="shared" si="100"/>
        <v>2456.996018065</v>
      </c>
      <c r="AF320" s="264"/>
      <c r="AG320" s="179">
        <f t="shared" si="101"/>
        <v>1000</v>
      </c>
      <c r="AH320" s="268"/>
      <c r="AI320" s="179">
        <f t="shared" si="102"/>
        <v>0</v>
      </c>
      <c r="AJ320" s="268"/>
      <c r="AK320" s="179">
        <f t="shared" si="103"/>
        <v>22.73</v>
      </c>
      <c r="AL320" s="268"/>
      <c r="AM320" s="179">
        <f t="shared" si="104"/>
        <v>0</v>
      </c>
      <c r="AN320" s="268"/>
      <c r="AO320" s="179">
        <f t="shared" si="105"/>
        <v>0</v>
      </c>
      <c r="AP320" s="268"/>
      <c r="AQ320" s="179">
        <f t="shared" si="109"/>
        <v>0</v>
      </c>
      <c r="AR320" s="273"/>
      <c r="AS320" s="305">
        <f t="shared" si="106"/>
        <v>0</v>
      </c>
      <c r="AT320" s="273"/>
      <c r="AU320" s="305">
        <f t="shared" si="107"/>
        <v>0</v>
      </c>
    </row>
    <row r="321" spans="1:47" s="34" customFormat="1" hidden="1" x14ac:dyDescent="0.25">
      <c r="A321" s="87"/>
      <c r="B321" s="42"/>
      <c r="C321" s="41"/>
      <c r="D321" s="41"/>
      <c r="E321" s="40"/>
      <c r="F321" s="40"/>
      <c r="G321" s="40"/>
      <c r="H321" s="40"/>
      <c r="I321" s="160"/>
      <c r="J321" s="41"/>
      <c r="K321" s="41"/>
      <c r="L321" s="41"/>
      <c r="M321" s="41"/>
      <c r="N321" s="41"/>
      <c r="O321" s="41"/>
      <c r="P321" s="188"/>
      <c r="Q321" s="236"/>
      <c r="R321" s="280"/>
      <c r="S321" s="179">
        <f t="shared" si="95"/>
        <v>4859.3864915304011</v>
      </c>
      <c r="T321" s="259"/>
      <c r="U321" s="179">
        <f t="shared" si="108"/>
        <v>150</v>
      </c>
      <c r="V321" s="259"/>
      <c r="W321" s="179">
        <f t="shared" si="96"/>
        <v>0</v>
      </c>
      <c r="X321" s="259"/>
      <c r="Y321" s="179">
        <f t="shared" si="97"/>
        <v>1022.73</v>
      </c>
      <c r="Z321" s="259"/>
      <c r="AA321" s="179">
        <f t="shared" si="98"/>
        <v>40</v>
      </c>
      <c r="AB321" s="259"/>
      <c r="AC321" s="179">
        <f t="shared" si="99"/>
        <v>1394.266018065</v>
      </c>
      <c r="AD321" s="238">
        <f t="shared" ref="AD321:AD384" si="110">Mat_Col_Deduct+Mat_Col_Copay+Mat_Col_Coinsur</f>
        <v>0</v>
      </c>
      <c r="AE321" s="179">
        <f t="shared" si="100"/>
        <v>2456.996018065</v>
      </c>
      <c r="AF321" s="264"/>
      <c r="AG321" s="179">
        <f t="shared" si="101"/>
        <v>1000</v>
      </c>
      <c r="AH321" s="268"/>
      <c r="AI321" s="179">
        <f t="shared" si="102"/>
        <v>0</v>
      </c>
      <c r="AJ321" s="268"/>
      <c r="AK321" s="179">
        <f t="shared" si="103"/>
        <v>22.73</v>
      </c>
      <c r="AL321" s="268"/>
      <c r="AM321" s="179">
        <f t="shared" si="104"/>
        <v>0</v>
      </c>
      <c r="AN321" s="268"/>
      <c r="AO321" s="179">
        <f t="shared" si="105"/>
        <v>0</v>
      </c>
      <c r="AP321" s="268"/>
      <c r="AQ321" s="179">
        <f t="shared" si="109"/>
        <v>0</v>
      </c>
      <c r="AR321" s="273"/>
      <c r="AS321" s="305">
        <f t="shared" si="106"/>
        <v>0</v>
      </c>
      <c r="AT321" s="273"/>
      <c r="AU321" s="305">
        <f t="shared" si="107"/>
        <v>0</v>
      </c>
    </row>
    <row r="322" spans="1:47" s="34" customFormat="1" hidden="1" x14ac:dyDescent="0.25">
      <c r="A322" s="87"/>
      <c r="B322" s="42"/>
      <c r="C322" s="41"/>
      <c r="D322" s="41"/>
      <c r="E322" s="40"/>
      <c r="F322" s="40"/>
      <c r="G322" s="40"/>
      <c r="H322" s="40"/>
      <c r="I322" s="160"/>
      <c r="J322" s="41"/>
      <c r="K322" s="41"/>
      <c r="L322" s="41"/>
      <c r="M322" s="41"/>
      <c r="N322" s="41"/>
      <c r="O322" s="41"/>
      <c r="P322" s="188"/>
      <c r="Q322" s="236"/>
      <c r="R322" s="280"/>
      <c r="S322" s="179">
        <f t="shared" si="95"/>
        <v>4859.3864915304011</v>
      </c>
      <c r="T322" s="259"/>
      <c r="U322" s="179">
        <f t="shared" si="108"/>
        <v>150</v>
      </c>
      <c r="V322" s="259"/>
      <c r="W322" s="179">
        <f t="shared" si="96"/>
        <v>0</v>
      </c>
      <c r="X322" s="259"/>
      <c r="Y322" s="179">
        <f t="shared" si="97"/>
        <v>1022.73</v>
      </c>
      <c r="Z322" s="259"/>
      <c r="AA322" s="179">
        <f t="shared" si="98"/>
        <v>40</v>
      </c>
      <c r="AB322" s="259"/>
      <c r="AC322" s="179">
        <f t="shared" si="99"/>
        <v>1394.266018065</v>
      </c>
      <c r="AD322" s="238">
        <f t="shared" si="110"/>
        <v>0</v>
      </c>
      <c r="AE322" s="179">
        <f t="shared" si="100"/>
        <v>2456.996018065</v>
      </c>
      <c r="AF322" s="264"/>
      <c r="AG322" s="179">
        <f t="shared" si="101"/>
        <v>1000</v>
      </c>
      <c r="AH322" s="268"/>
      <c r="AI322" s="179">
        <f t="shared" si="102"/>
        <v>0</v>
      </c>
      <c r="AJ322" s="268"/>
      <c r="AK322" s="179">
        <f t="shared" si="103"/>
        <v>22.73</v>
      </c>
      <c r="AL322" s="268"/>
      <c r="AM322" s="179">
        <f t="shared" si="104"/>
        <v>0</v>
      </c>
      <c r="AN322" s="268"/>
      <c r="AO322" s="179">
        <f t="shared" si="105"/>
        <v>0</v>
      </c>
      <c r="AP322" s="268"/>
      <c r="AQ322" s="179">
        <f t="shared" si="109"/>
        <v>0</v>
      </c>
      <c r="AR322" s="273"/>
      <c r="AS322" s="305">
        <f t="shared" si="106"/>
        <v>0</v>
      </c>
      <c r="AT322" s="273"/>
      <c r="AU322" s="305">
        <f t="shared" si="107"/>
        <v>0</v>
      </c>
    </row>
    <row r="323" spans="1:47" s="34" customFormat="1" hidden="1" x14ac:dyDescent="0.25">
      <c r="A323" s="87"/>
      <c r="B323" s="42"/>
      <c r="C323" s="41"/>
      <c r="D323" s="41"/>
      <c r="E323" s="40"/>
      <c r="F323" s="40"/>
      <c r="G323" s="40"/>
      <c r="H323" s="40"/>
      <c r="I323" s="160"/>
      <c r="J323" s="41"/>
      <c r="K323" s="41"/>
      <c r="L323" s="41"/>
      <c r="M323" s="41"/>
      <c r="N323" s="41"/>
      <c r="O323" s="41"/>
      <c r="P323" s="188"/>
      <c r="Q323" s="236"/>
      <c r="R323" s="280"/>
      <c r="S323" s="179">
        <f t="shared" ref="S323:S386" si="111">S322+R323</f>
        <v>4859.3864915304011</v>
      </c>
      <c r="T323" s="259"/>
      <c r="U323" s="179">
        <f t="shared" si="108"/>
        <v>150</v>
      </c>
      <c r="V323" s="259"/>
      <c r="W323" s="179">
        <f t="shared" ref="W323:W386" si="112">W322+V323</f>
        <v>0</v>
      </c>
      <c r="X323" s="259"/>
      <c r="Y323" s="179">
        <f t="shared" ref="Y323:Y386" si="113">Y322+X323</f>
        <v>1022.73</v>
      </c>
      <c r="Z323" s="259"/>
      <c r="AA323" s="179">
        <f t="shared" ref="AA323:AA386" si="114">AA322+Z323</f>
        <v>40</v>
      </c>
      <c r="AB323" s="259"/>
      <c r="AC323" s="179">
        <f t="shared" ref="AC323:AC386" si="115">AC322+AB323</f>
        <v>1394.266018065</v>
      </c>
      <c r="AD323" s="238">
        <f t="shared" si="110"/>
        <v>0</v>
      </c>
      <c r="AE323" s="179">
        <f t="shared" ref="AE323:AE386" si="116">AE322+AD323</f>
        <v>2456.996018065</v>
      </c>
      <c r="AF323" s="264"/>
      <c r="AG323" s="179">
        <f t="shared" ref="AG323:AG386" si="117">AG322+AF323</f>
        <v>1000</v>
      </c>
      <c r="AH323" s="268"/>
      <c r="AI323" s="179">
        <f t="shared" ref="AI323:AI386" si="118">AI322+AH323</f>
        <v>0</v>
      </c>
      <c r="AJ323" s="268"/>
      <c r="AK323" s="179">
        <f t="shared" ref="AK323:AK386" si="119">AK322+AJ323</f>
        <v>22.73</v>
      </c>
      <c r="AL323" s="268"/>
      <c r="AM323" s="179">
        <f t="shared" ref="AM323:AM386" si="120">AM322+AL323</f>
        <v>0</v>
      </c>
      <c r="AN323" s="268"/>
      <c r="AO323" s="179">
        <f t="shared" ref="AO323:AO386" si="121">AO322+AN323</f>
        <v>0</v>
      </c>
      <c r="AP323" s="268"/>
      <c r="AQ323" s="179">
        <f t="shared" si="109"/>
        <v>0</v>
      </c>
      <c r="AR323" s="273"/>
      <c r="AS323" s="305">
        <f t="shared" ref="AS323:AS386" si="122">AS322+AR323</f>
        <v>0</v>
      </c>
      <c r="AT323" s="273"/>
      <c r="AU323" s="305">
        <f t="shared" ref="AU323:AU386" si="123">AU322+AT323</f>
        <v>0</v>
      </c>
    </row>
    <row r="324" spans="1:47" s="34" customFormat="1" hidden="1" x14ac:dyDescent="0.25">
      <c r="A324" s="87"/>
      <c r="B324" s="42"/>
      <c r="C324" s="41"/>
      <c r="D324" s="41"/>
      <c r="E324" s="40"/>
      <c r="F324" s="40"/>
      <c r="G324" s="40"/>
      <c r="H324" s="40"/>
      <c r="I324" s="160"/>
      <c r="J324" s="41"/>
      <c r="K324" s="41"/>
      <c r="L324" s="41"/>
      <c r="M324" s="41"/>
      <c r="N324" s="41"/>
      <c r="O324" s="41"/>
      <c r="P324" s="188"/>
      <c r="Q324" s="236"/>
      <c r="R324" s="280"/>
      <c r="S324" s="179">
        <f t="shared" si="111"/>
        <v>4859.3864915304011</v>
      </c>
      <c r="T324" s="259"/>
      <c r="U324" s="179">
        <f t="shared" si="108"/>
        <v>150</v>
      </c>
      <c r="V324" s="259"/>
      <c r="W324" s="179">
        <f t="shared" si="112"/>
        <v>0</v>
      </c>
      <c r="X324" s="259"/>
      <c r="Y324" s="179">
        <f t="shared" si="113"/>
        <v>1022.73</v>
      </c>
      <c r="Z324" s="259"/>
      <c r="AA324" s="179">
        <f t="shared" si="114"/>
        <v>40</v>
      </c>
      <c r="AB324" s="259"/>
      <c r="AC324" s="179">
        <f t="shared" si="115"/>
        <v>1394.266018065</v>
      </c>
      <c r="AD324" s="238">
        <f t="shared" si="110"/>
        <v>0</v>
      </c>
      <c r="AE324" s="179">
        <f t="shared" si="116"/>
        <v>2456.996018065</v>
      </c>
      <c r="AF324" s="264"/>
      <c r="AG324" s="179">
        <f t="shared" si="117"/>
        <v>1000</v>
      </c>
      <c r="AH324" s="268"/>
      <c r="AI324" s="179">
        <f t="shared" si="118"/>
        <v>0</v>
      </c>
      <c r="AJ324" s="268"/>
      <c r="AK324" s="179">
        <f t="shared" si="119"/>
        <v>22.73</v>
      </c>
      <c r="AL324" s="268"/>
      <c r="AM324" s="179">
        <f t="shared" si="120"/>
        <v>0</v>
      </c>
      <c r="AN324" s="268"/>
      <c r="AO324" s="179">
        <f t="shared" si="121"/>
        <v>0</v>
      </c>
      <c r="AP324" s="268"/>
      <c r="AQ324" s="179">
        <f t="shared" si="109"/>
        <v>0</v>
      </c>
      <c r="AR324" s="273"/>
      <c r="AS324" s="305">
        <f t="shared" si="122"/>
        <v>0</v>
      </c>
      <c r="AT324" s="273"/>
      <c r="AU324" s="305">
        <f t="shared" si="123"/>
        <v>0</v>
      </c>
    </row>
    <row r="325" spans="1:47" s="34" customFormat="1" hidden="1" x14ac:dyDescent="0.25">
      <c r="A325" s="87"/>
      <c r="B325" s="42"/>
      <c r="C325" s="41"/>
      <c r="D325" s="41"/>
      <c r="E325" s="40"/>
      <c r="F325" s="40"/>
      <c r="G325" s="40"/>
      <c r="H325" s="40"/>
      <c r="I325" s="160"/>
      <c r="J325" s="41"/>
      <c r="K325" s="41"/>
      <c r="L325" s="41"/>
      <c r="M325" s="41"/>
      <c r="N325" s="41"/>
      <c r="O325" s="41"/>
      <c r="P325" s="188"/>
      <c r="Q325" s="236"/>
      <c r="R325" s="280"/>
      <c r="S325" s="179">
        <f t="shared" si="111"/>
        <v>4859.3864915304011</v>
      </c>
      <c r="T325" s="259"/>
      <c r="U325" s="179">
        <f t="shared" ref="U325:U388" si="124">U324+T325</f>
        <v>150</v>
      </c>
      <c r="V325" s="259"/>
      <c r="W325" s="179">
        <f t="shared" si="112"/>
        <v>0</v>
      </c>
      <c r="X325" s="259"/>
      <c r="Y325" s="179">
        <f t="shared" si="113"/>
        <v>1022.73</v>
      </c>
      <c r="Z325" s="259"/>
      <c r="AA325" s="179">
        <f t="shared" si="114"/>
        <v>40</v>
      </c>
      <c r="AB325" s="259"/>
      <c r="AC325" s="179">
        <f t="shared" si="115"/>
        <v>1394.266018065</v>
      </c>
      <c r="AD325" s="238">
        <f t="shared" si="110"/>
        <v>0</v>
      </c>
      <c r="AE325" s="179">
        <f t="shared" si="116"/>
        <v>2456.996018065</v>
      </c>
      <c r="AF325" s="264"/>
      <c r="AG325" s="179">
        <f t="shared" si="117"/>
        <v>1000</v>
      </c>
      <c r="AH325" s="268"/>
      <c r="AI325" s="179">
        <f t="shared" si="118"/>
        <v>0</v>
      </c>
      <c r="AJ325" s="268"/>
      <c r="AK325" s="179">
        <f t="shared" si="119"/>
        <v>22.73</v>
      </c>
      <c r="AL325" s="268"/>
      <c r="AM325" s="179">
        <f t="shared" si="120"/>
        <v>0</v>
      </c>
      <c r="AN325" s="268"/>
      <c r="AO325" s="179">
        <f t="shared" si="121"/>
        <v>0</v>
      </c>
      <c r="AP325" s="268"/>
      <c r="AQ325" s="179">
        <f t="shared" ref="AQ325:AQ388" si="125">AQ324+AP325</f>
        <v>0</v>
      </c>
      <c r="AR325" s="273"/>
      <c r="AS325" s="305">
        <f t="shared" si="122"/>
        <v>0</v>
      </c>
      <c r="AT325" s="273"/>
      <c r="AU325" s="305">
        <f t="shared" si="123"/>
        <v>0</v>
      </c>
    </row>
    <row r="326" spans="1:47" s="34" customFormat="1" hidden="1" x14ac:dyDescent="0.25">
      <c r="A326" s="87"/>
      <c r="B326" s="42"/>
      <c r="C326" s="41"/>
      <c r="D326" s="41"/>
      <c r="E326" s="40"/>
      <c r="F326" s="40"/>
      <c r="G326" s="40"/>
      <c r="H326" s="40"/>
      <c r="I326" s="160"/>
      <c r="J326" s="41"/>
      <c r="K326" s="41"/>
      <c r="L326" s="41"/>
      <c r="M326" s="41"/>
      <c r="N326" s="41"/>
      <c r="O326" s="41"/>
      <c r="P326" s="188"/>
      <c r="Q326" s="236"/>
      <c r="R326" s="280"/>
      <c r="S326" s="179">
        <f t="shared" si="111"/>
        <v>4859.3864915304011</v>
      </c>
      <c r="T326" s="259"/>
      <c r="U326" s="179">
        <f t="shared" si="124"/>
        <v>150</v>
      </c>
      <c r="V326" s="259"/>
      <c r="W326" s="179">
        <f t="shared" si="112"/>
        <v>0</v>
      </c>
      <c r="X326" s="259"/>
      <c r="Y326" s="179">
        <f t="shared" si="113"/>
        <v>1022.73</v>
      </c>
      <c r="Z326" s="259"/>
      <c r="AA326" s="179">
        <f t="shared" si="114"/>
        <v>40</v>
      </c>
      <c r="AB326" s="259"/>
      <c r="AC326" s="179">
        <f t="shared" si="115"/>
        <v>1394.266018065</v>
      </c>
      <c r="AD326" s="238">
        <f t="shared" si="110"/>
        <v>0</v>
      </c>
      <c r="AE326" s="179">
        <f t="shared" si="116"/>
        <v>2456.996018065</v>
      </c>
      <c r="AF326" s="264"/>
      <c r="AG326" s="179">
        <f t="shared" si="117"/>
        <v>1000</v>
      </c>
      <c r="AH326" s="268"/>
      <c r="AI326" s="179">
        <f t="shared" si="118"/>
        <v>0</v>
      </c>
      <c r="AJ326" s="268"/>
      <c r="AK326" s="179">
        <f t="shared" si="119"/>
        <v>22.73</v>
      </c>
      <c r="AL326" s="268"/>
      <c r="AM326" s="179">
        <f t="shared" si="120"/>
        <v>0</v>
      </c>
      <c r="AN326" s="268"/>
      <c r="AO326" s="179">
        <f t="shared" si="121"/>
        <v>0</v>
      </c>
      <c r="AP326" s="268"/>
      <c r="AQ326" s="179">
        <f t="shared" si="125"/>
        <v>0</v>
      </c>
      <c r="AR326" s="273"/>
      <c r="AS326" s="305">
        <f t="shared" si="122"/>
        <v>0</v>
      </c>
      <c r="AT326" s="273"/>
      <c r="AU326" s="305">
        <f t="shared" si="123"/>
        <v>0</v>
      </c>
    </row>
    <row r="327" spans="1:47" s="34" customFormat="1" hidden="1" x14ac:dyDescent="0.25">
      <c r="A327" s="87"/>
      <c r="B327" s="42"/>
      <c r="C327" s="41"/>
      <c r="D327" s="41"/>
      <c r="E327" s="40"/>
      <c r="F327" s="40"/>
      <c r="G327" s="40"/>
      <c r="H327" s="40"/>
      <c r="I327" s="160"/>
      <c r="J327" s="41"/>
      <c r="K327" s="41"/>
      <c r="L327" s="41"/>
      <c r="M327" s="41"/>
      <c r="N327" s="41"/>
      <c r="O327" s="41"/>
      <c r="P327" s="188"/>
      <c r="Q327" s="236"/>
      <c r="R327" s="280"/>
      <c r="S327" s="179">
        <f t="shared" si="111"/>
        <v>4859.3864915304011</v>
      </c>
      <c r="T327" s="259"/>
      <c r="U327" s="179">
        <f t="shared" si="124"/>
        <v>150</v>
      </c>
      <c r="V327" s="259"/>
      <c r="W327" s="179">
        <f t="shared" si="112"/>
        <v>0</v>
      </c>
      <c r="X327" s="259"/>
      <c r="Y327" s="179">
        <f t="shared" si="113"/>
        <v>1022.73</v>
      </c>
      <c r="Z327" s="259"/>
      <c r="AA327" s="179">
        <f t="shared" si="114"/>
        <v>40</v>
      </c>
      <c r="AB327" s="259"/>
      <c r="AC327" s="179">
        <f t="shared" si="115"/>
        <v>1394.266018065</v>
      </c>
      <c r="AD327" s="238">
        <f t="shared" si="110"/>
        <v>0</v>
      </c>
      <c r="AE327" s="179">
        <f t="shared" si="116"/>
        <v>2456.996018065</v>
      </c>
      <c r="AF327" s="264"/>
      <c r="AG327" s="179">
        <f t="shared" si="117"/>
        <v>1000</v>
      </c>
      <c r="AH327" s="268"/>
      <c r="AI327" s="179">
        <f t="shared" si="118"/>
        <v>0</v>
      </c>
      <c r="AJ327" s="268"/>
      <c r="AK327" s="179">
        <f t="shared" si="119"/>
        <v>22.73</v>
      </c>
      <c r="AL327" s="268"/>
      <c r="AM327" s="179">
        <f t="shared" si="120"/>
        <v>0</v>
      </c>
      <c r="AN327" s="268"/>
      <c r="AO327" s="179">
        <f t="shared" si="121"/>
        <v>0</v>
      </c>
      <c r="AP327" s="268"/>
      <c r="AQ327" s="179">
        <f t="shared" si="125"/>
        <v>0</v>
      </c>
      <c r="AR327" s="273"/>
      <c r="AS327" s="305">
        <f t="shared" si="122"/>
        <v>0</v>
      </c>
      <c r="AT327" s="273"/>
      <c r="AU327" s="305">
        <f t="shared" si="123"/>
        <v>0</v>
      </c>
    </row>
    <row r="328" spans="1:47" s="34" customFormat="1" hidden="1" x14ac:dyDescent="0.25">
      <c r="A328" s="87"/>
      <c r="B328" s="42"/>
      <c r="C328" s="41"/>
      <c r="D328" s="41"/>
      <c r="E328" s="40"/>
      <c r="F328" s="40"/>
      <c r="G328" s="40"/>
      <c r="H328" s="40"/>
      <c r="I328" s="160"/>
      <c r="J328" s="41"/>
      <c r="K328" s="41"/>
      <c r="L328" s="41"/>
      <c r="M328" s="41"/>
      <c r="N328" s="41"/>
      <c r="O328" s="41"/>
      <c r="P328" s="188"/>
      <c r="Q328" s="236"/>
      <c r="R328" s="280"/>
      <c r="S328" s="179">
        <f t="shared" si="111"/>
        <v>4859.3864915304011</v>
      </c>
      <c r="T328" s="259"/>
      <c r="U328" s="179">
        <f t="shared" si="124"/>
        <v>150</v>
      </c>
      <c r="V328" s="259"/>
      <c r="W328" s="179">
        <f t="shared" si="112"/>
        <v>0</v>
      </c>
      <c r="X328" s="259"/>
      <c r="Y328" s="179">
        <f t="shared" si="113"/>
        <v>1022.73</v>
      </c>
      <c r="Z328" s="259"/>
      <c r="AA328" s="179">
        <f t="shared" si="114"/>
        <v>40</v>
      </c>
      <c r="AB328" s="259"/>
      <c r="AC328" s="179">
        <f t="shared" si="115"/>
        <v>1394.266018065</v>
      </c>
      <c r="AD328" s="238">
        <f t="shared" si="110"/>
        <v>0</v>
      </c>
      <c r="AE328" s="179">
        <f t="shared" si="116"/>
        <v>2456.996018065</v>
      </c>
      <c r="AF328" s="264"/>
      <c r="AG328" s="179">
        <f t="shared" si="117"/>
        <v>1000</v>
      </c>
      <c r="AH328" s="268"/>
      <c r="AI328" s="179">
        <f t="shared" si="118"/>
        <v>0</v>
      </c>
      <c r="AJ328" s="268"/>
      <c r="AK328" s="179">
        <f t="shared" si="119"/>
        <v>22.73</v>
      </c>
      <c r="AL328" s="268"/>
      <c r="AM328" s="179">
        <f t="shared" si="120"/>
        <v>0</v>
      </c>
      <c r="AN328" s="268"/>
      <c r="AO328" s="179">
        <f t="shared" si="121"/>
        <v>0</v>
      </c>
      <c r="AP328" s="268"/>
      <c r="AQ328" s="179">
        <f t="shared" si="125"/>
        <v>0</v>
      </c>
      <c r="AR328" s="273"/>
      <c r="AS328" s="305">
        <f t="shared" si="122"/>
        <v>0</v>
      </c>
      <c r="AT328" s="273"/>
      <c r="AU328" s="305">
        <f t="shared" si="123"/>
        <v>0</v>
      </c>
    </row>
    <row r="329" spans="1:47" s="34" customFormat="1" hidden="1" x14ac:dyDescent="0.25">
      <c r="A329" s="87"/>
      <c r="B329" s="42"/>
      <c r="C329" s="41"/>
      <c r="D329" s="41"/>
      <c r="E329" s="40"/>
      <c r="F329" s="40"/>
      <c r="G329" s="40"/>
      <c r="H329" s="40"/>
      <c r="I329" s="160"/>
      <c r="J329" s="41"/>
      <c r="K329" s="41"/>
      <c r="L329" s="41"/>
      <c r="M329" s="41"/>
      <c r="N329" s="41"/>
      <c r="O329" s="41"/>
      <c r="P329" s="188"/>
      <c r="Q329" s="236"/>
      <c r="R329" s="280"/>
      <c r="S329" s="179">
        <f t="shared" si="111"/>
        <v>4859.3864915304011</v>
      </c>
      <c r="T329" s="259"/>
      <c r="U329" s="179">
        <f t="shared" si="124"/>
        <v>150</v>
      </c>
      <c r="V329" s="259"/>
      <c r="W329" s="179">
        <f t="shared" si="112"/>
        <v>0</v>
      </c>
      <c r="X329" s="259"/>
      <c r="Y329" s="179">
        <f t="shared" si="113"/>
        <v>1022.73</v>
      </c>
      <c r="Z329" s="259"/>
      <c r="AA329" s="179">
        <f t="shared" si="114"/>
        <v>40</v>
      </c>
      <c r="AB329" s="259"/>
      <c r="AC329" s="179">
        <f t="shared" si="115"/>
        <v>1394.266018065</v>
      </c>
      <c r="AD329" s="238">
        <f t="shared" si="110"/>
        <v>0</v>
      </c>
      <c r="AE329" s="179">
        <f t="shared" si="116"/>
        <v>2456.996018065</v>
      </c>
      <c r="AF329" s="264"/>
      <c r="AG329" s="179">
        <f t="shared" si="117"/>
        <v>1000</v>
      </c>
      <c r="AH329" s="268"/>
      <c r="AI329" s="179">
        <f t="shared" si="118"/>
        <v>0</v>
      </c>
      <c r="AJ329" s="268"/>
      <c r="AK329" s="179">
        <f t="shared" si="119"/>
        <v>22.73</v>
      </c>
      <c r="AL329" s="268"/>
      <c r="AM329" s="179">
        <f t="shared" si="120"/>
        <v>0</v>
      </c>
      <c r="AN329" s="268"/>
      <c r="AO329" s="179">
        <f t="shared" si="121"/>
        <v>0</v>
      </c>
      <c r="AP329" s="268"/>
      <c r="AQ329" s="179">
        <f t="shared" si="125"/>
        <v>0</v>
      </c>
      <c r="AR329" s="273"/>
      <c r="AS329" s="305">
        <f t="shared" si="122"/>
        <v>0</v>
      </c>
      <c r="AT329" s="273"/>
      <c r="AU329" s="305">
        <f t="shared" si="123"/>
        <v>0</v>
      </c>
    </row>
    <row r="330" spans="1:47" s="34" customFormat="1" hidden="1" x14ac:dyDescent="0.25">
      <c r="A330" s="87"/>
      <c r="B330" s="42"/>
      <c r="C330" s="41"/>
      <c r="D330" s="41"/>
      <c r="E330" s="40"/>
      <c r="F330" s="40"/>
      <c r="G330" s="40"/>
      <c r="H330" s="40"/>
      <c r="I330" s="160"/>
      <c r="J330" s="41"/>
      <c r="K330" s="41"/>
      <c r="L330" s="41"/>
      <c r="M330" s="41"/>
      <c r="N330" s="41"/>
      <c r="O330" s="41"/>
      <c r="P330" s="188"/>
      <c r="Q330" s="236"/>
      <c r="R330" s="280"/>
      <c r="S330" s="179">
        <f t="shared" si="111"/>
        <v>4859.3864915304011</v>
      </c>
      <c r="T330" s="259"/>
      <c r="U330" s="179">
        <f t="shared" si="124"/>
        <v>150</v>
      </c>
      <c r="V330" s="259"/>
      <c r="W330" s="179">
        <f t="shared" si="112"/>
        <v>0</v>
      </c>
      <c r="X330" s="259"/>
      <c r="Y330" s="179">
        <f t="shared" si="113"/>
        <v>1022.73</v>
      </c>
      <c r="Z330" s="259"/>
      <c r="AA330" s="179">
        <f t="shared" si="114"/>
        <v>40</v>
      </c>
      <c r="AB330" s="259"/>
      <c r="AC330" s="179">
        <f t="shared" si="115"/>
        <v>1394.266018065</v>
      </c>
      <c r="AD330" s="238">
        <f t="shared" si="110"/>
        <v>0</v>
      </c>
      <c r="AE330" s="179">
        <f t="shared" si="116"/>
        <v>2456.996018065</v>
      </c>
      <c r="AF330" s="264"/>
      <c r="AG330" s="179">
        <f t="shared" si="117"/>
        <v>1000</v>
      </c>
      <c r="AH330" s="268"/>
      <c r="AI330" s="179">
        <f t="shared" si="118"/>
        <v>0</v>
      </c>
      <c r="AJ330" s="268"/>
      <c r="AK330" s="179">
        <f t="shared" si="119"/>
        <v>22.73</v>
      </c>
      <c r="AL330" s="268"/>
      <c r="AM330" s="179">
        <f t="shared" si="120"/>
        <v>0</v>
      </c>
      <c r="AN330" s="268"/>
      <c r="AO330" s="179">
        <f t="shared" si="121"/>
        <v>0</v>
      </c>
      <c r="AP330" s="268"/>
      <c r="AQ330" s="179">
        <f t="shared" si="125"/>
        <v>0</v>
      </c>
      <c r="AR330" s="273"/>
      <c r="AS330" s="305">
        <f t="shared" si="122"/>
        <v>0</v>
      </c>
      <c r="AT330" s="273"/>
      <c r="AU330" s="305">
        <f t="shared" si="123"/>
        <v>0</v>
      </c>
    </row>
    <row r="331" spans="1:47" s="34" customFormat="1" hidden="1" x14ac:dyDescent="0.25">
      <c r="A331" s="87"/>
      <c r="B331" s="42"/>
      <c r="C331" s="41"/>
      <c r="D331" s="41"/>
      <c r="E331" s="40"/>
      <c r="F331" s="40"/>
      <c r="G331" s="40"/>
      <c r="H331" s="40"/>
      <c r="I331" s="160"/>
      <c r="J331" s="41"/>
      <c r="K331" s="41"/>
      <c r="L331" s="41"/>
      <c r="M331" s="41"/>
      <c r="N331" s="41"/>
      <c r="O331" s="41"/>
      <c r="P331" s="188"/>
      <c r="Q331" s="236"/>
      <c r="R331" s="280"/>
      <c r="S331" s="179">
        <f t="shared" si="111"/>
        <v>4859.3864915304011</v>
      </c>
      <c r="T331" s="259"/>
      <c r="U331" s="179">
        <f t="shared" si="124"/>
        <v>150</v>
      </c>
      <c r="V331" s="259"/>
      <c r="W331" s="179">
        <f t="shared" si="112"/>
        <v>0</v>
      </c>
      <c r="X331" s="259"/>
      <c r="Y331" s="179">
        <f t="shared" si="113"/>
        <v>1022.73</v>
      </c>
      <c r="Z331" s="259"/>
      <c r="AA331" s="179">
        <f t="shared" si="114"/>
        <v>40</v>
      </c>
      <c r="AB331" s="259"/>
      <c r="AC331" s="179">
        <f t="shared" si="115"/>
        <v>1394.266018065</v>
      </c>
      <c r="AD331" s="238">
        <f t="shared" si="110"/>
        <v>0</v>
      </c>
      <c r="AE331" s="179">
        <f t="shared" si="116"/>
        <v>2456.996018065</v>
      </c>
      <c r="AF331" s="264"/>
      <c r="AG331" s="179">
        <f t="shared" si="117"/>
        <v>1000</v>
      </c>
      <c r="AH331" s="268"/>
      <c r="AI331" s="179">
        <f t="shared" si="118"/>
        <v>0</v>
      </c>
      <c r="AJ331" s="268"/>
      <c r="AK331" s="179">
        <f t="shared" si="119"/>
        <v>22.73</v>
      </c>
      <c r="AL331" s="268"/>
      <c r="AM331" s="179">
        <f t="shared" si="120"/>
        <v>0</v>
      </c>
      <c r="AN331" s="268"/>
      <c r="AO331" s="179">
        <f t="shared" si="121"/>
        <v>0</v>
      </c>
      <c r="AP331" s="268"/>
      <c r="AQ331" s="179">
        <f t="shared" si="125"/>
        <v>0</v>
      </c>
      <c r="AR331" s="273"/>
      <c r="AS331" s="305">
        <f t="shared" si="122"/>
        <v>0</v>
      </c>
      <c r="AT331" s="273"/>
      <c r="AU331" s="305">
        <f t="shared" si="123"/>
        <v>0</v>
      </c>
    </row>
    <row r="332" spans="1:47" s="34" customFormat="1" hidden="1" x14ac:dyDescent="0.25">
      <c r="A332" s="87"/>
      <c r="B332" s="42"/>
      <c r="C332" s="41"/>
      <c r="D332" s="41"/>
      <c r="E332" s="40"/>
      <c r="F332" s="40"/>
      <c r="G332" s="40"/>
      <c r="H332" s="40"/>
      <c r="I332" s="160"/>
      <c r="J332" s="41"/>
      <c r="K332" s="41"/>
      <c r="L332" s="41"/>
      <c r="M332" s="41"/>
      <c r="N332" s="41"/>
      <c r="O332" s="41"/>
      <c r="P332" s="188"/>
      <c r="Q332" s="236"/>
      <c r="R332" s="280"/>
      <c r="S332" s="179">
        <f t="shared" si="111"/>
        <v>4859.3864915304011</v>
      </c>
      <c r="T332" s="259"/>
      <c r="U332" s="179">
        <f t="shared" si="124"/>
        <v>150</v>
      </c>
      <c r="V332" s="259"/>
      <c r="W332" s="179">
        <f t="shared" si="112"/>
        <v>0</v>
      </c>
      <c r="X332" s="259"/>
      <c r="Y332" s="179">
        <f t="shared" si="113"/>
        <v>1022.73</v>
      </c>
      <c r="Z332" s="259"/>
      <c r="AA332" s="179">
        <f t="shared" si="114"/>
        <v>40</v>
      </c>
      <c r="AB332" s="259"/>
      <c r="AC332" s="179">
        <f t="shared" si="115"/>
        <v>1394.266018065</v>
      </c>
      <c r="AD332" s="238">
        <f t="shared" si="110"/>
        <v>0</v>
      </c>
      <c r="AE332" s="179">
        <f t="shared" si="116"/>
        <v>2456.996018065</v>
      </c>
      <c r="AF332" s="264"/>
      <c r="AG332" s="179">
        <f t="shared" si="117"/>
        <v>1000</v>
      </c>
      <c r="AH332" s="268"/>
      <c r="AI332" s="179">
        <f t="shared" si="118"/>
        <v>0</v>
      </c>
      <c r="AJ332" s="268"/>
      <c r="AK332" s="179">
        <f t="shared" si="119"/>
        <v>22.73</v>
      </c>
      <c r="AL332" s="268"/>
      <c r="AM332" s="179">
        <f t="shared" si="120"/>
        <v>0</v>
      </c>
      <c r="AN332" s="268"/>
      <c r="AO332" s="179">
        <f t="shared" si="121"/>
        <v>0</v>
      </c>
      <c r="AP332" s="268"/>
      <c r="AQ332" s="179">
        <f t="shared" si="125"/>
        <v>0</v>
      </c>
      <c r="AR332" s="273"/>
      <c r="AS332" s="305">
        <f t="shared" si="122"/>
        <v>0</v>
      </c>
      <c r="AT332" s="273"/>
      <c r="AU332" s="305">
        <f t="shared" si="123"/>
        <v>0</v>
      </c>
    </row>
    <row r="333" spans="1:47" s="34" customFormat="1" hidden="1" x14ac:dyDescent="0.25">
      <c r="A333" s="87"/>
      <c r="B333" s="42"/>
      <c r="C333" s="41"/>
      <c r="D333" s="41"/>
      <c r="E333" s="40"/>
      <c r="F333" s="40"/>
      <c r="G333" s="40"/>
      <c r="H333" s="40"/>
      <c r="I333" s="160"/>
      <c r="J333" s="41"/>
      <c r="K333" s="41"/>
      <c r="L333" s="41"/>
      <c r="M333" s="41"/>
      <c r="N333" s="41"/>
      <c r="O333" s="41"/>
      <c r="P333" s="188"/>
      <c r="Q333" s="236"/>
      <c r="R333" s="280"/>
      <c r="S333" s="179">
        <f t="shared" si="111"/>
        <v>4859.3864915304011</v>
      </c>
      <c r="T333" s="259"/>
      <c r="U333" s="179">
        <f t="shared" si="124"/>
        <v>150</v>
      </c>
      <c r="V333" s="259"/>
      <c r="W333" s="179">
        <f t="shared" si="112"/>
        <v>0</v>
      </c>
      <c r="X333" s="259"/>
      <c r="Y333" s="179">
        <f t="shared" si="113"/>
        <v>1022.73</v>
      </c>
      <c r="Z333" s="259"/>
      <c r="AA333" s="179">
        <f t="shared" si="114"/>
        <v>40</v>
      </c>
      <c r="AB333" s="259"/>
      <c r="AC333" s="179">
        <f t="shared" si="115"/>
        <v>1394.266018065</v>
      </c>
      <c r="AD333" s="238">
        <f t="shared" si="110"/>
        <v>0</v>
      </c>
      <c r="AE333" s="179">
        <f t="shared" si="116"/>
        <v>2456.996018065</v>
      </c>
      <c r="AF333" s="264"/>
      <c r="AG333" s="179">
        <f t="shared" si="117"/>
        <v>1000</v>
      </c>
      <c r="AH333" s="268"/>
      <c r="AI333" s="179">
        <f t="shared" si="118"/>
        <v>0</v>
      </c>
      <c r="AJ333" s="268"/>
      <c r="AK333" s="179">
        <f t="shared" si="119"/>
        <v>22.73</v>
      </c>
      <c r="AL333" s="268"/>
      <c r="AM333" s="179">
        <f t="shared" si="120"/>
        <v>0</v>
      </c>
      <c r="AN333" s="268"/>
      <c r="AO333" s="179">
        <f t="shared" si="121"/>
        <v>0</v>
      </c>
      <c r="AP333" s="268"/>
      <c r="AQ333" s="179">
        <f t="shared" si="125"/>
        <v>0</v>
      </c>
      <c r="AR333" s="273"/>
      <c r="AS333" s="305">
        <f t="shared" si="122"/>
        <v>0</v>
      </c>
      <c r="AT333" s="273"/>
      <c r="AU333" s="305">
        <f t="shared" si="123"/>
        <v>0</v>
      </c>
    </row>
    <row r="334" spans="1:47" s="34" customFormat="1" hidden="1" x14ac:dyDescent="0.25">
      <c r="A334" s="87"/>
      <c r="B334" s="42"/>
      <c r="C334" s="41"/>
      <c r="D334" s="41"/>
      <c r="E334" s="40"/>
      <c r="F334" s="40"/>
      <c r="G334" s="40"/>
      <c r="H334" s="40"/>
      <c r="I334" s="160"/>
      <c r="J334" s="41"/>
      <c r="K334" s="41"/>
      <c r="L334" s="41"/>
      <c r="M334" s="41"/>
      <c r="N334" s="41"/>
      <c r="O334" s="41"/>
      <c r="P334" s="188"/>
      <c r="Q334" s="236"/>
      <c r="R334" s="280"/>
      <c r="S334" s="179">
        <f t="shared" si="111"/>
        <v>4859.3864915304011</v>
      </c>
      <c r="T334" s="259"/>
      <c r="U334" s="179">
        <f t="shared" si="124"/>
        <v>150</v>
      </c>
      <c r="V334" s="259"/>
      <c r="W334" s="179">
        <f t="shared" si="112"/>
        <v>0</v>
      </c>
      <c r="X334" s="259"/>
      <c r="Y334" s="179">
        <f t="shared" si="113"/>
        <v>1022.73</v>
      </c>
      <c r="Z334" s="259"/>
      <c r="AA334" s="179">
        <f t="shared" si="114"/>
        <v>40</v>
      </c>
      <c r="AB334" s="259"/>
      <c r="AC334" s="179">
        <f t="shared" si="115"/>
        <v>1394.266018065</v>
      </c>
      <c r="AD334" s="238">
        <f t="shared" si="110"/>
        <v>0</v>
      </c>
      <c r="AE334" s="179">
        <f t="shared" si="116"/>
        <v>2456.996018065</v>
      </c>
      <c r="AF334" s="264"/>
      <c r="AG334" s="179">
        <f t="shared" si="117"/>
        <v>1000</v>
      </c>
      <c r="AH334" s="268"/>
      <c r="AI334" s="179">
        <f t="shared" si="118"/>
        <v>0</v>
      </c>
      <c r="AJ334" s="268"/>
      <c r="AK334" s="179">
        <f t="shared" si="119"/>
        <v>22.73</v>
      </c>
      <c r="AL334" s="268"/>
      <c r="AM334" s="179">
        <f t="shared" si="120"/>
        <v>0</v>
      </c>
      <c r="AN334" s="268"/>
      <c r="AO334" s="179">
        <f t="shared" si="121"/>
        <v>0</v>
      </c>
      <c r="AP334" s="268"/>
      <c r="AQ334" s="179">
        <f t="shared" si="125"/>
        <v>0</v>
      </c>
      <c r="AR334" s="273"/>
      <c r="AS334" s="305">
        <f t="shared" si="122"/>
        <v>0</v>
      </c>
      <c r="AT334" s="273"/>
      <c r="AU334" s="305">
        <f t="shared" si="123"/>
        <v>0</v>
      </c>
    </row>
    <row r="335" spans="1:47" s="34" customFormat="1" hidden="1" x14ac:dyDescent="0.25">
      <c r="A335" s="87"/>
      <c r="B335" s="42"/>
      <c r="C335" s="41"/>
      <c r="D335" s="41"/>
      <c r="E335" s="40"/>
      <c r="F335" s="40"/>
      <c r="G335" s="40"/>
      <c r="H335" s="40"/>
      <c r="I335" s="160"/>
      <c r="J335" s="41"/>
      <c r="K335" s="41"/>
      <c r="L335" s="41"/>
      <c r="M335" s="41"/>
      <c r="N335" s="41"/>
      <c r="O335" s="41"/>
      <c r="P335" s="188"/>
      <c r="Q335" s="236"/>
      <c r="R335" s="280"/>
      <c r="S335" s="179">
        <f t="shared" si="111"/>
        <v>4859.3864915304011</v>
      </c>
      <c r="T335" s="259"/>
      <c r="U335" s="179">
        <f t="shared" si="124"/>
        <v>150</v>
      </c>
      <c r="V335" s="259"/>
      <c r="W335" s="179">
        <f t="shared" si="112"/>
        <v>0</v>
      </c>
      <c r="X335" s="259"/>
      <c r="Y335" s="179">
        <f t="shared" si="113"/>
        <v>1022.73</v>
      </c>
      <c r="Z335" s="259"/>
      <c r="AA335" s="179">
        <f t="shared" si="114"/>
        <v>40</v>
      </c>
      <c r="AB335" s="259"/>
      <c r="AC335" s="179">
        <f t="shared" si="115"/>
        <v>1394.266018065</v>
      </c>
      <c r="AD335" s="238">
        <f t="shared" si="110"/>
        <v>0</v>
      </c>
      <c r="AE335" s="179">
        <f t="shared" si="116"/>
        <v>2456.996018065</v>
      </c>
      <c r="AF335" s="264"/>
      <c r="AG335" s="179">
        <f t="shared" si="117"/>
        <v>1000</v>
      </c>
      <c r="AH335" s="268"/>
      <c r="AI335" s="179">
        <f t="shared" si="118"/>
        <v>0</v>
      </c>
      <c r="AJ335" s="268"/>
      <c r="AK335" s="179">
        <f t="shared" si="119"/>
        <v>22.73</v>
      </c>
      <c r="AL335" s="268"/>
      <c r="AM335" s="179">
        <f t="shared" si="120"/>
        <v>0</v>
      </c>
      <c r="AN335" s="268"/>
      <c r="AO335" s="179">
        <f t="shared" si="121"/>
        <v>0</v>
      </c>
      <c r="AP335" s="268"/>
      <c r="AQ335" s="179">
        <f t="shared" si="125"/>
        <v>0</v>
      </c>
      <c r="AR335" s="273"/>
      <c r="AS335" s="305">
        <f t="shared" si="122"/>
        <v>0</v>
      </c>
      <c r="AT335" s="273"/>
      <c r="AU335" s="305">
        <f t="shared" si="123"/>
        <v>0</v>
      </c>
    </row>
    <row r="336" spans="1:47" s="34" customFormat="1" hidden="1" x14ac:dyDescent="0.25">
      <c r="A336" s="87"/>
      <c r="B336" s="42"/>
      <c r="C336" s="41"/>
      <c r="D336" s="41"/>
      <c r="E336" s="40"/>
      <c r="F336" s="40"/>
      <c r="G336" s="40"/>
      <c r="H336" s="40"/>
      <c r="I336" s="160"/>
      <c r="J336" s="41"/>
      <c r="K336" s="41"/>
      <c r="L336" s="41"/>
      <c r="M336" s="41"/>
      <c r="N336" s="41"/>
      <c r="O336" s="41"/>
      <c r="P336" s="188"/>
      <c r="Q336" s="236"/>
      <c r="R336" s="280"/>
      <c r="S336" s="179">
        <f t="shared" si="111"/>
        <v>4859.3864915304011</v>
      </c>
      <c r="T336" s="259"/>
      <c r="U336" s="179">
        <f t="shared" si="124"/>
        <v>150</v>
      </c>
      <c r="V336" s="259"/>
      <c r="W336" s="179">
        <f t="shared" si="112"/>
        <v>0</v>
      </c>
      <c r="X336" s="259"/>
      <c r="Y336" s="179">
        <f t="shared" si="113"/>
        <v>1022.73</v>
      </c>
      <c r="Z336" s="259"/>
      <c r="AA336" s="179">
        <f t="shared" si="114"/>
        <v>40</v>
      </c>
      <c r="AB336" s="259"/>
      <c r="AC336" s="179">
        <f t="shared" si="115"/>
        <v>1394.266018065</v>
      </c>
      <c r="AD336" s="238">
        <f t="shared" si="110"/>
        <v>0</v>
      </c>
      <c r="AE336" s="179">
        <f t="shared" si="116"/>
        <v>2456.996018065</v>
      </c>
      <c r="AF336" s="264"/>
      <c r="AG336" s="179">
        <f t="shared" si="117"/>
        <v>1000</v>
      </c>
      <c r="AH336" s="268"/>
      <c r="AI336" s="179">
        <f t="shared" si="118"/>
        <v>0</v>
      </c>
      <c r="AJ336" s="268"/>
      <c r="AK336" s="179">
        <f t="shared" si="119"/>
        <v>22.73</v>
      </c>
      <c r="AL336" s="268"/>
      <c r="AM336" s="179">
        <f t="shared" si="120"/>
        <v>0</v>
      </c>
      <c r="AN336" s="268"/>
      <c r="AO336" s="179">
        <f t="shared" si="121"/>
        <v>0</v>
      </c>
      <c r="AP336" s="268"/>
      <c r="AQ336" s="179">
        <f t="shared" si="125"/>
        <v>0</v>
      </c>
      <c r="AR336" s="273"/>
      <c r="AS336" s="305">
        <f t="shared" si="122"/>
        <v>0</v>
      </c>
      <c r="AT336" s="273"/>
      <c r="AU336" s="305">
        <f t="shared" si="123"/>
        <v>0</v>
      </c>
    </row>
    <row r="337" spans="1:47" s="34" customFormat="1" hidden="1" x14ac:dyDescent="0.25">
      <c r="A337" s="87"/>
      <c r="B337" s="42"/>
      <c r="C337" s="41"/>
      <c r="D337" s="41"/>
      <c r="E337" s="40"/>
      <c r="F337" s="40"/>
      <c r="G337" s="40"/>
      <c r="H337" s="40"/>
      <c r="I337" s="160"/>
      <c r="J337" s="41"/>
      <c r="K337" s="41"/>
      <c r="L337" s="41"/>
      <c r="M337" s="41"/>
      <c r="N337" s="41"/>
      <c r="O337" s="41"/>
      <c r="P337" s="188"/>
      <c r="Q337" s="236"/>
      <c r="R337" s="280"/>
      <c r="S337" s="179">
        <f t="shared" si="111"/>
        <v>4859.3864915304011</v>
      </c>
      <c r="T337" s="259"/>
      <c r="U337" s="179">
        <f t="shared" si="124"/>
        <v>150</v>
      </c>
      <c r="V337" s="259"/>
      <c r="W337" s="179">
        <f t="shared" si="112"/>
        <v>0</v>
      </c>
      <c r="X337" s="259"/>
      <c r="Y337" s="179">
        <f t="shared" si="113"/>
        <v>1022.73</v>
      </c>
      <c r="Z337" s="259"/>
      <c r="AA337" s="179">
        <f t="shared" si="114"/>
        <v>40</v>
      </c>
      <c r="AB337" s="259"/>
      <c r="AC337" s="179">
        <f t="shared" si="115"/>
        <v>1394.266018065</v>
      </c>
      <c r="AD337" s="238">
        <f t="shared" si="110"/>
        <v>0</v>
      </c>
      <c r="AE337" s="179">
        <f t="shared" si="116"/>
        <v>2456.996018065</v>
      </c>
      <c r="AF337" s="264"/>
      <c r="AG337" s="179">
        <f t="shared" si="117"/>
        <v>1000</v>
      </c>
      <c r="AH337" s="268"/>
      <c r="AI337" s="179">
        <f t="shared" si="118"/>
        <v>0</v>
      </c>
      <c r="AJ337" s="268"/>
      <c r="AK337" s="179">
        <f t="shared" si="119"/>
        <v>22.73</v>
      </c>
      <c r="AL337" s="268"/>
      <c r="AM337" s="179">
        <f t="shared" si="120"/>
        <v>0</v>
      </c>
      <c r="AN337" s="268"/>
      <c r="AO337" s="179">
        <f t="shared" si="121"/>
        <v>0</v>
      </c>
      <c r="AP337" s="268"/>
      <c r="AQ337" s="179">
        <f t="shared" si="125"/>
        <v>0</v>
      </c>
      <c r="AR337" s="273"/>
      <c r="AS337" s="305">
        <f t="shared" si="122"/>
        <v>0</v>
      </c>
      <c r="AT337" s="273"/>
      <c r="AU337" s="305">
        <f t="shared" si="123"/>
        <v>0</v>
      </c>
    </row>
    <row r="338" spans="1:47" s="34" customFormat="1" hidden="1" x14ac:dyDescent="0.25">
      <c r="A338" s="87"/>
      <c r="B338" s="42"/>
      <c r="C338" s="41"/>
      <c r="D338" s="41"/>
      <c r="E338" s="40"/>
      <c r="F338" s="40"/>
      <c r="G338" s="40"/>
      <c r="H338" s="40"/>
      <c r="I338" s="160"/>
      <c r="J338" s="41"/>
      <c r="K338" s="41"/>
      <c r="L338" s="41"/>
      <c r="M338" s="41"/>
      <c r="N338" s="41"/>
      <c r="O338" s="41"/>
      <c r="P338" s="188"/>
      <c r="Q338" s="236"/>
      <c r="R338" s="280"/>
      <c r="S338" s="179">
        <f t="shared" si="111"/>
        <v>4859.3864915304011</v>
      </c>
      <c r="T338" s="259"/>
      <c r="U338" s="179">
        <f t="shared" si="124"/>
        <v>150</v>
      </c>
      <c r="V338" s="259"/>
      <c r="W338" s="179">
        <f t="shared" si="112"/>
        <v>0</v>
      </c>
      <c r="X338" s="259"/>
      <c r="Y338" s="179">
        <f t="shared" si="113"/>
        <v>1022.73</v>
      </c>
      <c r="Z338" s="259"/>
      <c r="AA338" s="179">
        <f t="shared" si="114"/>
        <v>40</v>
      </c>
      <c r="AB338" s="259"/>
      <c r="AC338" s="179">
        <f t="shared" si="115"/>
        <v>1394.266018065</v>
      </c>
      <c r="AD338" s="238">
        <f t="shared" si="110"/>
        <v>0</v>
      </c>
      <c r="AE338" s="179">
        <f t="shared" si="116"/>
        <v>2456.996018065</v>
      </c>
      <c r="AF338" s="264"/>
      <c r="AG338" s="179">
        <f t="shared" si="117"/>
        <v>1000</v>
      </c>
      <c r="AH338" s="268"/>
      <c r="AI338" s="179">
        <f t="shared" si="118"/>
        <v>0</v>
      </c>
      <c r="AJ338" s="268"/>
      <c r="AK338" s="179">
        <f t="shared" si="119"/>
        <v>22.73</v>
      </c>
      <c r="AL338" s="268"/>
      <c r="AM338" s="179">
        <f t="shared" si="120"/>
        <v>0</v>
      </c>
      <c r="AN338" s="268"/>
      <c r="AO338" s="179">
        <f t="shared" si="121"/>
        <v>0</v>
      </c>
      <c r="AP338" s="268"/>
      <c r="AQ338" s="179">
        <f t="shared" si="125"/>
        <v>0</v>
      </c>
      <c r="AR338" s="273"/>
      <c r="AS338" s="305">
        <f t="shared" si="122"/>
        <v>0</v>
      </c>
      <c r="AT338" s="273"/>
      <c r="AU338" s="305">
        <f t="shared" si="123"/>
        <v>0</v>
      </c>
    </row>
    <row r="339" spans="1:47" s="34" customFormat="1" hidden="1" x14ac:dyDescent="0.25">
      <c r="A339" s="87"/>
      <c r="B339" s="42"/>
      <c r="C339" s="41"/>
      <c r="D339" s="41"/>
      <c r="E339" s="40"/>
      <c r="F339" s="40"/>
      <c r="G339" s="40"/>
      <c r="H339" s="40"/>
      <c r="I339" s="160"/>
      <c r="J339" s="41"/>
      <c r="K339" s="41"/>
      <c r="L339" s="41"/>
      <c r="M339" s="41"/>
      <c r="N339" s="41"/>
      <c r="O339" s="41"/>
      <c r="P339" s="188"/>
      <c r="Q339" s="236"/>
      <c r="R339" s="280"/>
      <c r="S339" s="179">
        <f t="shared" si="111"/>
        <v>4859.3864915304011</v>
      </c>
      <c r="T339" s="259"/>
      <c r="U339" s="179">
        <f t="shared" si="124"/>
        <v>150</v>
      </c>
      <c r="V339" s="259"/>
      <c r="W339" s="179">
        <f t="shared" si="112"/>
        <v>0</v>
      </c>
      <c r="X339" s="259"/>
      <c r="Y339" s="179">
        <f t="shared" si="113"/>
        <v>1022.73</v>
      </c>
      <c r="Z339" s="259"/>
      <c r="AA339" s="179">
        <f t="shared" si="114"/>
        <v>40</v>
      </c>
      <c r="AB339" s="259"/>
      <c r="AC339" s="179">
        <f t="shared" si="115"/>
        <v>1394.266018065</v>
      </c>
      <c r="AD339" s="238">
        <f t="shared" si="110"/>
        <v>0</v>
      </c>
      <c r="AE339" s="179">
        <f t="shared" si="116"/>
        <v>2456.996018065</v>
      </c>
      <c r="AF339" s="264"/>
      <c r="AG339" s="179">
        <f t="shared" si="117"/>
        <v>1000</v>
      </c>
      <c r="AH339" s="268"/>
      <c r="AI339" s="179">
        <f t="shared" si="118"/>
        <v>0</v>
      </c>
      <c r="AJ339" s="268"/>
      <c r="AK339" s="179">
        <f t="shared" si="119"/>
        <v>22.73</v>
      </c>
      <c r="AL339" s="268"/>
      <c r="AM339" s="179">
        <f t="shared" si="120"/>
        <v>0</v>
      </c>
      <c r="AN339" s="268"/>
      <c r="AO339" s="179">
        <f t="shared" si="121"/>
        <v>0</v>
      </c>
      <c r="AP339" s="268"/>
      <c r="AQ339" s="179">
        <f t="shared" si="125"/>
        <v>0</v>
      </c>
      <c r="AR339" s="273"/>
      <c r="AS339" s="305">
        <f t="shared" si="122"/>
        <v>0</v>
      </c>
      <c r="AT339" s="273"/>
      <c r="AU339" s="305">
        <f t="shared" si="123"/>
        <v>0</v>
      </c>
    </row>
    <row r="340" spans="1:47" s="34" customFormat="1" hidden="1" x14ac:dyDescent="0.25">
      <c r="A340" s="87"/>
      <c r="B340" s="42"/>
      <c r="C340" s="41"/>
      <c r="D340" s="41"/>
      <c r="E340" s="40"/>
      <c r="F340" s="40"/>
      <c r="G340" s="40"/>
      <c r="H340" s="40"/>
      <c r="I340" s="160"/>
      <c r="J340" s="41"/>
      <c r="K340" s="41"/>
      <c r="L340" s="41"/>
      <c r="M340" s="41"/>
      <c r="N340" s="41"/>
      <c r="O340" s="41"/>
      <c r="P340" s="188"/>
      <c r="Q340" s="236"/>
      <c r="R340" s="280"/>
      <c r="S340" s="179">
        <f t="shared" si="111"/>
        <v>4859.3864915304011</v>
      </c>
      <c r="T340" s="259"/>
      <c r="U340" s="179">
        <f t="shared" si="124"/>
        <v>150</v>
      </c>
      <c r="V340" s="259"/>
      <c r="W340" s="179">
        <f t="shared" si="112"/>
        <v>0</v>
      </c>
      <c r="X340" s="259"/>
      <c r="Y340" s="179">
        <f t="shared" si="113"/>
        <v>1022.73</v>
      </c>
      <c r="Z340" s="259"/>
      <c r="AA340" s="179">
        <f t="shared" si="114"/>
        <v>40</v>
      </c>
      <c r="AB340" s="259"/>
      <c r="AC340" s="179">
        <f t="shared" si="115"/>
        <v>1394.266018065</v>
      </c>
      <c r="AD340" s="238">
        <f t="shared" si="110"/>
        <v>0</v>
      </c>
      <c r="AE340" s="179">
        <f t="shared" si="116"/>
        <v>2456.996018065</v>
      </c>
      <c r="AF340" s="264"/>
      <c r="AG340" s="179">
        <f t="shared" si="117"/>
        <v>1000</v>
      </c>
      <c r="AH340" s="268"/>
      <c r="AI340" s="179">
        <f t="shared" si="118"/>
        <v>0</v>
      </c>
      <c r="AJ340" s="268"/>
      <c r="AK340" s="179">
        <f t="shared" si="119"/>
        <v>22.73</v>
      </c>
      <c r="AL340" s="268"/>
      <c r="AM340" s="179">
        <f t="shared" si="120"/>
        <v>0</v>
      </c>
      <c r="AN340" s="268"/>
      <c r="AO340" s="179">
        <f t="shared" si="121"/>
        <v>0</v>
      </c>
      <c r="AP340" s="268"/>
      <c r="AQ340" s="179">
        <f t="shared" si="125"/>
        <v>0</v>
      </c>
      <c r="AR340" s="273"/>
      <c r="AS340" s="305">
        <f t="shared" si="122"/>
        <v>0</v>
      </c>
      <c r="AT340" s="273"/>
      <c r="AU340" s="305">
        <f t="shared" si="123"/>
        <v>0</v>
      </c>
    </row>
    <row r="341" spans="1:47" s="34" customFormat="1" hidden="1" x14ac:dyDescent="0.25">
      <c r="A341" s="87"/>
      <c r="B341" s="42"/>
      <c r="C341" s="41"/>
      <c r="D341" s="41"/>
      <c r="E341" s="40"/>
      <c r="F341" s="40"/>
      <c r="G341" s="40"/>
      <c r="H341" s="40"/>
      <c r="I341" s="160"/>
      <c r="J341" s="41"/>
      <c r="K341" s="41"/>
      <c r="L341" s="41"/>
      <c r="M341" s="41"/>
      <c r="N341" s="41"/>
      <c r="O341" s="41"/>
      <c r="P341" s="188"/>
      <c r="Q341" s="236"/>
      <c r="R341" s="280"/>
      <c r="S341" s="179">
        <f t="shared" si="111"/>
        <v>4859.3864915304011</v>
      </c>
      <c r="T341" s="259"/>
      <c r="U341" s="179">
        <f t="shared" si="124"/>
        <v>150</v>
      </c>
      <c r="V341" s="259"/>
      <c r="W341" s="179">
        <f t="shared" si="112"/>
        <v>0</v>
      </c>
      <c r="X341" s="259"/>
      <c r="Y341" s="179">
        <f t="shared" si="113"/>
        <v>1022.73</v>
      </c>
      <c r="Z341" s="259"/>
      <c r="AA341" s="179">
        <f t="shared" si="114"/>
        <v>40</v>
      </c>
      <c r="AB341" s="259"/>
      <c r="AC341" s="179">
        <f t="shared" si="115"/>
        <v>1394.266018065</v>
      </c>
      <c r="AD341" s="238">
        <f t="shared" si="110"/>
        <v>0</v>
      </c>
      <c r="AE341" s="179">
        <f t="shared" si="116"/>
        <v>2456.996018065</v>
      </c>
      <c r="AF341" s="264"/>
      <c r="AG341" s="179">
        <f t="shared" si="117"/>
        <v>1000</v>
      </c>
      <c r="AH341" s="268"/>
      <c r="AI341" s="179">
        <f t="shared" si="118"/>
        <v>0</v>
      </c>
      <c r="AJ341" s="268"/>
      <c r="AK341" s="179">
        <f t="shared" si="119"/>
        <v>22.73</v>
      </c>
      <c r="AL341" s="268"/>
      <c r="AM341" s="179">
        <f t="shared" si="120"/>
        <v>0</v>
      </c>
      <c r="AN341" s="268"/>
      <c r="AO341" s="179">
        <f t="shared" si="121"/>
        <v>0</v>
      </c>
      <c r="AP341" s="268"/>
      <c r="AQ341" s="179">
        <f t="shared" si="125"/>
        <v>0</v>
      </c>
      <c r="AR341" s="273"/>
      <c r="AS341" s="305">
        <f t="shared" si="122"/>
        <v>0</v>
      </c>
      <c r="AT341" s="273"/>
      <c r="AU341" s="305">
        <f t="shared" si="123"/>
        <v>0</v>
      </c>
    </row>
    <row r="342" spans="1:47" s="34" customFormat="1" hidden="1" x14ac:dyDescent="0.25">
      <c r="A342" s="87"/>
      <c r="B342" s="42"/>
      <c r="C342" s="41"/>
      <c r="D342" s="41"/>
      <c r="E342" s="40"/>
      <c r="F342" s="40"/>
      <c r="G342" s="40"/>
      <c r="H342" s="40"/>
      <c r="I342" s="160"/>
      <c r="J342" s="41"/>
      <c r="K342" s="41"/>
      <c r="L342" s="41"/>
      <c r="M342" s="41"/>
      <c r="N342" s="41"/>
      <c r="O342" s="41"/>
      <c r="P342" s="188"/>
      <c r="Q342" s="236"/>
      <c r="R342" s="280"/>
      <c r="S342" s="179">
        <f t="shared" si="111"/>
        <v>4859.3864915304011</v>
      </c>
      <c r="T342" s="259"/>
      <c r="U342" s="179">
        <f t="shared" si="124"/>
        <v>150</v>
      </c>
      <c r="V342" s="259"/>
      <c r="W342" s="179">
        <f t="shared" si="112"/>
        <v>0</v>
      </c>
      <c r="X342" s="259"/>
      <c r="Y342" s="179">
        <f t="shared" si="113"/>
        <v>1022.73</v>
      </c>
      <c r="Z342" s="259"/>
      <c r="AA342" s="179">
        <f t="shared" si="114"/>
        <v>40</v>
      </c>
      <c r="AB342" s="259"/>
      <c r="AC342" s="179">
        <f t="shared" si="115"/>
        <v>1394.266018065</v>
      </c>
      <c r="AD342" s="238">
        <f t="shared" si="110"/>
        <v>0</v>
      </c>
      <c r="AE342" s="179">
        <f t="shared" si="116"/>
        <v>2456.996018065</v>
      </c>
      <c r="AF342" s="264"/>
      <c r="AG342" s="179">
        <f t="shared" si="117"/>
        <v>1000</v>
      </c>
      <c r="AH342" s="268"/>
      <c r="AI342" s="179">
        <f t="shared" si="118"/>
        <v>0</v>
      </c>
      <c r="AJ342" s="268"/>
      <c r="AK342" s="179">
        <f t="shared" si="119"/>
        <v>22.73</v>
      </c>
      <c r="AL342" s="268"/>
      <c r="AM342" s="179">
        <f t="shared" si="120"/>
        <v>0</v>
      </c>
      <c r="AN342" s="268"/>
      <c r="AO342" s="179">
        <f t="shared" si="121"/>
        <v>0</v>
      </c>
      <c r="AP342" s="268"/>
      <c r="AQ342" s="179">
        <f t="shared" si="125"/>
        <v>0</v>
      </c>
      <c r="AR342" s="273"/>
      <c r="AS342" s="305">
        <f t="shared" si="122"/>
        <v>0</v>
      </c>
      <c r="AT342" s="273"/>
      <c r="AU342" s="305">
        <f t="shared" si="123"/>
        <v>0</v>
      </c>
    </row>
    <row r="343" spans="1:47" s="34" customFormat="1" hidden="1" x14ac:dyDescent="0.25">
      <c r="A343" s="87"/>
      <c r="B343" s="42"/>
      <c r="C343" s="41"/>
      <c r="D343" s="41"/>
      <c r="E343" s="40"/>
      <c r="F343" s="40"/>
      <c r="G343" s="40"/>
      <c r="H343" s="40"/>
      <c r="I343" s="160"/>
      <c r="J343" s="41"/>
      <c r="K343" s="41"/>
      <c r="L343" s="41"/>
      <c r="M343" s="41"/>
      <c r="N343" s="41"/>
      <c r="O343" s="41"/>
      <c r="P343" s="188"/>
      <c r="Q343" s="236"/>
      <c r="R343" s="280"/>
      <c r="S343" s="179">
        <f t="shared" si="111"/>
        <v>4859.3864915304011</v>
      </c>
      <c r="T343" s="259"/>
      <c r="U343" s="179">
        <f t="shared" si="124"/>
        <v>150</v>
      </c>
      <c r="V343" s="259"/>
      <c r="W343" s="179">
        <f t="shared" si="112"/>
        <v>0</v>
      </c>
      <c r="X343" s="259"/>
      <c r="Y343" s="179">
        <f t="shared" si="113"/>
        <v>1022.73</v>
      </c>
      <c r="Z343" s="259"/>
      <c r="AA343" s="179">
        <f t="shared" si="114"/>
        <v>40</v>
      </c>
      <c r="AB343" s="259"/>
      <c r="AC343" s="179">
        <f t="shared" si="115"/>
        <v>1394.266018065</v>
      </c>
      <c r="AD343" s="238">
        <f t="shared" si="110"/>
        <v>0</v>
      </c>
      <c r="AE343" s="179">
        <f t="shared" si="116"/>
        <v>2456.996018065</v>
      </c>
      <c r="AF343" s="264"/>
      <c r="AG343" s="179">
        <f t="shared" si="117"/>
        <v>1000</v>
      </c>
      <c r="AH343" s="268"/>
      <c r="AI343" s="179">
        <f t="shared" si="118"/>
        <v>0</v>
      </c>
      <c r="AJ343" s="268"/>
      <c r="AK343" s="179">
        <f t="shared" si="119"/>
        <v>22.73</v>
      </c>
      <c r="AL343" s="268"/>
      <c r="AM343" s="179">
        <f t="shared" si="120"/>
        <v>0</v>
      </c>
      <c r="AN343" s="268"/>
      <c r="AO343" s="179">
        <f t="shared" si="121"/>
        <v>0</v>
      </c>
      <c r="AP343" s="268"/>
      <c r="AQ343" s="179">
        <f t="shared" si="125"/>
        <v>0</v>
      </c>
      <c r="AR343" s="273"/>
      <c r="AS343" s="305">
        <f t="shared" si="122"/>
        <v>0</v>
      </c>
      <c r="AT343" s="273"/>
      <c r="AU343" s="305">
        <f t="shared" si="123"/>
        <v>0</v>
      </c>
    </row>
    <row r="344" spans="1:47" s="34" customFormat="1" hidden="1" x14ac:dyDescent="0.25">
      <c r="A344" s="87"/>
      <c r="B344" s="42"/>
      <c r="C344" s="41"/>
      <c r="D344" s="41"/>
      <c r="E344" s="40"/>
      <c r="F344" s="40"/>
      <c r="G344" s="40"/>
      <c r="H344" s="40"/>
      <c r="I344" s="160"/>
      <c r="J344" s="41"/>
      <c r="K344" s="41"/>
      <c r="L344" s="41"/>
      <c r="M344" s="41"/>
      <c r="N344" s="41"/>
      <c r="O344" s="41"/>
      <c r="P344" s="188"/>
      <c r="Q344" s="236"/>
      <c r="R344" s="280"/>
      <c r="S344" s="179">
        <f t="shared" si="111"/>
        <v>4859.3864915304011</v>
      </c>
      <c r="T344" s="259"/>
      <c r="U344" s="179">
        <f t="shared" si="124"/>
        <v>150</v>
      </c>
      <c r="V344" s="259"/>
      <c r="W344" s="179">
        <f t="shared" si="112"/>
        <v>0</v>
      </c>
      <c r="X344" s="259"/>
      <c r="Y344" s="179">
        <f t="shared" si="113"/>
        <v>1022.73</v>
      </c>
      <c r="Z344" s="259"/>
      <c r="AA344" s="179">
        <f t="shared" si="114"/>
        <v>40</v>
      </c>
      <c r="AB344" s="259"/>
      <c r="AC344" s="179">
        <f t="shared" si="115"/>
        <v>1394.266018065</v>
      </c>
      <c r="AD344" s="238">
        <f t="shared" si="110"/>
        <v>0</v>
      </c>
      <c r="AE344" s="179">
        <f t="shared" si="116"/>
        <v>2456.996018065</v>
      </c>
      <c r="AF344" s="264"/>
      <c r="AG344" s="179">
        <f t="shared" si="117"/>
        <v>1000</v>
      </c>
      <c r="AH344" s="268"/>
      <c r="AI344" s="179">
        <f t="shared" si="118"/>
        <v>0</v>
      </c>
      <c r="AJ344" s="268"/>
      <c r="AK344" s="179">
        <f t="shared" si="119"/>
        <v>22.73</v>
      </c>
      <c r="AL344" s="268"/>
      <c r="AM344" s="179">
        <f t="shared" si="120"/>
        <v>0</v>
      </c>
      <c r="AN344" s="268"/>
      <c r="AO344" s="179">
        <f t="shared" si="121"/>
        <v>0</v>
      </c>
      <c r="AP344" s="268"/>
      <c r="AQ344" s="179">
        <f t="shared" si="125"/>
        <v>0</v>
      </c>
      <c r="AR344" s="273"/>
      <c r="AS344" s="305">
        <f t="shared" si="122"/>
        <v>0</v>
      </c>
      <c r="AT344" s="273"/>
      <c r="AU344" s="305">
        <f t="shared" si="123"/>
        <v>0</v>
      </c>
    </row>
    <row r="345" spans="1:47" s="34" customFormat="1" hidden="1" x14ac:dyDescent="0.25">
      <c r="A345" s="87"/>
      <c r="B345" s="42"/>
      <c r="C345" s="41"/>
      <c r="D345" s="41"/>
      <c r="E345" s="40"/>
      <c r="F345" s="40"/>
      <c r="G345" s="40"/>
      <c r="H345" s="40"/>
      <c r="I345" s="160"/>
      <c r="J345" s="41"/>
      <c r="K345" s="41"/>
      <c r="L345" s="41"/>
      <c r="M345" s="41"/>
      <c r="N345" s="41"/>
      <c r="O345" s="41"/>
      <c r="P345" s="188"/>
      <c r="Q345" s="236"/>
      <c r="R345" s="280"/>
      <c r="S345" s="179">
        <f t="shared" si="111"/>
        <v>4859.3864915304011</v>
      </c>
      <c r="T345" s="259"/>
      <c r="U345" s="179">
        <f t="shared" si="124"/>
        <v>150</v>
      </c>
      <c r="V345" s="259"/>
      <c r="W345" s="179">
        <f t="shared" si="112"/>
        <v>0</v>
      </c>
      <c r="X345" s="259"/>
      <c r="Y345" s="179">
        <f t="shared" si="113"/>
        <v>1022.73</v>
      </c>
      <c r="Z345" s="259"/>
      <c r="AA345" s="179">
        <f t="shared" si="114"/>
        <v>40</v>
      </c>
      <c r="AB345" s="259"/>
      <c r="AC345" s="179">
        <f t="shared" si="115"/>
        <v>1394.266018065</v>
      </c>
      <c r="AD345" s="238">
        <f t="shared" si="110"/>
        <v>0</v>
      </c>
      <c r="AE345" s="179">
        <f t="shared" si="116"/>
        <v>2456.996018065</v>
      </c>
      <c r="AF345" s="264"/>
      <c r="AG345" s="179">
        <f t="shared" si="117"/>
        <v>1000</v>
      </c>
      <c r="AH345" s="268"/>
      <c r="AI345" s="179">
        <f t="shared" si="118"/>
        <v>0</v>
      </c>
      <c r="AJ345" s="268"/>
      <c r="AK345" s="179">
        <f t="shared" si="119"/>
        <v>22.73</v>
      </c>
      <c r="AL345" s="268"/>
      <c r="AM345" s="179">
        <f t="shared" si="120"/>
        <v>0</v>
      </c>
      <c r="AN345" s="268"/>
      <c r="AO345" s="179">
        <f t="shared" si="121"/>
        <v>0</v>
      </c>
      <c r="AP345" s="268"/>
      <c r="AQ345" s="179">
        <f t="shared" si="125"/>
        <v>0</v>
      </c>
      <c r="AR345" s="273"/>
      <c r="AS345" s="305">
        <f t="shared" si="122"/>
        <v>0</v>
      </c>
      <c r="AT345" s="273"/>
      <c r="AU345" s="305">
        <f t="shared" si="123"/>
        <v>0</v>
      </c>
    </row>
    <row r="346" spans="1:47" s="34" customFormat="1" hidden="1" x14ac:dyDescent="0.25">
      <c r="A346" s="87"/>
      <c r="B346" s="42"/>
      <c r="C346" s="41"/>
      <c r="D346" s="41"/>
      <c r="E346" s="40"/>
      <c r="F346" s="40"/>
      <c r="G346" s="40"/>
      <c r="H346" s="40"/>
      <c r="I346" s="160"/>
      <c r="J346" s="41"/>
      <c r="K346" s="41"/>
      <c r="L346" s="41"/>
      <c r="M346" s="41"/>
      <c r="N346" s="41"/>
      <c r="O346" s="41"/>
      <c r="P346" s="188"/>
      <c r="Q346" s="236"/>
      <c r="R346" s="280"/>
      <c r="S346" s="179">
        <f t="shared" si="111"/>
        <v>4859.3864915304011</v>
      </c>
      <c r="T346" s="259"/>
      <c r="U346" s="179">
        <f t="shared" si="124"/>
        <v>150</v>
      </c>
      <c r="V346" s="259"/>
      <c r="W346" s="179">
        <f t="shared" si="112"/>
        <v>0</v>
      </c>
      <c r="X346" s="259"/>
      <c r="Y346" s="179">
        <f t="shared" si="113"/>
        <v>1022.73</v>
      </c>
      <c r="Z346" s="259"/>
      <c r="AA346" s="179">
        <f t="shared" si="114"/>
        <v>40</v>
      </c>
      <c r="AB346" s="259"/>
      <c r="AC346" s="179">
        <f t="shared" si="115"/>
        <v>1394.266018065</v>
      </c>
      <c r="AD346" s="238">
        <f t="shared" si="110"/>
        <v>0</v>
      </c>
      <c r="AE346" s="179">
        <f t="shared" si="116"/>
        <v>2456.996018065</v>
      </c>
      <c r="AF346" s="264"/>
      <c r="AG346" s="179">
        <f t="shared" si="117"/>
        <v>1000</v>
      </c>
      <c r="AH346" s="268"/>
      <c r="AI346" s="179">
        <f t="shared" si="118"/>
        <v>0</v>
      </c>
      <c r="AJ346" s="268"/>
      <c r="AK346" s="179">
        <f t="shared" si="119"/>
        <v>22.73</v>
      </c>
      <c r="AL346" s="268"/>
      <c r="AM346" s="179">
        <f t="shared" si="120"/>
        <v>0</v>
      </c>
      <c r="AN346" s="268"/>
      <c r="AO346" s="179">
        <f t="shared" si="121"/>
        <v>0</v>
      </c>
      <c r="AP346" s="268"/>
      <c r="AQ346" s="179">
        <f t="shared" si="125"/>
        <v>0</v>
      </c>
      <c r="AR346" s="273"/>
      <c r="AS346" s="305">
        <f t="shared" si="122"/>
        <v>0</v>
      </c>
      <c r="AT346" s="273"/>
      <c r="AU346" s="305">
        <f t="shared" si="123"/>
        <v>0</v>
      </c>
    </row>
    <row r="347" spans="1:47" s="34" customFormat="1" hidden="1" x14ac:dyDescent="0.25">
      <c r="A347" s="87"/>
      <c r="B347" s="42"/>
      <c r="C347" s="41"/>
      <c r="D347" s="41"/>
      <c r="E347" s="40"/>
      <c r="F347" s="40"/>
      <c r="G347" s="40"/>
      <c r="H347" s="40"/>
      <c r="I347" s="160"/>
      <c r="J347" s="41"/>
      <c r="K347" s="41"/>
      <c r="L347" s="41"/>
      <c r="M347" s="41"/>
      <c r="N347" s="41"/>
      <c r="O347" s="41"/>
      <c r="P347" s="188"/>
      <c r="Q347" s="236"/>
      <c r="R347" s="280"/>
      <c r="S347" s="179">
        <f t="shared" si="111"/>
        <v>4859.3864915304011</v>
      </c>
      <c r="T347" s="259"/>
      <c r="U347" s="179">
        <f t="shared" si="124"/>
        <v>150</v>
      </c>
      <c r="V347" s="259"/>
      <c r="W347" s="179">
        <f t="shared" si="112"/>
        <v>0</v>
      </c>
      <c r="X347" s="259"/>
      <c r="Y347" s="179">
        <f t="shared" si="113"/>
        <v>1022.73</v>
      </c>
      <c r="Z347" s="259"/>
      <c r="AA347" s="179">
        <f t="shared" si="114"/>
        <v>40</v>
      </c>
      <c r="AB347" s="259"/>
      <c r="AC347" s="179">
        <f t="shared" si="115"/>
        <v>1394.266018065</v>
      </c>
      <c r="AD347" s="238">
        <f t="shared" si="110"/>
        <v>0</v>
      </c>
      <c r="AE347" s="179">
        <f t="shared" si="116"/>
        <v>2456.996018065</v>
      </c>
      <c r="AF347" s="264"/>
      <c r="AG347" s="179">
        <f t="shared" si="117"/>
        <v>1000</v>
      </c>
      <c r="AH347" s="268"/>
      <c r="AI347" s="179">
        <f t="shared" si="118"/>
        <v>0</v>
      </c>
      <c r="AJ347" s="268"/>
      <c r="AK347" s="179">
        <f t="shared" si="119"/>
        <v>22.73</v>
      </c>
      <c r="AL347" s="268"/>
      <c r="AM347" s="179">
        <f t="shared" si="120"/>
        <v>0</v>
      </c>
      <c r="AN347" s="268"/>
      <c r="AO347" s="179">
        <f t="shared" si="121"/>
        <v>0</v>
      </c>
      <c r="AP347" s="268"/>
      <c r="AQ347" s="179">
        <f t="shared" si="125"/>
        <v>0</v>
      </c>
      <c r="AR347" s="273"/>
      <c r="AS347" s="305">
        <f t="shared" si="122"/>
        <v>0</v>
      </c>
      <c r="AT347" s="273"/>
      <c r="AU347" s="305">
        <f t="shared" si="123"/>
        <v>0</v>
      </c>
    </row>
    <row r="348" spans="1:47" s="34" customFormat="1" hidden="1" x14ac:dyDescent="0.25">
      <c r="A348" s="87"/>
      <c r="B348" s="42"/>
      <c r="C348" s="41"/>
      <c r="D348" s="41"/>
      <c r="E348" s="40"/>
      <c r="F348" s="40"/>
      <c r="G348" s="40"/>
      <c r="H348" s="40"/>
      <c r="I348" s="160"/>
      <c r="J348" s="41"/>
      <c r="K348" s="41"/>
      <c r="L348" s="41"/>
      <c r="M348" s="41"/>
      <c r="N348" s="41"/>
      <c r="O348" s="41"/>
      <c r="P348" s="188"/>
      <c r="Q348" s="236"/>
      <c r="R348" s="280"/>
      <c r="S348" s="179">
        <f t="shared" si="111"/>
        <v>4859.3864915304011</v>
      </c>
      <c r="T348" s="259"/>
      <c r="U348" s="179">
        <f t="shared" si="124"/>
        <v>150</v>
      </c>
      <c r="V348" s="259"/>
      <c r="W348" s="179">
        <f t="shared" si="112"/>
        <v>0</v>
      </c>
      <c r="X348" s="259"/>
      <c r="Y348" s="179">
        <f t="shared" si="113"/>
        <v>1022.73</v>
      </c>
      <c r="Z348" s="259"/>
      <c r="AA348" s="179">
        <f t="shared" si="114"/>
        <v>40</v>
      </c>
      <c r="AB348" s="259"/>
      <c r="AC348" s="179">
        <f t="shared" si="115"/>
        <v>1394.266018065</v>
      </c>
      <c r="AD348" s="238">
        <f t="shared" si="110"/>
        <v>0</v>
      </c>
      <c r="AE348" s="179">
        <f t="shared" si="116"/>
        <v>2456.996018065</v>
      </c>
      <c r="AF348" s="264"/>
      <c r="AG348" s="179">
        <f t="shared" si="117"/>
        <v>1000</v>
      </c>
      <c r="AH348" s="268"/>
      <c r="AI348" s="179">
        <f t="shared" si="118"/>
        <v>0</v>
      </c>
      <c r="AJ348" s="268"/>
      <c r="AK348" s="179">
        <f t="shared" si="119"/>
        <v>22.73</v>
      </c>
      <c r="AL348" s="268"/>
      <c r="AM348" s="179">
        <f t="shared" si="120"/>
        <v>0</v>
      </c>
      <c r="AN348" s="268"/>
      <c r="AO348" s="179">
        <f t="shared" si="121"/>
        <v>0</v>
      </c>
      <c r="AP348" s="268"/>
      <c r="AQ348" s="179">
        <f t="shared" si="125"/>
        <v>0</v>
      </c>
      <c r="AR348" s="273"/>
      <c r="AS348" s="305">
        <f t="shared" si="122"/>
        <v>0</v>
      </c>
      <c r="AT348" s="273"/>
      <c r="AU348" s="305">
        <f t="shared" si="123"/>
        <v>0</v>
      </c>
    </row>
    <row r="349" spans="1:47" s="34" customFormat="1" hidden="1" x14ac:dyDescent="0.25">
      <c r="A349" s="87"/>
      <c r="B349" s="42"/>
      <c r="C349" s="41"/>
      <c r="D349" s="41"/>
      <c r="E349" s="40"/>
      <c r="F349" s="40"/>
      <c r="G349" s="40"/>
      <c r="H349" s="40"/>
      <c r="I349" s="160"/>
      <c r="J349" s="41"/>
      <c r="K349" s="41"/>
      <c r="L349" s="41"/>
      <c r="M349" s="41"/>
      <c r="N349" s="41"/>
      <c r="O349" s="41"/>
      <c r="P349" s="188"/>
      <c r="Q349" s="236"/>
      <c r="R349" s="280"/>
      <c r="S349" s="179">
        <f t="shared" si="111"/>
        <v>4859.3864915304011</v>
      </c>
      <c r="T349" s="259"/>
      <c r="U349" s="179">
        <f t="shared" si="124"/>
        <v>150</v>
      </c>
      <c r="V349" s="259"/>
      <c r="W349" s="179">
        <f t="shared" si="112"/>
        <v>0</v>
      </c>
      <c r="X349" s="259"/>
      <c r="Y349" s="179">
        <f t="shared" si="113"/>
        <v>1022.73</v>
      </c>
      <c r="Z349" s="259"/>
      <c r="AA349" s="179">
        <f t="shared" si="114"/>
        <v>40</v>
      </c>
      <c r="AB349" s="259"/>
      <c r="AC349" s="179">
        <f t="shared" si="115"/>
        <v>1394.266018065</v>
      </c>
      <c r="AD349" s="238">
        <f t="shared" si="110"/>
        <v>0</v>
      </c>
      <c r="AE349" s="179">
        <f t="shared" si="116"/>
        <v>2456.996018065</v>
      </c>
      <c r="AF349" s="264"/>
      <c r="AG349" s="179">
        <f t="shared" si="117"/>
        <v>1000</v>
      </c>
      <c r="AH349" s="268"/>
      <c r="AI349" s="179">
        <f t="shared" si="118"/>
        <v>0</v>
      </c>
      <c r="AJ349" s="268"/>
      <c r="AK349" s="179">
        <f t="shared" si="119"/>
        <v>22.73</v>
      </c>
      <c r="AL349" s="268"/>
      <c r="AM349" s="179">
        <f t="shared" si="120"/>
        <v>0</v>
      </c>
      <c r="AN349" s="268"/>
      <c r="AO349" s="179">
        <f t="shared" si="121"/>
        <v>0</v>
      </c>
      <c r="AP349" s="268"/>
      <c r="AQ349" s="179">
        <f t="shared" si="125"/>
        <v>0</v>
      </c>
      <c r="AR349" s="273"/>
      <c r="AS349" s="305">
        <f t="shared" si="122"/>
        <v>0</v>
      </c>
      <c r="AT349" s="273"/>
      <c r="AU349" s="305">
        <f t="shared" si="123"/>
        <v>0</v>
      </c>
    </row>
    <row r="350" spans="1:47" s="34" customFormat="1" hidden="1" x14ac:dyDescent="0.25">
      <c r="A350" s="87"/>
      <c r="B350" s="42"/>
      <c r="C350" s="41"/>
      <c r="D350" s="41"/>
      <c r="E350" s="40"/>
      <c r="F350" s="40"/>
      <c r="G350" s="40"/>
      <c r="H350" s="40"/>
      <c r="I350" s="160"/>
      <c r="J350" s="41"/>
      <c r="K350" s="41"/>
      <c r="L350" s="41"/>
      <c r="M350" s="41"/>
      <c r="N350" s="41"/>
      <c r="O350" s="41"/>
      <c r="P350" s="188"/>
      <c r="Q350" s="236"/>
      <c r="R350" s="280"/>
      <c r="S350" s="179">
        <f t="shared" si="111"/>
        <v>4859.3864915304011</v>
      </c>
      <c r="T350" s="259"/>
      <c r="U350" s="179">
        <f t="shared" si="124"/>
        <v>150</v>
      </c>
      <c r="V350" s="259"/>
      <c r="W350" s="179">
        <f t="shared" si="112"/>
        <v>0</v>
      </c>
      <c r="X350" s="259"/>
      <c r="Y350" s="179">
        <f t="shared" si="113"/>
        <v>1022.73</v>
      </c>
      <c r="Z350" s="259"/>
      <c r="AA350" s="179">
        <f t="shared" si="114"/>
        <v>40</v>
      </c>
      <c r="AB350" s="259"/>
      <c r="AC350" s="179">
        <f t="shared" si="115"/>
        <v>1394.266018065</v>
      </c>
      <c r="AD350" s="238">
        <f t="shared" si="110"/>
        <v>0</v>
      </c>
      <c r="AE350" s="179">
        <f t="shared" si="116"/>
        <v>2456.996018065</v>
      </c>
      <c r="AF350" s="264"/>
      <c r="AG350" s="179">
        <f t="shared" si="117"/>
        <v>1000</v>
      </c>
      <c r="AH350" s="268"/>
      <c r="AI350" s="179">
        <f t="shared" si="118"/>
        <v>0</v>
      </c>
      <c r="AJ350" s="268"/>
      <c r="AK350" s="179">
        <f t="shared" si="119"/>
        <v>22.73</v>
      </c>
      <c r="AL350" s="268"/>
      <c r="AM350" s="179">
        <f t="shared" si="120"/>
        <v>0</v>
      </c>
      <c r="AN350" s="268"/>
      <c r="AO350" s="179">
        <f t="shared" si="121"/>
        <v>0</v>
      </c>
      <c r="AP350" s="268"/>
      <c r="AQ350" s="179">
        <f t="shared" si="125"/>
        <v>0</v>
      </c>
      <c r="AR350" s="273"/>
      <c r="AS350" s="305">
        <f t="shared" si="122"/>
        <v>0</v>
      </c>
      <c r="AT350" s="273"/>
      <c r="AU350" s="305">
        <f t="shared" si="123"/>
        <v>0</v>
      </c>
    </row>
    <row r="351" spans="1:47" s="34" customFormat="1" hidden="1" x14ac:dyDescent="0.25">
      <c r="A351" s="87"/>
      <c r="B351" s="42"/>
      <c r="C351" s="41"/>
      <c r="D351" s="41"/>
      <c r="E351" s="40"/>
      <c r="F351" s="40"/>
      <c r="G351" s="40"/>
      <c r="H351" s="40"/>
      <c r="I351" s="160"/>
      <c r="J351" s="41"/>
      <c r="K351" s="41"/>
      <c r="L351" s="41"/>
      <c r="M351" s="41"/>
      <c r="N351" s="41"/>
      <c r="O351" s="41"/>
      <c r="P351" s="188"/>
      <c r="Q351" s="236"/>
      <c r="R351" s="280"/>
      <c r="S351" s="179">
        <f t="shared" si="111"/>
        <v>4859.3864915304011</v>
      </c>
      <c r="T351" s="259"/>
      <c r="U351" s="179">
        <f t="shared" si="124"/>
        <v>150</v>
      </c>
      <c r="V351" s="259"/>
      <c r="W351" s="179">
        <f t="shared" si="112"/>
        <v>0</v>
      </c>
      <c r="X351" s="259"/>
      <c r="Y351" s="179">
        <f t="shared" si="113"/>
        <v>1022.73</v>
      </c>
      <c r="Z351" s="259"/>
      <c r="AA351" s="179">
        <f t="shared" si="114"/>
        <v>40</v>
      </c>
      <c r="AB351" s="259"/>
      <c r="AC351" s="179">
        <f t="shared" si="115"/>
        <v>1394.266018065</v>
      </c>
      <c r="AD351" s="238">
        <f t="shared" si="110"/>
        <v>0</v>
      </c>
      <c r="AE351" s="179">
        <f t="shared" si="116"/>
        <v>2456.996018065</v>
      </c>
      <c r="AF351" s="264"/>
      <c r="AG351" s="179">
        <f t="shared" si="117"/>
        <v>1000</v>
      </c>
      <c r="AH351" s="268"/>
      <c r="AI351" s="179">
        <f t="shared" si="118"/>
        <v>0</v>
      </c>
      <c r="AJ351" s="268"/>
      <c r="AK351" s="179">
        <f t="shared" si="119"/>
        <v>22.73</v>
      </c>
      <c r="AL351" s="268"/>
      <c r="AM351" s="179">
        <f t="shared" si="120"/>
        <v>0</v>
      </c>
      <c r="AN351" s="268"/>
      <c r="AO351" s="179">
        <f t="shared" si="121"/>
        <v>0</v>
      </c>
      <c r="AP351" s="268"/>
      <c r="AQ351" s="179">
        <f t="shared" si="125"/>
        <v>0</v>
      </c>
      <c r="AR351" s="273"/>
      <c r="AS351" s="305">
        <f t="shared" si="122"/>
        <v>0</v>
      </c>
      <c r="AT351" s="273"/>
      <c r="AU351" s="305">
        <f t="shared" si="123"/>
        <v>0</v>
      </c>
    </row>
    <row r="352" spans="1:47" s="34" customFormat="1" hidden="1" x14ac:dyDescent="0.25">
      <c r="A352" s="87"/>
      <c r="B352" s="42"/>
      <c r="C352" s="41"/>
      <c r="D352" s="41"/>
      <c r="E352" s="40"/>
      <c r="F352" s="40"/>
      <c r="G352" s="40"/>
      <c r="H352" s="40"/>
      <c r="I352" s="160"/>
      <c r="J352" s="41"/>
      <c r="K352" s="41"/>
      <c r="L352" s="41"/>
      <c r="M352" s="41"/>
      <c r="N352" s="41"/>
      <c r="O352" s="41"/>
      <c r="P352" s="188"/>
      <c r="Q352" s="236"/>
      <c r="R352" s="280"/>
      <c r="S352" s="179">
        <f t="shared" si="111"/>
        <v>4859.3864915304011</v>
      </c>
      <c r="T352" s="259"/>
      <c r="U352" s="179">
        <f t="shared" si="124"/>
        <v>150</v>
      </c>
      <c r="V352" s="259"/>
      <c r="W352" s="179">
        <f t="shared" si="112"/>
        <v>0</v>
      </c>
      <c r="X352" s="259"/>
      <c r="Y352" s="179">
        <f t="shared" si="113"/>
        <v>1022.73</v>
      </c>
      <c r="Z352" s="259"/>
      <c r="AA352" s="179">
        <f t="shared" si="114"/>
        <v>40</v>
      </c>
      <c r="AB352" s="259"/>
      <c r="AC352" s="179">
        <f t="shared" si="115"/>
        <v>1394.266018065</v>
      </c>
      <c r="AD352" s="238">
        <f t="shared" si="110"/>
        <v>0</v>
      </c>
      <c r="AE352" s="179">
        <f t="shared" si="116"/>
        <v>2456.996018065</v>
      </c>
      <c r="AF352" s="264"/>
      <c r="AG352" s="179">
        <f t="shared" si="117"/>
        <v>1000</v>
      </c>
      <c r="AH352" s="268"/>
      <c r="AI352" s="179">
        <f t="shared" si="118"/>
        <v>0</v>
      </c>
      <c r="AJ352" s="268"/>
      <c r="AK352" s="179">
        <f t="shared" si="119"/>
        <v>22.73</v>
      </c>
      <c r="AL352" s="268"/>
      <c r="AM352" s="179">
        <f t="shared" si="120"/>
        <v>0</v>
      </c>
      <c r="AN352" s="268"/>
      <c r="AO352" s="179">
        <f t="shared" si="121"/>
        <v>0</v>
      </c>
      <c r="AP352" s="268"/>
      <c r="AQ352" s="179">
        <f t="shared" si="125"/>
        <v>0</v>
      </c>
      <c r="AR352" s="273"/>
      <c r="AS352" s="305">
        <f t="shared" si="122"/>
        <v>0</v>
      </c>
      <c r="AT352" s="273"/>
      <c r="AU352" s="305">
        <f t="shared" si="123"/>
        <v>0</v>
      </c>
    </row>
    <row r="353" spans="1:47" s="34" customFormat="1" hidden="1" x14ac:dyDescent="0.25">
      <c r="A353" s="87"/>
      <c r="B353" s="42"/>
      <c r="C353" s="41"/>
      <c r="D353" s="41"/>
      <c r="E353" s="40"/>
      <c r="F353" s="40"/>
      <c r="G353" s="40"/>
      <c r="H353" s="40"/>
      <c r="I353" s="160"/>
      <c r="J353" s="41"/>
      <c r="K353" s="41"/>
      <c r="L353" s="41"/>
      <c r="M353" s="41"/>
      <c r="N353" s="41"/>
      <c r="O353" s="41"/>
      <c r="P353" s="188"/>
      <c r="Q353" s="236"/>
      <c r="R353" s="280"/>
      <c r="S353" s="179">
        <f t="shared" si="111"/>
        <v>4859.3864915304011</v>
      </c>
      <c r="T353" s="259"/>
      <c r="U353" s="179">
        <f t="shared" si="124"/>
        <v>150</v>
      </c>
      <c r="V353" s="259"/>
      <c r="W353" s="179">
        <f t="shared" si="112"/>
        <v>0</v>
      </c>
      <c r="X353" s="259"/>
      <c r="Y353" s="179">
        <f t="shared" si="113"/>
        <v>1022.73</v>
      </c>
      <c r="Z353" s="259"/>
      <c r="AA353" s="179">
        <f t="shared" si="114"/>
        <v>40</v>
      </c>
      <c r="AB353" s="259"/>
      <c r="AC353" s="179">
        <f t="shared" si="115"/>
        <v>1394.266018065</v>
      </c>
      <c r="AD353" s="238">
        <f t="shared" si="110"/>
        <v>0</v>
      </c>
      <c r="AE353" s="179">
        <f t="shared" si="116"/>
        <v>2456.996018065</v>
      </c>
      <c r="AF353" s="264"/>
      <c r="AG353" s="179">
        <f t="shared" si="117"/>
        <v>1000</v>
      </c>
      <c r="AH353" s="268"/>
      <c r="AI353" s="179">
        <f t="shared" si="118"/>
        <v>0</v>
      </c>
      <c r="AJ353" s="268"/>
      <c r="AK353" s="179">
        <f t="shared" si="119"/>
        <v>22.73</v>
      </c>
      <c r="AL353" s="268"/>
      <c r="AM353" s="179">
        <f t="shared" si="120"/>
        <v>0</v>
      </c>
      <c r="AN353" s="268"/>
      <c r="AO353" s="179">
        <f t="shared" si="121"/>
        <v>0</v>
      </c>
      <c r="AP353" s="268"/>
      <c r="AQ353" s="179">
        <f t="shared" si="125"/>
        <v>0</v>
      </c>
      <c r="AR353" s="273"/>
      <c r="AS353" s="305">
        <f t="shared" si="122"/>
        <v>0</v>
      </c>
      <c r="AT353" s="273"/>
      <c r="AU353" s="305">
        <f t="shared" si="123"/>
        <v>0</v>
      </c>
    </row>
    <row r="354" spans="1:47" s="34" customFormat="1" hidden="1" x14ac:dyDescent="0.25">
      <c r="A354" s="87"/>
      <c r="B354" s="42"/>
      <c r="C354" s="41"/>
      <c r="D354" s="41"/>
      <c r="E354" s="40"/>
      <c r="F354" s="40"/>
      <c r="G354" s="40"/>
      <c r="H354" s="40"/>
      <c r="I354" s="160"/>
      <c r="J354" s="41"/>
      <c r="K354" s="41"/>
      <c r="L354" s="41"/>
      <c r="M354" s="41"/>
      <c r="N354" s="41"/>
      <c r="O354" s="41"/>
      <c r="P354" s="188"/>
      <c r="Q354" s="236"/>
      <c r="R354" s="280"/>
      <c r="S354" s="179">
        <f t="shared" si="111"/>
        <v>4859.3864915304011</v>
      </c>
      <c r="T354" s="259"/>
      <c r="U354" s="179">
        <f t="shared" si="124"/>
        <v>150</v>
      </c>
      <c r="V354" s="259"/>
      <c r="W354" s="179">
        <f t="shared" si="112"/>
        <v>0</v>
      </c>
      <c r="X354" s="259"/>
      <c r="Y354" s="179">
        <f t="shared" si="113"/>
        <v>1022.73</v>
      </c>
      <c r="Z354" s="259"/>
      <c r="AA354" s="179">
        <f t="shared" si="114"/>
        <v>40</v>
      </c>
      <c r="AB354" s="259"/>
      <c r="AC354" s="179">
        <f t="shared" si="115"/>
        <v>1394.266018065</v>
      </c>
      <c r="AD354" s="238">
        <f t="shared" si="110"/>
        <v>0</v>
      </c>
      <c r="AE354" s="179">
        <f t="shared" si="116"/>
        <v>2456.996018065</v>
      </c>
      <c r="AF354" s="264"/>
      <c r="AG354" s="179">
        <f t="shared" si="117"/>
        <v>1000</v>
      </c>
      <c r="AH354" s="268"/>
      <c r="AI354" s="179">
        <f t="shared" si="118"/>
        <v>0</v>
      </c>
      <c r="AJ354" s="268"/>
      <c r="AK354" s="179">
        <f t="shared" si="119"/>
        <v>22.73</v>
      </c>
      <c r="AL354" s="268"/>
      <c r="AM354" s="179">
        <f t="shared" si="120"/>
        <v>0</v>
      </c>
      <c r="AN354" s="268"/>
      <c r="AO354" s="179">
        <f t="shared" si="121"/>
        <v>0</v>
      </c>
      <c r="AP354" s="268"/>
      <c r="AQ354" s="179">
        <f t="shared" si="125"/>
        <v>0</v>
      </c>
      <c r="AR354" s="273"/>
      <c r="AS354" s="305">
        <f t="shared" si="122"/>
        <v>0</v>
      </c>
      <c r="AT354" s="273"/>
      <c r="AU354" s="305">
        <f t="shared" si="123"/>
        <v>0</v>
      </c>
    </row>
    <row r="355" spans="1:47" s="34" customFormat="1" hidden="1" x14ac:dyDescent="0.25">
      <c r="A355" s="87"/>
      <c r="B355" s="42"/>
      <c r="C355" s="41"/>
      <c r="D355" s="41"/>
      <c r="E355" s="40"/>
      <c r="F355" s="40"/>
      <c r="G355" s="40"/>
      <c r="H355" s="40"/>
      <c r="I355" s="160"/>
      <c r="J355" s="41"/>
      <c r="K355" s="41"/>
      <c r="L355" s="41"/>
      <c r="M355" s="41"/>
      <c r="N355" s="41"/>
      <c r="O355" s="41"/>
      <c r="P355" s="188"/>
      <c r="Q355" s="236"/>
      <c r="R355" s="280"/>
      <c r="S355" s="179">
        <f t="shared" si="111"/>
        <v>4859.3864915304011</v>
      </c>
      <c r="T355" s="259"/>
      <c r="U355" s="179">
        <f t="shared" si="124"/>
        <v>150</v>
      </c>
      <c r="V355" s="259"/>
      <c r="W355" s="179">
        <f t="shared" si="112"/>
        <v>0</v>
      </c>
      <c r="X355" s="259"/>
      <c r="Y355" s="179">
        <f t="shared" si="113"/>
        <v>1022.73</v>
      </c>
      <c r="Z355" s="259"/>
      <c r="AA355" s="179">
        <f t="shared" si="114"/>
        <v>40</v>
      </c>
      <c r="AB355" s="259"/>
      <c r="AC355" s="179">
        <f t="shared" si="115"/>
        <v>1394.266018065</v>
      </c>
      <c r="AD355" s="238">
        <f t="shared" si="110"/>
        <v>0</v>
      </c>
      <c r="AE355" s="179">
        <f t="shared" si="116"/>
        <v>2456.996018065</v>
      </c>
      <c r="AF355" s="264"/>
      <c r="AG355" s="179">
        <f t="shared" si="117"/>
        <v>1000</v>
      </c>
      <c r="AH355" s="268"/>
      <c r="AI355" s="179">
        <f t="shared" si="118"/>
        <v>0</v>
      </c>
      <c r="AJ355" s="268"/>
      <c r="AK355" s="179">
        <f t="shared" si="119"/>
        <v>22.73</v>
      </c>
      <c r="AL355" s="268"/>
      <c r="AM355" s="179">
        <f t="shared" si="120"/>
        <v>0</v>
      </c>
      <c r="AN355" s="268"/>
      <c r="AO355" s="179">
        <f t="shared" si="121"/>
        <v>0</v>
      </c>
      <c r="AP355" s="268"/>
      <c r="AQ355" s="179">
        <f t="shared" si="125"/>
        <v>0</v>
      </c>
      <c r="AR355" s="273"/>
      <c r="AS355" s="305">
        <f t="shared" si="122"/>
        <v>0</v>
      </c>
      <c r="AT355" s="273"/>
      <c r="AU355" s="305">
        <f t="shared" si="123"/>
        <v>0</v>
      </c>
    </row>
    <row r="356" spans="1:47" s="34" customFormat="1" hidden="1" x14ac:dyDescent="0.25">
      <c r="A356" s="87"/>
      <c r="B356" s="42"/>
      <c r="C356" s="41"/>
      <c r="D356" s="41"/>
      <c r="E356" s="40"/>
      <c r="F356" s="40"/>
      <c r="G356" s="40"/>
      <c r="H356" s="40"/>
      <c r="I356" s="160"/>
      <c r="J356" s="41"/>
      <c r="K356" s="41"/>
      <c r="L356" s="41"/>
      <c r="M356" s="41"/>
      <c r="N356" s="41"/>
      <c r="O356" s="41"/>
      <c r="P356" s="188"/>
      <c r="Q356" s="236"/>
      <c r="R356" s="280"/>
      <c r="S356" s="179">
        <f t="shared" si="111"/>
        <v>4859.3864915304011</v>
      </c>
      <c r="T356" s="259"/>
      <c r="U356" s="179">
        <f t="shared" si="124"/>
        <v>150</v>
      </c>
      <c r="V356" s="259"/>
      <c r="W356" s="179">
        <f t="shared" si="112"/>
        <v>0</v>
      </c>
      <c r="X356" s="259"/>
      <c r="Y356" s="179">
        <f t="shared" si="113"/>
        <v>1022.73</v>
      </c>
      <c r="Z356" s="259"/>
      <c r="AA356" s="179">
        <f t="shared" si="114"/>
        <v>40</v>
      </c>
      <c r="AB356" s="259"/>
      <c r="AC356" s="179">
        <f t="shared" si="115"/>
        <v>1394.266018065</v>
      </c>
      <c r="AD356" s="238">
        <f t="shared" si="110"/>
        <v>0</v>
      </c>
      <c r="AE356" s="179">
        <f t="shared" si="116"/>
        <v>2456.996018065</v>
      </c>
      <c r="AF356" s="264"/>
      <c r="AG356" s="179">
        <f t="shared" si="117"/>
        <v>1000</v>
      </c>
      <c r="AH356" s="268"/>
      <c r="AI356" s="179">
        <f t="shared" si="118"/>
        <v>0</v>
      </c>
      <c r="AJ356" s="268"/>
      <c r="AK356" s="179">
        <f t="shared" si="119"/>
        <v>22.73</v>
      </c>
      <c r="AL356" s="268"/>
      <c r="AM356" s="179">
        <f t="shared" si="120"/>
        <v>0</v>
      </c>
      <c r="AN356" s="268"/>
      <c r="AO356" s="179">
        <f t="shared" si="121"/>
        <v>0</v>
      </c>
      <c r="AP356" s="268"/>
      <c r="AQ356" s="179">
        <f t="shared" si="125"/>
        <v>0</v>
      </c>
      <c r="AR356" s="273"/>
      <c r="AS356" s="305">
        <f t="shared" si="122"/>
        <v>0</v>
      </c>
      <c r="AT356" s="273"/>
      <c r="AU356" s="305">
        <f t="shared" si="123"/>
        <v>0</v>
      </c>
    </row>
    <row r="357" spans="1:47" s="34" customFormat="1" hidden="1" x14ac:dyDescent="0.25">
      <c r="A357" s="87"/>
      <c r="B357" s="42"/>
      <c r="C357" s="41"/>
      <c r="D357" s="41"/>
      <c r="E357" s="40"/>
      <c r="F357" s="40"/>
      <c r="G357" s="40"/>
      <c r="H357" s="40"/>
      <c r="I357" s="160"/>
      <c r="J357" s="41"/>
      <c r="K357" s="41"/>
      <c r="L357" s="41"/>
      <c r="M357" s="41"/>
      <c r="N357" s="41"/>
      <c r="O357" s="41"/>
      <c r="P357" s="188"/>
      <c r="Q357" s="236"/>
      <c r="R357" s="280"/>
      <c r="S357" s="179">
        <f t="shared" si="111"/>
        <v>4859.3864915304011</v>
      </c>
      <c r="T357" s="259"/>
      <c r="U357" s="179">
        <f t="shared" si="124"/>
        <v>150</v>
      </c>
      <c r="V357" s="259"/>
      <c r="W357" s="179">
        <f t="shared" si="112"/>
        <v>0</v>
      </c>
      <c r="X357" s="259"/>
      <c r="Y357" s="179">
        <f t="shared" si="113"/>
        <v>1022.73</v>
      </c>
      <c r="Z357" s="259"/>
      <c r="AA357" s="179">
        <f t="shared" si="114"/>
        <v>40</v>
      </c>
      <c r="AB357" s="259"/>
      <c r="AC357" s="179">
        <f t="shared" si="115"/>
        <v>1394.266018065</v>
      </c>
      <c r="AD357" s="238">
        <f t="shared" si="110"/>
        <v>0</v>
      </c>
      <c r="AE357" s="179">
        <f t="shared" si="116"/>
        <v>2456.996018065</v>
      </c>
      <c r="AF357" s="264"/>
      <c r="AG357" s="179">
        <f t="shared" si="117"/>
        <v>1000</v>
      </c>
      <c r="AH357" s="268"/>
      <c r="AI357" s="179">
        <f t="shared" si="118"/>
        <v>0</v>
      </c>
      <c r="AJ357" s="268"/>
      <c r="AK357" s="179">
        <f t="shared" si="119"/>
        <v>22.73</v>
      </c>
      <c r="AL357" s="268"/>
      <c r="AM357" s="179">
        <f t="shared" si="120"/>
        <v>0</v>
      </c>
      <c r="AN357" s="268"/>
      <c r="AO357" s="179">
        <f t="shared" si="121"/>
        <v>0</v>
      </c>
      <c r="AP357" s="268"/>
      <c r="AQ357" s="179">
        <f t="shared" si="125"/>
        <v>0</v>
      </c>
      <c r="AR357" s="273"/>
      <c r="AS357" s="305">
        <f t="shared" si="122"/>
        <v>0</v>
      </c>
      <c r="AT357" s="273"/>
      <c r="AU357" s="305">
        <f t="shared" si="123"/>
        <v>0</v>
      </c>
    </row>
    <row r="358" spans="1:47" s="34" customFormat="1" hidden="1" x14ac:dyDescent="0.25">
      <c r="A358" s="87"/>
      <c r="B358" s="42"/>
      <c r="C358" s="41"/>
      <c r="D358" s="41"/>
      <c r="E358" s="40"/>
      <c r="F358" s="40"/>
      <c r="G358" s="40"/>
      <c r="H358" s="40"/>
      <c r="I358" s="160"/>
      <c r="J358" s="41"/>
      <c r="K358" s="41"/>
      <c r="L358" s="41"/>
      <c r="M358" s="41"/>
      <c r="N358" s="41"/>
      <c r="O358" s="41"/>
      <c r="P358" s="188"/>
      <c r="Q358" s="236"/>
      <c r="R358" s="280"/>
      <c r="S358" s="179">
        <f t="shared" si="111"/>
        <v>4859.3864915304011</v>
      </c>
      <c r="T358" s="259"/>
      <c r="U358" s="179">
        <f t="shared" si="124"/>
        <v>150</v>
      </c>
      <c r="V358" s="259"/>
      <c r="W358" s="179">
        <f t="shared" si="112"/>
        <v>0</v>
      </c>
      <c r="X358" s="259"/>
      <c r="Y358" s="179">
        <f t="shared" si="113"/>
        <v>1022.73</v>
      </c>
      <c r="Z358" s="259"/>
      <c r="AA358" s="179">
        <f t="shared" si="114"/>
        <v>40</v>
      </c>
      <c r="AB358" s="259"/>
      <c r="AC358" s="179">
        <f t="shared" si="115"/>
        <v>1394.266018065</v>
      </c>
      <c r="AD358" s="238">
        <f t="shared" si="110"/>
        <v>0</v>
      </c>
      <c r="AE358" s="179">
        <f t="shared" si="116"/>
        <v>2456.996018065</v>
      </c>
      <c r="AF358" s="264"/>
      <c r="AG358" s="179">
        <f t="shared" si="117"/>
        <v>1000</v>
      </c>
      <c r="AH358" s="268"/>
      <c r="AI358" s="179">
        <f t="shared" si="118"/>
        <v>0</v>
      </c>
      <c r="AJ358" s="268"/>
      <c r="AK358" s="179">
        <f t="shared" si="119"/>
        <v>22.73</v>
      </c>
      <c r="AL358" s="268"/>
      <c r="AM358" s="179">
        <f t="shared" si="120"/>
        <v>0</v>
      </c>
      <c r="AN358" s="268"/>
      <c r="AO358" s="179">
        <f t="shared" si="121"/>
        <v>0</v>
      </c>
      <c r="AP358" s="268"/>
      <c r="AQ358" s="179">
        <f t="shared" si="125"/>
        <v>0</v>
      </c>
      <c r="AR358" s="273"/>
      <c r="AS358" s="305">
        <f t="shared" si="122"/>
        <v>0</v>
      </c>
      <c r="AT358" s="273"/>
      <c r="AU358" s="305">
        <f t="shared" si="123"/>
        <v>0</v>
      </c>
    </row>
    <row r="359" spans="1:47" s="34" customFormat="1" hidden="1" x14ac:dyDescent="0.25">
      <c r="A359" s="87"/>
      <c r="B359" s="42"/>
      <c r="C359" s="41"/>
      <c r="D359" s="41"/>
      <c r="E359" s="40"/>
      <c r="F359" s="40"/>
      <c r="G359" s="40"/>
      <c r="H359" s="40"/>
      <c r="I359" s="160"/>
      <c r="J359" s="41"/>
      <c r="K359" s="41"/>
      <c r="L359" s="41"/>
      <c r="M359" s="41"/>
      <c r="N359" s="41"/>
      <c r="O359" s="41"/>
      <c r="P359" s="188"/>
      <c r="Q359" s="236"/>
      <c r="R359" s="280"/>
      <c r="S359" s="179">
        <f t="shared" si="111"/>
        <v>4859.3864915304011</v>
      </c>
      <c r="T359" s="259"/>
      <c r="U359" s="179">
        <f t="shared" si="124"/>
        <v>150</v>
      </c>
      <c r="V359" s="259"/>
      <c r="W359" s="179">
        <f t="shared" si="112"/>
        <v>0</v>
      </c>
      <c r="X359" s="259"/>
      <c r="Y359" s="179">
        <f t="shared" si="113"/>
        <v>1022.73</v>
      </c>
      <c r="Z359" s="259"/>
      <c r="AA359" s="179">
        <f t="shared" si="114"/>
        <v>40</v>
      </c>
      <c r="AB359" s="259"/>
      <c r="AC359" s="179">
        <f t="shared" si="115"/>
        <v>1394.266018065</v>
      </c>
      <c r="AD359" s="238">
        <f t="shared" si="110"/>
        <v>0</v>
      </c>
      <c r="AE359" s="179">
        <f t="shared" si="116"/>
        <v>2456.996018065</v>
      </c>
      <c r="AF359" s="264"/>
      <c r="AG359" s="179">
        <f t="shared" si="117"/>
        <v>1000</v>
      </c>
      <c r="AH359" s="268"/>
      <c r="AI359" s="179">
        <f t="shared" si="118"/>
        <v>0</v>
      </c>
      <c r="AJ359" s="268"/>
      <c r="AK359" s="179">
        <f t="shared" si="119"/>
        <v>22.73</v>
      </c>
      <c r="AL359" s="268"/>
      <c r="AM359" s="179">
        <f t="shared" si="120"/>
        <v>0</v>
      </c>
      <c r="AN359" s="268"/>
      <c r="AO359" s="179">
        <f t="shared" si="121"/>
        <v>0</v>
      </c>
      <c r="AP359" s="268"/>
      <c r="AQ359" s="179">
        <f t="shared" si="125"/>
        <v>0</v>
      </c>
      <c r="AR359" s="273"/>
      <c r="AS359" s="305">
        <f t="shared" si="122"/>
        <v>0</v>
      </c>
      <c r="AT359" s="273"/>
      <c r="AU359" s="305">
        <f t="shared" si="123"/>
        <v>0</v>
      </c>
    </row>
    <row r="360" spans="1:47" s="34" customFormat="1" hidden="1" x14ac:dyDescent="0.25">
      <c r="A360" s="87"/>
      <c r="B360" s="42"/>
      <c r="C360" s="41"/>
      <c r="D360" s="41"/>
      <c r="E360" s="40"/>
      <c r="F360" s="40"/>
      <c r="G360" s="40"/>
      <c r="H360" s="40"/>
      <c r="I360" s="160"/>
      <c r="J360" s="41"/>
      <c r="K360" s="41"/>
      <c r="L360" s="41"/>
      <c r="M360" s="41"/>
      <c r="N360" s="41"/>
      <c r="O360" s="41"/>
      <c r="P360" s="188"/>
      <c r="Q360" s="236"/>
      <c r="R360" s="280"/>
      <c r="S360" s="179">
        <f t="shared" si="111"/>
        <v>4859.3864915304011</v>
      </c>
      <c r="T360" s="259"/>
      <c r="U360" s="179">
        <f t="shared" si="124"/>
        <v>150</v>
      </c>
      <c r="V360" s="259"/>
      <c r="W360" s="179">
        <f t="shared" si="112"/>
        <v>0</v>
      </c>
      <c r="X360" s="259"/>
      <c r="Y360" s="179">
        <f t="shared" si="113"/>
        <v>1022.73</v>
      </c>
      <c r="Z360" s="259"/>
      <c r="AA360" s="179">
        <f t="shared" si="114"/>
        <v>40</v>
      </c>
      <c r="AB360" s="259"/>
      <c r="AC360" s="179">
        <f t="shared" si="115"/>
        <v>1394.266018065</v>
      </c>
      <c r="AD360" s="238">
        <f t="shared" si="110"/>
        <v>0</v>
      </c>
      <c r="AE360" s="179">
        <f t="shared" si="116"/>
        <v>2456.996018065</v>
      </c>
      <c r="AF360" s="264"/>
      <c r="AG360" s="179">
        <f t="shared" si="117"/>
        <v>1000</v>
      </c>
      <c r="AH360" s="268"/>
      <c r="AI360" s="179">
        <f t="shared" si="118"/>
        <v>0</v>
      </c>
      <c r="AJ360" s="268"/>
      <c r="AK360" s="179">
        <f t="shared" si="119"/>
        <v>22.73</v>
      </c>
      <c r="AL360" s="268"/>
      <c r="AM360" s="179">
        <f t="shared" si="120"/>
        <v>0</v>
      </c>
      <c r="AN360" s="268"/>
      <c r="AO360" s="179">
        <f t="shared" si="121"/>
        <v>0</v>
      </c>
      <c r="AP360" s="268"/>
      <c r="AQ360" s="179">
        <f t="shared" si="125"/>
        <v>0</v>
      </c>
      <c r="AR360" s="273"/>
      <c r="AS360" s="305">
        <f t="shared" si="122"/>
        <v>0</v>
      </c>
      <c r="AT360" s="273"/>
      <c r="AU360" s="305">
        <f t="shared" si="123"/>
        <v>0</v>
      </c>
    </row>
    <row r="361" spans="1:47" s="34" customFormat="1" hidden="1" x14ac:dyDescent="0.25">
      <c r="A361" s="87"/>
      <c r="B361" s="42"/>
      <c r="C361" s="41"/>
      <c r="D361" s="41"/>
      <c r="E361" s="40"/>
      <c r="F361" s="40"/>
      <c r="G361" s="40"/>
      <c r="H361" s="40"/>
      <c r="I361" s="160"/>
      <c r="J361" s="41"/>
      <c r="K361" s="41"/>
      <c r="L361" s="41"/>
      <c r="M361" s="41"/>
      <c r="N361" s="41"/>
      <c r="O361" s="41"/>
      <c r="P361" s="188"/>
      <c r="Q361" s="236"/>
      <c r="R361" s="280"/>
      <c r="S361" s="179">
        <f t="shared" si="111"/>
        <v>4859.3864915304011</v>
      </c>
      <c r="T361" s="259"/>
      <c r="U361" s="179">
        <f t="shared" si="124"/>
        <v>150</v>
      </c>
      <c r="V361" s="259"/>
      <c r="W361" s="179">
        <f t="shared" si="112"/>
        <v>0</v>
      </c>
      <c r="X361" s="259"/>
      <c r="Y361" s="179">
        <f t="shared" si="113"/>
        <v>1022.73</v>
      </c>
      <c r="Z361" s="259"/>
      <c r="AA361" s="179">
        <f t="shared" si="114"/>
        <v>40</v>
      </c>
      <c r="AB361" s="259"/>
      <c r="AC361" s="179">
        <f t="shared" si="115"/>
        <v>1394.266018065</v>
      </c>
      <c r="AD361" s="238">
        <f t="shared" si="110"/>
        <v>0</v>
      </c>
      <c r="AE361" s="179">
        <f t="shared" si="116"/>
        <v>2456.996018065</v>
      </c>
      <c r="AF361" s="264"/>
      <c r="AG361" s="179">
        <f t="shared" si="117"/>
        <v>1000</v>
      </c>
      <c r="AH361" s="268"/>
      <c r="AI361" s="179">
        <f t="shared" si="118"/>
        <v>0</v>
      </c>
      <c r="AJ361" s="268"/>
      <c r="AK361" s="179">
        <f t="shared" si="119"/>
        <v>22.73</v>
      </c>
      <c r="AL361" s="268"/>
      <c r="AM361" s="179">
        <f t="shared" si="120"/>
        <v>0</v>
      </c>
      <c r="AN361" s="268"/>
      <c r="AO361" s="179">
        <f t="shared" si="121"/>
        <v>0</v>
      </c>
      <c r="AP361" s="268"/>
      <c r="AQ361" s="179">
        <f t="shared" si="125"/>
        <v>0</v>
      </c>
      <c r="AR361" s="273"/>
      <c r="AS361" s="305">
        <f t="shared" si="122"/>
        <v>0</v>
      </c>
      <c r="AT361" s="273"/>
      <c r="AU361" s="305">
        <f t="shared" si="123"/>
        <v>0</v>
      </c>
    </row>
    <row r="362" spans="1:47" s="34" customFormat="1" hidden="1" x14ac:dyDescent="0.25">
      <c r="A362" s="87"/>
      <c r="B362" s="42"/>
      <c r="C362" s="41"/>
      <c r="D362" s="41"/>
      <c r="E362" s="40"/>
      <c r="F362" s="40"/>
      <c r="G362" s="40"/>
      <c r="H362" s="40"/>
      <c r="I362" s="160"/>
      <c r="J362" s="41"/>
      <c r="K362" s="41"/>
      <c r="L362" s="41"/>
      <c r="M362" s="41"/>
      <c r="N362" s="41"/>
      <c r="O362" s="41"/>
      <c r="P362" s="188"/>
      <c r="Q362" s="236"/>
      <c r="R362" s="280"/>
      <c r="S362" s="179">
        <f t="shared" si="111"/>
        <v>4859.3864915304011</v>
      </c>
      <c r="T362" s="259"/>
      <c r="U362" s="179">
        <f t="shared" si="124"/>
        <v>150</v>
      </c>
      <c r="V362" s="259"/>
      <c r="W362" s="179">
        <f t="shared" si="112"/>
        <v>0</v>
      </c>
      <c r="X362" s="259"/>
      <c r="Y362" s="179">
        <f t="shared" si="113"/>
        <v>1022.73</v>
      </c>
      <c r="Z362" s="259"/>
      <c r="AA362" s="179">
        <f t="shared" si="114"/>
        <v>40</v>
      </c>
      <c r="AB362" s="259"/>
      <c r="AC362" s="179">
        <f t="shared" si="115"/>
        <v>1394.266018065</v>
      </c>
      <c r="AD362" s="238">
        <f t="shared" si="110"/>
        <v>0</v>
      </c>
      <c r="AE362" s="179">
        <f t="shared" si="116"/>
        <v>2456.996018065</v>
      </c>
      <c r="AF362" s="264"/>
      <c r="AG362" s="179">
        <f t="shared" si="117"/>
        <v>1000</v>
      </c>
      <c r="AH362" s="268"/>
      <c r="AI362" s="179">
        <f t="shared" si="118"/>
        <v>0</v>
      </c>
      <c r="AJ362" s="268"/>
      <c r="AK362" s="179">
        <f t="shared" si="119"/>
        <v>22.73</v>
      </c>
      <c r="AL362" s="268"/>
      <c r="AM362" s="179">
        <f t="shared" si="120"/>
        <v>0</v>
      </c>
      <c r="AN362" s="268"/>
      <c r="AO362" s="179">
        <f t="shared" si="121"/>
        <v>0</v>
      </c>
      <c r="AP362" s="268"/>
      <c r="AQ362" s="179">
        <f t="shared" si="125"/>
        <v>0</v>
      </c>
      <c r="AR362" s="273"/>
      <c r="AS362" s="305">
        <f t="shared" si="122"/>
        <v>0</v>
      </c>
      <c r="AT362" s="273"/>
      <c r="AU362" s="305">
        <f t="shared" si="123"/>
        <v>0</v>
      </c>
    </row>
    <row r="363" spans="1:47" s="34" customFormat="1" hidden="1" x14ac:dyDescent="0.25">
      <c r="A363" s="87"/>
      <c r="B363" s="42"/>
      <c r="C363" s="41"/>
      <c r="D363" s="41"/>
      <c r="E363" s="40"/>
      <c r="F363" s="40"/>
      <c r="G363" s="40"/>
      <c r="H363" s="40"/>
      <c r="I363" s="160"/>
      <c r="J363" s="41"/>
      <c r="K363" s="41"/>
      <c r="L363" s="41"/>
      <c r="M363" s="41"/>
      <c r="N363" s="41"/>
      <c r="O363" s="41"/>
      <c r="P363" s="188"/>
      <c r="Q363" s="236"/>
      <c r="R363" s="280"/>
      <c r="S363" s="179">
        <f t="shared" si="111"/>
        <v>4859.3864915304011</v>
      </c>
      <c r="T363" s="259"/>
      <c r="U363" s="179">
        <f t="shared" si="124"/>
        <v>150</v>
      </c>
      <c r="V363" s="259"/>
      <c r="W363" s="179">
        <f t="shared" si="112"/>
        <v>0</v>
      </c>
      <c r="X363" s="259"/>
      <c r="Y363" s="179">
        <f t="shared" si="113"/>
        <v>1022.73</v>
      </c>
      <c r="Z363" s="259"/>
      <c r="AA363" s="179">
        <f t="shared" si="114"/>
        <v>40</v>
      </c>
      <c r="AB363" s="259"/>
      <c r="AC363" s="179">
        <f t="shared" si="115"/>
        <v>1394.266018065</v>
      </c>
      <c r="AD363" s="238">
        <f t="shared" si="110"/>
        <v>0</v>
      </c>
      <c r="AE363" s="179">
        <f t="shared" si="116"/>
        <v>2456.996018065</v>
      </c>
      <c r="AF363" s="264"/>
      <c r="AG363" s="179">
        <f t="shared" si="117"/>
        <v>1000</v>
      </c>
      <c r="AH363" s="268"/>
      <c r="AI363" s="179">
        <f t="shared" si="118"/>
        <v>0</v>
      </c>
      <c r="AJ363" s="268"/>
      <c r="AK363" s="179">
        <f t="shared" si="119"/>
        <v>22.73</v>
      </c>
      <c r="AL363" s="268"/>
      <c r="AM363" s="179">
        <f t="shared" si="120"/>
        <v>0</v>
      </c>
      <c r="AN363" s="268"/>
      <c r="AO363" s="179">
        <f t="shared" si="121"/>
        <v>0</v>
      </c>
      <c r="AP363" s="268"/>
      <c r="AQ363" s="179">
        <f t="shared" si="125"/>
        <v>0</v>
      </c>
      <c r="AR363" s="273"/>
      <c r="AS363" s="305">
        <f t="shared" si="122"/>
        <v>0</v>
      </c>
      <c r="AT363" s="273"/>
      <c r="AU363" s="305">
        <f t="shared" si="123"/>
        <v>0</v>
      </c>
    </row>
    <row r="364" spans="1:47" s="34" customFormat="1" hidden="1" x14ac:dyDescent="0.25">
      <c r="A364" s="87"/>
      <c r="B364" s="42"/>
      <c r="C364" s="41"/>
      <c r="D364" s="41"/>
      <c r="E364" s="40"/>
      <c r="F364" s="40"/>
      <c r="G364" s="40"/>
      <c r="H364" s="40"/>
      <c r="I364" s="160"/>
      <c r="J364" s="41"/>
      <c r="K364" s="41"/>
      <c r="L364" s="41"/>
      <c r="M364" s="41"/>
      <c r="N364" s="41"/>
      <c r="O364" s="41"/>
      <c r="P364" s="188"/>
      <c r="Q364" s="236"/>
      <c r="R364" s="280"/>
      <c r="S364" s="179">
        <f t="shared" si="111"/>
        <v>4859.3864915304011</v>
      </c>
      <c r="T364" s="259"/>
      <c r="U364" s="179">
        <f t="shared" si="124"/>
        <v>150</v>
      </c>
      <c r="V364" s="259"/>
      <c r="W364" s="179">
        <f t="shared" si="112"/>
        <v>0</v>
      </c>
      <c r="X364" s="259"/>
      <c r="Y364" s="179">
        <f t="shared" si="113"/>
        <v>1022.73</v>
      </c>
      <c r="Z364" s="259"/>
      <c r="AA364" s="179">
        <f t="shared" si="114"/>
        <v>40</v>
      </c>
      <c r="AB364" s="259"/>
      <c r="AC364" s="179">
        <f t="shared" si="115"/>
        <v>1394.266018065</v>
      </c>
      <c r="AD364" s="238">
        <f t="shared" si="110"/>
        <v>0</v>
      </c>
      <c r="AE364" s="179">
        <f t="shared" si="116"/>
        <v>2456.996018065</v>
      </c>
      <c r="AF364" s="264"/>
      <c r="AG364" s="179">
        <f t="shared" si="117"/>
        <v>1000</v>
      </c>
      <c r="AH364" s="268"/>
      <c r="AI364" s="179">
        <f t="shared" si="118"/>
        <v>0</v>
      </c>
      <c r="AJ364" s="268"/>
      <c r="AK364" s="179">
        <f t="shared" si="119"/>
        <v>22.73</v>
      </c>
      <c r="AL364" s="268"/>
      <c r="AM364" s="179">
        <f t="shared" si="120"/>
        <v>0</v>
      </c>
      <c r="AN364" s="268"/>
      <c r="AO364" s="179">
        <f t="shared" si="121"/>
        <v>0</v>
      </c>
      <c r="AP364" s="268"/>
      <c r="AQ364" s="179">
        <f t="shared" si="125"/>
        <v>0</v>
      </c>
      <c r="AR364" s="273"/>
      <c r="AS364" s="305">
        <f t="shared" si="122"/>
        <v>0</v>
      </c>
      <c r="AT364" s="273"/>
      <c r="AU364" s="305">
        <f t="shared" si="123"/>
        <v>0</v>
      </c>
    </row>
    <row r="365" spans="1:47" s="34" customFormat="1" hidden="1" x14ac:dyDescent="0.25">
      <c r="A365" s="87"/>
      <c r="B365" s="42"/>
      <c r="C365" s="41"/>
      <c r="D365" s="41"/>
      <c r="E365" s="40"/>
      <c r="F365" s="40"/>
      <c r="G365" s="40"/>
      <c r="H365" s="40"/>
      <c r="I365" s="160"/>
      <c r="J365" s="41"/>
      <c r="K365" s="41"/>
      <c r="L365" s="41"/>
      <c r="M365" s="41"/>
      <c r="N365" s="41"/>
      <c r="O365" s="41"/>
      <c r="P365" s="188"/>
      <c r="Q365" s="236"/>
      <c r="R365" s="280"/>
      <c r="S365" s="179">
        <f t="shared" si="111"/>
        <v>4859.3864915304011</v>
      </c>
      <c r="T365" s="259"/>
      <c r="U365" s="179">
        <f t="shared" si="124"/>
        <v>150</v>
      </c>
      <c r="V365" s="259"/>
      <c r="W365" s="179">
        <f t="shared" si="112"/>
        <v>0</v>
      </c>
      <c r="X365" s="259"/>
      <c r="Y365" s="179">
        <f t="shared" si="113"/>
        <v>1022.73</v>
      </c>
      <c r="Z365" s="259"/>
      <c r="AA365" s="179">
        <f t="shared" si="114"/>
        <v>40</v>
      </c>
      <c r="AB365" s="259"/>
      <c r="AC365" s="179">
        <f t="shared" si="115"/>
        <v>1394.266018065</v>
      </c>
      <c r="AD365" s="238">
        <f t="shared" si="110"/>
        <v>0</v>
      </c>
      <c r="AE365" s="179">
        <f t="shared" si="116"/>
        <v>2456.996018065</v>
      </c>
      <c r="AF365" s="264"/>
      <c r="AG365" s="179">
        <f t="shared" si="117"/>
        <v>1000</v>
      </c>
      <c r="AH365" s="268"/>
      <c r="AI365" s="179">
        <f t="shared" si="118"/>
        <v>0</v>
      </c>
      <c r="AJ365" s="268"/>
      <c r="AK365" s="179">
        <f t="shared" si="119"/>
        <v>22.73</v>
      </c>
      <c r="AL365" s="268"/>
      <c r="AM365" s="179">
        <f t="shared" si="120"/>
        <v>0</v>
      </c>
      <c r="AN365" s="268"/>
      <c r="AO365" s="179">
        <f t="shared" si="121"/>
        <v>0</v>
      </c>
      <c r="AP365" s="268"/>
      <c r="AQ365" s="179">
        <f t="shared" si="125"/>
        <v>0</v>
      </c>
      <c r="AR365" s="273"/>
      <c r="AS365" s="305">
        <f t="shared" si="122"/>
        <v>0</v>
      </c>
      <c r="AT365" s="273"/>
      <c r="AU365" s="305">
        <f t="shared" si="123"/>
        <v>0</v>
      </c>
    </row>
    <row r="366" spans="1:47" s="34" customFormat="1" hidden="1" x14ac:dyDescent="0.25">
      <c r="A366" s="87"/>
      <c r="B366" s="42"/>
      <c r="C366" s="41"/>
      <c r="D366" s="41"/>
      <c r="E366" s="40"/>
      <c r="F366" s="40"/>
      <c r="G366" s="40"/>
      <c r="H366" s="40"/>
      <c r="I366" s="160"/>
      <c r="J366" s="41"/>
      <c r="K366" s="41"/>
      <c r="L366" s="41"/>
      <c r="M366" s="41"/>
      <c r="N366" s="41"/>
      <c r="O366" s="41"/>
      <c r="P366" s="188"/>
      <c r="Q366" s="236"/>
      <c r="R366" s="280"/>
      <c r="S366" s="179">
        <f t="shared" si="111"/>
        <v>4859.3864915304011</v>
      </c>
      <c r="T366" s="259"/>
      <c r="U366" s="179">
        <f t="shared" si="124"/>
        <v>150</v>
      </c>
      <c r="V366" s="259"/>
      <c r="W366" s="179">
        <f t="shared" si="112"/>
        <v>0</v>
      </c>
      <c r="X366" s="259"/>
      <c r="Y366" s="179">
        <f t="shared" si="113"/>
        <v>1022.73</v>
      </c>
      <c r="Z366" s="259"/>
      <c r="AA366" s="179">
        <f t="shared" si="114"/>
        <v>40</v>
      </c>
      <c r="AB366" s="259"/>
      <c r="AC366" s="179">
        <f t="shared" si="115"/>
        <v>1394.266018065</v>
      </c>
      <c r="AD366" s="238">
        <f t="shared" si="110"/>
        <v>0</v>
      </c>
      <c r="AE366" s="179">
        <f t="shared" si="116"/>
        <v>2456.996018065</v>
      </c>
      <c r="AF366" s="264"/>
      <c r="AG366" s="179">
        <f t="shared" si="117"/>
        <v>1000</v>
      </c>
      <c r="AH366" s="268"/>
      <c r="AI366" s="179">
        <f t="shared" si="118"/>
        <v>0</v>
      </c>
      <c r="AJ366" s="268"/>
      <c r="AK366" s="179">
        <f t="shared" si="119"/>
        <v>22.73</v>
      </c>
      <c r="AL366" s="268"/>
      <c r="AM366" s="179">
        <f t="shared" si="120"/>
        <v>0</v>
      </c>
      <c r="AN366" s="268"/>
      <c r="AO366" s="179">
        <f t="shared" si="121"/>
        <v>0</v>
      </c>
      <c r="AP366" s="268"/>
      <c r="AQ366" s="179">
        <f t="shared" si="125"/>
        <v>0</v>
      </c>
      <c r="AR366" s="273"/>
      <c r="AS366" s="305">
        <f t="shared" si="122"/>
        <v>0</v>
      </c>
      <c r="AT366" s="273"/>
      <c r="AU366" s="305">
        <f t="shared" si="123"/>
        <v>0</v>
      </c>
    </row>
    <row r="367" spans="1:47" s="34" customFormat="1" hidden="1" x14ac:dyDescent="0.25">
      <c r="A367" s="87"/>
      <c r="B367" s="42"/>
      <c r="C367" s="41"/>
      <c r="D367" s="41"/>
      <c r="E367" s="40"/>
      <c r="F367" s="40"/>
      <c r="G367" s="40"/>
      <c r="H367" s="40"/>
      <c r="I367" s="160"/>
      <c r="J367" s="41"/>
      <c r="K367" s="41"/>
      <c r="L367" s="41"/>
      <c r="M367" s="41"/>
      <c r="N367" s="41"/>
      <c r="O367" s="41"/>
      <c r="P367" s="188"/>
      <c r="Q367" s="236"/>
      <c r="R367" s="280"/>
      <c r="S367" s="179">
        <f t="shared" si="111"/>
        <v>4859.3864915304011</v>
      </c>
      <c r="T367" s="259"/>
      <c r="U367" s="179">
        <f t="shared" si="124"/>
        <v>150</v>
      </c>
      <c r="V367" s="259"/>
      <c r="W367" s="179">
        <f t="shared" si="112"/>
        <v>0</v>
      </c>
      <c r="X367" s="259"/>
      <c r="Y367" s="179">
        <f t="shared" si="113"/>
        <v>1022.73</v>
      </c>
      <c r="Z367" s="259"/>
      <c r="AA367" s="179">
        <f t="shared" si="114"/>
        <v>40</v>
      </c>
      <c r="AB367" s="259"/>
      <c r="AC367" s="179">
        <f t="shared" si="115"/>
        <v>1394.266018065</v>
      </c>
      <c r="AD367" s="238">
        <f t="shared" si="110"/>
        <v>0</v>
      </c>
      <c r="AE367" s="179">
        <f t="shared" si="116"/>
        <v>2456.996018065</v>
      </c>
      <c r="AF367" s="264"/>
      <c r="AG367" s="179">
        <f t="shared" si="117"/>
        <v>1000</v>
      </c>
      <c r="AH367" s="268"/>
      <c r="AI367" s="179">
        <f t="shared" si="118"/>
        <v>0</v>
      </c>
      <c r="AJ367" s="268"/>
      <c r="AK367" s="179">
        <f t="shared" si="119"/>
        <v>22.73</v>
      </c>
      <c r="AL367" s="268"/>
      <c r="AM367" s="179">
        <f t="shared" si="120"/>
        <v>0</v>
      </c>
      <c r="AN367" s="268"/>
      <c r="AO367" s="179">
        <f t="shared" si="121"/>
        <v>0</v>
      </c>
      <c r="AP367" s="268"/>
      <c r="AQ367" s="179">
        <f t="shared" si="125"/>
        <v>0</v>
      </c>
      <c r="AR367" s="273"/>
      <c r="AS367" s="305">
        <f t="shared" si="122"/>
        <v>0</v>
      </c>
      <c r="AT367" s="273"/>
      <c r="AU367" s="305">
        <f t="shared" si="123"/>
        <v>0</v>
      </c>
    </row>
    <row r="368" spans="1:47" s="34" customFormat="1" hidden="1" x14ac:dyDescent="0.25">
      <c r="A368" s="87"/>
      <c r="B368" s="42"/>
      <c r="C368" s="41"/>
      <c r="D368" s="41"/>
      <c r="E368" s="40"/>
      <c r="F368" s="40"/>
      <c r="G368" s="40"/>
      <c r="H368" s="40"/>
      <c r="I368" s="160"/>
      <c r="J368" s="41"/>
      <c r="K368" s="41"/>
      <c r="L368" s="41"/>
      <c r="M368" s="41"/>
      <c r="N368" s="41"/>
      <c r="O368" s="41"/>
      <c r="P368" s="188"/>
      <c r="Q368" s="236"/>
      <c r="R368" s="280"/>
      <c r="S368" s="179">
        <f t="shared" si="111"/>
        <v>4859.3864915304011</v>
      </c>
      <c r="T368" s="259"/>
      <c r="U368" s="179">
        <f t="shared" si="124"/>
        <v>150</v>
      </c>
      <c r="V368" s="259"/>
      <c r="W368" s="179">
        <f t="shared" si="112"/>
        <v>0</v>
      </c>
      <c r="X368" s="259"/>
      <c r="Y368" s="179">
        <f t="shared" si="113"/>
        <v>1022.73</v>
      </c>
      <c r="Z368" s="259"/>
      <c r="AA368" s="179">
        <f t="shared" si="114"/>
        <v>40</v>
      </c>
      <c r="AB368" s="259"/>
      <c r="AC368" s="179">
        <f t="shared" si="115"/>
        <v>1394.266018065</v>
      </c>
      <c r="AD368" s="238">
        <f t="shared" si="110"/>
        <v>0</v>
      </c>
      <c r="AE368" s="179">
        <f t="shared" si="116"/>
        <v>2456.996018065</v>
      </c>
      <c r="AF368" s="264"/>
      <c r="AG368" s="179">
        <f t="shared" si="117"/>
        <v>1000</v>
      </c>
      <c r="AH368" s="268"/>
      <c r="AI368" s="179">
        <f t="shared" si="118"/>
        <v>0</v>
      </c>
      <c r="AJ368" s="268"/>
      <c r="AK368" s="179">
        <f t="shared" si="119"/>
        <v>22.73</v>
      </c>
      <c r="AL368" s="268"/>
      <c r="AM368" s="179">
        <f t="shared" si="120"/>
        <v>0</v>
      </c>
      <c r="AN368" s="268"/>
      <c r="AO368" s="179">
        <f t="shared" si="121"/>
        <v>0</v>
      </c>
      <c r="AP368" s="268"/>
      <c r="AQ368" s="179">
        <f t="shared" si="125"/>
        <v>0</v>
      </c>
      <c r="AR368" s="273"/>
      <c r="AS368" s="305">
        <f t="shared" si="122"/>
        <v>0</v>
      </c>
      <c r="AT368" s="273"/>
      <c r="AU368" s="305">
        <f t="shared" si="123"/>
        <v>0</v>
      </c>
    </row>
    <row r="369" spans="1:47" s="34" customFormat="1" hidden="1" x14ac:dyDescent="0.25">
      <c r="A369" s="87"/>
      <c r="B369" s="42"/>
      <c r="C369" s="41"/>
      <c r="D369" s="41"/>
      <c r="E369" s="40"/>
      <c r="F369" s="40"/>
      <c r="G369" s="40"/>
      <c r="H369" s="40"/>
      <c r="I369" s="160"/>
      <c r="J369" s="41"/>
      <c r="K369" s="41"/>
      <c r="L369" s="41"/>
      <c r="M369" s="41"/>
      <c r="N369" s="41"/>
      <c r="O369" s="41"/>
      <c r="P369" s="188"/>
      <c r="Q369" s="236"/>
      <c r="R369" s="280"/>
      <c r="S369" s="179">
        <f t="shared" si="111"/>
        <v>4859.3864915304011</v>
      </c>
      <c r="T369" s="259"/>
      <c r="U369" s="179">
        <f t="shared" si="124"/>
        <v>150</v>
      </c>
      <c r="V369" s="259"/>
      <c r="W369" s="179">
        <f t="shared" si="112"/>
        <v>0</v>
      </c>
      <c r="X369" s="259"/>
      <c r="Y369" s="179">
        <f t="shared" si="113"/>
        <v>1022.73</v>
      </c>
      <c r="Z369" s="259"/>
      <c r="AA369" s="179">
        <f t="shared" si="114"/>
        <v>40</v>
      </c>
      <c r="AB369" s="259"/>
      <c r="AC369" s="179">
        <f t="shared" si="115"/>
        <v>1394.266018065</v>
      </c>
      <c r="AD369" s="238">
        <f t="shared" si="110"/>
        <v>0</v>
      </c>
      <c r="AE369" s="179">
        <f t="shared" si="116"/>
        <v>2456.996018065</v>
      </c>
      <c r="AF369" s="264"/>
      <c r="AG369" s="179">
        <f t="shared" si="117"/>
        <v>1000</v>
      </c>
      <c r="AH369" s="268"/>
      <c r="AI369" s="179">
        <f t="shared" si="118"/>
        <v>0</v>
      </c>
      <c r="AJ369" s="268"/>
      <c r="AK369" s="179">
        <f t="shared" si="119"/>
        <v>22.73</v>
      </c>
      <c r="AL369" s="268"/>
      <c r="AM369" s="179">
        <f t="shared" si="120"/>
        <v>0</v>
      </c>
      <c r="AN369" s="268"/>
      <c r="AO369" s="179">
        <f t="shared" si="121"/>
        <v>0</v>
      </c>
      <c r="AP369" s="268"/>
      <c r="AQ369" s="179">
        <f t="shared" si="125"/>
        <v>0</v>
      </c>
      <c r="AR369" s="273"/>
      <c r="AS369" s="305">
        <f t="shared" si="122"/>
        <v>0</v>
      </c>
      <c r="AT369" s="273"/>
      <c r="AU369" s="305">
        <f t="shared" si="123"/>
        <v>0</v>
      </c>
    </row>
    <row r="370" spans="1:47" s="34" customFormat="1" hidden="1" x14ac:dyDescent="0.25">
      <c r="A370" s="87"/>
      <c r="B370" s="42"/>
      <c r="C370" s="41"/>
      <c r="D370" s="41"/>
      <c r="E370" s="40"/>
      <c r="F370" s="40"/>
      <c r="G370" s="40"/>
      <c r="H370" s="40"/>
      <c r="I370" s="160"/>
      <c r="J370" s="41"/>
      <c r="K370" s="41"/>
      <c r="L370" s="41"/>
      <c r="M370" s="41"/>
      <c r="N370" s="41"/>
      <c r="O370" s="41"/>
      <c r="P370" s="188"/>
      <c r="Q370" s="236"/>
      <c r="R370" s="280"/>
      <c r="S370" s="179">
        <f t="shared" si="111"/>
        <v>4859.3864915304011</v>
      </c>
      <c r="T370" s="259"/>
      <c r="U370" s="179">
        <f t="shared" si="124"/>
        <v>150</v>
      </c>
      <c r="V370" s="259"/>
      <c r="W370" s="179">
        <f t="shared" si="112"/>
        <v>0</v>
      </c>
      <c r="X370" s="259"/>
      <c r="Y370" s="179">
        <f t="shared" si="113"/>
        <v>1022.73</v>
      </c>
      <c r="Z370" s="259"/>
      <c r="AA370" s="179">
        <f t="shared" si="114"/>
        <v>40</v>
      </c>
      <c r="AB370" s="259"/>
      <c r="AC370" s="179">
        <f t="shared" si="115"/>
        <v>1394.266018065</v>
      </c>
      <c r="AD370" s="238">
        <f t="shared" si="110"/>
        <v>0</v>
      </c>
      <c r="AE370" s="179">
        <f t="shared" si="116"/>
        <v>2456.996018065</v>
      </c>
      <c r="AF370" s="264"/>
      <c r="AG370" s="179">
        <f t="shared" si="117"/>
        <v>1000</v>
      </c>
      <c r="AH370" s="268"/>
      <c r="AI370" s="179">
        <f t="shared" si="118"/>
        <v>0</v>
      </c>
      <c r="AJ370" s="268"/>
      <c r="AK370" s="179">
        <f t="shared" si="119"/>
        <v>22.73</v>
      </c>
      <c r="AL370" s="268"/>
      <c r="AM370" s="179">
        <f t="shared" si="120"/>
        <v>0</v>
      </c>
      <c r="AN370" s="268"/>
      <c r="AO370" s="179">
        <f t="shared" si="121"/>
        <v>0</v>
      </c>
      <c r="AP370" s="268"/>
      <c r="AQ370" s="179">
        <f t="shared" si="125"/>
        <v>0</v>
      </c>
      <c r="AR370" s="273"/>
      <c r="AS370" s="305">
        <f t="shared" si="122"/>
        <v>0</v>
      </c>
      <c r="AT370" s="273"/>
      <c r="AU370" s="305">
        <f t="shared" si="123"/>
        <v>0</v>
      </c>
    </row>
    <row r="371" spans="1:47" s="34" customFormat="1" hidden="1" x14ac:dyDescent="0.25">
      <c r="A371" s="87"/>
      <c r="B371" s="42"/>
      <c r="C371" s="41"/>
      <c r="D371" s="41"/>
      <c r="E371" s="40"/>
      <c r="F371" s="40"/>
      <c r="G371" s="40"/>
      <c r="H371" s="40"/>
      <c r="I371" s="160"/>
      <c r="J371" s="41"/>
      <c r="K371" s="41"/>
      <c r="L371" s="41"/>
      <c r="M371" s="41"/>
      <c r="N371" s="41"/>
      <c r="O371" s="41"/>
      <c r="P371" s="188"/>
      <c r="Q371" s="236"/>
      <c r="R371" s="280"/>
      <c r="S371" s="179">
        <f t="shared" si="111"/>
        <v>4859.3864915304011</v>
      </c>
      <c r="T371" s="259"/>
      <c r="U371" s="179">
        <f t="shared" si="124"/>
        <v>150</v>
      </c>
      <c r="V371" s="259"/>
      <c r="W371" s="179">
        <f t="shared" si="112"/>
        <v>0</v>
      </c>
      <c r="X371" s="259"/>
      <c r="Y371" s="179">
        <f t="shared" si="113"/>
        <v>1022.73</v>
      </c>
      <c r="Z371" s="259"/>
      <c r="AA371" s="179">
        <f t="shared" si="114"/>
        <v>40</v>
      </c>
      <c r="AB371" s="259"/>
      <c r="AC371" s="179">
        <f t="shared" si="115"/>
        <v>1394.266018065</v>
      </c>
      <c r="AD371" s="238">
        <f t="shared" si="110"/>
        <v>0</v>
      </c>
      <c r="AE371" s="179">
        <f t="shared" si="116"/>
        <v>2456.996018065</v>
      </c>
      <c r="AF371" s="264"/>
      <c r="AG371" s="179">
        <f t="shared" si="117"/>
        <v>1000</v>
      </c>
      <c r="AH371" s="268"/>
      <c r="AI371" s="179">
        <f t="shared" si="118"/>
        <v>0</v>
      </c>
      <c r="AJ371" s="268"/>
      <c r="AK371" s="179">
        <f t="shared" si="119"/>
        <v>22.73</v>
      </c>
      <c r="AL371" s="268"/>
      <c r="AM371" s="179">
        <f t="shared" si="120"/>
        <v>0</v>
      </c>
      <c r="AN371" s="268"/>
      <c r="AO371" s="179">
        <f t="shared" si="121"/>
        <v>0</v>
      </c>
      <c r="AP371" s="268"/>
      <c r="AQ371" s="179">
        <f t="shared" si="125"/>
        <v>0</v>
      </c>
      <c r="AR371" s="273"/>
      <c r="AS371" s="305">
        <f t="shared" si="122"/>
        <v>0</v>
      </c>
      <c r="AT371" s="273"/>
      <c r="AU371" s="305">
        <f t="shared" si="123"/>
        <v>0</v>
      </c>
    </row>
    <row r="372" spans="1:47" s="34" customFormat="1" hidden="1" x14ac:dyDescent="0.25">
      <c r="A372" s="87"/>
      <c r="B372" s="42"/>
      <c r="C372" s="41"/>
      <c r="D372" s="41"/>
      <c r="E372" s="40"/>
      <c r="F372" s="40"/>
      <c r="G372" s="40"/>
      <c r="H372" s="40"/>
      <c r="I372" s="160"/>
      <c r="J372" s="41"/>
      <c r="K372" s="41"/>
      <c r="L372" s="41"/>
      <c r="M372" s="41"/>
      <c r="N372" s="41"/>
      <c r="O372" s="41"/>
      <c r="P372" s="188"/>
      <c r="Q372" s="236"/>
      <c r="R372" s="280"/>
      <c r="S372" s="179">
        <f t="shared" si="111"/>
        <v>4859.3864915304011</v>
      </c>
      <c r="T372" s="259"/>
      <c r="U372" s="179">
        <f t="shared" si="124"/>
        <v>150</v>
      </c>
      <c r="V372" s="259"/>
      <c r="W372" s="179">
        <f t="shared" si="112"/>
        <v>0</v>
      </c>
      <c r="X372" s="259"/>
      <c r="Y372" s="179">
        <f t="shared" si="113"/>
        <v>1022.73</v>
      </c>
      <c r="Z372" s="259"/>
      <c r="AA372" s="179">
        <f t="shared" si="114"/>
        <v>40</v>
      </c>
      <c r="AB372" s="259"/>
      <c r="AC372" s="179">
        <f t="shared" si="115"/>
        <v>1394.266018065</v>
      </c>
      <c r="AD372" s="238">
        <f t="shared" si="110"/>
        <v>0</v>
      </c>
      <c r="AE372" s="179">
        <f t="shared" si="116"/>
        <v>2456.996018065</v>
      </c>
      <c r="AF372" s="264"/>
      <c r="AG372" s="179">
        <f t="shared" si="117"/>
        <v>1000</v>
      </c>
      <c r="AH372" s="268"/>
      <c r="AI372" s="179">
        <f t="shared" si="118"/>
        <v>0</v>
      </c>
      <c r="AJ372" s="268"/>
      <c r="AK372" s="179">
        <f t="shared" si="119"/>
        <v>22.73</v>
      </c>
      <c r="AL372" s="268"/>
      <c r="AM372" s="179">
        <f t="shared" si="120"/>
        <v>0</v>
      </c>
      <c r="AN372" s="268"/>
      <c r="AO372" s="179">
        <f t="shared" si="121"/>
        <v>0</v>
      </c>
      <c r="AP372" s="268"/>
      <c r="AQ372" s="179">
        <f t="shared" si="125"/>
        <v>0</v>
      </c>
      <c r="AR372" s="273"/>
      <c r="AS372" s="305">
        <f t="shared" si="122"/>
        <v>0</v>
      </c>
      <c r="AT372" s="273"/>
      <c r="AU372" s="305">
        <f t="shared" si="123"/>
        <v>0</v>
      </c>
    </row>
    <row r="373" spans="1:47" s="34" customFormat="1" hidden="1" x14ac:dyDescent="0.25">
      <c r="A373" s="87"/>
      <c r="B373" s="42"/>
      <c r="C373" s="41"/>
      <c r="D373" s="41"/>
      <c r="E373" s="40"/>
      <c r="F373" s="40"/>
      <c r="G373" s="40"/>
      <c r="H373" s="40"/>
      <c r="I373" s="160"/>
      <c r="J373" s="41"/>
      <c r="K373" s="41"/>
      <c r="L373" s="41"/>
      <c r="M373" s="41"/>
      <c r="N373" s="41"/>
      <c r="O373" s="41"/>
      <c r="P373" s="188"/>
      <c r="Q373" s="236"/>
      <c r="R373" s="280"/>
      <c r="S373" s="179">
        <f t="shared" si="111"/>
        <v>4859.3864915304011</v>
      </c>
      <c r="T373" s="259"/>
      <c r="U373" s="179">
        <f t="shared" si="124"/>
        <v>150</v>
      </c>
      <c r="V373" s="259"/>
      <c r="W373" s="179">
        <f t="shared" si="112"/>
        <v>0</v>
      </c>
      <c r="X373" s="259"/>
      <c r="Y373" s="179">
        <f t="shared" si="113"/>
        <v>1022.73</v>
      </c>
      <c r="Z373" s="259"/>
      <c r="AA373" s="179">
        <f t="shared" si="114"/>
        <v>40</v>
      </c>
      <c r="AB373" s="259"/>
      <c r="AC373" s="179">
        <f t="shared" si="115"/>
        <v>1394.266018065</v>
      </c>
      <c r="AD373" s="238">
        <f t="shared" si="110"/>
        <v>0</v>
      </c>
      <c r="AE373" s="179">
        <f t="shared" si="116"/>
        <v>2456.996018065</v>
      </c>
      <c r="AF373" s="264"/>
      <c r="AG373" s="179">
        <f t="shared" si="117"/>
        <v>1000</v>
      </c>
      <c r="AH373" s="268"/>
      <c r="AI373" s="179">
        <f t="shared" si="118"/>
        <v>0</v>
      </c>
      <c r="AJ373" s="268"/>
      <c r="AK373" s="179">
        <f t="shared" si="119"/>
        <v>22.73</v>
      </c>
      <c r="AL373" s="268"/>
      <c r="AM373" s="179">
        <f t="shared" si="120"/>
        <v>0</v>
      </c>
      <c r="AN373" s="268"/>
      <c r="AO373" s="179">
        <f t="shared" si="121"/>
        <v>0</v>
      </c>
      <c r="AP373" s="268"/>
      <c r="AQ373" s="179">
        <f t="shared" si="125"/>
        <v>0</v>
      </c>
      <c r="AR373" s="273"/>
      <c r="AS373" s="305">
        <f t="shared" si="122"/>
        <v>0</v>
      </c>
      <c r="AT373" s="273"/>
      <c r="AU373" s="305">
        <f t="shared" si="123"/>
        <v>0</v>
      </c>
    </row>
    <row r="374" spans="1:47" s="34" customFormat="1" hidden="1" x14ac:dyDescent="0.25">
      <c r="A374" s="87"/>
      <c r="B374" s="42"/>
      <c r="C374" s="41"/>
      <c r="D374" s="41"/>
      <c r="E374" s="40"/>
      <c r="F374" s="40"/>
      <c r="G374" s="40"/>
      <c r="H374" s="40"/>
      <c r="I374" s="160"/>
      <c r="J374" s="41"/>
      <c r="K374" s="41"/>
      <c r="L374" s="41"/>
      <c r="M374" s="41"/>
      <c r="N374" s="41"/>
      <c r="O374" s="41"/>
      <c r="P374" s="188"/>
      <c r="Q374" s="236"/>
      <c r="R374" s="280"/>
      <c r="S374" s="179">
        <f t="shared" si="111"/>
        <v>4859.3864915304011</v>
      </c>
      <c r="T374" s="259"/>
      <c r="U374" s="179">
        <f t="shared" si="124"/>
        <v>150</v>
      </c>
      <c r="V374" s="259"/>
      <c r="W374" s="179">
        <f t="shared" si="112"/>
        <v>0</v>
      </c>
      <c r="X374" s="259"/>
      <c r="Y374" s="179">
        <f t="shared" si="113"/>
        <v>1022.73</v>
      </c>
      <c r="Z374" s="259"/>
      <c r="AA374" s="179">
        <f t="shared" si="114"/>
        <v>40</v>
      </c>
      <c r="AB374" s="259"/>
      <c r="AC374" s="179">
        <f t="shared" si="115"/>
        <v>1394.266018065</v>
      </c>
      <c r="AD374" s="238">
        <f t="shared" si="110"/>
        <v>0</v>
      </c>
      <c r="AE374" s="179">
        <f t="shared" si="116"/>
        <v>2456.996018065</v>
      </c>
      <c r="AF374" s="264"/>
      <c r="AG374" s="179">
        <f t="shared" si="117"/>
        <v>1000</v>
      </c>
      <c r="AH374" s="268"/>
      <c r="AI374" s="179">
        <f t="shared" si="118"/>
        <v>0</v>
      </c>
      <c r="AJ374" s="268"/>
      <c r="AK374" s="179">
        <f t="shared" si="119"/>
        <v>22.73</v>
      </c>
      <c r="AL374" s="268"/>
      <c r="AM374" s="179">
        <f t="shared" si="120"/>
        <v>0</v>
      </c>
      <c r="AN374" s="268"/>
      <c r="AO374" s="179">
        <f t="shared" si="121"/>
        <v>0</v>
      </c>
      <c r="AP374" s="268"/>
      <c r="AQ374" s="179">
        <f t="shared" si="125"/>
        <v>0</v>
      </c>
      <c r="AR374" s="273"/>
      <c r="AS374" s="305">
        <f t="shared" si="122"/>
        <v>0</v>
      </c>
      <c r="AT374" s="273"/>
      <c r="AU374" s="305">
        <f t="shared" si="123"/>
        <v>0</v>
      </c>
    </row>
    <row r="375" spans="1:47" s="34" customFormat="1" hidden="1" x14ac:dyDescent="0.25">
      <c r="A375" s="87"/>
      <c r="B375" s="42"/>
      <c r="C375" s="41"/>
      <c r="D375" s="41"/>
      <c r="E375" s="40"/>
      <c r="F375" s="40"/>
      <c r="G375" s="40"/>
      <c r="H375" s="40"/>
      <c r="I375" s="160"/>
      <c r="J375" s="41"/>
      <c r="K375" s="41"/>
      <c r="L375" s="41"/>
      <c r="M375" s="41"/>
      <c r="N375" s="41"/>
      <c r="O375" s="41"/>
      <c r="P375" s="188"/>
      <c r="Q375" s="236"/>
      <c r="R375" s="280"/>
      <c r="S375" s="179">
        <f t="shared" si="111"/>
        <v>4859.3864915304011</v>
      </c>
      <c r="T375" s="259"/>
      <c r="U375" s="179">
        <f t="shared" si="124"/>
        <v>150</v>
      </c>
      <c r="V375" s="259"/>
      <c r="W375" s="179">
        <f t="shared" si="112"/>
        <v>0</v>
      </c>
      <c r="X375" s="259"/>
      <c r="Y375" s="179">
        <f t="shared" si="113"/>
        <v>1022.73</v>
      </c>
      <c r="Z375" s="259"/>
      <c r="AA375" s="179">
        <f t="shared" si="114"/>
        <v>40</v>
      </c>
      <c r="AB375" s="259"/>
      <c r="AC375" s="179">
        <f t="shared" si="115"/>
        <v>1394.266018065</v>
      </c>
      <c r="AD375" s="238">
        <f t="shared" si="110"/>
        <v>0</v>
      </c>
      <c r="AE375" s="179">
        <f t="shared" si="116"/>
        <v>2456.996018065</v>
      </c>
      <c r="AF375" s="264"/>
      <c r="AG375" s="179">
        <f t="shared" si="117"/>
        <v>1000</v>
      </c>
      <c r="AH375" s="268"/>
      <c r="AI375" s="179">
        <f t="shared" si="118"/>
        <v>0</v>
      </c>
      <c r="AJ375" s="268"/>
      <c r="AK375" s="179">
        <f t="shared" si="119"/>
        <v>22.73</v>
      </c>
      <c r="AL375" s="268"/>
      <c r="AM375" s="179">
        <f t="shared" si="120"/>
        <v>0</v>
      </c>
      <c r="AN375" s="268"/>
      <c r="AO375" s="179">
        <f t="shared" si="121"/>
        <v>0</v>
      </c>
      <c r="AP375" s="268"/>
      <c r="AQ375" s="179">
        <f t="shared" si="125"/>
        <v>0</v>
      </c>
      <c r="AR375" s="273"/>
      <c r="AS375" s="305">
        <f t="shared" si="122"/>
        <v>0</v>
      </c>
      <c r="AT375" s="273"/>
      <c r="AU375" s="305">
        <f t="shared" si="123"/>
        <v>0</v>
      </c>
    </row>
    <row r="376" spans="1:47" s="34" customFormat="1" hidden="1" x14ac:dyDescent="0.25">
      <c r="A376" s="87"/>
      <c r="B376" s="42"/>
      <c r="C376" s="41"/>
      <c r="D376" s="41"/>
      <c r="E376" s="40"/>
      <c r="F376" s="40"/>
      <c r="G376" s="40"/>
      <c r="H376" s="40"/>
      <c r="I376" s="160"/>
      <c r="J376" s="41"/>
      <c r="K376" s="41"/>
      <c r="L376" s="41"/>
      <c r="M376" s="41"/>
      <c r="N376" s="41"/>
      <c r="O376" s="41"/>
      <c r="P376" s="188"/>
      <c r="Q376" s="236"/>
      <c r="R376" s="280"/>
      <c r="S376" s="179">
        <f t="shared" si="111"/>
        <v>4859.3864915304011</v>
      </c>
      <c r="T376" s="259"/>
      <c r="U376" s="179">
        <f t="shared" si="124"/>
        <v>150</v>
      </c>
      <c r="V376" s="259"/>
      <c r="W376" s="179">
        <f t="shared" si="112"/>
        <v>0</v>
      </c>
      <c r="X376" s="259"/>
      <c r="Y376" s="179">
        <f t="shared" si="113"/>
        <v>1022.73</v>
      </c>
      <c r="Z376" s="259"/>
      <c r="AA376" s="179">
        <f t="shared" si="114"/>
        <v>40</v>
      </c>
      <c r="AB376" s="259"/>
      <c r="AC376" s="179">
        <f t="shared" si="115"/>
        <v>1394.266018065</v>
      </c>
      <c r="AD376" s="238">
        <f t="shared" si="110"/>
        <v>0</v>
      </c>
      <c r="AE376" s="179">
        <f t="shared" si="116"/>
        <v>2456.996018065</v>
      </c>
      <c r="AF376" s="264"/>
      <c r="AG376" s="179">
        <f t="shared" si="117"/>
        <v>1000</v>
      </c>
      <c r="AH376" s="268"/>
      <c r="AI376" s="179">
        <f t="shared" si="118"/>
        <v>0</v>
      </c>
      <c r="AJ376" s="268"/>
      <c r="AK376" s="179">
        <f t="shared" si="119"/>
        <v>22.73</v>
      </c>
      <c r="AL376" s="268"/>
      <c r="AM376" s="179">
        <f t="shared" si="120"/>
        <v>0</v>
      </c>
      <c r="AN376" s="268"/>
      <c r="AO376" s="179">
        <f t="shared" si="121"/>
        <v>0</v>
      </c>
      <c r="AP376" s="268"/>
      <c r="AQ376" s="179">
        <f t="shared" si="125"/>
        <v>0</v>
      </c>
      <c r="AR376" s="273"/>
      <c r="AS376" s="305">
        <f t="shared" si="122"/>
        <v>0</v>
      </c>
      <c r="AT376" s="273"/>
      <c r="AU376" s="305">
        <f t="shared" si="123"/>
        <v>0</v>
      </c>
    </row>
    <row r="377" spans="1:47" s="34" customFormat="1" hidden="1" x14ac:dyDescent="0.25">
      <c r="A377" s="87"/>
      <c r="B377" s="42"/>
      <c r="C377" s="41"/>
      <c r="D377" s="41"/>
      <c r="E377" s="40"/>
      <c r="F377" s="40"/>
      <c r="G377" s="40"/>
      <c r="H377" s="40"/>
      <c r="I377" s="160"/>
      <c r="J377" s="41"/>
      <c r="K377" s="41"/>
      <c r="L377" s="41"/>
      <c r="M377" s="41"/>
      <c r="N377" s="41"/>
      <c r="O377" s="41"/>
      <c r="P377" s="188"/>
      <c r="Q377" s="236"/>
      <c r="R377" s="280"/>
      <c r="S377" s="179">
        <f t="shared" si="111"/>
        <v>4859.3864915304011</v>
      </c>
      <c r="T377" s="259"/>
      <c r="U377" s="179">
        <f t="shared" si="124"/>
        <v>150</v>
      </c>
      <c r="V377" s="259"/>
      <c r="W377" s="179">
        <f t="shared" si="112"/>
        <v>0</v>
      </c>
      <c r="X377" s="259"/>
      <c r="Y377" s="179">
        <f t="shared" si="113"/>
        <v>1022.73</v>
      </c>
      <c r="Z377" s="259"/>
      <c r="AA377" s="179">
        <f t="shared" si="114"/>
        <v>40</v>
      </c>
      <c r="AB377" s="259"/>
      <c r="AC377" s="179">
        <f t="shared" si="115"/>
        <v>1394.266018065</v>
      </c>
      <c r="AD377" s="238">
        <f t="shared" si="110"/>
        <v>0</v>
      </c>
      <c r="AE377" s="179">
        <f t="shared" si="116"/>
        <v>2456.996018065</v>
      </c>
      <c r="AF377" s="264"/>
      <c r="AG377" s="179">
        <f t="shared" si="117"/>
        <v>1000</v>
      </c>
      <c r="AH377" s="268"/>
      <c r="AI377" s="179">
        <f t="shared" si="118"/>
        <v>0</v>
      </c>
      <c r="AJ377" s="268"/>
      <c r="AK377" s="179">
        <f t="shared" si="119"/>
        <v>22.73</v>
      </c>
      <c r="AL377" s="268"/>
      <c r="AM377" s="179">
        <f t="shared" si="120"/>
        <v>0</v>
      </c>
      <c r="AN377" s="268"/>
      <c r="AO377" s="179">
        <f t="shared" si="121"/>
        <v>0</v>
      </c>
      <c r="AP377" s="268"/>
      <c r="AQ377" s="179">
        <f t="shared" si="125"/>
        <v>0</v>
      </c>
      <c r="AR377" s="273"/>
      <c r="AS377" s="305">
        <f t="shared" si="122"/>
        <v>0</v>
      </c>
      <c r="AT377" s="273"/>
      <c r="AU377" s="305">
        <f t="shared" si="123"/>
        <v>0</v>
      </c>
    </row>
    <row r="378" spans="1:47" s="34" customFormat="1" hidden="1" x14ac:dyDescent="0.25">
      <c r="A378" s="87"/>
      <c r="B378" s="42"/>
      <c r="C378" s="41"/>
      <c r="D378" s="41"/>
      <c r="E378" s="40"/>
      <c r="F378" s="40"/>
      <c r="G378" s="40"/>
      <c r="H378" s="40"/>
      <c r="I378" s="160"/>
      <c r="J378" s="41"/>
      <c r="K378" s="41"/>
      <c r="L378" s="41"/>
      <c r="M378" s="41"/>
      <c r="N378" s="41"/>
      <c r="O378" s="41"/>
      <c r="P378" s="188"/>
      <c r="Q378" s="236"/>
      <c r="R378" s="280"/>
      <c r="S378" s="179">
        <f t="shared" si="111"/>
        <v>4859.3864915304011</v>
      </c>
      <c r="T378" s="259"/>
      <c r="U378" s="179">
        <f t="shared" si="124"/>
        <v>150</v>
      </c>
      <c r="V378" s="259"/>
      <c r="W378" s="179">
        <f t="shared" si="112"/>
        <v>0</v>
      </c>
      <c r="X378" s="259"/>
      <c r="Y378" s="179">
        <f t="shared" si="113"/>
        <v>1022.73</v>
      </c>
      <c r="Z378" s="259"/>
      <c r="AA378" s="179">
        <f t="shared" si="114"/>
        <v>40</v>
      </c>
      <c r="AB378" s="259"/>
      <c r="AC378" s="179">
        <f t="shared" si="115"/>
        <v>1394.266018065</v>
      </c>
      <c r="AD378" s="238">
        <f t="shared" si="110"/>
        <v>0</v>
      </c>
      <c r="AE378" s="179">
        <f t="shared" si="116"/>
        <v>2456.996018065</v>
      </c>
      <c r="AF378" s="264"/>
      <c r="AG378" s="179">
        <f t="shared" si="117"/>
        <v>1000</v>
      </c>
      <c r="AH378" s="268"/>
      <c r="AI378" s="179">
        <f t="shared" si="118"/>
        <v>0</v>
      </c>
      <c r="AJ378" s="268"/>
      <c r="AK378" s="179">
        <f t="shared" si="119"/>
        <v>22.73</v>
      </c>
      <c r="AL378" s="268"/>
      <c r="AM378" s="179">
        <f t="shared" si="120"/>
        <v>0</v>
      </c>
      <c r="AN378" s="268"/>
      <c r="AO378" s="179">
        <f t="shared" si="121"/>
        <v>0</v>
      </c>
      <c r="AP378" s="268"/>
      <c r="AQ378" s="179">
        <f t="shared" si="125"/>
        <v>0</v>
      </c>
      <c r="AR378" s="273"/>
      <c r="AS378" s="305">
        <f t="shared" si="122"/>
        <v>0</v>
      </c>
      <c r="AT378" s="273"/>
      <c r="AU378" s="305">
        <f t="shared" si="123"/>
        <v>0</v>
      </c>
    </row>
    <row r="379" spans="1:47" s="34" customFormat="1" hidden="1" x14ac:dyDescent="0.25">
      <c r="A379" s="87"/>
      <c r="B379" s="42"/>
      <c r="C379" s="41"/>
      <c r="D379" s="41"/>
      <c r="E379" s="40"/>
      <c r="F379" s="40"/>
      <c r="G379" s="40"/>
      <c r="H379" s="40"/>
      <c r="I379" s="160"/>
      <c r="J379" s="41"/>
      <c r="K379" s="41"/>
      <c r="L379" s="41"/>
      <c r="M379" s="41"/>
      <c r="N379" s="41"/>
      <c r="O379" s="41"/>
      <c r="P379" s="188"/>
      <c r="Q379" s="236"/>
      <c r="R379" s="280"/>
      <c r="S379" s="179">
        <f t="shared" si="111"/>
        <v>4859.3864915304011</v>
      </c>
      <c r="T379" s="259"/>
      <c r="U379" s="179">
        <f t="shared" si="124"/>
        <v>150</v>
      </c>
      <c r="V379" s="259"/>
      <c r="W379" s="179">
        <f t="shared" si="112"/>
        <v>0</v>
      </c>
      <c r="X379" s="259"/>
      <c r="Y379" s="179">
        <f t="shared" si="113"/>
        <v>1022.73</v>
      </c>
      <c r="Z379" s="259"/>
      <c r="AA379" s="179">
        <f t="shared" si="114"/>
        <v>40</v>
      </c>
      <c r="AB379" s="259"/>
      <c r="AC379" s="179">
        <f t="shared" si="115"/>
        <v>1394.266018065</v>
      </c>
      <c r="AD379" s="238">
        <f t="shared" si="110"/>
        <v>0</v>
      </c>
      <c r="AE379" s="179">
        <f t="shared" si="116"/>
        <v>2456.996018065</v>
      </c>
      <c r="AF379" s="264"/>
      <c r="AG379" s="179">
        <f t="shared" si="117"/>
        <v>1000</v>
      </c>
      <c r="AH379" s="268"/>
      <c r="AI379" s="179">
        <f t="shared" si="118"/>
        <v>0</v>
      </c>
      <c r="AJ379" s="268"/>
      <c r="AK379" s="179">
        <f t="shared" si="119"/>
        <v>22.73</v>
      </c>
      <c r="AL379" s="268"/>
      <c r="AM379" s="179">
        <f t="shared" si="120"/>
        <v>0</v>
      </c>
      <c r="AN379" s="268"/>
      <c r="AO379" s="179">
        <f t="shared" si="121"/>
        <v>0</v>
      </c>
      <c r="AP379" s="268"/>
      <c r="AQ379" s="179">
        <f t="shared" si="125"/>
        <v>0</v>
      </c>
      <c r="AR379" s="273"/>
      <c r="AS379" s="305">
        <f t="shared" si="122"/>
        <v>0</v>
      </c>
      <c r="AT379" s="273"/>
      <c r="AU379" s="305">
        <f t="shared" si="123"/>
        <v>0</v>
      </c>
    </row>
    <row r="380" spans="1:47" s="34" customFormat="1" hidden="1" x14ac:dyDescent="0.25">
      <c r="A380" s="87"/>
      <c r="B380" s="42"/>
      <c r="C380" s="41"/>
      <c r="D380" s="41"/>
      <c r="E380" s="40"/>
      <c r="F380" s="40"/>
      <c r="G380" s="40"/>
      <c r="H380" s="40"/>
      <c r="I380" s="160"/>
      <c r="J380" s="41"/>
      <c r="K380" s="41"/>
      <c r="L380" s="41"/>
      <c r="M380" s="41"/>
      <c r="N380" s="41"/>
      <c r="O380" s="41"/>
      <c r="P380" s="188"/>
      <c r="Q380" s="236"/>
      <c r="R380" s="280"/>
      <c r="S380" s="179">
        <f t="shared" si="111"/>
        <v>4859.3864915304011</v>
      </c>
      <c r="T380" s="259"/>
      <c r="U380" s="179">
        <f t="shared" si="124"/>
        <v>150</v>
      </c>
      <c r="V380" s="259"/>
      <c r="W380" s="179">
        <f t="shared" si="112"/>
        <v>0</v>
      </c>
      <c r="X380" s="259"/>
      <c r="Y380" s="179">
        <f t="shared" si="113"/>
        <v>1022.73</v>
      </c>
      <c r="Z380" s="259"/>
      <c r="AA380" s="179">
        <f t="shared" si="114"/>
        <v>40</v>
      </c>
      <c r="AB380" s="259"/>
      <c r="AC380" s="179">
        <f t="shared" si="115"/>
        <v>1394.266018065</v>
      </c>
      <c r="AD380" s="238">
        <f t="shared" si="110"/>
        <v>0</v>
      </c>
      <c r="AE380" s="179">
        <f t="shared" si="116"/>
        <v>2456.996018065</v>
      </c>
      <c r="AF380" s="264"/>
      <c r="AG380" s="179">
        <f t="shared" si="117"/>
        <v>1000</v>
      </c>
      <c r="AH380" s="268"/>
      <c r="AI380" s="179">
        <f t="shared" si="118"/>
        <v>0</v>
      </c>
      <c r="AJ380" s="268"/>
      <c r="AK380" s="179">
        <f t="shared" si="119"/>
        <v>22.73</v>
      </c>
      <c r="AL380" s="268"/>
      <c r="AM380" s="179">
        <f t="shared" si="120"/>
        <v>0</v>
      </c>
      <c r="AN380" s="268"/>
      <c r="AO380" s="179">
        <f t="shared" si="121"/>
        <v>0</v>
      </c>
      <c r="AP380" s="268"/>
      <c r="AQ380" s="179">
        <f t="shared" si="125"/>
        <v>0</v>
      </c>
      <c r="AR380" s="273"/>
      <c r="AS380" s="305">
        <f t="shared" si="122"/>
        <v>0</v>
      </c>
      <c r="AT380" s="273"/>
      <c r="AU380" s="305">
        <f t="shared" si="123"/>
        <v>0</v>
      </c>
    </row>
    <row r="381" spans="1:47" s="34" customFormat="1" hidden="1" x14ac:dyDescent="0.25">
      <c r="A381" s="87"/>
      <c r="B381" s="42"/>
      <c r="C381" s="41"/>
      <c r="D381" s="41"/>
      <c r="E381" s="40"/>
      <c r="F381" s="40"/>
      <c r="G381" s="40"/>
      <c r="H381" s="40"/>
      <c r="I381" s="160"/>
      <c r="J381" s="41"/>
      <c r="K381" s="41"/>
      <c r="L381" s="41"/>
      <c r="M381" s="41"/>
      <c r="N381" s="41"/>
      <c r="O381" s="41"/>
      <c r="P381" s="188"/>
      <c r="Q381" s="236"/>
      <c r="R381" s="280"/>
      <c r="S381" s="179">
        <f t="shared" si="111"/>
        <v>4859.3864915304011</v>
      </c>
      <c r="T381" s="259"/>
      <c r="U381" s="179">
        <f t="shared" si="124"/>
        <v>150</v>
      </c>
      <c r="V381" s="259"/>
      <c r="W381" s="179">
        <f t="shared" si="112"/>
        <v>0</v>
      </c>
      <c r="X381" s="259"/>
      <c r="Y381" s="179">
        <f t="shared" si="113"/>
        <v>1022.73</v>
      </c>
      <c r="Z381" s="259"/>
      <c r="AA381" s="179">
        <f t="shared" si="114"/>
        <v>40</v>
      </c>
      <c r="AB381" s="259"/>
      <c r="AC381" s="179">
        <f t="shared" si="115"/>
        <v>1394.266018065</v>
      </c>
      <c r="AD381" s="238">
        <f t="shared" si="110"/>
        <v>0</v>
      </c>
      <c r="AE381" s="179">
        <f t="shared" si="116"/>
        <v>2456.996018065</v>
      </c>
      <c r="AF381" s="264"/>
      <c r="AG381" s="179">
        <f t="shared" si="117"/>
        <v>1000</v>
      </c>
      <c r="AH381" s="268"/>
      <c r="AI381" s="179">
        <f t="shared" si="118"/>
        <v>0</v>
      </c>
      <c r="AJ381" s="268"/>
      <c r="AK381" s="179">
        <f t="shared" si="119"/>
        <v>22.73</v>
      </c>
      <c r="AL381" s="268"/>
      <c r="AM381" s="179">
        <f t="shared" si="120"/>
        <v>0</v>
      </c>
      <c r="AN381" s="268"/>
      <c r="AO381" s="179">
        <f t="shared" si="121"/>
        <v>0</v>
      </c>
      <c r="AP381" s="268"/>
      <c r="AQ381" s="179">
        <f t="shared" si="125"/>
        <v>0</v>
      </c>
      <c r="AR381" s="273"/>
      <c r="AS381" s="305">
        <f t="shared" si="122"/>
        <v>0</v>
      </c>
      <c r="AT381" s="273"/>
      <c r="AU381" s="305">
        <f t="shared" si="123"/>
        <v>0</v>
      </c>
    </row>
    <row r="382" spans="1:47" s="34" customFormat="1" hidden="1" x14ac:dyDescent="0.25">
      <c r="A382" s="87"/>
      <c r="B382" s="42"/>
      <c r="C382" s="41"/>
      <c r="D382" s="41"/>
      <c r="E382" s="40"/>
      <c r="F382" s="40"/>
      <c r="G382" s="40"/>
      <c r="H382" s="40"/>
      <c r="I382" s="160"/>
      <c r="J382" s="41"/>
      <c r="K382" s="41"/>
      <c r="L382" s="41"/>
      <c r="M382" s="41"/>
      <c r="N382" s="41"/>
      <c r="O382" s="41"/>
      <c r="P382" s="188"/>
      <c r="Q382" s="236"/>
      <c r="R382" s="280"/>
      <c r="S382" s="179">
        <f t="shared" si="111"/>
        <v>4859.3864915304011</v>
      </c>
      <c r="T382" s="259"/>
      <c r="U382" s="179">
        <f t="shared" si="124"/>
        <v>150</v>
      </c>
      <c r="V382" s="259"/>
      <c r="W382" s="179">
        <f t="shared" si="112"/>
        <v>0</v>
      </c>
      <c r="X382" s="259"/>
      <c r="Y382" s="179">
        <f t="shared" si="113"/>
        <v>1022.73</v>
      </c>
      <c r="Z382" s="259"/>
      <c r="AA382" s="179">
        <f t="shared" si="114"/>
        <v>40</v>
      </c>
      <c r="AB382" s="259"/>
      <c r="AC382" s="179">
        <f t="shared" si="115"/>
        <v>1394.266018065</v>
      </c>
      <c r="AD382" s="238">
        <f t="shared" si="110"/>
        <v>0</v>
      </c>
      <c r="AE382" s="179">
        <f t="shared" si="116"/>
        <v>2456.996018065</v>
      </c>
      <c r="AF382" s="264"/>
      <c r="AG382" s="179">
        <f t="shared" si="117"/>
        <v>1000</v>
      </c>
      <c r="AH382" s="268"/>
      <c r="AI382" s="179">
        <f t="shared" si="118"/>
        <v>0</v>
      </c>
      <c r="AJ382" s="268"/>
      <c r="AK382" s="179">
        <f t="shared" si="119"/>
        <v>22.73</v>
      </c>
      <c r="AL382" s="268"/>
      <c r="AM382" s="179">
        <f t="shared" si="120"/>
        <v>0</v>
      </c>
      <c r="AN382" s="268"/>
      <c r="AO382" s="179">
        <f t="shared" si="121"/>
        <v>0</v>
      </c>
      <c r="AP382" s="268"/>
      <c r="AQ382" s="179">
        <f t="shared" si="125"/>
        <v>0</v>
      </c>
      <c r="AR382" s="273"/>
      <c r="AS382" s="305">
        <f t="shared" si="122"/>
        <v>0</v>
      </c>
      <c r="AT382" s="273"/>
      <c r="AU382" s="305">
        <f t="shared" si="123"/>
        <v>0</v>
      </c>
    </row>
    <row r="383" spans="1:47" s="34" customFormat="1" hidden="1" x14ac:dyDescent="0.25">
      <c r="A383" s="87"/>
      <c r="B383" s="42"/>
      <c r="C383" s="41"/>
      <c r="D383" s="41"/>
      <c r="E383" s="40"/>
      <c r="F383" s="40"/>
      <c r="G383" s="40"/>
      <c r="H383" s="40"/>
      <c r="I383" s="160"/>
      <c r="J383" s="41"/>
      <c r="K383" s="41"/>
      <c r="L383" s="41"/>
      <c r="M383" s="41"/>
      <c r="N383" s="41"/>
      <c r="O383" s="41"/>
      <c r="P383" s="188"/>
      <c r="Q383" s="236"/>
      <c r="R383" s="280"/>
      <c r="S383" s="179">
        <f t="shared" si="111"/>
        <v>4859.3864915304011</v>
      </c>
      <c r="T383" s="259"/>
      <c r="U383" s="179">
        <f t="shared" si="124"/>
        <v>150</v>
      </c>
      <c r="V383" s="259"/>
      <c r="W383" s="179">
        <f t="shared" si="112"/>
        <v>0</v>
      </c>
      <c r="X383" s="259"/>
      <c r="Y383" s="179">
        <f t="shared" si="113"/>
        <v>1022.73</v>
      </c>
      <c r="Z383" s="259"/>
      <c r="AA383" s="179">
        <f t="shared" si="114"/>
        <v>40</v>
      </c>
      <c r="AB383" s="259"/>
      <c r="AC383" s="179">
        <f t="shared" si="115"/>
        <v>1394.266018065</v>
      </c>
      <c r="AD383" s="238">
        <f t="shared" si="110"/>
        <v>0</v>
      </c>
      <c r="AE383" s="179">
        <f t="shared" si="116"/>
        <v>2456.996018065</v>
      </c>
      <c r="AF383" s="264"/>
      <c r="AG383" s="179">
        <f t="shared" si="117"/>
        <v>1000</v>
      </c>
      <c r="AH383" s="268"/>
      <c r="AI383" s="179">
        <f t="shared" si="118"/>
        <v>0</v>
      </c>
      <c r="AJ383" s="268"/>
      <c r="AK383" s="179">
        <f t="shared" si="119"/>
        <v>22.73</v>
      </c>
      <c r="AL383" s="268"/>
      <c r="AM383" s="179">
        <f t="shared" si="120"/>
        <v>0</v>
      </c>
      <c r="AN383" s="268"/>
      <c r="AO383" s="179">
        <f t="shared" si="121"/>
        <v>0</v>
      </c>
      <c r="AP383" s="268"/>
      <c r="AQ383" s="179">
        <f t="shared" si="125"/>
        <v>0</v>
      </c>
      <c r="AR383" s="273"/>
      <c r="AS383" s="305">
        <f t="shared" si="122"/>
        <v>0</v>
      </c>
      <c r="AT383" s="273"/>
      <c r="AU383" s="305">
        <f t="shared" si="123"/>
        <v>0</v>
      </c>
    </row>
    <row r="384" spans="1:47" s="34" customFormat="1" hidden="1" x14ac:dyDescent="0.25">
      <c r="A384" s="87"/>
      <c r="B384" s="42"/>
      <c r="C384" s="41"/>
      <c r="D384" s="41"/>
      <c r="E384" s="40"/>
      <c r="F384" s="40"/>
      <c r="G384" s="40"/>
      <c r="H384" s="40"/>
      <c r="I384" s="160"/>
      <c r="J384" s="41"/>
      <c r="K384" s="41"/>
      <c r="L384" s="41"/>
      <c r="M384" s="41"/>
      <c r="N384" s="41"/>
      <c r="O384" s="41"/>
      <c r="P384" s="188"/>
      <c r="Q384" s="236"/>
      <c r="R384" s="280"/>
      <c r="S384" s="179">
        <f t="shared" si="111"/>
        <v>4859.3864915304011</v>
      </c>
      <c r="T384" s="259"/>
      <c r="U384" s="179">
        <f t="shared" si="124"/>
        <v>150</v>
      </c>
      <c r="V384" s="259"/>
      <c r="W384" s="179">
        <f t="shared" si="112"/>
        <v>0</v>
      </c>
      <c r="X384" s="259"/>
      <c r="Y384" s="179">
        <f t="shared" si="113"/>
        <v>1022.73</v>
      </c>
      <c r="Z384" s="259"/>
      <c r="AA384" s="179">
        <f t="shared" si="114"/>
        <v>40</v>
      </c>
      <c r="AB384" s="259"/>
      <c r="AC384" s="179">
        <f t="shared" si="115"/>
        <v>1394.266018065</v>
      </c>
      <c r="AD384" s="238">
        <f t="shared" si="110"/>
        <v>0</v>
      </c>
      <c r="AE384" s="179">
        <f t="shared" si="116"/>
        <v>2456.996018065</v>
      </c>
      <c r="AF384" s="264"/>
      <c r="AG384" s="179">
        <f t="shared" si="117"/>
        <v>1000</v>
      </c>
      <c r="AH384" s="268"/>
      <c r="AI384" s="179">
        <f t="shared" si="118"/>
        <v>0</v>
      </c>
      <c r="AJ384" s="268"/>
      <c r="AK384" s="179">
        <f t="shared" si="119"/>
        <v>22.73</v>
      </c>
      <c r="AL384" s="268"/>
      <c r="AM384" s="179">
        <f t="shared" si="120"/>
        <v>0</v>
      </c>
      <c r="AN384" s="268"/>
      <c r="AO384" s="179">
        <f t="shared" si="121"/>
        <v>0</v>
      </c>
      <c r="AP384" s="268"/>
      <c r="AQ384" s="179">
        <f t="shared" si="125"/>
        <v>0</v>
      </c>
      <c r="AR384" s="273"/>
      <c r="AS384" s="305">
        <f t="shared" si="122"/>
        <v>0</v>
      </c>
      <c r="AT384" s="273"/>
      <c r="AU384" s="305">
        <f t="shared" si="123"/>
        <v>0</v>
      </c>
    </row>
    <row r="385" spans="1:47" s="34" customFormat="1" hidden="1" x14ac:dyDescent="0.25">
      <c r="A385" s="87"/>
      <c r="B385" s="42"/>
      <c r="C385" s="41"/>
      <c r="D385" s="41"/>
      <c r="E385" s="40"/>
      <c r="F385" s="40"/>
      <c r="G385" s="40"/>
      <c r="H385" s="40"/>
      <c r="I385" s="160"/>
      <c r="J385" s="41"/>
      <c r="K385" s="41"/>
      <c r="L385" s="41"/>
      <c r="M385" s="41"/>
      <c r="N385" s="41"/>
      <c r="O385" s="41"/>
      <c r="P385" s="188"/>
      <c r="Q385" s="236"/>
      <c r="R385" s="280"/>
      <c r="S385" s="179">
        <f t="shared" si="111"/>
        <v>4859.3864915304011</v>
      </c>
      <c r="T385" s="259"/>
      <c r="U385" s="179">
        <f t="shared" si="124"/>
        <v>150</v>
      </c>
      <c r="V385" s="259"/>
      <c r="W385" s="179">
        <f t="shared" si="112"/>
        <v>0</v>
      </c>
      <c r="X385" s="259"/>
      <c r="Y385" s="179">
        <f t="shared" si="113"/>
        <v>1022.73</v>
      </c>
      <c r="Z385" s="259"/>
      <c r="AA385" s="179">
        <f t="shared" si="114"/>
        <v>40</v>
      </c>
      <c r="AB385" s="259"/>
      <c r="AC385" s="179">
        <f t="shared" si="115"/>
        <v>1394.266018065</v>
      </c>
      <c r="AD385" s="238">
        <f t="shared" ref="AD385:AD399" si="126">Mat_Col_Deduct+Mat_Col_Copay+Mat_Col_Coinsur</f>
        <v>0</v>
      </c>
      <c r="AE385" s="179">
        <f t="shared" si="116"/>
        <v>2456.996018065</v>
      </c>
      <c r="AF385" s="264"/>
      <c r="AG385" s="179">
        <f t="shared" si="117"/>
        <v>1000</v>
      </c>
      <c r="AH385" s="268"/>
      <c r="AI385" s="179">
        <f t="shared" si="118"/>
        <v>0</v>
      </c>
      <c r="AJ385" s="268"/>
      <c r="AK385" s="179">
        <f t="shared" si="119"/>
        <v>22.73</v>
      </c>
      <c r="AL385" s="268"/>
      <c r="AM385" s="179">
        <f t="shared" si="120"/>
        <v>0</v>
      </c>
      <c r="AN385" s="268"/>
      <c r="AO385" s="179">
        <f t="shared" si="121"/>
        <v>0</v>
      </c>
      <c r="AP385" s="268"/>
      <c r="AQ385" s="179">
        <f t="shared" si="125"/>
        <v>0</v>
      </c>
      <c r="AR385" s="273"/>
      <c r="AS385" s="305">
        <f t="shared" si="122"/>
        <v>0</v>
      </c>
      <c r="AT385" s="273"/>
      <c r="AU385" s="305">
        <f t="shared" si="123"/>
        <v>0</v>
      </c>
    </row>
    <row r="386" spans="1:47" s="34" customFormat="1" hidden="1" x14ac:dyDescent="0.25">
      <c r="A386" s="87"/>
      <c r="B386" s="42"/>
      <c r="C386" s="41"/>
      <c r="D386" s="41"/>
      <c r="E386" s="40"/>
      <c r="F386" s="40"/>
      <c r="G386" s="40"/>
      <c r="H386" s="40"/>
      <c r="I386" s="160"/>
      <c r="J386" s="41"/>
      <c r="K386" s="41"/>
      <c r="L386" s="41"/>
      <c r="M386" s="41"/>
      <c r="N386" s="41"/>
      <c r="O386" s="41"/>
      <c r="P386" s="188"/>
      <c r="Q386" s="236"/>
      <c r="R386" s="280"/>
      <c r="S386" s="179">
        <f t="shared" si="111"/>
        <v>4859.3864915304011</v>
      </c>
      <c r="T386" s="259"/>
      <c r="U386" s="179">
        <f t="shared" si="124"/>
        <v>150</v>
      </c>
      <c r="V386" s="259"/>
      <c r="W386" s="179">
        <f t="shared" si="112"/>
        <v>0</v>
      </c>
      <c r="X386" s="259"/>
      <c r="Y386" s="179">
        <f t="shared" si="113"/>
        <v>1022.73</v>
      </c>
      <c r="Z386" s="259"/>
      <c r="AA386" s="179">
        <f t="shared" si="114"/>
        <v>40</v>
      </c>
      <c r="AB386" s="259"/>
      <c r="AC386" s="179">
        <f t="shared" si="115"/>
        <v>1394.266018065</v>
      </c>
      <c r="AD386" s="238">
        <f t="shared" si="126"/>
        <v>0</v>
      </c>
      <c r="AE386" s="179">
        <f t="shared" si="116"/>
        <v>2456.996018065</v>
      </c>
      <c r="AF386" s="264"/>
      <c r="AG386" s="179">
        <f t="shared" si="117"/>
        <v>1000</v>
      </c>
      <c r="AH386" s="268"/>
      <c r="AI386" s="179">
        <f t="shared" si="118"/>
        <v>0</v>
      </c>
      <c r="AJ386" s="268"/>
      <c r="AK386" s="179">
        <f t="shared" si="119"/>
        <v>22.73</v>
      </c>
      <c r="AL386" s="268"/>
      <c r="AM386" s="179">
        <f t="shared" si="120"/>
        <v>0</v>
      </c>
      <c r="AN386" s="268"/>
      <c r="AO386" s="179">
        <f t="shared" si="121"/>
        <v>0</v>
      </c>
      <c r="AP386" s="268"/>
      <c r="AQ386" s="179">
        <f t="shared" si="125"/>
        <v>0</v>
      </c>
      <c r="AR386" s="273"/>
      <c r="AS386" s="305">
        <f t="shared" si="122"/>
        <v>0</v>
      </c>
      <c r="AT386" s="273"/>
      <c r="AU386" s="305">
        <f t="shared" si="123"/>
        <v>0</v>
      </c>
    </row>
    <row r="387" spans="1:47" s="34" customFormat="1" hidden="1" x14ac:dyDescent="0.25">
      <c r="A387" s="87"/>
      <c r="B387" s="42"/>
      <c r="C387" s="41"/>
      <c r="D387" s="41"/>
      <c r="E387" s="40"/>
      <c r="F387" s="40"/>
      <c r="G387" s="40"/>
      <c r="H387" s="40"/>
      <c r="I387" s="160"/>
      <c r="J387" s="41"/>
      <c r="K387" s="41"/>
      <c r="L387" s="41"/>
      <c r="M387" s="41"/>
      <c r="N387" s="41"/>
      <c r="O387" s="41"/>
      <c r="P387" s="188"/>
      <c r="Q387" s="236"/>
      <c r="R387" s="280"/>
      <c r="S387" s="179">
        <f t="shared" ref="S387:S399" si="127">S386+R387</f>
        <v>4859.3864915304011</v>
      </c>
      <c r="T387" s="259"/>
      <c r="U387" s="179">
        <f t="shared" si="124"/>
        <v>150</v>
      </c>
      <c r="V387" s="259"/>
      <c r="W387" s="179">
        <f t="shared" ref="W387:W399" si="128">W386+V387</f>
        <v>0</v>
      </c>
      <c r="X387" s="259"/>
      <c r="Y387" s="179">
        <f t="shared" ref="Y387:Y399" si="129">Y386+X387</f>
        <v>1022.73</v>
      </c>
      <c r="Z387" s="259"/>
      <c r="AA387" s="179">
        <f t="shared" ref="AA387:AA399" si="130">AA386+Z387</f>
        <v>40</v>
      </c>
      <c r="AB387" s="259"/>
      <c r="AC387" s="179">
        <f t="shared" ref="AC387:AC399" si="131">AC386+AB387</f>
        <v>1394.266018065</v>
      </c>
      <c r="AD387" s="238">
        <f t="shared" si="126"/>
        <v>0</v>
      </c>
      <c r="AE387" s="179">
        <f t="shared" ref="AE387:AE399" si="132">AE386+AD387</f>
        <v>2456.996018065</v>
      </c>
      <c r="AF387" s="264"/>
      <c r="AG387" s="179">
        <f t="shared" ref="AG387:AG399" si="133">AG386+AF387</f>
        <v>1000</v>
      </c>
      <c r="AH387" s="268"/>
      <c r="AI387" s="179">
        <f t="shared" ref="AI387:AI399" si="134">AI386+AH387</f>
        <v>0</v>
      </c>
      <c r="AJ387" s="268"/>
      <c r="AK387" s="179">
        <f t="shared" ref="AK387:AK399" si="135">AK386+AJ387</f>
        <v>22.73</v>
      </c>
      <c r="AL387" s="268"/>
      <c r="AM387" s="179">
        <f t="shared" ref="AM387:AM399" si="136">AM386+AL387</f>
        <v>0</v>
      </c>
      <c r="AN387" s="268"/>
      <c r="AO387" s="179">
        <f t="shared" ref="AO387:AO399" si="137">AO386+AN387</f>
        <v>0</v>
      </c>
      <c r="AP387" s="268"/>
      <c r="AQ387" s="179">
        <f t="shared" si="125"/>
        <v>0</v>
      </c>
      <c r="AR387" s="273"/>
      <c r="AS387" s="305">
        <f t="shared" ref="AS387:AS399" si="138">AS386+AR387</f>
        <v>0</v>
      </c>
      <c r="AT387" s="273"/>
      <c r="AU387" s="305">
        <f t="shared" ref="AU387:AU399" si="139">AU386+AT387</f>
        <v>0</v>
      </c>
    </row>
    <row r="388" spans="1:47" s="34" customFormat="1" hidden="1" x14ac:dyDescent="0.25">
      <c r="A388" s="87"/>
      <c r="B388" s="42"/>
      <c r="C388" s="41"/>
      <c r="D388" s="41"/>
      <c r="E388" s="40"/>
      <c r="F388" s="40"/>
      <c r="G388" s="40"/>
      <c r="H388" s="40"/>
      <c r="I388" s="160"/>
      <c r="J388" s="41"/>
      <c r="K388" s="41"/>
      <c r="L388" s="41"/>
      <c r="M388" s="41"/>
      <c r="N388" s="41"/>
      <c r="O388" s="41"/>
      <c r="P388" s="188"/>
      <c r="Q388" s="236"/>
      <c r="R388" s="280"/>
      <c r="S388" s="179">
        <f t="shared" si="127"/>
        <v>4859.3864915304011</v>
      </c>
      <c r="T388" s="259"/>
      <c r="U388" s="179">
        <f t="shared" si="124"/>
        <v>150</v>
      </c>
      <c r="V388" s="259"/>
      <c r="W388" s="179">
        <f t="shared" si="128"/>
        <v>0</v>
      </c>
      <c r="X388" s="259"/>
      <c r="Y388" s="179">
        <f t="shared" si="129"/>
        <v>1022.73</v>
      </c>
      <c r="Z388" s="259"/>
      <c r="AA388" s="179">
        <f t="shared" si="130"/>
        <v>40</v>
      </c>
      <c r="AB388" s="259"/>
      <c r="AC388" s="179">
        <f t="shared" si="131"/>
        <v>1394.266018065</v>
      </c>
      <c r="AD388" s="238">
        <f t="shared" si="126"/>
        <v>0</v>
      </c>
      <c r="AE388" s="179">
        <f t="shared" si="132"/>
        <v>2456.996018065</v>
      </c>
      <c r="AF388" s="264"/>
      <c r="AG388" s="179">
        <f t="shared" si="133"/>
        <v>1000</v>
      </c>
      <c r="AH388" s="268"/>
      <c r="AI388" s="179">
        <f t="shared" si="134"/>
        <v>0</v>
      </c>
      <c r="AJ388" s="268"/>
      <c r="AK388" s="179">
        <f t="shared" si="135"/>
        <v>22.73</v>
      </c>
      <c r="AL388" s="268"/>
      <c r="AM388" s="179">
        <f t="shared" si="136"/>
        <v>0</v>
      </c>
      <c r="AN388" s="268"/>
      <c r="AO388" s="179">
        <f t="shared" si="137"/>
        <v>0</v>
      </c>
      <c r="AP388" s="268"/>
      <c r="AQ388" s="179">
        <f t="shared" si="125"/>
        <v>0</v>
      </c>
      <c r="AR388" s="273"/>
      <c r="AS388" s="305">
        <f t="shared" si="138"/>
        <v>0</v>
      </c>
      <c r="AT388" s="273"/>
      <c r="AU388" s="305">
        <f t="shared" si="139"/>
        <v>0</v>
      </c>
    </row>
    <row r="389" spans="1:47" s="34" customFormat="1" hidden="1" x14ac:dyDescent="0.25">
      <c r="A389" s="87"/>
      <c r="B389" s="42"/>
      <c r="C389" s="41"/>
      <c r="D389" s="41"/>
      <c r="E389" s="40"/>
      <c r="F389" s="40"/>
      <c r="G389" s="40"/>
      <c r="H389" s="40"/>
      <c r="I389" s="160"/>
      <c r="J389" s="41"/>
      <c r="K389" s="41"/>
      <c r="L389" s="41"/>
      <c r="M389" s="41"/>
      <c r="N389" s="41"/>
      <c r="O389" s="41"/>
      <c r="P389" s="188"/>
      <c r="Q389" s="236"/>
      <c r="R389" s="280"/>
      <c r="S389" s="179">
        <f t="shared" si="127"/>
        <v>4859.3864915304011</v>
      </c>
      <c r="T389" s="259"/>
      <c r="U389" s="179">
        <f t="shared" ref="U389:U399" si="140">U388+T389</f>
        <v>150</v>
      </c>
      <c r="V389" s="259"/>
      <c r="W389" s="179">
        <f t="shared" si="128"/>
        <v>0</v>
      </c>
      <c r="X389" s="259"/>
      <c r="Y389" s="179">
        <f t="shared" si="129"/>
        <v>1022.73</v>
      </c>
      <c r="Z389" s="259"/>
      <c r="AA389" s="179">
        <f t="shared" si="130"/>
        <v>40</v>
      </c>
      <c r="AB389" s="259"/>
      <c r="AC389" s="179">
        <f t="shared" si="131"/>
        <v>1394.266018065</v>
      </c>
      <c r="AD389" s="238">
        <f t="shared" si="126"/>
        <v>0</v>
      </c>
      <c r="AE389" s="179">
        <f t="shared" si="132"/>
        <v>2456.996018065</v>
      </c>
      <c r="AF389" s="264"/>
      <c r="AG389" s="179">
        <f t="shared" si="133"/>
        <v>1000</v>
      </c>
      <c r="AH389" s="268"/>
      <c r="AI389" s="179">
        <f t="shared" si="134"/>
        <v>0</v>
      </c>
      <c r="AJ389" s="268"/>
      <c r="AK389" s="179">
        <f t="shared" si="135"/>
        <v>22.73</v>
      </c>
      <c r="AL389" s="268"/>
      <c r="AM389" s="179">
        <f t="shared" si="136"/>
        <v>0</v>
      </c>
      <c r="AN389" s="268"/>
      <c r="AO389" s="179">
        <f t="shared" si="137"/>
        <v>0</v>
      </c>
      <c r="AP389" s="268"/>
      <c r="AQ389" s="179">
        <f t="shared" ref="AQ389:AQ399" si="141">AQ388+AP389</f>
        <v>0</v>
      </c>
      <c r="AR389" s="273"/>
      <c r="AS389" s="305">
        <f t="shared" si="138"/>
        <v>0</v>
      </c>
      <c r="AT389" s="273"/>
      <c r="AU389" s="305">
        <f t="shared" si="139"/>
        <v>0</v>
      </c>
    </row>
    <row r="390" spans="1:47" s="34" customFormat="1" hidden="1" x14ac:dyDescent="0.25">
      <c r="A390" s="87"/>
      <c r="B390" s="42"/>
      <c r="C390" s="41"/>
      <c r="D390" s="41"/>
      <c r="E390" s="40"/>
      <c r="F390" s="40"/>
      <c r="G390" s="40"/>
      <c r="H390" s="40"/>
      <c r="I390" s="160"/>
      <c r="J390" s="41"/>
      <c r="K390" s="41"/>
      <c r="L390" s="41"/>
      <c r="M390" s="41"/>
      <c r="N390" s="41"/>
      <c r="O390" s="41"/>
      <c r="P390" s="188"/>
      <c r="Q390" s="236"/>
      <c r="R390" s="280"/>
      <c r="S390" s="179">
        <f t="shared" si="127"/>
        <v>4859.3864915304011</v>
      </c>
      <c r="T390" s="259"/>
      <c r="U390" s="179">
        <f t="shared" si="140"/>
        <v>150</v>
      </c>
      <c r="V390" s="259"/>
      <c r="W390" s="179">
        <f t="shared" si="128"/>
        <v>0</v>
      </c>
      <c r="X390" s="259"/>
      <c r="Y390" s="179">
        <f t="shared" si="129"/>
        <v>1022.73</v>
      </c>
      <c r="Z390" s="259"/>
      <c r="AA390" s="179">
        <f t="shared" si="130"/>
        <v>40</v>
      </c>
      <c r="AB390" s="259"/>
      <c r="AC390" s="179">
        <f t="shared" si="131"/>
        <v>1394.266018065</v>
      </c>
      <c r="AD390" s="238">
        <f t="shared" si="126"/>
        <v>0</v>
      </c>
      <c r="AE390" s="179">
        <f t="shared" si="132"/>
        <v>2456.996018065</v>
      </c>
      <c r="AF390" s="264"/>
      <c r="AG390" s="179">
        <f t="shared" si="133"/>
        <v>1000</v>
      </c>
      <c r="AH390" s="268"/>
      <c r="AI390" s="179">
        <f t="shared" si="134"/>
        <v>0</v>
      </c>
      <c r="AJ390" s="268"/>
      <c r="AK390" s="179">
        <f t="shared" si="135"/>
        <v>22.73</v>
      </c>
      <c r="AL390" s="268"/>
      <c r="AM390" s="179">
        <f t="shared" si="136"/>
        <v>0</v>
      </c>
      <c r="AN390" s="268"/>
      <c r="AO390" s="179">
        <f t="shared" si="137"/>
        <v>0</v>
      </c>
      <c r="AP390" s="268"/>
      <c r="AQ390" s="179">
        <f t="shared" si="141"/>
        <v>0</v>
      </c>
      <c r="AR390" s="273"/>
      <c r="AS390" s="305">
        <f t="shared" si="138"/>
        <v>0</v>
      </c>
      <c r="AT390" s="273"/>
      <c r="AU390" s="305">
        <f t="shared" si="139"/>
        <v>0</v>
      </c>
    </row>
    <row r="391" spans="1:47" s="34" customFormat="1" hidden="1" x14ac:dyDescent="0.25">
      <c r="A391" s="87"/>
      <c r="B391" s="42"/>
      <c r="C391" s="41"/>
      <c r="D391" s="41"/>
      <c r="E391" s="40"/>
      <c r="F391" s="40"/>
      <c r="G391" s="40"/>
      <c r="H391" s="40"/>
      <c r="I391" s="160"/>
      <c r="J391" s="41"/>
      <c r="K391" s="41"/>
      <c r="L391" s="41"/>
      <c r="M391" s="41"/>
      <c r="N391" s="41"/>
      <c r="O391" s="41"/>
      <c r="P391" s="188"/>
      <c r="Q391" s="236"/>
      <c r="R391" s="280"/>
      <c r="S391" s="179">
        <f t="shared" si="127"/>
        <v>4859.3864915304011</v>
      </c>
      <c r="T391" s="259"/>
      <c r="U391" s="179">
        <f t="shared" si="140"/>
        <v>150</v>
      </c>
      <c r="V391" s="259"/>
      <c r="W391" s="179">
        <f t="shared" si="128"/>
        <v>0</v>
      </c>
      <c r="X391" s="259"/>
      <c r="Y391" s="179">
        <f t="shared" si="129"/>
        <v>1022.73</v>
      </c>
      <c r="Z391" s="259"/>
      <c r="AA391" s="179">
        <f t="shared" si="130"/>
        <v>40</v>
      </c>
      <c r="AB391" s="259"/>
      <c r="AC391" s="179">
        <f t="shared" si="131"/>
        <v>1394.266018065</v>
      </c>
      <c r="AD391" s="238">
        <f t="shared" si="126"/>
        <v>0</v>
      </c>
      <c r="AE391" s="179">
        <f t="shared" si="132"/>
        <v>2456.996018065</v>
      </c>
      <c r="AF391" s="264"/>
      <c r="AG391" s="179">
        <f t="shared" si="133"/>
        <v>1000</v>
      </c>
      <c r="AH391" s="268"/>
      <c r="AI391" s="179">
        <f t="shared" si="134"/>
        <v>0</v>
      </c>
      <c r="AJ391" s="268"/>
      <c r="AK391" s="179">
        <f t="shared" si="135"/>
        <v>22.73</v>
      </c>
      <c r="AL391" s="268"/>
      <c r="AM391" s="179">
        <f t="shared" si="136"/>
        <v>0</v>
      </c>
      <c r="AN391" s="268"/>
      <c r="AO391" s="179">
        <f t="shared" si="137"/>
        <v>0</v>
      </c>
      <c r="AP391" s="268"/>
      <c r="AQ391" s="179">
        <f t="shared" si="141"/>
        <v>0</v>
      </c>
      <c r="AR391" s="273"/>
      <c r="AS391" s="305">
        <f t="shared" si="138"/>
        <v>0</v>
      </c>
      <c r="AT391" s="273"/>
      <c r="AU391" s="305">
        <f t="shared" si="139"/>
        <v>0</v>
      </c>
    </row>
    <row r="392" spans="1:47" s="34" customFormat="1" hidden="1" x14ac:dyDescent="0.25">
      <c r="A392" s="87"/>
      <c r="B392" s="42"/>
      <c r="C392" s="41"/>
      <c r="D392" s="41"/>
      <c r="E392" s="40"/>
      <c r="F392" s="40"/>
      <c r="G392" s="40"/>
      <c r="H392" s="40"/>
      <c r="I392" s="160"/>
      <c r="J392" s="41"/>
      <c r="K392" s="41"/>
      <c r="L392" s="41"/>
      <c r="M392" s="41"/>
      <c r="N392" s="41"/>
      <c r="O392" s="41"/>
      <c r="P392" s="188"/>
      <c r="Q392" s="236"/>
      <c r="R392" s="280"/>
      <c r="S392" s="179">
        <f t="shared" si="127"/>
        <v>4859.3864915304011</v>
      </c>
      <c r="T392" s="259"/>
      <c r="U392" s="179">
        <f t="shared" si="140"/>
        <v>150</v>
      </c>
      <c r="V392" s="259"/>
      <c r="W392" s="179">
        <f t="shared" si="128"/>
        <v>0</v>
      </c>
      <c r="X392" s="259"/>
      <c r="Y392" s="179">
        <f t="shared" si="129"/>
        <v>1022.73</v>
      </c>
      <c r="Z392" s="259"/>
      <c r="AA392" s="179">
        <f t="shared" si="130"/>
        <v>40</v>
      </c>
      <c r="AB392" s="259"/>
      <c r="AC392" s="179">
        <f t="shared" si="131"/>
        <v>1394.266018065</v>
      </c>
      <c r="AD392" s="238">
        <f t="shared" si="126"/>
        <v>0</v>
      </c>
      <c r="AE392" s="179">
        <f t="shared" si="132"/>
        <v>2456.996018065</v>
      </c>
      <c r="AF392" s="264"/>
      <c r="AG392" s="179">
        <f t="shared" si="133"/>
        <v>1000</v>
      </c>
      <c r="AH392" s="268"/>
      <c r="AI392" s="179">
        <f t="shared" si="134"/>
        <v>0</v>
      </c>
      <c r="AJ392" s="268"/>
      <c r="AK392" s="179">
        <f t="shared" si="135"/>
        <v>22.73</v>
      </c>
      <c r="AL392" s="268"/>
      <c r="AM392" s="179">
        <f t="shared" si="136"/>
        <v>0</v>
      </c>
      <c r="AN392" s="268"/>
      <c r="AO392" s="179">
        <f t="shared" si="137"/>
        <v>0</v>
      </c>
      <c r="AP392" s="268"/>
      <c r="AQ392" s="179">
        <f t="shared" si="141"/>
        <v>0</v>
      </c>
      <c r="AR392" s="273"/>
      <c r="AS392" s="305">
        <f t="shared" si="138"/>
        <v>0</v>
      </c>
      <c r="AT392" s="273"/>
      <c r="AU392" s="305">
        <f t="shared" si="139"/>
        <v>0</v>
      </c>
    </row>
    <row r="393" spans="1:47" s="34" customFormat="1" hidden="1" x14ac:dyDescent="0.25">
      <c r="A393" s="87"/>
      <c r="B393" s="42"/>
      <c r="C393" s="41"/>
      <c r="D393" s="41"/>
      <c r="E393" s="40"/>
      <c r="F393" s="40"/>
      <c r="G393" s="40"/>
      <c r="H393" s="40"/>
      <c r="I393" s="160"/>
      <c r="J393" s="41"/>
      <c r="K393" s="41"/>
      <c r="L393" s="41"/>
      <c r="M393" s="41"/>
      <c r="N393" s="41"/>
      <c r="O393" s="41"/>
      <c r="P393" s="188"/>
      <c r="Q393" s="236"/>
      <c r="R393" s="280"/>
      <c r="S393" s="179">
        <f t="shared" si="127"/>
        <v>4859.3864915304011</v>
      </c>
      <c r="T393" s="259"/>
      <c r="U393" s="179">
        <f t="shared" si="140"/>
        <v>150</v>
      </c>
      <c r="V393" s="259"/>
      <c r="W393" s="179">
        <f t="shared" si="128"/>
        <v>0</v>
      </c>
      <c r="X393" s="259"/>
      <c r="Y393" s="179">
        <f t="shared" si="129"/>
        <v>1022.73</v>
      </c>
      <c r="Z393" s="259"/>
      <c r="AA393" s="179">
        <f t="shared" si="130"/>
        <v>40</v>
      </c>
      <c r="AB393" s="259"/>
      <c r="AC393" s="179">
        <f t="shared" si="131"/>
        <v>1394.266018065</v>
      </c>
      <c r="AD393" s="238">
        <f t="shared" si="126"/>
        <v>0</v>
      </c>
      <c r="AE393" s="179">
        <f t="shared" si="132"/>
        <v>2456.996018065</v>
      </c>
      <c r="AF393" s="264"/>
      <c r="AG393" s="179">
        <f t="shared" si="133"/>
        <v>1000</v>
      </c>
      <c r="AH393" s="268"/>
      <c r="AI393" s="179">
        <f t="shared" si="134"/>
        <v>0</v>
      </c>
      <c r="AJ393" s="268"/>
      <c r="AK393" s="179">
        <f t="shared" si="135"/>
        <v>22.73</v>
      </c>
      <c r="AL393" s="268"/>
      <c r="AM393" s="179">
        <f t="shared" si="136"/>
        <v>0</v>
      </c>
      <c r="AN393" s="268"/>
      <c r="AO393" s="179">
        <f t="shared" si="137"/>
        <v>0</v>
      </c>
      <c r="AP393" s="268"/>
      <c r="AQ393" s="179">
        <f t="shared" si="141"/>
        <v>0</v>
      </c>
      <c r="AR393" s="273"/>
      <c r="AS393" s="305">
        <f t="shared" si="138"/>
        <v>0</v>
      </c>
      <c r="AT393" s="273"/>
      <c r="AU393" s="305">
        <f t="shared" si="139"/>
        <v>0</v>
      </c>
    </row>
    <row r="394" spans="1:47" s="34" customFormat="1" hidden="1" x14ac:dyDescent="0.25">
      <c r="A394" s="87"/>
      <c r="B394" s="42"/>
      <c r="C394" s="41"/>
      <c r="D394" s="41"/>
      <c r="E394" s="40"/>
      <c r="F394" s="40"/>
      <c r="G394" s="40"/>
      <c r="H394" s="40"/>
      <c r="I394" s="160"/>
      <c r="J394" s="41"/>
      <c r="K394" s="41"/>
      <c r="L394" s="41"/>
      <c r="M394" s="41"/>
      <c r="N394" s="41"/>
      <c r="O394" s="41"/>
      <c r="P394" s="188"/>
      <c r="Q394" s="236"/>
      <c r="R394" s="280"/>
      <c r="S394" s="179">
        <f t="shared" si="127"/>
        <v>4859.3864915304011</v>
      </c>
      <c r="T394" s="259"/>
      <c r="U394" s="179">
        <f t="shared" si="140"/>
        <v>150</v>
      </c>
      <c r="V394" s="259"/>
      <c r="W394" s="179">
        <f t="shared" si="128"/>
        <v>0</v>
      </c>
      <c r="X394" s="259"/>
      <c r="Y394" s="179">
        <f t="shared" si="129"/>
        <v>1022.73</v>
      </c>
      <c r="Z394" s="259"/>
      <c r="AA394" s="179">
        <f t="shared" si="130"/>
        <v>40</v>
      </c>
      <c r="AB394" s="259"/>
      <c r="AC394" s="179">
        <f t="shared" si="131"/>
        <v>1394.266018065</v>
      </c>
      <c r="AD394" s="238">
        <f t="shared" si="126"/>
        <v>0</v>
      </c>
      <c r="AE394" s="179">
        <f t="shared" si="132"/>
        <v>2456.996018065</v>
      </c>
      <c r="AF394" s="264"/>
      <c r="AG394" s="179">
        <f t="shared" si="133"/>
        <v>1000</v>
      </c>
      <c r="AH394" s="268"/>
      <c r="AI394" s="179">
        <f t="shared" si="134"/>
        <v>0</v>
      </c>
      <c r="AJ394" s="268"/>
      <c r="AK394" s="179">
        <f t="shared" si="135"/>
        <v>22.73</v>
      </c>
      <c r="AL394" s="268"/>
      <c r="AM394" s="179">
        <f t="shared" si="136"/>
        <v>0</v>
      </c>
      <c r="AN394" s="268"/>
      <c r="AO394" s="179">
        <f t="shared" si="137"/>
        <v>0</v>
      </c>
      <c r="AP394" s="268"/>
      <c r="AQ394" s="179">
        <f t="shared" si="141"/>
        <v>0</v>
      </c>
      <c r="AR394" s="273"/>
      <c r="AS394" s="305">
        <f t="shared" si="138"/>
        <v>0</v>
      </c>
      <c r="AT394" s="273"/>
      <c r="AU394" s="305">
        <f t="shared" si="139"/>
        <v>0</v>
      </c>
    </row>
    <row r="395" spans="1:47" s="34" customFormat="1" hidden="1" x14ac:dyDescent="0.25">
      <c r="A395" s="87"/>
      <c r="B395" s="42"/>
      <c r="C395" s="41"/>
      <c r="D395" s="41"/>
      <c r="E395" s="40"/>
      <c r="F395" s="40"/>
      <c r="G395" s="40"/>
      <c r="H395" s="40"/>
      <c r="I395" s="160"/>
      <c r="J395" s="41"/>
      <c r="K395" s="41"/>
      <c r="L395" s="41"/>
      <c r="M395" s="41"/>
      <c r="N395" s="41"/>
      <c r="O395" s="41"/>
      <c r="P395" s="188"/>
      <c r="Q395" s="236"/>
      <c r="R395" s="280"/>
      <c r="S395" s="179">
        <f t="shared" si="127"/>
        <v>4859.3864915304011</v>
      </c>
      <c r="T395" s="259"/>
      <c r="U395" s="179">
        <f t="shared" si="140"/>
        <v>150</v>
      </c>
      <c r="V395" s="259"/>
      <c r="W395" s="179">
        <f t="shared" si="128"/>
        <v>0</v>
      </c>
      <c r="X395" s="259"/>
      <c r="Y395" s="179">
        <f t="shared" si="129"/>
        <v>1022.73</v>
      </c>
      <c r="Z395" s="259"/>
      <c r="AA395" s="179">
        <f t="shared" si="130"/>
        <v>40</v>
      </c>
      <c r="AB395" s="259"/>
      <c r="AC395" s="179">
        <f t="shared" si="131"/>
        <v>1394.266018065</v>
      </c>
      <c r="AD395" s="238">
        <f t="shared" si="126"/>
        <v>0</v>
      </c>
      <c r="AE395" s="179">
        <f t="shared" si="132"/>
        <v>2456.996018065</v>
      </c>
      <c r="AF395" s="264"/>
      <c r="AG395" s="179">
        <f t="shared" si="133"/>
        <v>1000</v>
      </c>
      <c r="AH395" s="268"/>
      <c r="AI395" s="179">
        <f t="shared" si="134"/>
        <v>0</v>
      </c>
      <c r="AJ395" s="268"/>
      <c r="AK395" s="179">
        <f t="shared" si="135"/>
        <v>22.73</v>
      </c>
      <c r="AL395" s="268"/>
      <c r="AM395" s="179">
        <f t="shared" si="136"/>
        <v>0</v>
      </c>
      <c r="AN395" s="268"/>
      <c r="AO395" s="179">
        <f t="shared" si="137"/>
        <v>0</v>
      </c>
      <c r="AP395" s="268"/>
      <c r="AQ395" s="179">
        <f t="shared" si="141"/>
        <v>0</v>
      </c>
      <c r="AR395" s="273"/>
      <c r="AS395" s="305">
        <f t="shared" si="138"/>
        <v>0</v>
      </c>
      <c r="AT395" s="273"/>
      <c r="AU395" s="305">
        <f t="shared" si="139"/>
        <v>0</v>
      </c>
    </row>
    <row r="396" spans="1:47" s="34" customFormat="1" hidden="1" x14ac:dyDescent="0.25">
      <c r="A396" s="87"/>
      <c r="B396" s="42"/>
      <c r="C396" s="41"/>
      <c r="D396" s="41"/>
      <c r="E396" s="40"/>
      <c r="F396" s="40"/>
      <c r="G396" s="40"/>
      <c r="H396" s="40"/>
      <c r="I396" s="160"/>
      <c r="J396" s="41"/>
      <c r="K396" s="41"/>
      <c r="L396" s="41"/>
      <c r="M396" s="41"/>
      <c r="N396" s="41"/>
      <c r="O396" s="41"/>
      <c r="P396" s="188"/>
      <c r="Q396" s="236"/>
      <c r="R396" s="280"/>
      <c r="S396" s="179">
        <f t="shared" si="127"/>
        <v>4859.3864915304011</v>
      </c>
      <c r="T396" s="259"/>
      <c r="U396" s="179">
        <f t="shared" si="140"/>
        <v>150</v>
      </c>
      <c r="V396" s="259"/>
      <c r="W396" s="179">
        <f t="shared" si="128"/>
        <v>0</v>
      </c>
      <c r="X396" s="259"/>
      <c r="Y396" s="179">
        <f t="shared" si="129"/>
        <v>1022.73</v>
      </c>
      <c r="Z396" s="259"/>
      <c r="AA396" s="179">
        <f t="shared" si="130"/>
        <v>40</v>
      </c>
      <c r="AB396" s="259"/>
      <c r="AC396" s="179">
        <f t="shared" si="131"/>
        <v>1394.266018065</v>
      </c>
      <c r="AD396" s="238">
        <f t="shared" si="126"/>
        <v>0</v>
      </c>
      <c r="AE396" s="179">
        <f t="shared" si="132"/>
        <v>2456.996018065</v>
      </c>
      <c r="AF396" s="264"/>
      <c r="AG396" s="179">
        <f t="shared" si="133"/>
        <v>1000</v>
      </c>
      <c r="AH396" s="268"/>
      <c r="AI396" s="179">
        <f t="shared" si="134"/>
        <v>0</v>
      </c>
      <c r="AJ396" s="268"/>
      <c r="AK396" s="179">
        <f t="shared" si="135"/>
        <v>22.73</v>
      </c>
      <c r="AL396" s="268"/>
      <c r="AM396" s="179">
        <f t="shared" si="136"/>
        <v>0</v>
      </c>
      <c r="AN396" s="268"/>
      <c r="AO396" s="179">
        <f t="shared" si="137"/>
        <v>0</v>
      </c>
      <c r="AP396" s="268"/>
      <c r="AQ396" s="179">
        <f t="shared" si="141"/>
        <v>0</v>
      </c>
      <c r="AR396" s="273"/>
      <c r="AS396" s="305">
        <f t="shared" si="138"/>
        <v>0</v>
      </c>
      <c r="AT396" s="273"/>
      <c r="AU396" s="305">
        <f t="shared" si="139"/>
        <v>0</v>
      </c>
    </row>
    <row r="397" spans="1:47" s="34" customFormat="1" hidden="1" x14ac:dyDescent="0.25">
      <c r="A397" s="87"/>
      <c r="B397" s="42"/>
      <c r="C397" s="41"/>
      <c r="D397" s="41"/>
      <c r="E397" s="40"/>
      <c r="F397" s="40"/>
      <c r="G397" s="40"/>
      <c r="H397" s="40"/>
      <c r="I397" s="160"/>
      <c r="J397" s="41"/>
      <c r="K397" s="41"/>
      <c r="L397" s="41"/>
      <c r="M397" s="41"/>
      <c r="N397" s="41"/>
      <c r="O397" s="41"/>
      <c r="P397" s="188"/>
      <c r="Q397" s="236"/>
      <c r="R397" s="280"/>
      <c r="S397" s="179">
        <f t="shared" si="127"/>
        <v>4859.3864915304011</v>
      </c>
      <c r="T397" s="259"/>
      <c r="U397" s="179">
        <f t="shared" si="140"/>
        <v>150</v>
      </c>
      <c r="V397" s="259"/>
      <c r="W397" s="179">
        <f t="shared" si="128"/>
        <v>0</v>
      </c>
      <c r="X397" s="259"/>
      <c r="Y397" s="179">
        <f t="shared" si="129"/>
        <v>1022.73</v>
      </c>
      <c r="Z397" s="259"/>
      <c r="AA397" s="179">
        <f t="shared" si="130"/>
        <v>40</v>
      </c>
      <c r="AB397" s="259"/>
      <c r="AC397" s="179">
        <f t="shared" si="131"/>
        <v>1394.266018065</v>
      </c>
      <c r="AD397" s="238">
        <f t="shared" si="126"/>
        <v>0</v>
      </c>
      <c r="AE397" s="179">
        <f t="shared" si="132"/>
        <v>2456.996018065</v>
      </c>
      <c r="AF397" s="264"/>
      <c r="AG397" s="179">
        <f t="shared" si="133"/>
        <v>1000</v>
      </c>
      <c r="AH397" s="268"/>
      <c r="AI397" s="179">
        <f t="shared" si="134"/>
        <v>0</v>
      </c>
      <c r="AJ397" s="268"/>
      <c r="AK397" s="179">
        <f t="shared" si="135"/>
        <v>22.73</v>
      </c>
      <c r="AL397" s="268"/>
      <c r="AM397" s="179">
        <f t="shared" si="136"/>
        <v>0</v>
      </c>
      <c r="AN397" s="268"/>
      <c r="AO397" s="179">
        <f t="shared" si="137"/>
        <v>0</v>
      </c>
      <c r="AP397" s="268"/>
      <c r="AQ397" s="179">
        <f t="shared" si="141"/>
        <v>0</v>
      </c>
      <c r="AR397" s="273"/>
      <c r="AS397" s="305">
        <f t="shared" si="138"/>
        <v>0</v>
      </c>
      <c r="AT397" s="273"/>
      <c r="AU397" s="305">
        <f t="shared" si="139"/>
        <v>0</v>
      </c>
    </row>
    <row r="398" spans="1:47" s="34" customFormat="1" hidden="1" x14ac:dyDescent="0.25">
      <c r="A398" s="87"/>
      <c r="B398" s="42"/>
      <c r="C398" s="41"/>
      <c r="D398" s="41"/>
      <c r="E398" s="40"/>
      <c r="F398" s="40"/>
      <c r="G398" s="40"/>
      <c r="H398" s="40"/>
      <c r="I398" s="160"/>
      <c r="J398" s="41"/>
      <c r="K398" s="41"/>
      <c r="L398" s="41"/>
      <c r="M398" s="41"/>
      <c r="N398" s="41"/>
      <c r="O398" s="41"/>
      <c r="P398" s="188"/>
      <c r="Q398" s="236"/>
      <c r="R398" s="280"/>
      <c r="S398" s="179">
        <f t="shared" si="127"/>
        <v>4859.3864915304011</v>
      </c>
      <c r="T398" s="259"/>
      <c r="U398" s="179">
        <f t="shared" si="140"/>
        <v>150</v>
      </c>
      <c r="V398" s="259"/>
      <c r="W398" s="179">
        <f t="shared" si="128"/>
        <v>0</v>
      </c>
      <c r="X398" s="259"/>
      <c r="Y398" s="179">
        <f t="shared" si="129"/>
        <v>1022.73</v>
      </c>
      <c r="Z398" s="259"/>
      <c r="AA398" s="179">
        <f t="shared" si="130"/>
        <v>40</v>
      </c>
      <c r="AB398" s="259"/>
      <c r="AC398" s="179">
        <f t="shared" si="131"/>
        <v>1394.266018065</v>
      </c>
      <c r="AD398" s="238">
        <f t="shared" si="126"/>
        <v>0</v>
      </c>
      <c r="AE398" s="179">
        <f t="shared" si="132"/>
        <v>2456.996018065</v>
      </c>
      <c r="AF398" s="264"/>
      <c r="AG398" s="179">
        <f t="shared" si="133"/>
        <v>1000</v>
      </c>
      <c r="AH398" s="268"/>
      <c r="AI398" s="179">
        <f t="shared" si="134"/>
        <v>0</v>
      </c>
      <c r="AJ398" s="268"/>
      <c r="AK398" s="179">
        <f t="shared" si="135"/>
        <v>22.73</v>
      </c>
      <c r="AL398" s="268"/>
      <c r="AM398" s="179">
        <f t="shared" si="136"/>
        <v>0</v>
      </c>
      <c r="AN398" s="268"/>
      <c r="AO398" s="179">
        <f t="shared" si="137"/>
        <v>0</v>
      </c>
      <c r="AP398" s="268"/>
      <c r="AQ398" s="179">
        <f t="shared" si="141"/>
        <v>0</v>
      </c>
      <c r="AR398" s="273"/>
      <c r="AS398" s="305">
        <f t="shared" si="138"/>
        <v>0</v>
      </c>
      <c r="AT398" s="273"/>
      <c r="AU398" s="305">
        <f t="shared" si="139"/>
        <v>0</v>
      </c>
    </row>
    <row r="399" spans="1:47" s="34" customFormat="1" ht="15.75" hidden="1" thickBot="1" x14ac:dyDescent="0.3">
      <c r="A399" s="87"/>
      <c r="B399" s="42"/>
      <c r="C399" s="41"/>
      <c r="D399" s="41"/>
      <c r="E399" s="40"/>
      <c r="F399" s="40"/>
      <c r="G399" s="40"/>
      <c r="H399" s="40"/>
      <c r="I399" s="160"/>
      <c r="J399" s="41"/>
      <c r="K399" s="41"/>
      <c r="L399" s="41"/>
      <c r="M399" s="41"/>
      <c r="N399" s="41"/>
      <c r="O399" s="41"/>
      <c r="P399" s="188"/>
      <c r="Q399" s="239"/>
      <c r="R399" s="281"/>
      <c r="S399" s="223">
        <f t="shared" si="127"/>
        <v>4859.3864915304011</v>
      </c>
      <c r="T399" s="260"/>
      <c r="U399" s="223">
        <f t="shared" si="140"/>
        <v>150</v>
      </c>
      <c r="V399" s="260"/>
      <c r="W399" s="179">
        <f t="shared" si="128"/>
        <v>0</v>
      </c>
      <c r="X399" s="260"/>
      <c r="Y399" s="179">
        <f t="shared" si="129"/>
        <v>1022.73</v>
      </c>
      <c r="Z399" s="260"/>
      <c r="AA399" s="179">
        <f t="shared" si="130"/>
        <v>40</v>
      </c>
      <c r="AB399" s="260"/>
      <c r="AC399" s="179">
        <f t="shared" si="131"/>
        <v>1394.266018065</v>
      </c>
      <c r="AD399" s="240">
        <f t="shared" si="126"/>
        <v>0</v>
      </c>
      <c r="AE399" s="179">
        <f t="shared" si="132"/>
        <v>2456.996018065</v>
      </c>
      <c r="AF399" s="265"/>
      <c r="AG399" s="179">
        <f t="shared" si="133"/>
        <v>1000</v>
      </c>
      <c r="AH399" s="268"/>
      <c r="AI399" s="179">
        <f t="shared" si="134"/>
        <v>0</v>
      </c>
      <c r="AJ399" s="268"/>
      <c r="AK399" s="179">
        <f t="shared" si="135"/>
        <v>22.73</v>
      </c>
      <c r="AL399" s="268"/>
      <c r="AM399" s="179">
        <f t="shared" si="136"/>
        <v>0</v>
      </c>
      <c r="AN399" s="268"/>
      <c r="AO399" s="179">
        <f t="shared" si="137"/>
        <v>0</v>
      </c>
      <c r="AP399" s="268"/>
      <c r="AQ399" s="179">
        <f t="shared" si="141"/>
        <v>0</v>
      </c>
      <c r="AR399" s="273"/>
      <c r="AS399" s="305">
        <f t="shared" si="138"/>
        <v>0</v>
      </c>
      <c r="AT399" s="273"/>
      <c r="AU399" s="305">
        <f t="shared" si="139"/>
        <v>0</v>
      </c>
    </row>
    <row r="400" spans="1:47" s="34" customFormat="1" ht="15.75" thickBot="1" x14ac:dyDescent="0.3">
      <c r="A400" s="244"/>
      <c r="B400" s="244"/>
      <c r="C400" s="244"/>
      <c r="D400" s="244"/>
      <c r="E400" s="244"/>
      <c r="F400" s="244"/>
      <c r="G400" s="244"/>
      <c r="H400" s="244"/>
      <c r="I400" s="244"/>
      <c r="J400" s="244"/>
      <c r="K400" s="244"/>
      <c r="L400" s="244"/>
      <c r="M400" s="244"/>
      <c r="N400" s="244"/>
      <c r="O400" s="244"/>
      <c r="P400" s="244"/>
      <c r="Q400" s="245"/>
      <c r="R400" s="255">
        <f>SUM(Mat_Col_Insurer)</f>
        <v>4859.3864915304011</v>
      </c>
      <c r="S400" s="243" t="s">
        <v>235</v>
      </c>
      <c r="T400" s="261">
        <f>SUM(Mat_Col_Excl)</f>
        <v>150</v>
      </c>
      <c r="U400" s="232" t="s">
        <v>235</v>
      </c>
      <c r="V400" s="261">
        <f>SUM(Mat_Col_Limit)</f>
        <v>0</v>
      </c>
      <c r="W400" s="232" t="s">
        <v>235</v>
      </c>
      <c r="X400" s="261">
        <f>SUM(Mat_Col_Deduct)</f>
        <v>1022.73</v>
      </c>
      <c r="Y400" s="232" t="s">
        <v>235</v>
      </c>
      <c r="Z400" s="261">
        <f>SUM(Mat_Col_Copay)</f>
        <v>40</v>
      </c>
      <c r="AA400" s="232" t="s">
        <v>235</v>
      </c>
      <c r="AB400" s="261">
        <f>SUM(Mat_Col_Coinsur)</f>
        <v>1394.266018065</v>
      </c>
      <c r="AC400" s="232" t="s">
        <v>235</v>
      </c>
      <c r="AD400" s="231">
        <f>SUM(Mat_Col_OOP)</f>
        <v>2456.996018065</v>
      </c>
      <c r="AE400" s="242" t="s">
        <v>235</v>
      </c>
      <c r="AF400" s="255">
        <f>SUM(Mat_Col_Deduct_Overall)</f>
        <v>1000</v>
      </c>
      <c r="AG400" s="306" t="s">
        <v>235</v>
      </c>
      <c r="AH400" s="261">
        <f>SUM(Mat_Col_Deduct_DME)</f>
        <v>0</v>
      </c>
      <c r="AI400" s="306" t="s">
        <v>235</v>
      </c>
      <c r="AJ400" s="261">
        <f>SUM(Mat_Col_Deduct_RX)</f>
        <v>22.73</v>
      </c>
      <c r="AK400" s="306" t="s">
        <v>235</v>
      </c>
      <c r="AL400" s="261">
        <f>SUM(Mat_Col_Deduct_Hospital)</f>
        <v>0</v>
      </c>
      <c r="AM400" s="306" t="s">
        <v>235</v>
      </c>
      <c r="AN400" s="261">
        <f>SUM(Mat_Col_Deduct_Obst)</f>
        <v>0</v>
      </c>
      <c r="AO400" s="306" t="s">
        <v>235</v>
      </c>
      <c r="AP400" s="261">
        <f>SUM(Mat_Col_Deduct_Vaccine)</f>
        <v>0</v>
      </c>
      <c r="AQ400" s="306" t="s">
        <v>235</v>
      </c>
      <c r="AR400" s="278" t="s">
        <v>235</v>
      </c>
      <c r="AS400" s="306" t="s">
        <v>235</v>
      </c>
      <c r="AT400" s="279">
        <f>SUM(Mat_Col_Limit_RX_Yr)</f>
        <v>0</v>
      </c>
      <c r="AU400" s="307" t="s">
        <v>235</v>
      </c>
    </row>
    <row r="401" hidden="1" x14ac:dyDescent="0.25"/>
    <row r="402" hidden="1" x14ac:dyDescent="0.25"/>
  </sheetData>
  <customSheetViews>
    <customSheetView guid="{04C50C76-DBA5-4B8F-A929-D0E997573BFE}" scale="75" fitToPage="1" printArea="1" hiddenRows="1" hiddenColumns="1">
      <pane ySplit="2" topLeftCell="A3" activePane="bottomLeft" state="frozen"/>
      <selection pane="bottomLeft" activeCell="M11" sqref="M11"/>
      <pageMargins left="0.25" right="0.25" top="1" bottom="0.5" header="0.25" footer="0.25"/>
      <pageSetup paperSize="3" scale="74" fitToHeight="0" orientation="landscape" r:id="rId1"/>
    </customSheetView>
    <customSheetView guid="{B93E95F7-2207-4982-B8B5-4CD0F87DD17C}" scale="75" fitToPage="1" printArea="1" hiddenRows="1" hiddenColumns="1">
      <pane ySplit="2" topLeftCell="A54" activePane="bottomLeft" state="frozen"/>
      <selection pane="bottomLeft" activeCell="K54" sqref="K54"/>
      <pageMargins left="0.25" right="0.25" top="1" bottom="0.5" header="0.25" footer="0.25"/>
      <pageSetup paperSize="3" scale="74" fitToHeight="0" orientation="landscape" r:id="rId2"/>
    </customSheetView>
  </customSheetViews>
  <mergeCells count="4">
    <mergeCell ref="R1:AE1"/>
    <mergeCell ref="AF1:AQ1"/>
    <mergeCell ref="AR1:AU1"/>
    <mergeCell ref="I1:P1"/>
  </mergeCells>
  <conditionalFormatting sqref="D3:D399">
    <cfRule type="expression" dxfId="0" priority="1">
      <formula>D3="OTC"</formula>
    </cfRule>
  </conditionalFormatting>
  <pageMargins left="0.25" right="0.25" top="1" bottom="0.5" header="0.25" footer="0.25"/>
  <pageSetup paperSize="3" scale="74" fitToHeight="0" orientation="landscape"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theme="3" tint="0.79998168889431442"/>
  </sheetPr>
  <dimension ref="A1:N28"/>
  <sheetViews>
    <sheetView zoomScaleNormal="100" workbookViewId="0">
      <selection activeCell="L10" sqref="L10:L16"/>
    </sheetView>
  </sheetViews>
  <sheetFormatPr defaultColWidth="0" defaultRowHeight="15" zeroHeight="1" x14ac:dyDescent="0.25"/>
  <cols>
    <col min="1" max="1" width="3.28515625" customWidth="1"/>
    <col min="2" max="2" width="5.140625" customWidth="1"/>
    <col min="3" max="3" width="1.7109375" customWidth="1"/>
    <col min="4" max="4" width="3.140625" customWidth="1"/>
    <col min="5" max="5" width="27.28515625" customWidth="1"/>
    <col min="6" max="6" width="10.28515625" customWidth="1"/>
    <col min="7" max="7" width="2.28515625" customWidth="1"/>
    <col min="8" max="8" width="7.28515625" customWidth="1"/>
    <col min="9" max="9" width="1.7109375" customWidth="1"/>
    <col min="10" max="10" width="3.140625" customWidth="1"/>
    <col min="11" max="11" width="26.28515625" customWidth="1"/>
    <col min="12" max="12" width="10" customWidth="1"/>
    <col min="13" max="13" width="2.28515625" customWidth="1"/>
    <col min="14" max="14" width="9.7109375" customWidth="1"/>
    <col min="15" max="16384" width="8.85546875" hidden="1"/>
  </cols>
  <sheetData>
    <row r="1" spans="1:14" ht="10.9" customHeight="1" x14ac:dyDescent="0.25">
      <c r="A1" s="151"/>
      <c r="B1" s="152"/>
      <c r="C1" s="152"/>
      <c r="D1" s="152"/>
      <c r="E1" s="152"/>
      <c r="F1" s="152"/>
      <c r="G1" s="152"/>
      <c r="H1" s="330" t="s">
        <v>231</v>
      </c>
      <c r="I1" s="330"/>
      <c r="J1" s="330"/>
      <c r="K1" s="330"/>
      <c r="L1" s="152"/>
      <c r="M1" s="152"/>
      <c r="N1" s="152"/>
    </row>
    <row r="2" spans="1:14" ht="10.9" customHeight="1" x14ac:dyDescent="0.25">
      <c r="A2" s="151"/>
      <c r="B2" s="152"/>
      <c r="C2" s="152"/>
      <c r="D2" s="152"/>
      <c r="E2" s="152"/>
      <c r="F2" s="152"/>
      <c r="G2" s="152"/>
      <c r="H2" s="330"/>
      <c r="I2" s="330"/>
      <c r="J2" s="330"/>
      <c r="K2" s="330"/>
      <c r="L2" s="152"/>
      <c r="M2" s="152"/>
      <c r="N2" s="152"/>
    </row>
    <row r="3" spans="1:14" ht="15.75" thickBot="1" x14ac:dyDescent="0.3">
      <c r="A3" s="153"/>
      <c r="B3" s="155" t="s">
        <v>174</v>
      </c>
      <c r="C3" s="154"/>
      <c r="D3" s="154"/>
      <c r="E3" s="154"/>
      <c r="F3" s="154"/>
      <c r="G3" s="154"/>
      <c r="H3" s="331"/>
      <c r="I3" s="331"/>
      <c r="J3" s="331"/>
      <c r="K3" s="331"/>
      <c r="L3" s="154"/>
      <c r="M3" s="154"/>
      <c r="N3" s="154"/>
    </row>
    <row r="4" spans="1:14" ht="27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A5" s="5"/>
      <c r="B5" s="5"/>
      <c r="C5" s="333" t="s">
        <v>175</v>
      </c>
      <c r="D5" s="334"/>
      <c r="E5" s="334"/>
      <c r="F5" s="334"/>
      <c r="G5" s="335"/>
      <c r="H5" s="5"/>
      <c r="I5" s="333" t="s">
        <v>176</v>
      </c>
      <c r="J5" s="334"/>
      <c r="K5" s="334"/>
      <c r="L5" s="334"/>
      <c r="M5" s="335"/>
      <c r="N5" s="5"/>
    </row>
    <row r="6" spans="1:14" x14ac:dyDescent="0.25">
      <c r="A6" s="5"/>
      <c r="B6" s="5"/>
      <c r="C6" s="6"/>
      <c r="D6" s="7"/>
      <c r="E6" s="7"/>
      <c r="F6" s="7"/>
      <c r="G6" s="124"/>
      <c r="H6" s="5"/>
      <c r="I6" s="6"/>
      <c r="J6" s="7"/>
      <c r="K6" s="7"/>
      <c r="L6" s="7"/>
      <c r="M6" s="124"/>
      <c r="N6" s="5"/>
    </row>
    <row r="7" spans="1:14" x14ac:dyDescent="0.25">
      <c r="A7" s="5"/>
      <c r="B7" s="5"/>
      <c r="C7" s="8"/>
      <c r="D7" s="332" t="s">
        <v>239</v>
      </c>
      <c r="E7" s="332"/>
      <c r="F7" s="311">
        <f>7540-F16</f>
        <v>4940</v>
      </c>
      <c r="G7" s="125"/>
      <c r="H7" s="5"/>
      <c r="I7" s="8"/>
      <c r="J7" s="332" t="s">
        <v>239</v>
      </c>
      <c r="K7" s="332"/>
      <c r="L7" s="311">
        <f>5400-L16</f>
        <v>3810</v>
      </c>
      <c r="M7" s="125"/>
      <c r="N7" s="5"/>
    </row>
    <row r="8" spans="1:14" x14ac:dyDescent="0.25">
      <c r="A8" s="5"/>
      <c r="B8" s="5"/>
      <c r="C8" s="127"/>
      <c r="D8" s="120"/>
      <c r="E8" s="120"/>
      <c r="F8" s="119"/>
      <c r="G8" s="126"/>
      <c r="H8" s="5"/>
      <c r="I8" s="127"/>
      <c r="J8" s="120"/>
      <c r="K8" s="120"/>
      <c r="L8" s="119"/>
      <c r="M8" s="126"/>
      <c r="N8" s="5"/>
    </row>
    <row r="9" spans="1:14" ht="11.45" customHeight="1" x14ac:dyDescent="0.25">
      <c r="A9" s="5"/>
      <c r="B9" s="5"/>
      <c r="C9" s="6"/>
      <c r="D9" s="113"/>
      <c r="E9" s="113"/>
      <c r="F9" s="7"/>
      <c r="G9" s="124"/>
      <c r="H9" s="5"/>
      <c r="I9" s="6"/>
      <c r="J9" s="113"/>
      <c r="K9" s="113"/>
      <c r="L9" s="7"/>
      <c r="M9" s="124"/>
      <c r="N9" s="5"/>
    </row>
    <row r="10" spans="1:14" x14ac:dyDescent="0.25">
      <c r="A10" s="5"/>
      <c r="B10" s="5"/>
      <c r="C10" s="8"/>
      <c r="D10" s="332" t="s">
        <v>238</v>
      </c>
      <c r="E10" s="332"/>
      <c r="F10" s="249" t="s">
        <v>241</v>
      </c>
      <c r="G10" s="125"/>
      <c r="H10" s="5"/>
      <c r="I10" s="8"/>
      <c r="J10" s="332" t="s">
        <v>238</v>
      </c>
      <c r="K10" s="332"/>
      <c r="L10" s="249" t="s">
        <v>242</v>
      </c>
      <c r="M10" s="125"/>
      <c r="N10" s="5"/>
    </row>
    <row r="11" spans="1:14" ht="6" customHeight="1" x14ac:dyDescent="0.25">
      <c r="A11" s="303"/>
      <c r="B11" s="303"/>
      <c r="C11" s="8"/>
      <c r="D11" s="105"/>
      <c r="E11" s="105"/>
      <c r="F11" s="249">
        <f>F7</f>
        <v>4940</v>
      </c>
      <c r="G11" s="125"/>
      <c r="H11" s="5"/>
      <c r="I11" s="8"/>
      <c r="J11" s="105"/>
      <c r="K11" s="105"/>
      <c r="L11" s="249">
        <f>L7</f>
        <v>3810</v>
      </c>
      <c r="M11" s="125"/>
      <c r="N11" s="5"/>
    </row>
    <row r="12" spans="1:14" x14ac:dyDescent="0.25">
      <c r="A12" s="303"/>
      <c r="B12" s="303"/>
      <c r="C12" s="8"/>
      <c r="D12" s="9"/>
      <c r="E12" s="150" t="s">
        <v>171</v>
      </c>
      <c r="F12" s="309">
        <f>MROUND(Mat_Prior_Deduct,10)</f>
        <v>1020</v>
      </c>
      <c r="G12" s="125"/>
      <c r="H12" s="5"/>
      <c r="I12" s="8"/>
      <c r="J12" s="9"/>
      <c r="K12" s="150" t="s">
        <v>171</v>
      </c>
      <c r="L12" s="309">
        <f>MROUND(Dia_Prior_Deduct,10)</f>
        <v>1100</v>
      </c>
      <c r="M12" s="125"/>
      <c r="N12" s="5"/>
    </row>
    <row r="13" spans="1:14" x14ac:dyDescent="0.25">
      <c r="A13" s="303"/>
      <c r="B13" s="303"/>
      <c r="C13" s="8"/>
      <c r="D13" s="9"/>
      <c r="E13" s="150" t="s">
        <v>172</v>
      </c>
      <c r="F13" s="309">
        <f>MROUND(Mat_Prior_Copay,10)</f>
        <v>40</v>
      </c>
      <c r="G13" s="125"/>
      <c r="H13" s="5"/>
      <c r="I13" s="8"/>
      <c r="J13" s="9"/>
      <c r="K13" s="150" t="s">
        <v>172</v>
      </c>
      <c r="L13" s="309">
        <f>MROUND(Dia_Prior_Copay,10)</f>
        <v>410</v>
      </c>
      <c r="M13" s="125"/>
      <c r="N13" s="5"/>
    </row>
    <row r="14" spans="1:14" x14ac:dyDescent="0.25">
      <c r="A14" s="303"/>
      <c r="B14" s="303"/>
      <c r="C14" s="8"/>
      <c r="D14" s="9"/>
      <c r="E14" s="150" t="s">
        <v>173</v>
      </c>
      <c r="F14" s="309">
        <f>MROUND(Mat_Prior_Coinsur,10)</f>
        <v>1390</v>
      </c>
      <c r="G14" s="125"/>
      <c r="H14" s="5"/>
      <c r="I14" s="8"/>
      <c r="J14" s="9"/>
      <c r="K14" s="150" t="s">
        <v>173</v>
      </c>
      <c r="L14" s="309">
        <f>MROUND(Dia_Prior_Coinsur,10)</f>
        <v>0</v>
      </c>
      <c r="M14" s="125"/>
      <c r="N14" s="5"/>
    </row>
    <row r="15" spans="1:14" x14ac:dyDescent="0.25">
      <c r="A15" s="303"/>
      <c r="B15" s="303"/>
      <c r="C15" s="8"/>
      <c r="D15" s="9"/>
      <c r="E15" s="150" t="s">
        <v>237</v>
      </c>
      <c r="F15" s="309">
        <f>MROUND(Mat_Prior_Excl,10)+MROUND(Mat_Prior_Limit,10)</f>
        <v>150</v>
      </c>
      <c r="G15" s="125"/>
      <c r="H15" s="5"/>
      <c r="I15" s="8"/>
      <c r="J15" s="9"/>
      <c r="K15" s="150" t="s">
        <v>237</v>
      </c>
      <c r="L15" s="309">
        <f>MROUND(Dia_Prior_Excl,10)+MROUND(Dia_Prior_Limit,10)</f>
        <v>80</v>
      </c>
      <c r="M15" s="125"/>
      <c r="N15" s="5"/>
    </row>
    <row r="16" spans="1:14" x14ac:dyDescent="0.25">
      <c r="A16" s="303"/>
      <c r="B16" s="303"/>
      <c r="C16" s="8"/>
      <c r="D16" s="9"/>
      <c r="E16" s="248" t="s">
        <v>240</v>
      </c>
      <c r="F16" s="310">
        <f>SUM(F12:F15)</f>
        <v>2600</v>
      </c>
      <c r="G16" s="125"/>
      <c r="H16" s="5"/>
      <c r="I16" s="8"/>
      <c r="J16" s="9"/>
      <c r="K16" s="248" t="s">
        <v>240</v>
      </c>
      <c r="L16" s="310">
        <f>SUM(L12:L15)</f>
        <v>1590</v>
      </c>
      <c r="M16" s="125"/>
      <c r="N16" s="5"/>
    </row>
    <row r="17" spans="1:14" x14ac:dyDescent="0.25">
      <c r="A17" s="5"/>
      <c r="B17" s="5"/>
      <c r="C17" s="127"/>
      <c r="D17" s="119"/>
      <c r="E17" s="119"/>
      <c r="F17" s="4"/>
      <c r="G17" s="126"/>
      <c r="H17" s="5"/>
      <c r="I17" s="127"/>
      <c r="J17" s="119"/>
      <c r="K17" s="119"/>
      <c r="L17" s="4"/>
      <c r="M17" s="126"/>
      <c r="N17" s="5"/>
    </row>
    <row r="18" spans="1:14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idden="1" x14ac:dyDescent="0.25"/>
    <row r="22" spans="1:14" hidden="1" x14ac:dyDescent="0.25"/>
    <row r="23" spans="1:14" hidden="1" x14ac:dyDescent="0.25"/>
    <row r="24" spans="1:14" hidden="1" x14ac:dyDescent="0.25"/>
    <row r="25" spans="1:14" hidden="1" x14ac:dyDescent="0.25"/>
    <row r="26" spans="1:14" hidden="1" x14ac:dyDescent="0.25"/>
    <row r="27" spans="1:14" hidden="1" x14ac:dyDescent="0.25"/>
    <row r="28" spans="1:14" hidden="1" x14ac:dyDescent="0.25"/>
  </sheetData>
  <customSheetViews>
    <customSheetView guid="{04C50C76-DBA5-4B8F-A929-D0E997573BFE}" hiddenRows="1" hiddenColumns="1">
      <selection activeCell="H10" sqref="H10"/>
      <pageMargins left="0.7" right="0.7" top="0.75" bottom="0.75" header="0.3" footer="0.3"/>
      <pageSetup orientation="portrait" r:id="rId1"/>
    </customSheetView>
    <customSheetView guid="{B93E95F7-2207-4982-B8B5-4CD0F87DD17C}" hiddenRows="1" hiddenColumns="1">
      <selection activeCell="H10" sqref="H10"/>
      <pageMargins left="0.7" right="0.7" top="0.75" bottom="0.75" header="0.3" footer="0.3"/>
      <pageSetup orientation="portrait" r:id="rId2"/>
    </customSheetView>
  </customSheetViews>
  <mergeCells count="7">
    <mergeCell ref="H1:K3"/>
    <mergeCell ref="D7:E7"/>
    <mergeCell ref="D10:E10"/>
    <mergeCell ref="C5:G5"/>
    <mergeCell ref="I5:M5"/>
    <mergeCell ref="J7:K7"/>
    <mergeCell ref="J10:K10"/>
  </mergeCells>
  <pageMargins left="0.7" right="0.7" top="0.75" bottom="0.75" header="0.3" footer="0.3"/>
  <pageSetup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6" name="Button 1">
              <controlPr defaultSize="0" print="0" autoFill="0" autoPict="0" macro="[0]!ThisWorkbook.GotoManual">
                <anchor moveWithCells="1" sizeWithCells="1">
                  <from>
                    <xdr:col>11</xdr:col>
                    <xdr:colOff>9525</xdr:colOff>
                    <xdr:row>0</xdr:row>
                    <xdr:rowOff>123825</xdr:rowOff>
                  </from>
                  <to>
                    <xdr:col>12</xdr:col>
                    <xdr:colOff>19050</xdr:colOff>
                    <xdr:row>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7" name="Button 3">
              <controlPr defaultSize="0" print="0" autoFill="0" autoPict="0" macro="[0]!ThisWorkbook.GotoAutomated">
                <anchor moveWithCells="1" sizeWithCells="1">
                  <from>
                    <xdr:col>12</xdr:col>
                    <xdr:colOff>95250</xdr:colOff>
                    <xdr:row>0</xdr:row>
                    <xdr:rowOff>123825</xdr:rowOff>
                  </from>
                  <to>
                    <xdr:col>13</xdr:col>
                    <xdr:colOff>638175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193</vt:i4>
      </vt:variant>
    </vt:vector>
  </HeadingPairs>
  <TitlesOfParts>
    <vt:vector size="207" baseType="lpstr">
      <vt:lpstr>Line Item Diabetes</vt:lpstr>
      <vt:lpstr>Line Item Maternity</vt:lpstr>
      <vt:lpstr>Color Key</vt:lpstr>
      <vt:lpstr>Starting Screen</vt:lpstr>
      <vt:lpstr>Manual Entry</vt:lpstr>
      <vt:lpstr>Automated Import</vt:lpstr>
      <vt:lpstr>Diabetes Timeline</vt:lpstr>
      <vt:lpstr>Maternity Timeline</vt:lpstr>
      <vt:lpstr>Manual Results</vt:lpstr>
      <vt:lpstr>Automated Results</vt:lpstr>
      <vt:lpstr>Orig Scenario</vt:lpstr>
      <vt:lpstr>Import</vt:lpstr>
      <vt:lpstr>Import Entry</vt:lpstr>
      <vt:lpstr>Import Results</vt:lpstr>
      <vt:lpstr>Bal_Dia_DME_Month</vt:lpstr>
      <vt:lpstr>Bal_Dia_DME_Yr</vt:lpstr>
      <vt:lpstr>Bal_Dia_RX_Month</vt:lpstr>
      <vt:lpstr>Bal_Dia_RX_Yr</vt:lpstr>
      <vt:lpstr>Bal_Dia_Visit_Yr</vt:lpstr>
      <vt:lpstr>Bal_DME</vt:lpstr>
      <vt:lpstr>Bal_Hospital</vt:lpstr>
      <vt:lpstr>Bal_Mat_RX_Month</vt:lpstr>
      <vt:lpstr>Bal_Mat_RX_Yr</vt:lpstr>
      <vt:lpstr>Bal_Obst</vt:lpstr>
      <vt:lpstr>Bal_OOP</vt:lpstr>
      <vt:lpstr>Bal_Overall</vt:lpstr>
      <vt:lpstr>Bal_RX</vt:lpstr>
      <vt:lpstr>Bal_Vaccine</vt:lpstr>
      <vt:lpstr>Code_DME</vt:lpstr>
      <vt:lpstr>Code_Hospital</vt:lpstr>
      <vt:lpstr>Code_Lab</vt:lpstr>
      <vt:lpstr>Code_Obst</vt:lpstr>
      <vt:lpstr>Code_Rad</vt:lpstr>
      <vt:lpstr>Code_RX</vt:lpstr>
      <vt:lpstr>Code_Vaccine</vt:lpstr>
      <vt:lpstr>Code_Visit</vt:lpstr>
      <vt:lpstr>Cost_Sharing_List_4</vt:lpstr>
      <vt:lpstr>Cost_Sharing_List_5</vt:lpstr>
      <vt:lpstr>Deduct_DME</vt:lpstr>
      <vt:lpstr>Deduct_Hospital</vt:lpstr>
      <vt:lpstr>Deduct_Obst</vt:lpstr>
      <vt:lpstr>Deduct_Overall</vt:lpstr>
      <vt:lpstr>Deduct_RX</vt:lpstr>
      <vt:lpstr>Deduct_Vaccine</vt:lpstr>
      <vt:lpstr>Dia_Claim</vt:lpstr>
      <vt:lpstr>Dia_Col_Amt</vt:lpstr>
      <vt:lpstr>Dia_Col_BillCode</vt:lpstr>
      <vt:lpstr>Dia_Col_Category</vt:lpstr>
      <vt:lpstr>Dia_Col_Coinsur</vt:lpstr>
      <vt:lpstr>Dia_Col_Copay</vt:lpstr>
      <vt:lpstr>Dia_Col_Date</vt:lpstr>
      <vt:lpstr>Dia_Col_Deduct</vt:lpstr>
      <vt:lpstr>Dia_Col_Deduct_DME</vt:lpstr>
      <vt:lpstr>Dia_Col_Deduct_Hospital</vt:lpstr>
      <vt:lpstr>Dia_Col_Deduct_Obst</vt:lpstr>
      <vt:lpstr>Dia_Col_Deduct_Overall</vt:lpstr>
      <vt:lpstr>Dia_Col_Deduct_RX</vt:lpstr>
      <vt:lpstr>Dia_Col_Deduct_Vaccine</vt:lpstr>
      <vt:lpstr>Dia_Col_DME</vt:lpstr>
      <vt:lpstr>Dia_Col_Excl</vt:lpstr>
      <vt:lpstr>Dia_Col_Hospital</vt:lpstr>
      <vt:lpstr>Dia_Col_Insurer</vt:lpstr>
      <vt:lpstr>Dia_Col_Lab</vt:lpstr>
      <vt:lpstr>Dia_Col_Limit</vt:lpstr>
      <vt:lpstr>Dia_Col_Limit_DME_Month</vt:lpstr>
      <vt:lpstr>Dia_Col_Limit_DME_Yr</vt:lpstr>
      <vt:lpstr>Dia_Col_Limit_RX_Month</vt:lpstr>
      <vt:lpstr>Dia_Col_Limit_RX_Yr</vt:lpstr>
      <vt:lpstr>Dia_Col_Limit_Visit_Yr</vt:lpstr>
      <vt:lpstr>Dia_Col_Obst</vt:lpstr>
      <vt:lpstr>Dia_Col_OOP</vt:lpstr>
      <vt:lpstr>Dia_Col_Provider</vt:lpstr>
      <vt:lpstr>Dia_Col_Rad</vt:lpstr>
      <vt:lpstr>Dia_Col_RX</vt:lpstr>
      <vt:lpstr>Dia_Col_Vaccine</vt:lpstr>
      <vt:lpstr>Dia_Col_Visit</vt:lpstr>
      <vt:lpstr>Dia_Prior_Coinsur</vt:lpstr>
      <vt:lpstr>Dia_Prior_Copay</vt:lpstr>
      <vt:lpstr>Dia_Prior_Deduct</vt:lpstr>
      <vt:lpstr>Dia_Prior_Deduct_DME</vt:lpstr>
      <vt:lpstr>Dia_Prior_Deduct_Hospital</vt:lpstr>
      <vt:lpstr>Dia_Prior_Deduct_Obst</vt:lpstr>
      <vt:lpstr>Dia_Prior_Deduct_Overall</vt:lpstr>
      <vt:lpstr>Dia_Prior_Deduct_RX</vt:lpstr>
      <vt:lpstr>Dia_Prior_Deduct_Vaccine</vt:lpstr>
      <vt:lpstr>Dia_Prior_Excl</vt:lpstr>
      <vt:lpstr>Dia_Prior_Insurer</vt:lpstr>
      <vt:lpstr>Dia_Prior_Limit</vt:lpstr>
      <vt:lpstr>Dia_Prior_Limit_DME_Yr</vt:lpstr>
      <vt:lpstr>Dia_Prior_Limit_RX_Yr</vt:lpstr>
      <vt:lpstr>Dia_Prior_Limit_Visit_Yr</vt:lpstr>
      <vt:lpstr>Dia_Prior_OOP</vt:lpstr>
      <vt:lpstr>Dia_UniqueLine</vt:lpstr>
      <vt:lpstr>Error_Count</vt:lpstr>
      <vt:lpstr>Error_Count_Import</vt:lpstr>
      <vt:lpstr>Header</vt:lpstr>
      <vt:lpstr>Import_Codes</vt:lpstr>
      <vt:lpstr>Import_Entry</vt:lpstr>
      <vt:lpstr>Import_Results_LastCell</vt:lpstr>
      <vt:lpstr>Import_Values1</vt:lpstr>
      <vt:lpstr>Import_Values2</vt:lpstr>
      <vt:lpstr>Limit_Dia_DME_Month</vt:lpstr>
      <vt:lpstr>Limit_Dia_DME_Yr</vt:lpstr>
      <vt:lpstr>Limit_Dia_RX_Month</vt:lpstr>
      <vt:lpstr>Limit_Dia_RX_Yr</vt:lpstr>
      <vt:lpstr>Limit_Dia_Visit_Yr</vt:lpstr>
      <vt:lpstr>Limit_Mat_RX_Month</vt:lpstr>
      <vt:lpstr>Limit_Mat_RX_Yr</vt:lpstr>
      <vt:lpstr>Limit_Monthly</vt:lpstr>
      <vt:lpstr>Manual_Code_Obst</vt:lpstr>
      <vt:lpstr>Manual_Codes</vt:lpstr>
      <vt:lpstr>Manual_Scenario</vt:lpstr>
      <vt:lpstr>Manual_Values1</vt:lpstr>
      <vt:lpstr>Manual_Values2</vt:lpstr>
      <vt:lpstr>Mat_Cat_Amt</vt:lpstr>
      <vt:lpstr>Mat_Claim</vt:lpstr>
      <vt:lpstr>Mat_Col_Amt</vt:lpstr>
      <vt:lpstr>Mat_Col_BillCode</vt:lpstr>
      <vt:lpstr>Mat_Col_Category</vt:lpstr>
      <vt:lpstr>Mat_Col_Coinsur</vt:lpstr>
      <vt:lpstr>Mat_Col_Copay</vt:lpstr>
      <vt:lpstr>Mat_Col_Date</vt:lpstr>
      <vt:lpstr>Mat_Col_Deduct</vt:lpstr>
      <vt:lpstr>Mat_Col_Deduct_DME</vt:lpstr>
      <vt:lpstr>Mat_Col_Deduct_Hospital</vt:lpstr>
      <vt:lpstr>Mat_Col_Deduct_Obst</vt:lpstr>
      <vt:lpstr>Mat_Col_Deduct_Overall</vt:lpstr>
      <vt:lpstr>Mat_Col_Deduct_RX</vt:lpstr>
      <vt:lpstr>Mat_Col_Deduct_Vaccine</vt:lpstr>
      <vt:lpstr>Mat_Col_DME</vt:lpstr>
      <vt:lpstr>Mat_Col_Excl</vt:lpstr>
      <vt:lpstr>Mat_Col_Hospital</vt:lpstr>
      <vt:lpstr>Mat_Col_Insurer</vt:lpstr>
      <vt:lpstr>Mat_Col_Lab</vt:lpstr>
      <vt:lpstr>Mat_Col_Limit</vt:lpstr>
      <vt:lpstr>Mat_Col_Limit_RX_Month</vt:lpstr>
      <vt:lpstr>Mat_Col_Limit_RX_Yr</vt:lpstr>
      <vt:lpstr>Mat_Col_Obst</vt:lpstr>
      <vt:lpstr>Mat_Col_OOP</vt:lpstr>
      <vt:lpstr>Mat_Col_Provider</vt:lpstr>
      <vt:lpstr>Mat_Col_Rad</vt:lpstr>
      <vt:lpstr>Mat_Col_RX</vt:lpstr>
      <vt:lpstr>Mat_Col_Vaccine</vt:lpstr>
      <vt:lpstr>Mat_Col_Visit</vt:lpstr>
      <vt:lpstr>Mat_Prior_Coinsur</vt:lpstr>
      <vt:lpstr>Mat_Prior_Copay</vt:lpstr>
      <vt:lpstr>Mat_Prior_Deduct</vt:lpstr>
      <vt:lpstr>Mat_Prior_Deduct_DME</vt:lpstr>
      <vt:lpstr>Mat_Prior_Deduct_Hospital</vt:lpstr>
      <vt:lpstr>Mat_Prior_Deduct_Obst</vt:lpstr>
      <vt:lpstr>Mat_Prior_Deduct_Overall</vt:lpstr>
      <vt:lpstr>Mat_Prior_Deduct_RX</vt:lpstr>
      <vt:lpstr>Mat_Prior_Deduct_Vaccine</vt:lpstr>
      <vt:lpstr>Mat_Prior_Excl</vt:lpstr>
      <vt:lpstr>Mat_Prior_Insurer</vt:lpstr>
      <vt:lpstr>Mat_Prior_Limit</vt:lpstr>
      <vt:lpstr>Mat_Prior_Limit_RX_Year</vt:lpstr>
      <vt:lpstr>Mat_Prior_OOP</vt:lpstr>
      <vt:lpstr>Mat_UniqueLine</vt:lpstr>
      <vt:lpstr>Paste_Code</vt:lpstr>
      <vt:lpstr>Paste_Value1</vt:lpstr>
      <vt:lpstr>Paste_Value2</vt:lpstr>
      <vt:lpstr>'Diabetes Timeline'!Print_Area</vt:lpstr>
      <vt:lpstr>'Maternity Timeline'!Print_Area</vt:lpstr>
      <vt:lpstr>'Maternity Timeline'!Print_Titles</vt:lpstr>
      <vt:lpstr>Prior_All</vt:lpstr>
      <vt:lpstr>Prior_Dia_DME_Month</vt:lpstr>
      <vt:lpstr>Prior_Dia_DME_Yr</vt:lpstr>
      <vt:lpstr>Prior_Dia_RX_Month</vt:lpstr>
      <vt:lpstr>Prior_Dia_RX_Yr</vt:lpstr>
      <vt:lpstr>Prior_Dia_Visit_Yr</vt:lpstr>
      <vt:lpstr>Prior_DME</vt:lpstr>
      <vt:lpstr>Prior_Hospital</vt:lpstr>
      <vt:lpstr>Prior_Mat_Bundle</vt:lpstr>
      <vt:lpstr>Prior_Mat_RX_Month</vt:lpstr>
      <vt:lpstr>Prior_Mat_RX_Yr</vt:lpstr>
      <vt:lpstr>Prior_Monthly</vt:lpstr>
      <vt:lpstr>Prior_OOP</vt:lpstr>
      <vt:lpstr>Prior_Overall</vt:lpstr>
      <vt:lpstr>Prior_RX</vt:lpstr>
      <vt:lpstr>Prior_Vaccine</vt:lpstr>
      <vt:lpstr>Results_Dia</vt:lpstr>
      <vt:lpstr>Results_Mat</vt:lpstr>
      <vt:lpstr>Share_DME</vt:lpstr>
      <vt:lpstr>Share_Hospital</vt:lpstr>
      <vt:lpstr>Share_Lab</vt:lpstr>
      <vt:lpstr>Share_Obst</vt:lpstr>
      <vt:lpstr>Share_Rad</vt:lpstr>
      <vt:lpstr>Share_RX</vt:lpstr>
      <vt:lpstr>Share_Vaccine</vt:lpstr>
      <vt:lpstr>Share_Visit</vt:lpstr>
      <vt:lpstr>Start_Selection</vt:lpstr>
      <vt:lpstr>Value_Deduct_DME</vt:lpstr>
      <vt:lpstr>Value_Deduct_Hospital</vt:lpstr>
      <vt:lpstr>Value_Deduct_Obst</vt:lpstr>
      <vt:lpstr>Value_Deduct_Overall</vt:lpstr>
      <vt:lpstr>Value_Deduct_RX</vt:lpstr>
      <vt:lpstr>Value_Deduct_Vaccine</vt:lpstr>
      <vt:lpstr>Value_DME</vt:lpstr>
      <vt:lpstr>Value_Hospital</vt:lpstr>
      <vt:lpstr>Value_Lab</vt:lpstr>
      <vt:lpstr>Value_Obst</vt:lpstr>
      <vt:lpstr>Value_OOP</vt:lpstr>
      <vt:lpstr>Value_Rad</vt:lpstr>
      <vt:lpstr>Value_RX</vt:lpstr>
      <vt:lpstr>Value_Vaccine</vt:lpstr>
      <vt:lpstr>Value_Visit</vt:lpstr>
    </vt:vector>
  </TitlesOfParts>
  <Company>MITRE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Schoenfelder, Katherine A</dc:creator>
  <cp:lastModifiedBy>Michelle Koltov</cp:lastModifiedBy>
  <cp:lastPrinted>2012-05-23T15:44:06Z</cp:lastPrinted>
  <dcterms:created xsi:type="dcterms:W3CDTF">2012-04-26T14:06:49Z</dcterms:created>
  <dcterms:modified xsi:type="dcterms:W3CDTF">2016-04-05T00:28:37Z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1583233481</vt:i4>
  </property>
  <property fmtid="{D5CDD505-2E9C-101B-9397-08002B2CF9AE}" pid="4" name="_EmailSubject">
    <vt:lpwstr>2012 coverage example calculator</vt:lpwstr>
  </property>
  <property fmtid="{D5CDD505-2E9C-101B-9397-08002B2CF9AE}" pid="5" name="_AuthorEmail">
    <vt:lpwstr>Michelle.Koltov@cms.hhs.gov</vt:lpwstr>
  </property>
  <property fmtid="{D5CDD505-2E9C-101B-9397-08002B2CF9AE}" pid="6" name="_AuthorEmailDisplayName">
    <vt:lpwstr>Koltov, Michelle K. (CMS/CCIIO)</vt:lpwstr>
  </property>
  <property fmtid="{D5CDD505-2E9C-101B-9397-08002B2CF9AE}" pid="7" name="_PreviousAdHocReviewCycleID">
    <vt:i4>-513001162</vt:i4>
  </property>
</Properties>
</file>

<file path=userCustomization/customUI.xml><?xml version="1.0" encoding="utf-8"?>
<mso:customUI xmlns:mso="http://schemas.microsoft.com/office/2006/01/customui">
  <mso:ribbon>
    <mso:qat>
      <mso:documentControls>
        <mso:control idQ="mso:ViewCustomViews" visible="true"/>
      </mso:documentControls>
    </mso:qat>
  </mso:ribbon>
</mso:customUI>
</file>