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05" windowWidth="24240" windowHeight="12480"/>
  </bookViews>
  <sheets>
    <sheet name="2016" sheetId="5" r:id="rId1"/>
    <sheet name="2013" sheetId="1" r:id="rId2"/>
    <sheet name="2010" sheetId="4" r:id="rId3"/>
  </sheets>
  <calcPr calcId="145621"/>
</workbook>
</file>

<file path=xl/calcChain.xml><?xml version="1.0" encoding="utf-8"?>
<calcChain xmlns="http://schemas.openxmlformats.org/spreadsheetml/2006/main">
  <c r="J7" i="5" l="1"/>
  <c r="E28" i="5" l="1"/>
  <c r="F28" i="5" l="1"/>
  <c r="C41" i="5" l="1"/>
  <c r="D18" i="5"/>
  <c r="E9" i="5"/>
  <c r="E8" i="5"/>
  <c r="E7" i="5"/>
  <c r="D5" i="5"/>
  <c r="H33" i="5" l="1"/>
  <c r="H28" i="5"/>
  <c r="J28" i="5" s="1"/>
  <c r="F8" i="5"/>
  <c r="H8" i="5" s="1"/>
  <c r="F5" i="5"/>
  <c r="I5" i="1"/>
  <c r="K34" i="5"/>
  <c r="F34" i="5"/>
  <c r="E40" i="5" s="1"/>
  <c r="C40" i="5"/>
  <c r="J33" i="5"/>
  <c r="J32" i="5"/>
  <c r="G32" i="5"/>
  <c r="J31" i="5"/>
  <c r="G31" i="5"/>
  <c r="J30" i="5"/>
  <c r="G30" i="5"/>
  <c r="I34" i="5"/>
  <c r="J24" i="5"/>
  <c r="I24" i="5"/>
  <c r="D24" i="5"/>
  <c r="D21" i="5"/>
  <c r="I21" i="5"/>
  <c r="F20" i="5"/>
  <c r="F21" i="5" s="1"/>
  <c r="F17" i="5"/>
  <c r="H17" i="5" s="1"/>
  <c r="J17" i="5" s="1"/>
  <c r="F16" i="5"/>
  <c r="H16" i="5" s="1"/>
  <c r="J16" i="5" s="1"/>
  <c r="I15" i="5"/>
  <c r="F15" i="5"/>
  <c r="H15" i="5" s="1"/>
  <c r="I14" i="5"/>
  <c r="F14" i="5"/>
  <c r="H14" i="5" s="1"/>
  <c r="I13" i="5"/>
  <c r="F13" i="5"/>
  <c r="H13" i="5" s="1"/>
  <c r="F12" i="5"/>
  <c r="H12" i="5" s="1"/>
  <c r="J12" i="5" s="1"/>
  <c r="F11" i="5"/>
  <c r="H11" i="5" s="1"/>
  <c r="J11" i="5" s="1"/>
  <c r="F10" i="5"/>
  <c r="H10" i="5" s="1"/>
  <c r="J10" i="5" s="1"/>
  <c r="F9" i="5"/>
  <c r="H9" i="5" s="1"/>
  <c r="J9" i="5" s="1"/>
  <c r="F7" i="5"/>
  <c r="H7" i="5" s="1"/>
  <c r="F6" i="5"/>
  <c r="H6" i="5" s="1"/>
  <c r="J6" i="5" s="1"/>
  <c r="I18" i="5" l="1"/>
  <c r="I25" i="5" s="1"/>
  <c r="I35" i="5" s="1"/>
  <c r="J13" i="5"/>
  <c r="J15" i="5"/>
  <c r="J14" i="5"/>
  <c r="K18" i="5"/>
  <c r="F18" i="5"/>
  <c r="H5" i="5"/>
  <c r="J5" i="5" s="1"/>
  <c r="D25" i="5"/>
  <c r="D35" i="5" s="1"/>
  <c r="D40" i="5"/>
  <c r="H20" i="5"/>
  <c r="J20" i="5" s="1"/>
  <c r="J21" i="5" s="1"/>
  <c r="F23" i="5"/>
  <c r="J24" i="1"/>
  <c r="J21" i="1"/>
  <c r="I23" i="1"/>
  <c r="I20" i="1"/>
  <c r="K34" i="1"/>
  <c r="H21" i="5" l="1"/>
  <c r="K21" i="5"/>
  <c r="E18" i="5"/>
  <c r="F24" i="5"/>
  <c r="F25" i="5" s="1"/>
  <c r="H23" i="5"/>
  <c r="C39" i="5"/>
  <c r="J18" i="5"/>
  <c r="J25" i="5" s="1"/>
  <c r="J35" i="5" s="1"/>
  <c r="E28" i="1"/>
  <c r="C41" i="1"/>
  <c r="D34" i="1"/>
  <c r="D18" i="1"/>
  <c r="E9" i="1"/>
  <c r="F9" i="1" s="1"/>
  <c r="H9" i="1" s="1"/>
  <c r="E8" i="1"/>
  <c r="F8" i="1" s="1"/>
  <c r="H8" i="1" s="1"/>
  <c r="K8" i="1" s="1"/>
  <c r="E7" i="1"/>
  <c r="F7" i="1" s="1"/>
  <c r="H7" i="1" s="1"/>
  <c r="K7" i="1" s="1"/>
  <c r="D23" i="1"/>
  <c r="D24" i="1" s="1"/>
  <c r="D5" i="1"/>
  <c r="F5" i="1" s="1"/>
  <c r="H5" i="1" s="1"/>
  <c r="F20" i="1"/>
  <c r="H20" i="1" s="1"/>
  <c r="K20" i="1" s="1"/>
  <c r="K21" i="1" s="1"/>
  <c r="F6" i="1"/>
  <c r="H6" i="1" s="1"/>
  <c r="J6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34" i="1"/>
  <c r="H34" i="1"/>
  <c r="D21" i="1"/>
  <c r="E39" i="5" l="1"/>
  <c r="F35" i="5"/>
  <c r="G18" i="5"/>
  <c r="K24" i="5"/>
  <c r="K25" i="5" s="1"/>
  <c r="K35" i="5" s="1"/>
  <c r="H24" i="5"/>
  <c r="H25" i="5" s="1"/>
  <c r="K18" i="1"/>
  <c r="H18" i="1"/>
  <c r="E40" i="1"/>
  <c r="F23" i="1"/>
  <c r="F24" i="1" s="1"/>
  <c r="F21" i="1"/>
  <c r="D25" i="1"/>
  <c r="D35" i="1" s="1"/>
  <c r="F18" i="1"/>
  <c r="H23" i="1"/>
  <c r="K23" i="1" s="1"/>
  <c r="K24" i="1" s="1"/>
  <c r="G39" i="5" l="1"/>
  <c r="E41" i="5"/>
  <c r="D39" i="5"/>
  <c r="E18" i="1"/>
  <c r="G18" i="1"/>
  <c r="H24" i="1"/>
  <c r="K25" i="1"/>
  <c r="K35" i="1" s="1"/>
  <c r="F25" i="1"/>
  <c r="F35" i="1" s="1"/>
  <c r="I21" i="1"/>
  <c r="C45" i="5" l="1"/>
  <c r="C46" i="5" s="1"/>
  <c r="D41" i="5"/>
  <c r="F39" i="5"/>
  <c r="I24" i="1"/>
  <c r="H4" i="4"/>
  <c r="H5" i="4"/>
  <c r="H6" i="4"/>
  <c r="I9" i="1" s="1"/>
  <c r="J9" i="1" s="1"/>
  <c r="H7" i="4"/>
  <c r="I10" i="1" s="1"/>
  <c r="J10" i="1" s="1"/>
  <c r="H8" i="4"/>
  <c r="I11" i="1" s="1"/>
  <c r="J11" i="1" s="1"/>
  <c r="H9" i="4"/>
  <c r="I12" i="1" s="1"/>
  <c r="J12" i="1" s="1"/>
  <c r="H10" i="4"/>
  <c r="I13" i="1" s="1"/>
  <c r="J13" i="1" s="1"/>
  <c r="H11" i="4"/>
  <c r="I14" i="1" s="1"/>
  <c r="J14" i="1" s="1"/>
  <c r="H12" i="4"/>
  <c r="I15" i="1" s="1"/>
  <c r="J15" i="1" s="1"/>
  <c r="H13" i="4"/>
  <c r="I16" i="1" s="1"/>
  <c r="J16" i="1" s="1"/>
  <c r="H14" i="4"/>
  <c r="I17" i="1" s="1"/>
  <c r="J17" i="1" s="1"/>
  <c r="F15" i="4"/>
  <c r="H18" i="4"/>
  <c r="H19" i="4" s="1"/>
  <c r="D19" i="4"/>
  <c r="F19" i="4"/>
  <c r="F22" i="4"/>
  <c r="F23" i="4" s="1"/>
  <c r="H22" i="4"/>
  <c r="D23" i="4"/>
  <c r="F26" i="4"/>
  <c r="H26" i="4" s="1"/>
  <c r="H27" i="4"/>
  <c r="I29" i="1" s="1"/>
  <c r="J29" i="1" s="1"/>
  <c r="H28" i="4"/>
  <c r="I30" i="1" s="1"/>
  <c r="J30" i="1" s="1"/>
  <c r="H29" i="4"/>
  <c r="I31" i="1" s="1"/>
  <c r="J31" i="1" s="1"/>
  <c r="H30" i="4"/>
  <c r="I32" i="1" s="1"/>
  <c r="J32" i="1" s="1"/>
  <c r="H31" i="4"/>
  <c r="I33" i="1" s="1"/>
  <c r="J33" i="1" s="1"/>
  <c r="D32" i="4"/>
  <c r="F32" i="4" l="1"/>
  <c r="D33" i="4"/>
  <c r="H15" i="4"/>
  <c r="H32" i="4"/>
  <c r="I28" i="1"/>
  <c r="I6" i="1"/>
  <c r="J5" i="1"/>
  <c r="H23" i="4"/>
  <c r="F33" i="4"/>
  <c r="C40" i="1"/>
  <c r="D40" i="1" s="1"/>
  <c r="G29" i="1"/>
  <c r="G30" i="1"/>
  <c r="G31" i="1"/>
  <c r="G32" i="1"/>
  <c r="G33" i="1"/>
  <c r="G28" i="1"/>
  <c r="E39" i="1"/>
  <c r="H33" i="4" l="1"/>
  <c r="J18" i="1"/>
  <c r="I18" i="1"/>
  <c r="I34" i="1"/>
  <c r="J28" i="1"/>
  <c r="J34" i="1" s="1"/>
  <c r="H21" i="1"/>
  <c r="H25" i="1" s="1"/>
  <c r="E41" i="1"/>
  <c r="G40" i="1"/>
  <c r="F40" i="1" s="1"/>
  <c r="I25" i="1" l="1"/>
  <c r="I35" i="1" s="1"/>
  <c r="J25" i="1"/>
  <c r="J35" i="1" s="1"/>
  <c r="H35" i="1"/>
  <c r="G39" i="1"/>
  <c r="F39" i="1" s="1"/>
  <c r="C39" i="1"/>
  <c r="C45" i="1"/>
  <c r="C46" i="1" s="1"/>
  <c r="G41" i="1" l="1"/>
  <c r="D45" i="1" s="1"/>
  <c r="D46" i="1" s="1"/>
  <c r="D41" i="1"/>
  <c r="D39" i="1"/>
  <c r="F41" i="1" l="1"/>
  <c r="J29" i="5"/>
  <c r="J34" i="5" s="1"/>
  <c r="H34" i="5"/>
  <c r="H35" i="5" s="1"/>
  <c r="G29" i="5"/>
  <c r="G40" i="5" l="1"/>
  <c r="F40" i="5" l="1"/>
  <c r="G41" i="5"/>
  <c r="D45" i="5" l="1"/>
  <c r="D46" i="5" s="1"/>
  <c r="F41" i="5"/>
</calcChain>
</file>

<file path=xl/sharedStrings.xml><?xml version="1.0" encoding="utf-8"?>
<sst xmlns="http://schemas.openxmlformats.org/spreadsheetml/2006/main" count="247" uniqueCount="117">
  <si>
    <t>Regulation Section</t>
  </si>
  <si>
    <t>Title</t>
  </si>
  <si>
    <t>Estimated No. of Respondents</t>
  </si>
  <si>
    <t>Reports Filed Annually</t>
  </si>
  <si>
    <t>Total Annual Response</t>
  </si>
  <si>
    <t>Estimated Hrs/ Response</t>
  </si>
  <si>
    <t>Annual Burden Hrs</t>
  </si>
  <si>
    <t>Affected Public:  STATE &amp; LOCAL AGENCIES (Including Indian Tribal Organizations and US Territories)</t>
  </si>
  <si>
    <t>Reporting</t>
  </si>
  <si>
    <t>249.3(e)</t>
  </si>
  <si>
    <t xml:space="preserve">Local Agency Applications </t>
  </si>
  <si>
    <t>State Plan</t>
  </si>
  <si>
    <t>249.10(e)</t>
  </si>
  <si>
    <t>Monitoring/review of outlets</t>
  </si>
  <si>
    <t>249.10(f)</t>
  </si>
  <si>
    <t>Coupon/CSA management system</t>
  </si>
  <si>
    <t>249.10(h)</t>
  </si>
  <si>
    <t xml:space="preserve">Coupon reconciliation </t>
  </si>
  <si>
    <t>Financial management system</t>
  </si>
  <si>
    <t>Prior Approval for costs per 7 CFR 3016.22</t>
  </si>
  <si>
    <t>249.17(b)(2)</t>
  </si>
  <si>
    <t>State agency corrective action plans</t>
  </si>
  <si>
    <t>249.18(b)</t>
  </si>
  <si>
    <t>Audit responses</t>
  </si>
  <si>
    <t>249.23(b)</t>
  </si>
  <si>
    <t>Financial/recipient reports</t>
  </si>
  <si>
    <t>Subtotal</t>
  </si>
  <si>
    <t>(Reporting Requirements)</t>
  </si>
  <si>
    <t>Affected Public:  INDIVIDUALS/HOUSEHOLDS (Applicants for Program Benefits)</t>
  </si>
  <si>
    <t>Certification data for seniors</t>
  </si>
  <si>
    <t>Affected Public: Farms (Farmers/Markets/Roadside stands/CSA's)</t>
  </si>
  <si>
    <t>249.10(b)</t>
  </si>
  <si>
    <t>Farmer applications &amp; agreements</t>
  </si>
  <si>
    <t>Recordkeeping</t>
  </si>
  <si>
    <t>Nutrition education</t>
  </si>
  <si>
    <t>Authorized outlet agreements</t>
  </si>
  <si>
    <t>Summary of authorized outlet monitoring</t>
  </si>
  <si>
    <t>Record of financial expenditures</t>
  </si>
  <si>
    <t>249.16(a)</t>
  </si>
  <si>
    <t>Fair hearings</t>
  </si>
  <si>
    <t>249.23(a)</t>
  </si>
  <si>
    <t>Record of program operations</t>
  </si>
  <si>
    <t>(Recordkeeping Requirements)</t>
  </si>
  <si>
    <t>TOTAL BURDEN</t>
  </si>
  <si>
    <t xml:space="preserve">  (Reporting &amp; Recordkeeping)</t>
  </si>
  <si>
    <t>FNS 683-A</t>
  </si>
  <si>
    <t>Annual Financial and Program Data Report</t>
  </si>
  <si>
    <t>Forms</t>
  </si>
  <si>
    <t>Increase in State agencies from 49 to 51</t>
  </si>
  <si>
    <t>FNS 683A</t>
  </si>
  <si>
    <t>249.11(c )</t>
  </si>
  <si>
    <t>Increase in State agencies from 49 to 51.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</si>
  <si>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</si>
  <si>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</si>
  <si>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</si>
  <si>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</si>
  <si>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</si>
  <si>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</si>
  <si>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>Total Reporting Burden</t>
  </si>
  <si>
    <t>Total Recordkeeping Burden</t>
  </si>
  <si>
    <t>TOTAL BURDEN FOR #0584-0541</t>
  </si>
  <si>
    <t>Currently approved burden</t>
  </si>
  <si>
    <t>Burden Requested with this ICR</t>
  </si>
  <si>
    <t>Difference</t>
  </si>
  <si>
    <t>Responses</t>
  </si>
  <si>
    <t>Hours</t>
  </si>
  <si>
    <t>REPORTING BURDEN ESTIMATES</t>
  </si>
  <si>
    <t>ATTACHMENT A:  SFMNP REPORTING AND RECORDKEEPING REQUIREMENTS (OMB #0584-0541)</t>
  </si>
  <si>
    <t>Affected Public:  STATE &amp; LOCAL AGENCIES (Including Indian Tribal Organizations and U.S. Territories)</t>
  </si>
  <si>
    <t>Affected Public:  STATE &amp; LOCAL AGENCIES (Including Indian Tribal Organizations and U.S.Territories)</t>
  </si>
  <si>
    <t>GRAND SUBTOTAL: REPORTING</t>
  </si>
  <si>
    <t>RECORDKEEPING BURDEN ESTIMATES</t>
  </si>
  <si>
    <t>GRAND TOTAL:  REPORTING AND RECORDKEEPING</t>
  </si>
  <si>
    <t>Subtotal Reporting: State and Local Agencies</t>
  </si>
  <si>
    <t>Regulatory Section</t>
  </si>
  <si>
    <t>Information Collected</t>
  </si>
  <si>
    <t>Form(s)</t>
  </si>
  <si>
    <t>Estimated Number of Respondents</t>
  </si>
  <si>
    <t>Annual Responses per Respondent</t>
  </si>
  <si>
    <t>Total Annual Responses</t>
  </si>
  <si>
    <t>Hours per Response</t>
  </si>
  <si>
    <t>Total Annual Burden Hours</t>
  </si>
  <si>
    <r>
      <rPr>
        <b/>
        <i/>
        <sz val="10"/>
        <color theme="1"/>
        <rFont val="Arial"/>
        <family val="2"/>
      </rPr>
      <t xml:space="preserve">Previous Submission: </t>
    </r>
    <r>
      <rPr>
        <b/>
        <sz val="10"/>
        <color theme="1"/>
        <rFont val="Arial"/>
        <family val="2"/>
      </rPr>
      <t>Total Annual Burden Hours</t>
    </r>
  </si>
  <si>
    <t>Difference Due to Adjustments</t>
  </si>
  <si>
    <t>Difference Due to Program Changes</t>
  </si>
  <si>
    <t>Reason for Difference (See also Narrative Statement)</t>
  </si>
  <si>
    <t>Affected Public: VENDORS (Farmers/Markets/Roadside Stands/CSAs)</t>
  </si>
  <si>
    <t>Subtotal Reporting: Vendors</t>
  </si>
  <si>
    <t xml:space="preserve">Local agency applications </t>
  </si>
  <si>
    <t>Prior approval for costs per 7 CFR 3016.22</t>
  </si>
  <si>
    <t>Record of Program operations</t>
  </si>
  <si>
    <t>GRAND SUBTOTAL: RECORDKEEPING</t>
  </si>
  <si>
    <t>Monitoring/review of vendors</t>
  </si>
  <si>
    <t>Review of vendor applications</t>
  </si>
  <si>
    <t>Subtotal Reporting: Individuals/Households</t>
  </si>
  <si>
    <t>Decrease in recipients from 963,683 to 900,000</t>
  </si>
  <si>
    <t>Decrease in number of farmers, markets, roadside stands, and CSA programs</t>
  </si>
  <si>
    <t>Burden previously accounted for under wrong affected public (Individual / Household).
Also decrease in participants from 963,685 to 900,000.</t>
  </si>
  <si>
    <t>Burden previously accounted for under wrong affected public (Vendors).
Also decrease in number of farmers, markets, roadside stands, and CSA programs from 5,870 to 4,598.</t>
  </si>
  <si>
    <t>Burden reduced due to correction.  Previously accounted for State Agency burden instead of Individual/Household burden.</t>
  </si>
  <si>
    <t>Burden reduced due to correction.  Previously accounted for State Agency burden instead of Vendor burden.</t>
  </si>
  <si>
    <t>249.6(a)(3)</t>
  </si>
  <si>
    <t xml:space="preserve">Decrease in #of ME's </t>
  </si>
  <si>
    <t>Limited OIG Inspections</t>
  </si>
  <si>
    <t>Decrease in the number of recipients</t>
  </si>
  <si>
    <t>249.3(d)</t>
  </si>
  <si>
    <t>Increase in State agencies from 51 to 52</t>
  </si>
  <si>
    <t>Decrease in number of farmers, markets, roadside stands, and CSA programs to be reviewed from 4,598 to 3,622.</t>
  </si>
  <si>
    <t>Review of farmer applications</t>
  </si>
  <si>
    <t>Monitoring/review of farmers</t>
  </si>
  <si>
    <t>Authorized outlets</t>
  </si>
  <si>
    <t>Affected Public: Authorized Outlets (Farmers/Markets/Roadside Stands/CSAs)</t>
  </si>
  <si>
    <t>Subtotal Reporting: Authorized outlets</t>
  </si>
  <si>
    <t>Removed because reporting burden is covered under 0584-0594 FPRS.</t>
  </si>
  <si>
    <t>Decrease in participants from 9000,000 to 800,000.</t>
  </si>
  <si>
    <t xml:space="preserve">Decrease in burden hours due to decrease in authorized outlets.  </t>
  </si>
  <si>
    <t>Appendix 2: ESTIMATE OF THE COLLECTION OF INFORMATION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</si>
</sst>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#,##0;[Red]#,##0"/>
    <numFmt numFmtId="167" formatCode="#,##0.000"/>
    <numFmt numFmtId="168" formatCode="_(* #,##0.000_);_(* \(#,##0.000\);_(* &quot;-&quot;??_);_(@_)"/>
    <numFmt numFmtId="169" formatCode="#,##0.000_);\(#,##0.000\)"/>
    <numFmt numFmtId="170" formatCode="#,##0.0000000"/>
    <numFmt numFmtId="171" formatCode="#,##0.00000_);\(#,##0.00000\)"/>
    <numFmt numFmtId="172" formatCode="0.000000"/>
    <numFmt numFmtId="173" formatCode="_(* #,##0.0_);_(* \(#,##0.0\);_(* &quot;-&quot;??_);_(@_)"/>
    <numFmt numFmtId="174" formatCode="_(* #,##0.000000_);_(* \(#,##0.000000\);_(* &quot;-&quot;??_);_(@_)"/>
    <numFmt numFmtId="175" formatCode="_(* #,##0.0000000_);_(* \(#,##0.0000000\);_(* &quot;-&quot;??_);_(@_)"/>
    <numFmt numFmtId="176" formatCode="#,##0.0_);\(#,##0.0\)"/>
    <numFmt numFmtId="177" formatCode="_(* #,##0.0000_);_(* \(#,##0.0000\);_(* &quot;-&quot;????_);_(@_)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3">
    <xf numFmtId="0" fontId="0" fillId="0" borderId="0" xfId="0"/>
    <xf numFmtId="0" fontId="5" fillId="0" borderId="0" xfId="2"/>
    <xf numFmtId="0" fontId="5" fillId="0" borderId="0" xfId="2" applyBorder="1"/>
    <xf numFmtId="0" fontId="5" fillId="0" borderId="2" xfId="2" applyBorder="1"/>
    <xf numFmtId="0" fontId="5" fillId="0" borderId="3" xfId="2" applyBorder="1"/>
    <xf numFmtId="0" fontId="5" fillId="0" borderId="4" xfId="2" applyBorder="1"/>
    <xf numFmtId="165" fontId="5" fillId="0" borderId="0" xfId="2" applyNumberFormat="1" applyBorder="1"/>
    <xf numFmtId="1" fontId="5" fillId="0" borderId="0" xfId="2" applyNumberFormat="1" applyBorder="1"/>
    <xf numFmtId="0" fontId="5" fillId="0" borderId="5" xfId="2" applyBorder="1"/>
    <xf numFmtId="3" fontId="6" fillId="0" borderId="0" xfId="2" applyNumberFormat="1" applyFont="1" applyBorder="1"/>
    <xf numFmtId="3" fontId="6" fillId="0" borderId="6" xfId="2" applyNumberFormat="1" applyFont="1" applyBorder="1"/>
    <xf numFmtId="2" fontId="6" fillId="0" borderId="6" xfId="2" applyNumberFormat="1" applyFont="1" applyBorder="1"/>
    <xf numFmtId="0" fontId="6" fillId="0" borderId="6" xfId="2" applyNumberFormat="1" applyFont="1" applyBorder="1"/>
    <xf numFmtId="0" fontId="6" fillId="0" borderId="6" xfId="2" applyFont="1" applyBorder="1"/>
    <xf numFmtId="0" fontId="5" fillId="0" borderId="7" xfId="2" applyBorder="1"/>
    <xf numFmtId="3" fontId="6" fillId="3" borderId="8" xfId="2" applyNumberFormat="1" applyFont="1" applyFill="1" applyBorder="1"/>
    <xf numFmtId="2" fontId="6" fillId="3" borderId="8" xfId="2" applyNumberFormat="1" applyFont="1" applyFill="1" applyBorder="1"/>
    <xf numFmtId="0" fontId="6" fillId="3" borderId="8" xfId="2" applyFont="1" applyFill="1" applyBorder="1"/>
    <xf numFmtId="166" fontId="5" fillId="0" borderId="4" xfId="2" applyNumberFormat="1" applyBorder="1"/>
    <xf numFmtId="3" fontId="5" fillId="0" borderId="3" xfId="2" applyNumberFormat="1" applyBorder="1"/>
    <xf numFmtId="3" fontId="5" fillId="0" borderId="4" xfId="2" applyNumberFormat="1" applyBorder="1"/>
    <xf numFmtId="0" fontId="6" fillId="0" borderId="4" xfId="2" applyFont="1" applyBorder="1" applyAlignment="1">
      <alignment horizontal="left"/>
    </xf>
    <xf numFmtId="3" fontId="5" fillId="0" borderId="0" xfId="2" applyNumberFormat="1" applyBorder="1"/>
    <xf numFmtId="0" fontId="6" fillId="0" borderId="9" xfId="2" applyFont="1" applyBorder="1" applyAlignment="1"/>
    <xf numFmtId="0" fontId="6" fillId="0" borderId="10" xfId="2" applyFont="1" applyBorder="1" applyAlignment="1"/>
    <xf numFmtId="0" fontId="6" fillId="0" borderId="11" xfId="2" applyFont="1" applyBorder="1" applyAlignment="1"/>
    <xf numFmtId="0" fontId="6" fillId="4" borderId="9" xfId="2" applyFont="1" applyFill="1" applyBorder="1" applyAlignment="1">
      <alignment horizontal="left"/>
    </xf>
    <xf numFmtId="0" fontId="6" fillId="4" borderId="10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left"/>
    </xf>
    <xf numFmtId="3" fontId="6" fillId="0" borderId="4" xfId="2" applyNumberFormat="1" applyFont="1" applyBorder="1"/>
    <xf numFmtId="4" fontId="6" fillId="0" borderId="4" xfId="2" applyNumberFormat="1" applyFont="1" applyBorder="1"/>
    <xf numFmtId="0" fontId="6" fillId="0" borderId="4" xfId="2" applyFont="1" applyBorder="1"/>
    <xf numFmtId="3" fontId="7" fillId="0" borderId="4" xfId="2" applyNumberFormat="1" applyFont="1" applyBorder="1"/>
    <xf numFmtId="0" fontId="7" fillId="0" borderId="4" xfId="2" applyFont="1" applyBorder="1"/>
    <xf numFmtId="3" fontId="7" fillId="0" borderId="12" xfId="2" applyNumberFormat="1" applyFont="1" applyBorder="1"/>
    <xf numFmtId="4" fontId="7" fillId="0" borderId="12" xfId="2" applyNumberFormat="1" applyFont="1" applyBorder="1"/>
    <xf numFmtId="0" fontId="6" fillId="0" borderId="12" xfId="2" applyFont="1" applyBorder="1"/>
    <xf numFmtId="0" fontId="6" fillId="5" borderId="9" xfId="2" applyFont="1" applyFill="1" applyBorder="1" applyAlignment="1"/>
    <xf numFmtId="0" fontId="6" fillId="5" borderId="10" xfId="2" applyFont="1" applyFill="1" applyBorder="1" applyAlignment="1"/>
    <xf numFmtId="0" fontId="6" fillId="5" borderId="11" xfId="2" applyFont="1" applyFill="1" applyBorder="1" applyAlignment="1"/>
    <xf numFmtId="3" fontId="6" fillId="0" borderId="13" xfId="2" applyNumberFormat="1" applyFont="1" applyBorder="1"/>
    <xf numFmtId="4" fontId="6" fillId="0" borderId="13" xfId="2" applyNumberFormat="1" applyFont="1" applyBorder="1"/>
    <xf numFmtId="0" fontId="6" fillId="0" borderId="13" xfId="2" applyFont="1" applyBorder="1"/>
    <xf numFmtId="4" fontId="7" fillId="0" borderId="4" xfId="2" applyNumberFormat="1" applyFont="1" applyBorder="1"/>
    <xf numFmtId="165" fontId="6" fillId="0" borderId="4" xfId="2" applyNumberFormat="1" applyFont="1" applyBorder="1"/>
    <xf numFmtId="0" fontId="6" fillId="2" borderId="14" xfId="2" applyFont="1" applyFill="1" applyBorder="1" applyAlignment="1"/>
    <xf numFmtId="0" fontId="6" fillId="2" borderId="15" xfId="2" applyFont="1" applyFill="1" applyBorder="1" applyAlignment="1"/>
    <xf numFmtId="0" fontId="6" fillId="2" borderId="2" xfId="2" applyFont="1" applyFill="1" applyBorder="1" applyAlignment="1"/>
    <xf numFmtId="3" fontId="6" fillId="0" borderId="1" xfId="3" applyNumberFormat="1" applyFont="1" applyBorder="1"/>
    <xf numFmtId="4" fontId="6" fillId="0" borderId="16" xfId="2" applyNumberFormat="1" applyFont="1" applyBorder="1"/>
    <xf numFmtId="3" fontId="6" fillId="0" borderId="17" xfId="2" applyNumberFormat="1" applyFont="1" applyBorder="1"/>
    <xf numFmtId="0" fontId="6" fillId="0" borderId="16" xfId="2" applyNumberFormat="1" applyFont="1" applyBorder="1"/>
    <xf numFmtId="3" fontId="6" fillId="0" borderId="16" xfId="2" applyNumberFormat="1" applyFont="1" applyBorder="1"/>
    <xf numFmtId="0" fontId="6" fillId="0" borderId="17" xfId="2" applyFont="1" applyBorder="1"/>
    <xf numFmtId="0" fontId="6" fillId="0" borderId="18" xfId="2" applyFont="1" applyBorder="1"/>
    <xf numFmtId="166" fontId="5" fillId="0" borderId="3" xfId="2" applyNumberFormat="1" applyBorder="1"/>
    <xf numFmtId="0" fontId="5" fillId="0" borderId="3" xfId="2" applyBorder="1" applyAlignment="1">
      <alignment wrapText="1"/>
    </xf>
    <xf numFmtId="0" fontId="5" fillId="0" borderId="9" xfId="2" applyBorder="1"/>
    <xf numFmtId="0" fontId="5" fillId="0" borderId="10" xfId="2" applyBorder="1"/>
    <xf numFmtId="0" fontId="6" fillId="0" borderId="10" xfId="2" applyFont="1" applyBorder="1"/>
    <xf numFmtId="0" fontId="6" fillId="0" borderId="11" xfId="2" applyFont="1" applyBorder="1"/>
    <xf numFmtId="0" fontId="6" fillId="6" borderId="9" xfId="2" applyFont="1" applyFill="1" applyBorder="1" applyAlignment="1">
      <alignment horizontal="left"/>
    </xf>
    <xf numFmtId="0" fontId="6" fillId="6" borderId="10" xfId="2" applyFont="1" applyFill="1" applyBorder="1" applyAlignment="1">
      <alignment horizontal="left"/>
    </xf>
    <xf numFmtId="0" fontId="6" fillId="6" borderId="11" xfId="2" applyFont="1" applyFill="1" applyBorder="1" applyAlignment="1">
      <alignment horizontal="left"/>
    </xf>
    <xf numFmtId="0" fontId="5" fillId="0" borderId="19" xfId="2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3" fontId="9" fillId="0" borderId="23" xfId="2" applyNumberFormat="1" applyFont="1" applyBorder="1" applyAlignment="1">
      <alignment vertical="center"/>
    </xf>
    <xf numFmtId="3" fontId="6" fillId="0" borderId="16" xfId="2" applyNumberFormat="1" applyFont="1" applyBorder="1" applyAlignment="1">
      <alignment vertical="center"/>
    </xf>
    <xf numFmtId="0" fontId="8" fillId="0" borderId="26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8" fillId="0" borderId="23" xfId="2" applyFont="1" applyBorder="1" applyAlignment="1">
      <alignment vertical="center"/>
    </xf>
    <xf numFmtId="3" fontId="9" fillId="0" borderId="29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vertical="center"/>
    </xf>
    <xf numFmtId="171" fontId="5" fillId="0" borderId="0" xfId="2" applyNumberFormat="1" applyFont="1" applyBorder="1" applyAlignment="1">
      <alignment vertical="center"/>
    </xf>
    <xf numFmtId="168" fontId="6" fillId="0" borderId="0" xfId="2" applyNumberFormat="1" applyFont="1" applyBorder="1" applyAlignment="1">
      <alignment vertical="center"/>
    </xf>
    <xf numFmtId="170" fontId="5" fillId="0" borderId="0" xfId="2" applyNumberFormat="1" applyFont="1" applyBorder="1" applyAlignment="1">
      <alignment vertical="center"/>
    </xf>
    <xf numFmtId="169" fontId="9" fillId="0" borderId="23" xfId="2" applyNumberFormat="1" applyFont="1" applyFill="1" applyBorder="1" applyAlignment="1">
      <alignment horizontal="center" vertical="center"/>
    </xf>
    <xf numFmtId="167" fontId="9" fillId="0" borderId="29" xfId="2" applyNumberFormat="1" applyFont="1" applyFill="1" applyBorder="1" applyAlignment="1">
      <alignment horizontal="center" vertical="center"/>
    </xf>
    <xf numFmtId="164" fontId="8" fillId="0" borderId="24" xfId="5" applyNumberFormat="1" applyFont="1" applyBorder="1" applyAlignment="1">
      <alignment vertical="center"/>
    </xf>
    <xf numFmtId="3" fontId="8" fillId="0" borderId="25" xfId="2" applyNumberFormat="1" applyFont="1" applyBorder="1" applyAlignment="1">
      <alignment vertical="center"/>
    </xf>
    <xf numFmtId="164" fontId="6" fillId="0" borderId="21" xfId="2" applyNumberFormat="1" applyFont="1" applyBorder="1" applyAlignment="1">
      <alignment vertical="center"/>
    </xf>
    <xf numFmtId="164" fontId="9" fillId="0" borderId="23" xfId="5" applyNumberFormat="1" applyFont="1" applyBorder="1" applyAlignment="1">
      <alignment vertical="center"/>
    </xf>
    <xf numFmtId="164" fontId="5" fillId="0" borderId="29" xfId="2" applyNumberFormat="1" applyFont="1" applyFill="1" applyBorder="1" applyAlignment="1">
      <alignment vertical="center"/>
    </xf>
    <xf numFmtId="164" fontId="6" fillId="0" borderId="16" xfId="2" applyNumberFormat="1" applyFont="1" applyBorder="1" applyAlignment="1">
      <alignment vertical="center"/>
    </xf>
    <xf numFmtId="169" fontId="5" fillId="0" borderId="16" xfId="2" applyNumberFormat="1" applyFont="1" applyBorder="1" applyAlignment="1">
      <alignment horizontal="center" vertical="center"/>
    </xf>
    <xf numFmtId="167" fontId="5" fillId="0" borderId="22" xfId="2" applyNumberFormat="1" applyFont="1" applyBorder="1" applyAlignment="1">
      <alignment horizontal="center" vertical="center"/>
    </xf>
    <xf numFmtId="43" fontId="6" fillId="0" borderId="0" xfId="5" applyFont="1" applyBorder="1"/>
    <xf numFmtId="172" fontId="6" fillId="0" borderId="0" xfId="2" applyNumberFormat="1" applyFont="1" applyBorder="1"/>
    <xf numFmtId="164" fontId="6" fillId="0" borderId="8" xfId="5" applyNumberFormat="1" applyFont="1" applyBorder="1" applyAlignment="1"/>
    <xf numFmtId="0" fontId="6" fillId="0" borderId="31" xfId="2" applyFont="1" applyBorder="1"/>
    <xf numFmtId="164" fontId="6" fillId="0" borderId="28" xfId="1" applyNumberFormat="1" applyFont="1" applyBorder="1" applyAlignment="1"/>
    <xf numFmtId="0" fontId="6" fillId="0" borderId="32" xfId="2" applyFont="1" applyFill="1" applyBorder="1"/>
    <xf numFmtId="164" fontId="6" fillId="0" borderId="29" xfId="5" applyNumberFormat="1" applyFont="1" applyBorder="1" applyAlignment="1"/>
    <xf numFmtId="164" fontId="6" fillId="0" borderId="33" xfId="5" applyNumberFormat="1" applyFont="1" applyBorder="1" applyAlignment="1"/>
    <xf numFmtId="0" fontId="6" fillId="0" borderId="34" xfId="2" applyFont="1" applyBorder="1"/>
    <xf numFmtId="164" fontId="6" fillId="0" borderId="13" xfId="5" applyNumberFormat="1" applyFont="1" applyBorder="1" applyAlignment="1"/>
    <xf numFmtId="164" fontId="6" fillId="0" borderId="27" xfId="1" applyNumberFormat="1" applyFont="1" applyBorder="1" applyAlignment="1"/>
    <xf numFmtId="0" fontId="1" fillId="9" borderId="8" xfId="0" applyFont="1" applyFill="1" applyBorder="1"/>
    <xf numFmtId="0" fontId="1" fillId="0" borderId="8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 wrapText="1"/>
    </xf>
    <xf numFmtId="0" fontId="1" fillId="10" borderId="8" xfId="0" applyFont="1" applyFill="1" applyBorder="1"/>
    <xf numFmtId="0" fontId="1" fillId="11" borderId="8" xfId="0" applyFont="1" applyFill="1" applyBorder="1"/>
    <xf numFmtId="0" fontId="1" fillId="12" borderId="8" xfId="0" applyFont="1" applyFill="1" applyBorder="1" applyAlignment="1">
      <alignment horizontal="center" vertical="center" wrapText="1"/>
    </xf>
    <xf numFmtId="164" fontId="2" fillId="12" borderId="8" xfId="1" applyNumberFormat="1" applyFont="1" applyFill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1" fillId="10" borderId="8" xfId="1" applyFont="1" applyFill="1" applyBorder="1" applyAlignment="1">
      <alignment horizontal="right"/>
    </xf>
    <xf numFmtId="0" fontId="5" fillId="0" borderId="8" xfId="2" applyFont="1" applyBorder="1" applyAlignment="1">
      <alignment horizontal="left" wrapText="1"/>
    </xf>
    <xf numFmtId="0" fontId="5" fillId="0" borderId="8" xfId="2" applyFont="1" applyBorder="1" applyAlignment="1">
      <alignment horizontal="right"/>
    </xf>
    <xf numFmtId="43" fontId="2" fillId="0" borderId="8" xfId="1" applyFont="1" applyBorder="1"/>
    <xf numFmtId="0" fontId="2" fillId="11" borderId="8" xfId="0" applyFont="1" applyFill="1" applyBorder="1"/>
    <xf numFmtId="0" fontId="2" fillId="9" borderId="8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/>
    <xf numFmtId="0" fontId="9" fillId="0" borderId="16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2" fillId="0" borderId="18" xfId="0" applyFont="1" applyBorder="1"/>
    <xf numFmtId="0" fontId="9" fillId="0" borderId="30" xfId="2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right"/>
    </xf>
    <xf numFmtId="164" fontId="2" fillId="0" borderId="8" xfId="1" applyNumberFormat="1" applyFont="1" applyBorder="1"/>
    <xf numFmtId="164" fontId="1" fillId="11" borderId="8" xfId="1" applyNumberFormat="1" applyFont="1" applyFill="1" applyBorder="1" applyAlignment="1">
      <alignment horizontal="right"/>
    </xf>
    <xf numFmtId="164" fontId="1" fillId="9" borderId="8" xfId="1" applyNumberFormat="1" applyFont="1" applyFill="1" applyBorder="1" applyAlignment="1">
      <alignment horizontal="right"/>
    </xf>
    <xf numFmtId="164" fontId="1" fillId="10" borderId="8" xfId="1" applyNumberFormat="1" applyFont="1" applyFill="1" applyBorder="1" applyAlignment="1">
      <alignment horizontal="right"/>
    </xf>
    <xf numFmtId="164" fontId="1" fillId="10" borderId="8" xfId="1" applyNumberFormat="1" applyFont="1" applyFill="1" applyBorder="1" applyAlignment="1">
      <alignment horizontal="center"/>
    </xf>
    <xf numFmtId="164" fontId="1" fillId="10" borderId="8" xfId="1" applyNumberFormat="1" applyFont="1" applyFill="1" applyBorder="1"/>
    <xf numFmtId="164" fontId="5" fillId="0" borderId="8" xfId="1" applyNumberFormat="1" applyFont="1" applyBorder="1" applyAlignment="1">
      <alignment horizontal="right"/>
    </xf>
    <xf numFmtId="43" fontId="2" fillId="0" borderId="8" xfId="1" applyNumberFormat="1" applyFont="1" applyBorder="1" applyAlignment="1">
      <alignment horizontal="right"/>
    </xf>
    <xf numFmtId="173" fontId="2" fillId="0" borderId="8" xfId="1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wrapText="1"/>
    </xf>
    <xf numFmtId="175" fontId="1" fillId="10" borderId="8" xfId="1" applyNumberFormat="1" applyFont="1" applyFill="1" applyBorder="1" applyAlignment="1">
      <alignment horizontal="right"/>
    </xf>
    <xf numFmtId="168" fontId="1" fillId="10" borderId="8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174" fontId="2" fillId="0" borderId="0" xfId="0" applyNumberFormat="1" applyFont="1" applyBorder="1"/>
    <xf numFmtId="43" fontId="1" fillId="11" borderId="8" xfId="1" applyNumberFormat="1" applyFont="1" applyFill="1" applyBorder="1" applyAlignment="1">
      <alignment horizontal="right"/>
    </xf>
    <xf numFmtId="43" fontId="6" fillId="0" borderId="0" xfId="5" applyFont="1" applyFill="1" applyBorder="1"/>
    <xf numFmtId="164" fontId="6" fillId="0" borderId="0" xfId="5" applyNumberFormat="1" applyFont="1" applyFill="1" applyBorder="1"/>
    <xf numFmtId="0" fontId="2" fillId="0" borderId="0" xfId="0" applyFont="1" applyBorder="1" applyAlignment="1">
      <alignment wrapText="1"/>
    </xf>
    <xf numFmtId="0" fontId="1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164" fontId="2" fillId="0" borderId="8" xfId="1" applyNumberFormat="1" applyFont="1" applyFill="1" applyBorder="1" applyAlignment="1">
      <alignment horizontal="right"/>
    </xf>
    <xf numFmtId="164" fontId="2" fillId="0" borderId="8" xfId="1" applyNumberFormat="1" applyFont="1" applyFill="1" applyBorder="1"/>
    <xf numFmtId="43" fontId="2" fillId="0" borderId="8" xfId="1" applyFont="1" applyFill="1" applyBorder="1"/>
    <xf numFmtId="164" fontId="2" fillId="0" borderId="8" xfId="0" applyNumberFormat="1" applyFont="1" applyBorder="1"/>
    <xf numFmtId="0" fontId="1" fillId="11" borderId="8" xfId="0" applyFont="1" applyFill="1" applyBorder="1"/>
    <xf numFmtId="0" fontId="2" fillId="0" borderId="8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164" fontId="11" fillId="0" borderId="8" xfId="1" applyNumberFormat="1" applyFont="1" applyBorder="1"/>
    <xf numFmtId="0" fontId="11" fillId="0" borderId="8" xfId="0" applyFont="1" applyBorder="1" applyAlignment="1">
      <alignment wrapText="1"/>
    </xf>
    <xf numFmtId="164" fontId="5" fillId="0" borderId="8" xfId="1" applyNumberFormat="1" applyFont="1" applyBorder="1"/>
    <xf numFmtId="164" fontId="5" fillId="12" borderId="8" xfId="1" applyNumberFormat="1" applyFont="1" applyFill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0" fontId="12" fillId="0" borderId="0" xfId="0" applyFont="1" applyBorder="1"/>
    <xf numFmtId="169" fontId="2" fillId="0" borderId="0" xfId="0" applyNumberFormat="1" applyFont="1" applyBorder="1"/>
    <xf numFmtId="43" fontId="2" fillId="0" borderId="0" xfId="0" applyNumberFormat="1" applyFont="1" applyBorder="1"/>
    <xf numFmtId="176" fontId="2" fillId="12" borderId="8" xfId="1" applyNumberFormat="1" applyFont="1" applyFill="1" applyBorder="1" applyAlignment="1">
      <alignment horizontal="right"/>
    </xf>
    <xf numFmtId="37" fontId="2" fillId="12" borderId="8" xfId="1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11" fillId="0" borderId="8" xfId="0" applyNumberFormat="1" applyFont="1" applyFill="1" applyBorder="1"/>
    <xf numFmtId="0" fontId="5" fillId="0" borderId="8" xfId="2" applyFont="1" applyFill="1" applyBorder="1" applyAlignment="1">
      <alignment horizontal="left" wrapText="1"/>
    </xf>
    <xf numFmtId="0" fontId="5" fillId="0" borderId="8" xfId="2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right"/>
    </xf>
    <xf numFmtId="43" fontId="2" fillId="0" borderId="8" xfId="1" applyFont="1" applyFill="1" applyBorder="1" applyAlignment="1">
      <alignment horizontal="right"/>
    </xf>
    <xf numFmtId="164" fontId="2" fillId="0" borderId="8" xfId="0" applyNumberFormat="1" applyFont="1" applyFill="1" applyBorder="1"/>
    <xf numFmtId="168" fontId="1" fillId="0" borderId="8" xfId="0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175" fontId="1" fillId="0" borderId="8" xfId="1" applyNumberFormat="1" applyFont="1" applyFill="1" applyBorder="1" applyAlignment="1">
      <alignment horizontal="right"/>
    </xf>
    <xf numFmtId="37" fontId="1" fillId="0" borderId="8" xfId="1" applyNumberFormat="1" applyFont="1" applyFill="1" applyBorder="1" applyAlignment="1">
      <alignment horizontal="right"/>
    </xf>
    <xf numFmtId="43" fontId="1" fillId="0" borderId="8" xfId="1" applyFont="1" applyFill="1" applyBorder="1" applyAlignment="1">
      <alignment horizontal="right"/>
    </xf>
    <xf numFmtId="0" fontId="1" fillId="0" borderId="8" xfId="0" applyFont="1" applyFill="1" applyBorder="1"/>
    <xf numFmtId="43" fontId="1" fillId="0" borderId="8" xfId="1" applyNumberFormat="1" applyFont="1" applyFill="1" applyBorder="1" applyAlignment="1">
      <alignment horizontal="right"/>
    </xf>
    <xf numFmtId="0" fontId="2" fillId="0" borderId="8" xfId="0" applyFont="1" applyFill="1" applyBorder="1"/>
    <xf numFmtId="164" fontId="5" fillId="0" borderId="8" xfId="1" applyNumberFormat="1" applyFont="1" applyFill="1" applyBorder="1"/>
    <xf numFmtId="164" fontId="5" fillId="0" borderId="0" xfId="0" applyNumberFormat="1" applyFont="1" applyFill="1" applyBorder="1"/>
    <xf numFmtId="0" fontId="5" fillId="0" borderId="8" xfId="0" applyFont="1" applyFill="1" applyBorder="1" applyAlignment="1">
      <alignment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vertical="center"/>
    </xf>
    <xf numFmtId="3" fontId="9" fillId="0" borderId="23" xfId="2" applyNumberFormat="1" applyFont="1" applyFill="1" applyBorder="1" applyAlignment="1">
      <alignment vertical="center"/>
    </xf>
    <xf numFmtId="164" fontId="9" fillId="0" borderId="23" xfId="5" applyNumberFormat="1" applyFont="1" applyFill="1" applyBorder="1" applyAlignment="1">
      <alignment vertical="center"/>
    </xf>
    <xf numFmtId="164" fontId="8" fillId="0" borderId="24" xfId="5" applyNumberFormat="1" applyFont="1" applyFill="1" applyBorder="1" applyAlignment="1">
      <alignment vertical="center"/>
    </xf>
    <xf numFmtId="0" fontId="8" fillId="0" borderId="26" xfId="2" applyFont="1" applyFill="1" applyBorder="1" applyAlignment="1">
      <alignment horizontal="left" vertical="center"/>
    </xf>
    <xf numFmtId="3" fontId="8" fillId="0" borderId="25" xfId="2" applyNumberFormat="1" applyFont="1" applyFill="1" applyBorder="1" applyAlignment="1">
      <alignment vertical="center"/>
    </xf>
    <xf numFmtId="0" fontId="6" fillId="0" borderId="16" xfId="2" applyFont="1" applyFill="1" applyBorder="1" applyAlignment="1">
      <alignment horizontal="left" vertical="center"/>
    </xf>
    <xf numFmtId="3" fontId="6" fillId="0" borderId="16" xfId="2" applyNumberFormat="1" applyFont="1" applyFill="1" applyBorder="1" applyAlignment="1">
      <alignment vertical="center"/>
    </xf>
    <xf numFmtId="169" fontId="5" fillId="0" borderId="16" xfId="2" applyNumberFormat="1" applyFont="1" applyFill="1" applyBorder="1" applyAlignment="1">
      <alignment horizontal="center" vertical="center"/>
    </xf>
    <xf numFmtId="164" fontId="6" fillId="0" borderId="16" xfId="2" applyNumberFormat="1" applyFont="1" applyFill="1" applyBorder="1" applyAlignment="1">
      <alignment vertical="center"/>
    </xf>
    <xf numFmtId="167" fontId="5" fillId="0" borderId="22" xfId="2" applyNumberFormat="1" applyFont="1" applyFill="1" applyBorder="1" applyAlignment="1">
      <alignment horizontal="center" vertical="center"/>
    </xf>
    <xf numFmtId="164" fontId="6" fillId="0" borderId="21" xfId="2" applyNumberFormat="1" applyFont="1" applyFill="1" applyBorder="1" applyAlignment="1">
      <alignment vertical="center"/>
    </xf>
    <xf numFmtId="0" fontId="2" fillId="0" borderId="18" xfId="0" applyFont="1" applyFill="1" applyBorder="1"/>
    <xf numFmtId="0" fontId="9" fillId="0" borderId="30" xfId="2" applyFont="1" applyFill="1" applyBorder="1" applyAlignment="1">
      <alignment horizontal="center" vertical="center" wrapText="1"/>
    </xf>
    <xf numFmtId="0" fontId="6" fillId="0" borderId="34" xfId="2" applyFont="1" applyFill="1" applyBorder="1"/>
    <xf numFmtId="164" fontId="6" fillId="0" borderId="13" xfId="5" applyNumberFormat="1" applyFont="1" applyFill="1" applyBorder="1" applyAlignment="1"/>
    <xf numFmtId="164" fontId="6" fillId="0" borderId="27" xfId="1" applyNumberFormat="1" applyFont="1" applyFill="1" applyBorder="1" applyAlignment="1"/>
    <xf numFmtId="0" fontId="6" fillId="0" borderId="31" xfId="2" applyFont="1" applyFill="1" applyBorder="1"/>
    <xf numFmtId="164" fontId="6" fillId="0" borderId="8" xfId="5" applyNumberFormat="1" applyFont="1" applyFill="1" applyBorder="1" applyAlignment="1"/>
    <xf numFmtId="164" fontId="6" fillId="0" borderId="28" xfId="1" applyNumberFormat="1" applyFont="1" applyFill="1" applyBorder="1" applyAlignment="1"/>
    <xf numFmtId="164" fontId="6" fillId="0" borderId="29" xfId="5" applyNumberFormat="1" applyFont="1" applyFill="1" applyBorder="1" applyAlignment="1"/>
    <xf numFmtId="164" fontId="6" fillId="0" borderId="33" xfId="5" applyNumberFormat="1" applyFont="1" applyFill="1" applyBorder="1" applyAlignment="1"/>
    <xf numFmtId="0" fontId="2" fillId="0" borderId="0" xfId="0" applyFont="1" applyFill="1" applyBorder="1"/>
    <xf numFmtId="177" fontId="2" fillId="0" borderId="8" xfId="1" applyNumberFormat="1" applyFont="1" applyBorder="1" applyAlignment="1">
      <alignment horizontal="right"/>
    </xf>
    <xf numFmtId="0" fontId="1" fillId="0" borderId="11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43" fontId="1" fillId="8" borderId="11" xfId="1" applyFont="1" applyFill="1" applyBorder="1" applyAlignment="1">
      <alignment horizontal="center" vertical="center"/>
    </xf>
    <xf numFmtId="43" fontId="1" fillId="8" borderId="10" xfId="1" applyFont="1" applyFill="1" applyBorder="1" applyAlignment="1">
      <alignment horizontal="center" vertical="center"/>
    </xf>
    <xf numFmtId="43" fontId="1" fillId="8" borderId="9" xfId="1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0" fontId="1" fillId="0" borderId="8" xfId="0" applyFont="1" applyFill="1" applyBorder="1"/>
    <xf numFmtId="0" fontId="1" fillId="7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left" wrapText="1"/>
    </xf>
    <xf numFmtId="0" fontId="2" fillId="9" borderId="9" xfId="0" applyFont="1" applyFill="1" applyBorder="1" applyAlignment="1">
      <alignment horizontal="left" wrapText="1"/>
    </xf>
    <xf numFmtId="0" fontId="1" fillId="10" borderId="11" xfId="0" applyFont="1" applyFill="1" applyBorder="1" applyAlignment="1">
      <alignment horizontal="left" wrapText="1"/>
    </xf>
    <xf numFmtId="0" fontId="2" fillId="10" borderId="9" xfId="0" applyFont="1" applyFill="1" applyBorder="1" applyAlignment="1">
      <alignment horizontal="left" wrapText="1"/>
    </xf>
    <xf numFmtId="0" fontId="1" fillId="11" borderId="8" xfId="0" applyFont="1" applyFill="1" applyBorder="1"/>
  </cellXfs>
  <cellStyles count="6">
    <cellStyle name="Comma" xfId="1" builtinId="3"/>
    <cellStyle name="Comma 2" xfId="3"/>
    <cellStyle name="Comma 2 2" xfId="5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zoomScaleNormal="100" workbookViewId="0">
      <pane ySplit="2" topLeftCell="A3" activePane="bottomLeft" state="frozen"/>
      <selection pane="bottomLeft" activeCell="G20" sqref="G20"/>
    </sheetView>
  </sheetViews>
  <sheetFormatPr defaultColWidth="9.140625" defaultRowHeight="15" x14ac:dyDescent="0.25"/>
  <cols>
    <col min="1" max="1" width="13.85546875" style="127" customWidth="1"/>
    <col min="2" max="2" width="41.7109375" style="128" customWidth="1"/>
    <col min="3" max="3" width="13.7109375" style="128" customWidth="1"/>
    <col min="4" max="4" width="15.28515625" style="128" customWidth="1"/>
    <col min="5" max="5" width="21.5703125" style="128" customWidth="1"/>
    <col min="6" max="6" width="17.28515625" style="128" customWidth="1"/>
    <col min="7" max="7" width="14" style="128" bestFit="1" customWidth="1"/>
    <col min="8" max="8" width="13.7109375" style="128" customWidth="1"/>
    <col min="9" max="9" width="15.42578125" style="128" customWidth="1"/>
    <col min="10" max="10" width="14.7109375" style="128" customWidth="1"/>
    <col min="11" max="11" width="12.7109375" style="128" customWidth="1"/>
    <col min="12" max="12" width="21.140625" style="128" customWidth="1"/>
    <col min="13" max="13" width="3.28515625" style="69" customWidth="1"/>
    <col min="14" max="16384" width="9.140625" style="69"/>
  </cols>
  <sheetData>
    <row r="1" spans="1:12" s="109" customFormat="1" ht="18" x14ac:dyDescent="0.25">
      <c r="A1" s="233" t="s">
        <v>116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2" s="109" customFormat="1" ht="120.6" customHeight="1" x14ac:dyDescent="0.25">
      <c r="A2" s="110" t="s">
        <v>74</v>
      </c>
      <c r="B2" s="110" t="s">
        <v>75</v>
      </c>
      <c r="C2" s="111" t="s">
        <v>76</v>
      </c>
      <c r="D2" s="110" t="s">
        <v>77</v>
      </c>
      <c r="E2" s="110" t="s">
        <v>78</v>
      </c>
      <c r="F2" s="118" t="s">
        <v>79</v>
      </c>
      <c r="G2" s="110" t="s">
        <v>80</v>
      </c>
      <c r="H2" s="118" t="s">
        <v>81</v>
      </c>
      <c r="I2" s="112" t="s">
        <v>82</v>
      </c>
      <c r="J2" s="112" t="s">
        <v>83</v>
      </c>
      <c r="K2" s="112" t="s">
        <v>84</v>
      </c>
      <c r="L2" s="112" t="s">
        <v>85</v>
      </c>
    </row>
    <row r="3" spans="1:12" s="109" customFormat="1" x14ac:dyDescent="0.25">
      <c r="A3" s="227" t="s">
        <v>66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9"/>
    </row>
    <row r="4" spans="1:12" s="109" customFormat="1" x14ac:dyDescent="0.25">
      <c r="A4" s="230" t="s">
        <v>68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ht="66" customHeight="1" x14ac:dyDescent="0.25">
      <c r="A5" s="108" t="s">
        <v>105</v>
      </c>
      <c r="B5" s="114" t="s">
        <v>88</v>
      </c>
      <c r="C5" s="73"/>
      <c r="D5" s="135">
        <f>(52*20)</f>
        <v>1040</v>
      </c>
      <c r="E5" s="162">
        <v>0.5</v>
      </c>
      <c r="F5" s="119">
        <f>D5*E5</f>
        <v>520</v>
      </c>
      <c r="G5" s="135">
        <v>2</v>
      </c>
      <c r="H5" s="119">
        <f>F5*G5</f>
        <v>1040</v>
      </c>
      <c r="I5" s="142">
        <v>1020</v>
      </c>
      <c r="J5" s="135">
        <f>H5-I5</f>
        <v>20</v>
      </c>
      <c r="K5" s="120"/>
      <c r="L5" s="74" t="s">
        <v>106</v>
      </c>
    </row>
    <row r="6" spans="1:12" ht="26.25" x14ac:dyDescent="0.25">
      <c r="A6" s="108">
        <v>249.4</v>
      </c>
      <c r="B6" s="114" t="s">
        <v>11</v>
      </c>
      <c r="C6" s="73"/>
      <c r="D6" s="135">
        <v>52</v>
      </c>
      <c r="E6" s="135">
        <v>1</v>
      </c>
      <c r="F6" s="119">
        <f t="shared" ref="F6:F17" si="0">D6*E6</f>
        <v>52</v>
      </c>
      <c r="G6" s="135">
        <v>40</v>
      </c>
      <c r="H6" s="119">
        <f t="shared" ref="H6:H17" si="1">F6*G6</f>
        <v>2080</v>
      </c>
      <c r="I6" s="135">
        <v>2040</v>
      </c>
      <c r="J6" s="135">
        <f t="shared" ref="J6:J17" si="2">H6-I6</f>
        <v>40</v>
      </c>
      <c r="K6" s="120"/>
      <c r="L6" s="74" t="s">
        <v>106</v>
      </c>
    </row>
    <row r="7" spans="1:12" ht="56.25" customHeight="1" x14ac:dyDescent="0.25">
      <c r="A7" s="108" t="s">
        <v>101</v>
      </c>
      <c r="B7" s="145" t="s">
        <v>29</v>
      </c>
      <c r="C7" s="72"/>
      <c r="D7" s="135">
        <v>52</v>
      </c>
      <c r="E7" s="135">
        <f>800000/52</f>
        <v>15384.615384615385</v>
      </c>
      <c r="F7" s="157">
        <f>D7*E7</f>
        <v>800000</v>
      </c>
      <c r="G7" s="143">
        <v>0.25</v>
      </c>
      <c r="H7" s="119">
        <f>F7*G7</f>
        <v>200000</v>
      </c>
      <c r="I7" s="136">
        <v>225000</v>
      </c>
      <c r="J7" s="174">
        <f>H7-I7</f>
        <v>-25000</v>
      </c>
      <c r="K7" s="175"/>
      <c r="L7" s="156" t="s">
        <v>114</v>
      </c>
    </row>
    <row r="8" spans="1:12" ht="93.75" customHeight="1" x14ac:dyDescent="0.3">
      <c r="A8" s="155" t="s">
        <v>31</v>
      </c>
      <c r="B8" s="146" t="s">
        <v>108</v>
      </c>
      <c r="C8" s="156"/>
      <c r="D8" s="157">
        <v>52</v>
      </c>
      <c r="E8" s="157">
        <f>(7243/2)/52</f>
        <v>69.644230769230774</v>
      </c>
      <c r="F8" s="119">
        <f>D8*E8</f>
        <v>3621.5</v>
      </c>
      <c r="G8" s="157">
        <v>1</v>
      </c>
      <c r="H8" s="119">
        <f>F8*G8</f>
        <v>3621.5</v>
      </c>
      <c r="I8" s="158">
        <v>4598</v>
      </c>
      <c r="J8" s="180">
        <v>-976</v>
      </c>
      <c r="K8" s="159"/>
      <c r="L8" s="74" t="s">
        <v>107</v>
      </c>
    </row>
    <row r="9" spans="1:12" ht="51.75" x14ac:dyDescent="0.25">
      <c r="A9" s="108" t="s">
        <v>12</v>
      </c>
      <c r="B9" s="114" t="s">
        <v>109</v>
      </c>
      <c r="C9" s="73"/>
      <c r="D9" s="135">
        <v>52</v>
      </c>
      <c r="E9" s="162">
        <f>((7243/2)/52)*0.1</f>
        <v>6.9644230769230777</v>
      </c>
      <c r="F9" s="172">
        <f t="shared" si="0"/>
        <v>362.15000000000003</v>
      </c>
      <c r="G9" s="144">
        <v>1.5</v>
      </c>
      <c r="H9" s="173">
        <f t="shared" si="1"/>
        <v>543.22500000000002</v>
      </c>
      <c r="I9" s="135">
        <v>690</v>
      </c>
      <c r="J9" s="135">
        <f t="shared" si="2"/>
        <v>-146.77499999999998</v>
      </c>
      <c r="K9" s="120"/>
      <c r="L9" s="74" t="s">
        <v>96</v>
      </c>
    </row>
    <row r="10" spans="1:12" ht="26.25" x14ac:dyDescent="0.25">
      <c r="A10" s="108" t="s">
        <v>14</v>
      </c>
      <c r="B10" s="114" t="s">
        <v>15</v>
      </c>
      <c r="C10" s="73"/>
      <c r="D10" s="135">
        <v>52</v>
      </c>
      <c r="E10" s="135">
        <v>1</v>
      </c>
      <c r="F10" s="119">
        <f t="shared" si="0"/>
        <v>52</v>
      </c>
      <c r="G10" s="135">
        <v>5</v>
      </c>
      <c r="H10" s="119">
        <f t="shared" si="1"/>
        <v>260</v>
      </c>
      <c r="I10" s="135">
        <v>255</v>
      </c>
      <c r="J10" s="135">
        <f t="shared" si="2"/>
        <v>5</v>
      </c>
      <c r="K10" s="120"/>
      <c r="L10" s="74" t="s">
        <v>106</v>
      </c>
    </row>
    <row r="11" spans="1:12" ht="26.25" x14ac:dyDescent="0.25">
      <c r="A11" s="108" t="s">
        <v>16</v>
      </c>
      <c r="B11" s="114" t="s">
        <v>17</v>
      </c>
      <c r="C11" s="73"/>
      <c r="D11" s="135">
        <v>52</v>
      </c>
      <c r="E11" s="135">
        <v>1</v>
      </c>
      <c r="F11" s="119">
        <f t="shared" si="0"/>
        <v>52</v>
      </c>
      <c r="G11" s="135">
        <v>3</v>
      </c>
      <c r="H11" s="119">
        <f t="shared" si="1"/>
        <v>156</v>
      </c>
      <c r="I11" s="135">
        <v>153</v>
      </c>
      <c r="J11" s="135">
        <f t="shared" si="2"/>
        <v>3</v>
      </c>
      <c r="K11" s="120"/>
      <c r="L11" s="74" t="s">
        <v>106</v>
      </c>
    </row>
    <row r="12" spans="1:12" ht="26.25" x14ac:dyDescent="0.25">
      <c r="A12" s="108">
        <v>249.11</v>
      </c>
      <c r="B12" s="114" t="s">
        <v>18</v>
      </c>
      <c r="C12" s="73"/>
      <c r="D12" s="135">
        <v>52</v>
      </c>
      <c r="E12" s="135">
        <v>1</v>
      </c>
      <c r="F12" s="119">
        <f t="shared" si="0"/>
        <v>52</v>
      </c>
      <c r="G12" s="135">
        <v>10</v>
      </c>
      <c r="H12" s="119">
        <f t="shared" si="1"/>
        <v>520</v>
      </c>
      <c r="I12" s="135">
        <v>510</v>
      </c>
      <c r="J12" s="135">
        <f t="shared" si="2"/>
        <v>10</v>
      </c>
      <c r="K12" s="120"/>
      <c r="L12" s="74" t="s">
        <v>106</v>
      </c>
    </row>
    <row r="13" spans="1:12" x14ac:dyDescent="0.25">
      <c r="A13" s="108">
        <v>249.12</v>
      </c>
      <c r="B13" s="113" t="s">
        <v>89</v>
      </c>
      <c r="C13" s="115"/>
      <c r="D13" s="135">
        <v>5</v>
      </c>
      <c r="E13" s="135">
        <v>1</v>
      </c>
      <c r="F13" s="119">
        <f t="shared" si="0"/>
        <v>5</v>
      </c>
      <c r="G13" s="135">
        <v>160</v>
      </c>
      <c r="H13" s="119">
        <f t="shared" si="1"/>
        <v>800</v>
      </c>
      <c r="I13" s="135">
        <f>+'2010'!H10</f>
        <v>800</v>
      </c>
      <c r="J13" s="135">
        <f t="shared" si="2"/>
        <v>0</v>
      </c>
      <c r="K13" s="120"/>
      <c r="L13" s="74"/>
    </row>
    <row r="14" spans="1:12" x14ac:dyDescent="0.25">
      <c r="A14" s="108" t="s">
        <v>20</v>
      </c>
      <c r="B14" s="114" t="s">
        <v>21</v>
      </c>
      <c r="C14" s="73"/>
      <c r="D14" s="135">
        <v>7</v>
      </c>
      <c r="E14" s="135">
        <v>1</v>
      </c>
      <c r="F14" s="119">
        <f t="shared" si="0"/>
        <v>7</v>
      </c>
      <c r="G14" s="135">
        <v>10</v>
      </c>
      <c r="H14" s="119">
        <f t="shared" si="1"/>
        <v>70</v>
      </c>
      <c r="I14" s="135">
        <f>+'2010'!H11</f>
        <v>120</v>
      </c>
      <c r="J14" s="135">
        <f t="shared" si="2"/>
        <v>-50</v>
      </c>
      <c r="K14" s="120"/>
      <c r="L14" s="72" t="s">
        <v>102</v>
      </c>
    </row>
    <row r="15" spans="1:12" x14ac:dyDescent="0.25">
      <c r="A15" s="108" t="s">
        <v>22</v>
      </c>
      <c r="B15" s="114" t="s">
        <v>23</v>
      </c>
      <c r="C15" s="73"/>
      <c r="D15" s="135">
        <v>1</v>
      </c>
      <c r="E15" s="135">
        <v>1</v>
      </c>
      <c r="F15" s="119">
        <f t="shared" si="0"/>
        <v>1</v>
      </c>
      <c r="G15" s="135">
        <v>15</v>
      </c>
      <c r="H15" s="119">
        <f t="shared" si="1"/>
        <v>15</v>
      </c>
      <c r="I15" s="135">
        <f>+'2010'!H12</f>
        <v>180</v>
      </c>
      <c r="J15" s="135">
        <f t="shared" si="2"/>
        <v>-165</v>
      </c>
      <c r="K15" s="120"/>
      <c r="L15" s="72" t="s">
        <v>103</v>
      </c>
    </row>
    <row r="16" spans="1:12" s="71" customFormat="1" ht="26.25" x14ac:dyDescent="0.25">
      <c r="A16" s="108" t="s">
        <v>24</v>
      </c>
      <c r="B16" s="114" t="s">
        <v>25</v>
      </c>
      <c r="C16" s="73"/>
      <c r="D16" s="135">
        <v>52</v>
      </c>
      <c r="E16" s="135">
        <v>1</v>
      </c>
      <c r="F16" s="119">
        <f t="shared" si="0"/>
        <v>52</v>
      </c>
      <c r="G16" s="135">
        <v>40</v>
      </c>
      <c r="H16" s="119">
        <f t="shared" si="1"/>
        <v>2080</v>
      </c>
      <c r="I16" s="135">
        <v>2040</v>
      </c>
      <c r="J16" s="135">
        <f t="shared" si="2"/>
        <v>40</v>
      </c>
      <c r="K16" s="120"/>
      <c r="L16" s="74" t="s">
        <v>106</v>
      </c>
    </row>
    <row r="17" spans="1:12" ht="51.75" x14ac:dyDescent="0.25">
      <c r="A17" s="155" t="s">
        <v>24</v>
      </c>
      <c r="B17" s="176" t="s">
        <v>46</v>
      </c>
      <c r="C17" s="177" t="s">
        <v>49</v>
      </c>
      <c r="D17" s="178">
        <v>51</v>
      </c>
      <c r="E17" s="178"/>
      <c r="F17" s="157">
        <f t="shared" si="0"/>
        <v>0</v>
      </c>
      <c r="G17" s="178">
        <v>2</v>
      </c>
      <c r="H17" s="157">
        <f t="shared" si="1"/>
        <v>0</v>
      </c>
      <c r="I17" s="178">
        <v>102</v>
      </c>
      <c r="J17" s="157">
        <f t="shared" si="2"/>
        <v>-102</v>
      </c>
      <c r="K17" s="179"/>
      <c r="L17" s="156" t="s">
        <v>113</v>
      </c>
    </row>
    <row r="18" spans="1:12" x14ac:dyDescent="0.25">
      <c r="A18" s="219" t="s">
        <v>73</v>
      </c>
      <c r="B18" s="220"/>
      <c r="C18" s="181"/>
      <c r="D18" s="182">
        <f>52+1040</f>
        <v>1092</v>
      </c>
      <c r="E18" s="183">
        <f>+F18/D18</f>
        <v>736.97495421245424</v>
      </c>
      <c r="F18" s="182">
        <f>SUM(F5:F17)</f>
        <v>804776.65</v>
      </c>
      <c r="G18" s="183">
        <f>+H18/F18</f>
        <v>0.26241566526563609</v>
      </c>
      <c r="H18" s="184">
        <v>211186</v>
      </c>
      <c r="I18" s="182">
        <f>SUM(I5:I17)</f>
        <v>237508</v>
      </c>
      <c r="J18" s="182">
        <f>SUM(J5:J17)</f>
        <v>-26321.775000000001</v>
      </c>
      <c r="K18" s="185">
        <f>SUM(K5:K17)</f>
        <v>0</v>
      </c>
      <c r="L18" s="186"/>
    </row>
    <row r="19" spans="1:12" s="71" customFormat="1" x14ac:dyDescent="0.25">
      <c r="A19" s="234" t="s">
        <v>28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6"/>
    </row>
    <row r="20" spans="1:12" ht="89.25" customHeight="1" x14ac:dyDescent="0.25">
      <c r="A20" s="108">
        <v>249.6</v>
      </c>
      <c r="B20" s="114" t="s">
        <v>29</v>
      </c>
      <c r="C20" s="72"/>
      <c r="D20" s="135">
        <v>800000</v>
      </c>
      <c r="E20" s="143">
        <v>1</v>
      </c>
      <c r="F20" s="119">
        <f>D20*E20</f>
        <v>800000</v>
      </c>
      <c r="G20" s="218">
        <v>1.67E-2</v>
      </c>
      <c r="H20" s="119">
        <f>F20*G20</f>
        <v>13360</v>
      </c>
      <c r="I20" s="166">
        <v>9000</v>
      </c>
      <c r="J20" s="174">
        <f>H20-I20</f>
        <v>4360</v>
      </c>
      <c r="K20" s="164"/>
      <c r="L20" s="165"/>
    </row>
    <row r="21" spans="1:12" x14ac:dyDescent="0.25">
      <c r="A21" s="224" t="s">
        <v>94</v>
      </c>
      <c r="B21" s="225"/>
      <c r="C21" s="116"/>
      <c r="D21" s="139">
        <f>D20</f>
        <v>800000</v>
      </c>
      <c r="E21" s="140"/>
      <c r="F21" s="139">
        <f>F20</f>
        <v>800000</v>
      </c>
      <c r="G21" s="140"/>
      <c r="H21" s="139">
        <f>H20</f>
        <v>13360</v>
      </c>
      <c r="I21" s="141">
        <f>I20</f>
        <v>9000</v>
      </c>
      <c r="J21" s="141">
        <f>+J20</f>
        <v>4360</v>
      </c>
      <c r="K21" s="141">
        <f>+K20</f>
        <v>0</v>
      </c>
      <c r="L21" s="116"/>
    </row>
    <row r="22" spans="1:12" s="71" customFormat="1" x14ac:dyDescent="0.25">
      <c r="A22" s="221" t="s">
        <v>111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3"/>
    </row>
    <row r="23" spans="1:12" ht="67.5" customHeight="1" x14ac:dyDescent="0.25">
      <c r="A23" s="108" t="s">
        <v>31</v>
      </c>
      <c r="B23" s="113" t="s">
        <v>110</v>
      </c>
      <c r="C23" s="74"/>
      <c r="D23" s="135">
        <v>3622</v>
      </c>
      <c r="E23" s="143">
        <v>1</v>
      </c>
      <c r="F23" s="119">
        <f>D23*E23</f>
        <v>3622</v>
      </c>
      <c r="G23" s="168">
        <v>0.08</v>
      </c>
      <c r="H23" s="167">
        <f>F23*G23</f>
        <v>289.76</v>
      </c>
      <c r="I23" s="189">
        <v>368</v>
      </c>
      <c r="J23" s="188">
        <v>78</v>
      </c>
      <c r="K23" s="190"/>
      <c r="L23" s="191" t="s">
        <v>115</v>
      </c>
    </row>
    <row r="24" spans="1:12" s="70" customFormat="1" x14ac:dyDescent="0.25">
      <c r="A24" s="224" t="s">
        <v>112</v>
      </c>
      <c r="B24" s="225"/>
      <c r="C24" s="116"/>
      <c r="D24" s="139">
        <f>D23</f>
        <v>3622</v>
      </c>
      <c r="E24" s="140"/>
      <c r="F24" s="139">
        <f>F23</f>
        <v>3622</v>
      </c>
      <c r="G24" s="140"/>
      <c r="H24" s="139">
        <f>H23</f>
        <v>289.76</v>
      </c>
      <c r="I24" s="141">
        <f>I23</f>
        <v>368</v>
      </c>
      <c r="J24" s="141">
        <f>+J23</f>
        <v>78</v>
      </c>
      <c r="K24" s="141">
        <f>+K23</f>
        <v>0</v>
      </c>
      <c r="L24" s="116"/>
    </row>
    <row r="25" spans="1:12" x14ac:dyDescent="0.25">
      <c r="A25" s="226" t="s">
        <v>70</v>
      </c>
      <c r="B25" s="226"/>
      <c r="C25" s="186"/>
      <c r="D25" s="182">
        <f>SUM(D18+D21+D24)</f>
        <v>804714</v>
      </c>
      <c r="E25" s="182"/>
      <c r="F25" s="182">
        <f t="shared" ref="F25:I25" si="3">SUM(F18+F21+F24)</f>
        <v>1608398.65</v>
      </c>
      <c r="G25" s="182"/>
      <c r="H25" s="182">
        <f>SUM(H18+H21+H24)</f>
        <v>224835.76</v>
      </c>
      <c r="I25" s="182">
        <f t="shared" si="3"/>
        <v>246876</v>
      </c>
      <c r="J25" s="182">
        <f>SUM(J18+J21+J24)</f>
        <v>-21883.775000000001</v>
      </c>
      <c r="K25" s="187">
        <f>SUM(K18+K21+K24)</f>
        <v>0</v>
      </c>
      <c r="L25" s="188"/>
    </row>
    <row r="26" spans="1:12" x14ac:dyDescent="0.25">
      <c r="A26" s="227" t="s">
        <v>71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9"/>
    </row>
    <row r="27" spans="1:12" x14ac:dyDescent="0.25">
      <c r="A27" s="230" t="s">
        <v>69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</row>
    <row r="28" spans="1:12" ht="26.25" x14ac:dyDescent="0.25">
      <c r="A28" s="108">
        <v>249.9</v>
      </c>
      <c r="B28" s="72" t="s">
        <v>34</v>
      </c>
      <c r="C28" s="72"/>
      <c r="D28" s="135">
        <v>52</v>
      </c>
      <c r="E28" s="135">
        <f>800000/52</f>
        <v>15384.615384615385</v>
      </c>
      <c r="F28" s="119">
        <f>D28*E28</f>
        <v>800000</v>
      </c>
      <c r="G28" s="143">
        <v>0.25</v>
      </c>
      <c r="H28" s="119">
        <f>F28*G28</f>
        <v>200000</v>
      </c>
      <c r="I28" s="136">
        <v>225000</v>
      </c>
      <c r="J28" s="136">
        <f>+H28-I28</f>
        <v>-25000</v>
      </c>
      <c r="K28" s="124"/>
      <c r="L28" s="74" t="s">
        <v>104</v>
      </c>
    </row>
    <row r="29" spans="1:12" ht="26.25" x14ac:dyDescent="0.25">
      <c r="A29" s="108" t="s">
        <v>31</v>
      </c>
      <c r="B29" s="72" t="s">
        <v>35</v>
      </c>
      <c r="C29" s="72"/>
      <c r="D29" s="135">
        <v>52</v>
      </c>
      <c r="E29" s="135">
        <v>1</v>
      </c>
      <c r="F29" s="119">
        <v>52</v>
      </c>
      <c r="G29" s="135">
        <f t="shared" ref="G29:G32" si="4">+H29/F29</f>
        <v>2</v>
      </c>
      <c r="H29" s="119">
        <v>104</v>
      </c>
      <c r="I29" s="136">
        <v>102</v>
      </c>
      <c r="J29" s="136">
        <f t="shared" ref="J29:J33" si="5">+H29-I29</f>
        <v>2</v>
      </c>
      <c r="K29" s="124"/>
      <c r="L29" s="74" t="s">
        <v>106</v>
      </c>
    </row>
    <row r="30" spans="1:12" ht="26.25" x14ac:dyDescent="0.25">
      <c r="A30" s="108" t="s">
        <v>12</v>
      </c>
      <c r="B30" s="72" t="s">
        <v>36</v>
      </c>
      <c r="C30" s="72"/>
      <c r="D30" s="135">
        <v>52</v>
      </c>
      <c r="E30" s="135">
        <v>1</v>
      </c>
      <c r="F30" s="119">
        <v>52</v>
      </c>
      <c r="G30" s="135">
        <f t="shared" si="4"/>
        <v>2</v>
      </c>
      <c r="H30" s="119">
        <v>104</v>
      </c>
      <c r="I30" s="136">
        <v>102</v>
      </c>
      <c r="J30" s="136">
        <f t="shared" si="5"/>
        <v>2</v>
      </c>
      <c r="K30" s="124"/>
      <c r="L30" s="74" t="s">
        <v>106</v>
      </c>
    </row>
    <row r="31" spans="1:12" ht="26.25" x14ac:dyDescent="0.25">
      <c r="A31" s="108">
        <v>249.11</v>
      </c>
      <c r="B31" s="72" t="s">
        <v>37</v>
      </c>
      <c r="C31" s="72"/>
      <c r="D31" s="135">
        <v>52</v>
      </c>
      <c r="E31" s="135">
        <v>1</v>
      </c>
      <c r="F31" s="119">
        <v>52</v>
      </c>
      <c r="G31" s="135">
        <f t="shared" si="4"/>
        <v>2</v>
      </c>
      <c r="H31" s="119">
        <v>104</v>
      </c>
      <c r="I31" s="136">
        <v>102</v>
      </c>
      <c r="J31" s="136">
        <f t="shared" si="5"/>
        <v>2</v>
      </c>
      <c r="K31" s="124"/>
      <c r="L31" s="74" t="s">
        <v>106</v>
      </c>
    </row>
    <row r="32" spans="1:12" ht="26.25" x14ac:dyDescent="0.25">
      <c r="A32" s="108" t="s">
        <v>38</v>
      </c>
      <c r="B32" s="72" t="s">
        <v>39</v>
      </c>
      <c r="C32" s="72"/>
      <c r="D32" s="135">
        <v>52</v>
      </c>
      <c r="E32" s="135">
        <v>1</v>
      </c>
      <c r="F32" s="119">
        <v>52</v>
      </c>
      <c r="G32" s="135">
        <f t="shared" si="4"/>
        <v>1</v>
      </c>
      <c r="H32" s="119">
        <v>52</v>
      </c>
      <c r="I32" s="136">
        <v>51</v>
      </c>
      <c r="J32" s="136">
        <f t="shared" si="5"/>
        <v>1</v>
      </c>
      <c r="K32" s="124"/>
      <c r="L32" s="74" t="s">
        <v>106</v>
      </c>
    </row>
    <row r="33" spans="1:12" ht="29.45" customHeight="1" x14ac:dyDescent="0.25">
      <c r="A33" s="108" t="s">
        <v>40</v>
      </c>
      <c r="B33" s="72" t="s">
        <v>90</v>
      </c>
      <c r="C33" s="72"/>
      <c r="D33" s="135">
        <v>52</v>
      </c>
      <c r="E33" s="135">
        <v>1</v>
      </c>
      <c r="F33" s="119">
        <v>52</v>
      </c>
      <c r="G33" s="135">
        <v>40</v>
      </c>
      <c r="H33" s="119">
        <f>F33*G33</f>
        <v>2080</v>
      </c>
      <c r="I33" s="136">
        <v>2040</v>
      </c>
      <c r="J33" s="136">
        <f t="shared" si="5"/>
        <v>40</v>
      </c>
      <c r="K33" s="124"/>
      <c r="L33" s="74" t="s">
        <v>106</v>
      </c>
    </row>
    <row r="34" spans="1:12" x14ac:dyDescent="0.25">
      <c r="A34" s="231" t="s">
        <v>91</v>
      </c>
      <c r="B34" s="232"/>
      <c r="C34" s="161"/>
      <c r="D34" s="137">
        <v>52</v>
      </c>
      <c r="E34" s="137"/>
      <c r="F34" s="137">
        <f t="shared" ref="F34:K34" si="6">SUM(F28:F33)</f>
        <v>800260</v>
      </c>
      <c r="G34" s="137"/>
      <c r="H34" s="137">
        <f t="shared" si="6"/>
        <v>202444</v>
      </c>
      <c r="I34" s="137">
        <f t="shared" si="6"/>
        <v>227397</v>
      </c>
      <c r="J34" s="137">
        <f t="shared" si="6"/>
        <v>-24953</v>
      </c>
      <c r="K34" s="137">
        <f t="shared" si="6"/>
        <v>0</v>
      </c>
      <c r="L34" s="125"/>
    </row>
    <row r="35" spans="1:12" x14ac:dyDescent="0.25">
      <c r="A35" s="219" t="s">
        <v>72</v>
      </c>
      <c r="B35" s="220"/>
      <c r="C35" s="186"/>
      <c r="D35" s="182">
        <f>SUM(D25)</f>
        <v>804714</v>
      </c>
      <c r="E35" s="182"/>
      <c r="F35" s="182">
        <f t="shared" ref="F35:K35" si="7">SUM(F25+F34)</f>
        <v>2408658.65</v>
      </c>
      <c r="G35" s="182"/>
      <c r="H35" s="182">
        <f t="shared" si="7"/>
        <v>427279.76</v>
      </c>
      <c r="I35" s="182">
        <f t="shared" si="7"/>
        <v>474273</v>
      </c>
      <c r="J35" s="182">
        <f>SUM(J34+J25)</f>
        <v>-46836.775000000001</v>
      </c>
      <c r="K35" s="184">
        <f t="shared" si="7"/>
        <v>0</v>
      </c>
      <c r="L35" s="188"/>
    </row>
    <row r="36" spans="1:12" x14ac:dyDescent="0.25">
      <c r="D36" s="129"/>
    </row>
    <row r="37" spans="1:12" ht="15.75" thickBot="1" x14ac:dyDescent="0.3">
      <c r="D37" s="149"/>
      <c r="E37" s="150"/>
      <c r="F37" s="149"/>
      <c r="G37" s="150"/>
      <c r="H37" s="149"/>
      <c r="I37" s="149"/>
      <c r="J37" s="149"/>
      <c r="K37" s="149"/>
    </row>
    <row r="38" spans="1:12" ht="39" thickBot="1" x14ac:dyDescent="0.3">
      <c r="B38" s="192" t="s">
        <v>52</v>
      </c>
      <c r="C38" s="192" t="s">
        <v>53</v>
      </c>
      <c r="D38" s="192" t="s">
        <v>54</v>
      </c>
      <c r="E38" s="192" t="s">
        <v>55</v>
      </c>
      <c r="F38" s="193" t="s">
        <v>56</v>
      </c>
      <c r="G38" s="194" t="s">
        <v>57</v>
      </c>
      <c r="I38" s="154"/>
      <c r="J38" s="170"/>
    </row>
    <row r="39" spans="1:12" x14ac:dyDescent="0.25">
      <c r="B39" s="195" t="s">
        <v>58</v>
      </c>
      <c r="C39" s="196">
        <f>+D25</f>
        <v>804714</v>
      </c>
      <c r="D39" s="86">
        <f>+E39/C39</f>
        <v>1.9987208498920113</v>
      </c>
      <c r="E39" s="197">
        <f>+F25</f>
        <v>1608398.65</v>
      </c>
      <c r="F39" s="86">
        <f>+G39/E39</f>
        <v>0.13978857791257163</v>
      </c>
      <c r="G39" s="198">
        <f>+H25</f>
        <v>224835.76</v>
      </c>
    </row>
    <row r="40" spans="1:12" ht="15.75" thickBot="1" x14ac:dyDescent="0.3">
      <c r="B40" s="199" t="s">
        <v>59</v>
      </c>
      <c r="C40" s="80">
        <f>+D34</f>
        <v>52</v>
      </c>
      <c r="D40" s="87">
        <f>+E40/C40</f>
        <v>15389.615384615385</v>
      </c>
      <c r="E40" s="92">
        <f>+F34</f>
        <v>800260</v>
      </c>
      <c r="F40" s="87">
        <f>+G40/E40</f>
        <v>0.25297278384525029</v>
      </c>
      <c r="G40" s="200">
        <f>+H34</f>
        <v>202444</v>
      </c>
    </row>
    <row r="41" spans="1:12" ht="15.75" thickBot="1" x14ac:dyDescent="0.3">
      <c r="B41" s="201" t="s">
        <v>60</v>
      </c>
      <c r="C41" s="202">
        <f>800000+3622+52+1040</f>
        <v>804714</v>
      </c>
      <c r="D41" s="203">
        <f>+E41/C41</f>
        <v>2.9931859642059164</v>
      </c>
      <c r="E41" s="204">
        <f>SUM(E39:E40)</f>
        <v>2408658.65</v>
      </c>
      <c r="F41" s="205">
        <f>+G41/E41</f>
        <v>0.17739323917899286</v>
      </c>
      <c r="G41" s="206">
        <f>SUM(G39:G40)</f>
        <v>427279.76</v>
      </c>
      <c r="J41" s="149"/>
    </row>
    <row r="42" spans="1:12" ht="15.75" thickBot="1" x14ac:dyDescent="0.3">
      <c r="B42" s="81"/>
      <c r="C42" s="82"/>
      <c r="D42" s="83"/>
      <c r="E42" s="84"/>
      <c r="F42" s="85"/>
      <c r="G42" s="84"/>
      <c r="J42" s="171"/>
    </row>
    <row r="43" spans="1:12" ht="15.75" thickBot="1" x14ac:dyDescent="0.3">
      <c r="B43" s="207"/>
      <c r="C43" s="192" t="s">
        <v>64</v>
      </c>
      <c r="D43" s="208" t="s">
        <v>65</v>
      </c>
    </row>
    <row r="44" spans="1:12" x14ac:dyDescent="0.25">
      <c r="B44" s="209" t="s">
        <v>61</v>
      </c>
      <c r="C44" s="210">
        <v>2710756</v>
      </c>
      <c r="D44" s="211">
        <v>474273</v>
      </c>
      <c r="E44" s="96"/>
      <c r="F44" s="97"/>
      <c r="G44" s="152"/>
    </row>
    <row r="45" spans="1:12" x14ac:dyDescent="0.25">
      <c r="B45" s="212" t="s">
        <v>62</v>
      </c>
      <c r="C45" s="213">
        <f>+E41</f>
        <v>2408658.65</v>
      </c>
      <c r="D45" s="214">
        <f>+G41</f>
        <v>427279.76</v>
      </c>
      <c r="E45" s="96"/>
      <c r="F45" s="97"/>
      <c r="G45" s="153"/>
    </row>
    <row r="46" spans="1:12" ht="15.75" thickBot="1" x14ac:dyDescent="0.3">
      <c r="B46" s="101" t="s">
        <v>63</v>
      </c>
      <c r="C46" s="215">
        <f>+C45-C44</f>
        <v>-302097.35000000009</v>
      </c>
      <c r="D46" s="216">
        <f>+D45-D44</f>
        <v>-46993.239999999991</v>
      </c>
      <c r="E46" s="96"/>
      <c r="F46" s="97"/>
      <c r="G46" s="96"/>
    </row>
    <row r="50" spans="2:13" x14ac:dyDescent="0.25">
      <c r="B50" s="217"/>
      <c r="C50" s="217"/>
      <c r="D50" s="217"/>
      <c r="E50" s="217"/>
      <c r="F50" s="217"/>
      <c r="G50" s="217"/>
    </row>
    <row r="52" spans="2:13" x14ac:dyDescent="0.25">
      <c r="M52" s="169"/>
    </row>
    <row r="53" spans="2:13" x14ac:dyDescent="0.25">
      <c r="M53" s="169"/>
    </row>
    <row r="54" spans="2:13" x14ac:dyDescent="0.25">
      <c r="M54" s="169"/>
    </row>
    <row r="55" spans="2:13" x14ac:dyDescent="0.25">
      <c r="M55" s="169"/>
    </row>
    <row r="56" spans="2:13" x14ac:dyDescent="0.25">
      <c r="M56" s="169"/>
    </row>
    <row r="57" spans="2:13" x14ac:dyDescent="0.25">
      <c r="M57" s="169"/>
    </row>
    <row r="58" spans="2:13" x14ac:dyDescent="0.25">
      <c r="M58" s="169"/>
    </row>
    <row r="59" spans="2:13" x14ac:dyDescent="0.25">
      <c r="M59" s="169"/>
    </row>
    <row r="60" spans="2:13" x14ac:dyDescent="0.25">
      <c r="M60" s="169"/>
    </row>
    <row r="61" spans="2:13" x14ac:dyDescent="0.25">
      <c r="M61" s="169"/>
    </row>
    <row r="62" spans="2:13" x14ac:dyDescent="0.25">
      <c r="M62" s="169"/>
    </row>
    <row r="63" spans="2:13" x14ac:dyDescent="0.25">
      <c r="M63" s="169"/>
    </row>
    <row r="64" spans="2:13" x14ac:dyDescent="0.25">
      <c r="M64" s="169"/>
    </row>
    <row r="65" spans="13:13" x14ac:dyDescent="0.25">
      <c r="M65" s="169"/>
    </row>
    <row r="66" spans="13:13" x14ac:dyDescent="0.25">
      <c r="M66" s="169"/>
    </row>
  </sheetData>
  <mergeCells count="13">
    <mergeCell ref="A21:B21"/>
    <mergeCell ref="A1:L1"/>
    <mergeCell ref="A3:L3"/>
    <mergeCell ref="A4:L4"/>
    <mergeCell ref="A18:B18"/>
    <mergeCell ref="A19:L19"/>
    <mergeCell ref="A35:B35"/>
    <mergeCell ref="A22:L22"/>
    <mergeCell ref="A24:B24"/>
    <mergeCell ref="A25:B25"/>
    <mergeCell ref="A26:L26"/>
    <mergeCell ref="A27:L27"/>
    <mergeCell ref="A34:B34"/>
  </mergeCells>
  <pageMargins left="0.7" right="0.7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C1" zoomScale="80" zoomScaleNormal="80" workbookViewId="0">
      <pane ySplit="2" topLeftCell="A18" activePane="bottomLeft" state="frozen"/>
      <selection pane="bottomLeft" activeCell="I7" sqref="I7"/>
    </sheetView>
  </sheetViews>
  <sheetFormatPr defaultColWidth="9.140625" defaultRowHeight="15" x14ac:dyDescent="0.25"/>
  <cols>
    <col min="1" max="1" width="13.85546875" style="127" customWidth="1"/>
    <col min="2" max="2" width="41.7109375" style="128" customWidth="1"/>
    <col min="3" max="3" width="13.7109375" style="128" customWidth="1"/>
    <col min="4" max="4" width="15.28515625" style="128" customWidth="1"/>
    <col min="5" max="5" width="16.5703125" style="128" bestFit="1" customWidth="1"/>
    <col min="6" max="6" width="17.28515625" style="128" customWidth="1"/>
    <col min="7" max="7" width="14" style="128" bestFit="1" customWidth="1"/>
    <col min="8" max="8" width="13.7109375" style="128" customWidth="1"/>
    <col min="9" max="9" width="15.42578125" style="128" customWidth="1"/>
    <col min="10" max="10" width="14.7109375" style="128" customWidth="1"/>
    <col min="11" max="11" width="12.7109375" style="128" customWidth="1"/>
    <col min="12" max="12" width="21.140625" style="128" customWidth="1"/>
    <col min="13" max="13" width="3.28515625" style="69" customWidth="1"/>
    <col min="14" max="16384" width="9.140625" style="69"/>
  </cols>
  <sheetData>
    <row r="1" spans="1:12" s="109" customFormat="1" x14ac:dyDescent="0.25">
      <c r="A1" s="237" t="s">
        <v>67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2" s="109" customFormat="1" ht="120.6" customHeight="1" x14ac:dyDescent="0.25">
      <c r="A2" s="110" t="s">
        <v>74</v>
      </c>
      <c r="B2" s="110" t="s">
        <v>75</v>
      </c>
      <c r="C2" s="111" t="s">
        <v>76</v>
      </c>
      <c r="D2" s="110" t="s">
        <v>77</v>
      </c>
      <c r="E2" s="110" t="s">
        <v>78</v>
      </c>
      <c r="F2" s="118" t="s">
        <v>79</v>
      </c>
      <c r="G2" s="110" t="s">
        <v>80</v>
      </c>
      <c r="H2" s="118" t="s">
        <v>81</v>
      </c>
      <c r="I2" s="112" t="s">
        <v>82</v>
      </c>
      <c r="J2" s="112" t="s">
        <v>83</v>
      </c>
      <c r="K2" s="112" t="s">
        <v>84</v>
      </c>
      <c r="L2" s="112" t="s">
        <v>85</v>
      </c>
    </row>
    <row r="3" spans="1:12" s="109" customFormat="1" x14ac:dyDescent="0.25">
      <c r="A3" s="227" t="s">
        <v>66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9"/>
    </row>
    <row r="4" spans="1:12" s="109" customFormat="1" x14ac:dyDescent="0.25">
      <c r="A4" s="230" t="s">
        <v>68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ht="66" customHeight="1" x14ac:dyDescent="0.25">
      <c r="A5" s="108" t="s">
        <v>9</v>
      </c>
      <c r="B5" s="114" t="s">
        <v>88</v>
      </c>
      <c r="C5" s="73"/>
      <c r="D5" s="135">
        <f>(51*20)</f>
        <v>1020</v>
      </c>
      <c r="E5" s="135">
        <v>0.5</v>
      </c>
      <c r="F5" s="119">
        <f>D5*E5</f>
        <v>510</v>
      </c>
      <c r="G5" s="135">
        <v>2</v>
      </c>
      <c r="H5" s="119">
        <f>F5*G5</f>
        <v>1020</v>
      </c>
      <c r="I5" s="163">
        <f>+'2010'!H4</f>
        <v>980</v>
      </c>
      <c r="J5" s="163">
        <f>H5-I5</f>
        <v>40</v>
      </c>
      <c r="K5" s="120"/>
      <c r="L5" s="74" t="s">
        <v>48</v>
      </c>
    </row>
    <row r="6" spans="1:12" ht="26.25" x14ac:dyDescent="0.25">
      <c r="A6" s="108">
        <v>249.4</v>
      </c>
      <c r="B6" s="114" t="s">
        <v>11</v>
      </c>
      <c r="C6" s="73"/>
      <c r="D6" s="135">
        <v>51</v>
      </c>
      <c r="E6" s="135">
        <v>1</v>
      </c>
      <c r="F6" s="119">
        <f t="shared" ref="F6:F17" si="0">D6*E6</f>
        <v>51</v>
      </c>
      <c r="G6" s="135">
        <v>40</v>
      </c>
      <c r="H6" s="119">
        <f t="shared" ref="H6:H17" si="1">F6*G6</f>
        <v>2040</v>
      </c>
      <c r="I6" s="135">
        <f>+'2010'!H5</f>
        <v>1960</v>
      </c>
      <c r="J6" s="135">
        <f t="shared" ref="J6:J17" si="2">H6-I6</f>
        <v>80</v>
      </c>
      <c r="K6" s="120"/>
      <c r="L6" s="74" t="s">
        <v>48</v>
      </c>
    </row>
    <row r="7" spans="1:12" ht="118.5" customHeight="1" x14ac:dyDescent="0.25">
      <c r="A7" s="108">
        <v>249.6</v>
      </c>
      <c r="B7" s="145" t="s">
        <v>29</v>
      </c>
      <c r="C7" s="72"/>
      <c r="D7" s="135">
        <v>51</v>
      </c>
      <c r="E7" s="135">
        <f>900000/51</f>
        <v>17647.058823529413</v>
      </c>
      <c r="F7" s="119">
        <f>D7*E7</f>
        <v>900000</v>
      </c>
      <c r="G7" s="143">
        <v>0.25</v>
      </c>
      <c r="H7" s="119">
        <f>F7*G7</f>
        <v>225000</v>
      </c>
      <c r="I7" s="136"/>
      <c r="K7" s="160">
        <f>+H7</f>
        <v>225000</v>
      </c>
      <c r="L7" s="74" t="s">
        <v>97</v>
      </c>
    </row>
    <row r="8" spans="1:12" ht="165" customHeight="1" x14ac:dyDescent="0.25">
      <c r="A8" s="155" t="s">
        <v>31</v>
      </c>
      <c r="B8" s="146" t="s">
        <v>93</v>
      </c>
      <c r="C8" s="156"/>
      <c r="D8" s="157">
        <v>51</v>
      </c>
      <c r="E8" s="157">
        <f>(9196/2)/51</f>
        <v>90.156862745098039</v>
      </c>
      <c r="F8" s="119">
        <f>D8*E8</f>
        <v>4598</v>
      </c>
      <c r="G8" s="157">
        <v>1</v>
      </c>
      <c r="H8" s="119">
        <f>F8*G8</f>
        <v>4598</v>
      </c>
      <c r="I8" s="158"/>
      <c r="J8" s="72"/>
      <c r="K8" s="159">
        <f>+H8-I8</f>
        <v>4598</v>
      </c>
      <c r="L8" s="74" t="s">
        <v>98</v>
      </c>
    </row>
    <row r="9" spans="1:12" ht="51.75" x14ac:dyDescent="0.25">
      <c r="A9" s="108" t="s">
        <v>12</v>
      </c>
      <c r="B9" s="114" t="s">
        <v>92</v>
      </c>
      <c r="C9" s="73"/>
      <c r="D9" s="135">
        <v>51</v>
      </c>
      <c r="E9" s="144">
        <f>((9196/2)/51)*0.1</f>
        <v>9.0156862745098039</v>
      </c>
      <c r="F9" s="119">
        <f t="shared" si="0"/>
        <v>459.8</v>
      </c>
      <c r="G9" s="144">
        <v>1.5</v>
      </c>
      <c r="H9" s="119">
        <f t="shared" si="1"/>
        <v>689.7</v>
      </c>
      <c r="I9" s="135">
        <f>+'2010'!H6</f>
        <v>880.5</v>
      </c>
      <c r="J9" s="135">
        <f t="shared" si="2"/>
        <v>-190.79999999999995</v>
      </c>
      <c r="K9" s="120"/>
      <c r="L9" s="74" t="s">
        <v>96</v>
      </c>
    </row>
    <row r="10" spans="1:12" ht="26.25" x14ac:dyDescent="0.25">
      <c r="A10" s="108" t="s">
        <v>14</v>
      </c>
      <c r="B10" s="114" t="s">
        <v>15</v>
      </c>
      <c r="C10" s="73"/>
      <c r="D10" s="135">
        <v>51</v>
      </c>
      <c r="E10" s="135">
        <v>1</v>
      </c>
      <c r="F10" s="119">
        <f t="shared" si="0"/>
        <v>51</v>
      </c>
      <c r="G10" s="135">
        <v>5</v>
      </c>
      <c r="H10" s="119">
        <f t="shared" si="1"/>
        <v>255</v>
      </c>
      <c r="I10" s="135">
        <f>+'2010'!H7</f>
        <v>245</v>
      </c>
      <c r="J10" s="135">
        <f t="shared" si="2"/>
        <v>10</v>
      </c>
      <c r="K10" s="120"/>
      <c r="L10" s="74" t="s">
        <v>48</v>
      </c>
    </row>
    <row r="11" spans="1:12" ht="26.25" x14ac:dyDescent="0.25">
      <c r="A11" s="108" t="s">
        <v>16</v>
      </c>
      <c r="B11" s="114" t="s">
        <v>17</v>
      </c>
      <c r="C11" s="73"/>
      <c r="D11" s="135">
        <v>51</v>
      </c>
      <c r="E11" s="135">
        <v>1</v>
      </c>
      <c r="F11" s="119">
        <f t="shared" si="0"/>
        <v>51</v>
      </c>
      <c r="G11" s="135">
        <v>3</v>
      </c>
      <c r="H11" s="119">
        <f t="shared" si="1"/>
        <v>153</v>
      </c>
      <c r="I11" s="135">
        <f>+'2010'!H8</f>
        <v>147</v>
      </c>
      <c r="J11" s="135">
        <f t="shared" si="2"/>
        <v>6</v>
      </c>
      <c r="K11" s="120"/>
      <c r="L11" s="74" t="s">
        <v>48</v>
      </c>
    </row>
    <row r="12" spans="1:12" ht="26.25" x14ac:dyDescent="0.25">
      <c r="A12" s="108">
        <v>249.11</v>
      </c>
      <c r="B12" s="114" t="s">
        <v>18</v>
      </c>
      <c r="C12" s="73"/>
      <c r="D12" s="135">
        <v>51</v>
      </c>
      <c r="E12" s="135">
        <v>1</v>
      </c>
      <c r="F12" s="119">
        <f t="shared" si="0"/>
        <v>51</v>
      </c>
      <c r="G12" s="135">
        <v>10</v>
      </c>
      <c r="H12" s="119">
        <f t="shared" si="1"/>
        <v>510</v>
      </c>
      <c r="I12" s="135">
        <f>+'2010'!H9</f>
        <v>490</v>
      </c>
      <c r="J12" s="135">
        <f t="shared" si="2"/>
        <v>20</v>
      </c>
      <c r="K12" s="120"/>
      <c r="L12" s="74" t="s">
        <v>48</v>
      </c>
    </row>
    <row r="13" spans="1:12" x14ac:dyDescent="0.25">
      <c r="A13" s="108">
        <v>249.12</v>
      </c>
      <c r="B13" s="113" t="s">
        <v>89</v>
      </c>
      <c r="C13" s="115"/>
      <c r="D13" s="135">
        <v>5</v>
      </c>
      <c r="E13" s="135">
        <v>1</v>
      </c>
      <c r="F13" s="119">
        <f t="shared" si="0"/>
        <v>5</v>
      </c>
      <c r="G13" s="135">
        <v>160</v>
      </c>
      <c r="H13" s="119">
        <f t="shared" si="1"/>
        <v>800</v>
      </c>
      <c r="I13" s="135">
        <f>+'2010'!H10</f>
        <v>800</v>
      </c>
      <c r="J13" s="135">
        <f t="shared" si="2"/>
        <v>0</v>
      </c>
      <c r="K13" s="120"/>
      <c r="L13" s="74"/>
    </row>
    <row r="14" spans="1:12" x14ac:dyDescent="0.25">
      <c r="A14" s="108" t="s">
        <v>20</v>
      </c>
      <c r="B14" s="114" t="s">
        <v>21</v>
      </c>
      <c r="C14" s="73"/>
      <c r="D14" s="135">
        <v>12</v>
      </c>
      <c r="E14" s="135">
        <v>1</v>
      </c>
      <c r="F14" s="119">
        <f t="shared" si="0"/>
        <v>12</v>
      </c>
      <c r="G14" s="135">
        <v>10</v>
      </c>
      <c r="H14" s="119">
        <f t="shared" si="1"/>
        <v>120</v>
      </c>
      <c r="I14" s="135">
        <f>+'2010'!H11</f>
        <v>120</v>
      </c>
      <c r="J14" s="135">
        <f t="shared" si="2"/>
        <v>0</v>
      </c>
      <c r="K14" s="120"/>
      <c r="L14" s="72"/>
    </row>
    <row r="15" spans="1:12" x14ac:dyDescent="0.25">
      <c r="A15" s="108" t="s">
        <v>22</v>
      </c>
      <c r="B15" s="114" t="s">
        <v>23</v>
      </c>
      <c r="C15" s="73"/>
      <c r="D15" s="135">
        <v>12</v>
      </c>
      <c r="E15" s="135">
        <v>1</v>
      </c>
      <c r="F15" s="119">
        <f t="shared" si="0"/>
        <v>12</v>
      </c>
      <c r="G15" s="135">
        <v>15</v>
      </c>
      <c r="H15" s="119">
        <f t="shared" si="1"/>
        <v>180</v>
      </c>
      <c r="I15" s="135">
        <f>+'2010'!H12</f>
        <v>180</v>
      </c>
      <c r="J15" s="135">
        <f t="shared" si="2"/>
        <v>0</v>
      </c>
      <c r="K15" s="120"/>
      <c r="L15" s="72"/>
    </row>
    <row r="16" spans="1:12" s="71" customFormat="1" ht="26.25" x14ac:dyDescent="0.25">
      <c r="A16" s="108" t="s">
        <v>24</v>
      </c>
      <c r="B16" s="114" t="s">
        <v>25</v>
      </c>
      <c r="C16" s="73"/>
      <c r="D16" s="135">
        <v>51</v>
      </c>
      <c r="E16" s="135">
        <v>1</v>
      </c>
      <c r="F16" s="119">
        <f t="shared" si="0"/>
        <v>51</v>
      </c>
      <c r="G16" s="135">
        <v>40</v>
      </c>
      <c r="H16" s="119">
        <f t="shared" si="1"/>
        <v>2040</v>
      </c>
      <c r="I16" s="135">
        <f>+'2010'!H13</f>
        <v>1862</v>
      </c>
      <c r="J16" s="135">
        <f t="shared" si="2"/>
        <v>178</v>
      </c>
      <c r="K16" s="120"/>
      <c r="L16" s="74" t="s">
        <v>51</v>
      </c>
    </row>
    <row r="17" spans="1:12" ht="26.25" x14ac:dyDescent="0.25">
      <c r="A17" s="108" t="s">
        <v>24</v>
      </c>
      <c r="B17" s="122" t="s">
        <v>46</v>
      </c>
      <c r="C17" s="123" t="s">
        <v>49</v>
      </c>
      <c r="D17" s="142">
        <v>51</v>
      </c>
      <c r="E17" s="142">
        <v>1</v>
      </c>
      <c r="F17" s="119">
        <f t="shared" si="0"/>
        <v>51</v>
      </c>
      <c r="G17" s="142">
        <v>2</v>
      </c>
      <c r="H17" s="119">
        <f t="shared" si="1"/>
        <v>102</v>
      </c>
      <c r="I17" s="142">
        <f>+'2010'!H14</f>
        <v>98</v>
      </c>
      <c r="J17" s="135">
        <f t="shared" si="2"/>
        <v>4</v>
      </c>
      <c r="K17" s="120"/>
      <c r="L17" s="74" t="s">
        <v>48</v>
      </c>
    </row>
    <row r="18" spans="1:12" x14ac:dyDescent="0.25">
      <c r="A18" s="240" t="s">
        <v>73</v>
      </c>
      <c r="B18" s="241"/>
      <c r="C18" s="148"/>
      <c r="D18" s="139">
        <f>51+1020</f>
        <v>1071</v>
      </c>
      <c r="E18" s="147">
        <f>+F18/D18</f>
        <v>845.84761904761911</v>
      </c>
      <c r="F18" s="139">
        <f>SUM(F5:F17)</f>
        <v>905902.8</v>
      </c>
      <c r="G18" s="147">
        <f>+H18/F18</f>
        <v>0.26217790694542503</v>
      </c>
      <c r="H18" s="139">
        <f>SUM(H5:H17)</f>
        <v>237507.7</v>
      </c>
      <c r="I18" s="139">
        <f>SUM(I5:I17)</f>
        <v>7762.5</v>
      </c>
      <c r="J18" s="139">
        <f>SUM(J5:J17)</f>
        <v>147.20000000000005</v>
      </c>
      <c r="K18" s="121">
        <f>SUM(K5:K17)</f>
        <v>229598</v>
      </c>
      <c r="L18" s="116"/>
    </row>
    <row r="19" spans="1:12" s="71" customFormat="1" x14ac:dyDescent="0.25">
      <c r="A19" s="234" t="s">
        <v>28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6"/>
    </row>
    <row r="20" spans="1:12" ht="89.25" customHeight="1" x14ac:dyDescent="0.25">
      <c r="A20" s="108">
        <v>249.6</v>
      </c>
      <c r="B20" s="114" t="s">
        <v>29</v>
      </c>
      <c r="C20" s="72"/>
      <c r="D20" s="135">
        <v>900000</v>
      </c>
      <c r="E20" s="143">
        <v>1</v>
      </c>
      <c r="F20" s="119">
        <f>D20*E20</f>
        <v>900000</v>
      </c>
      <c r="G20" s="143">
        <v>0.01</v>
      </c>
      <c r="H20" s="119">
        <f>F20*G20</f>
        <v>9000</v>
      </c>
      <c r="I20" s="136">
        <f>+'2010'!H18</f>
        <v>240921.25</v>
      </c>
      <c r="K20" s="136">
        <f>+H20-I20</f>
        <v>-231921.25</v>
      </c>
      <c r="L20" s="74" t="s">
        <v>99</v>
      </c>
    </row>
    <row r="21" spans="1:12" x14ac:dyDescent="0.25">
      <c r="A21" s="224" t="s">
        <v>94</v>
      </c>
      <c r="B21" s="225"/>
      <c r="C21" s="116"/>
      <c r="D21" s="139">
        <f>D20</f>
        <v>900000</v>
      </c>
      <c r="E21" s="140"/>
      <c r="F21" s="139">
        <f>F20</f>
        <v>900000</v>
      </c>
      <c r="G21" s="140"/>
      <c r="H21" s="139">
        <f>H20</f>
        <v>9000</v>
      </c>
      <c r="I21" s="141">
        <f>I20</f>
        <v>240921.25</v>
      </c>
      <c r="J21" s="141">
        <f>+J20</f>
        <v>0</v>
      </c>
      <c r="K21" s="141">
        <f>+K20</f>
        <v>-231921.25</v>
      </c>
      <c r="L21" s="116"/>
    </row>
    <row r="22" spans="1:12" s="71" customFormat="1" x14ac:dyDescent="0.25">
      <c r="A22" s="221" t="s">
        <v>86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3"/>
    </row>
    <row r="23" spans="1:12" ht="81" customHeight="1" x14ac:dyDescent="0.25">
      <c r="A23" s="108" t="s">
        <v>31</v>
      </c>
      <c r="B23" s="113" t="s">
        <v>32</v>
      </c>
      <c r="C23" s="74"/>
      <c r="D23" s="135">
        <f>9196/2</f>
        <v>4598</v>
      </c>
      <c r="E23" s="143">
        <v>1</v>
      </c>
      <c r="F23" s="119">
        <f>D23*E23</f>
        <v>4598</v>
      </c>
      <c r="G23" s="143">
        <v>0.08</v>
      </c>
      <c r="H23" s="119">
        <f>F23*G23</f>
        <v>367.84000000000003</v>
      </c>
      <c r="I23" s="136">
        <f>+'2010'!H22</f>
        <v>5870</v>
      </c>
      <c r="J23" s="72"/>
      <c r="K23" s="149">
        <f>+H23-I23</f>
        <v>-5502.16</v>
      </c>
      <c r="L23" s="74" t="s">
        <v>100</v>
      </c>
    </row>
    <row r="24" spans="1:12" s="70" customFormat="1" x14ac:dyDescent="0.25">
      <c r="A24" s="224" t="s">
        <v>87</v>
      </c>
      <c r="B24" s="225"/>
      <c r="C24" s="116"/>
      <c r="D24" s="139">
        <f>D23</f>
        <v>4598</v>
      </c>
      <c r="E24" s="140"/>
      <c r="F24" s="139">
        <f>F23</f>
        <v>4598</v>
      </c>
      <c r="G24" s="140"/>
      <c r="H24" s="139">
        <f>H23</f>
        <v>367.84000000000003</v>
      </c>
      <c r="I24" s="141">
        <f>I23</f>
        <v>5870</v>
      </c>
      <c r="J24" s="141">
        <f>+J23</f>
        <v>0</v>
      </c>
      <c r="K24" s="141">
        <f>+K23</f>
        <v>-5502.16</v>
      </c>
      <c r="L24" s="116"/>
    </row>
    <row r="25" spans="1:12" x14ac:dyDescent="0.25">
      <c r="A25" s="242" t="s">
        <v>70</v>
      </c>
      <c r="B25" s="242"/>
      <c r="C25" s="117"/>
      <c r="D25" s="137">
        <f>SUM(D18+D21+D24)</f>
        <v>905669</v>
      </c>
      <c r="E25" s="137"/>
      <c r="F25" s="137">
        <f t="shared" ref="F25:I25" si="3">SUM(F18+F21+F24)</f>
        <v>1810500.8</v>
      </c>
      <c r="G25" s="137"/>
      <c r="H25" s="137">
        <f t="shared" si="3"/>
        <v>246875.54</v>
      </c>
      <c r="I25" s="137">
        <f t="shared" si="3"/>
        <v>254553.75</v>
      </c>
      <c r="J25" s="137">
        <f>SUM(J18+J21+J24)</f>
        <v>147.20000000000005</v>
      </c>
      <c r="K25" s="151">
        <f>SUM(K18+K21+K24)</f>
        <v>-7825.41</v>
      </c>
      <c r="L25" s="125"/>
    </row>
    <row r="26" spans="1:12" x14ac:dyDescent="0.25">
      <c r="A26" s="227" t="s">
        <v>71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9"/>
    </row>
    <row r="27" spans="1:12" x14ac:dyDescent="0.25">
      <c r="A27" s="230" t="s">
        <v>69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</row>
    <row r="28" spans="1:12" ht="39" x14ac:dyDescent="0.25">
      <c r="A28" s="108">
        <v>249.9</v>
      </c>
      <c r="B28" s="72" t="s">
        <v>34</v>
      </c>
      <c r="C28" s="72"/>
      <c r="D28" s="135">
        <v>51</v>
      </c>
      <c r="E28" s="135">
        <f>900000/51</f>
        <v>17647.058823529413</v>
      </c>
      <c r="F28" s="119">
        <v>900000</v>
      </c>
      <c r="G28" s="143">
        <f>+H28/F28</f>
        <v>0.25</v>
      </c>
      <c r="H28" s="119">
        <v>225000</v>
      </c>
      <c r="I28" s="136">
        <f>+'2010'!H26</f>
        <v>240920.75</v>
      </c>
      <c r="J28" s="136">
        <f>+H28-I28</f>
        <v>-15920.75</v>
      </c>
      <c r="K28" s="124"/>
      <c r="L28" s="74" t="s">
        <v>95</v>
      </c>
    </row>
    <row r="29" spans="1:12" ht="26.25" x14ac:dyDescent="0.25">
      <c r="A29" s="108" t="s">
        <v>31</v>
      </c>
      <c r="B29" s="72" t="s">
        <v>35</v>
      </c>
      <c r="C29" s="72"/>
      <c r="D29" s="135">
        <v>51</v>
      </c>
      <c r="E29" s="135">
        <v>1</v>
      </c>
      <c r="F29" s="119">
        <v>51</v>
      </c>
      <c r="G29" s="135">
        <f t="shared" ref="G29:G33" si="4">+H29/F29</f>
        <v>2</v>
      </c>
      <c r="H29" s="119">
        <v>102</v>
      </c>
      <c r="I29" s="136">
        <f>+'2010'!H27</f>
        <v>98</v>
      </c>
      <c r="J29" s="136">
        <f t="shared" ref="J29:J33" si="5">+H29-I29</f>
        <v>4</v>
      </c>
      <c r="K29" s="124"/>
      <c r="L29" s="74" t="s">
        <v>48</v>
      </c>
    </row>
    <row r="30" spans="1:12" ht="26.25" x14ac:dyDescent="0.25">
      <c r="A30" s="108" t="s">
        <v>12</v>
      </c>
      <c r="B30" s="72" t="s">
        <v>36</v>
      </c>
      <c r="C30" s="72"/>
      <c r="D30" s="135">
        <v>51</v>
      </c>
      <c r="E30" s="135">
        <v>1</v>
      </c>
      <c r="F30" s="119">
        <v>51</v>
      </c>
      <c r="G30" s="135">
        <f t="shared" si="4"/>
        <v>2</v>
      </c>
      <c r="H30" s="119">
        <v>102</v>
      </c>
      <c r="I30" s="136">
        <f>+'2010'!H28</f>
        <v>98</v>
      </c>
      <c r="J30" s="136">
        <f t="shared" si="5"/>
        <v>4</v>
      </c>
      <c r="K30" s="124"/>
      <c r="L30" s="74" t="s">
        <v>48</v>
      </c>
    </row>
    <row r="31" spans="1:12" ht="26.25" x14ac:dyDescent="0.25">
      <c r="A31" s="108" t="s">
        <v>50</v>
      </c>
      <c r="B31" s="72" t="s">
        <v>37</v>
      </c>
      <c r="C31" s="72"/>
      <c r="D31" s="135">
        <v>51</v>
      </c>
      <c r="E31" s="135">
        <v>1</v>
      </c>
      <c r="F31" s="119">
        <v>51</v>
      </c>
      <c r="G31" s="135">
        <f t="shared" si="4"/>
        <v>2</v>
      </c>
      <c r="H31" s="119">
        <v>102</v>
      </c>
      <c r="I31" s="136">
        <f>+'2010'!H29</f>
        <v>98</v>
      </c>
      <c r="J31" s="136">
        <f t="shared" si="5"/>
        <v>4</v>
      </c>
      <c r="K31" s="124"/>
      <c r="L31" s="74" t="s">
        <v>48</v>
      </c>
    </row>
    <row r="32" spans="1:12" ht="26.25" x14ac:dyDescent="0.25">
      <c r="A32" s="108" t="s">
        <v>38</v>
      </c>
      <c r="B32" s="72" t="s">
        <v>39</v>
      </c>
      <c r="C32" s="72"/>
      <c r="D32" s="135">
        <v>51</v>
      </c>
      <c r="E32" s="135">
        <v>1</v>
      </c>
      <c r="F32" s="119">
        <v>51</v>
      </c>
      <c r="G32" s="135">
        <f t="shared" si="4"/>
        <v>1</v>
      </c>
      <c r="H32" s="119">
        <v>51</v>
      </c>
      <c r="I32" s="136">
        <f>+'2010'!H30</f>
        <v>49</v>
      </c>
      <c r="J32" s="136">
        <f t="shared" si="5"/>
        <v>2</v>
      </c>
      <c r="K32" s="124"/>
      <c r="L32" s="74" t="s">
        <v>48</v>
      </c>
    </row>
    <row r="33" spans="1:12" ht="29.45" customHeight="1" x14ac:dyDescent="0.25">
      <c r="A33" s="108" t="s">
        <v>40</v>
      </c>
      <c r="B33" s="72" t="s">
        <v>90</v>
      </c>
      <c r="C33" s="72"/>
      <c r="D33" s="135">
        <v>51</v>
      </c>
      <c r="E33" s="135">
        <v>1</v>
      </c>
      <c r="F33" s="119">
        <v>51</v>
      </c>
      <c r="G33" s="135">
        <f t="shared" si="4"/>
        <v>40</v>
      </c>
      <c r="H33" s="119">
        <v>2040</v>
      </c>
      <c r="I33" s="136">
        <f>+'2010'!H31</f>
        <v>1960</v>
      </c>
      <c r="J33" s="136">
        <f t="shared" si="5"/>
        <v>80</v>
      </c>
      <c r="K33" s="124"/>
      <c r="L33" s="74" t="s">
        <v>48</v>
      </c>
    </row>
    <row r="34" spans="1:12" x14ac:dyDescent="0.25">
      <c r="A34" s="231" t="s">
        <v>91</v>
      </c>
      <c r="B34" s="232"/>
      <c r="C34" s="117"/>
      <c r="D34" s="137">
        <f>51</f>
        <v>51</v>
      </c>
      <c r="E34" s="137"/>
      <c r="F34" s="137">
        <f t="shared" ref="F34:K34" si="6">SUM(F28:F33)</f>
        <v>900255</v>
      </c>
      <c r="G34" s="137"/>
      <c r="H34" s="137">
        <f t="shared" si="6"/>
        <v>227397</v>
      </c>
      <c r="I34" s="137">
        <f t="shared" si="6"/>
        <v>243223.75</v>
      </c>
      <c r="J34" s="137">
        <f t="shared" si="6"/>
        <v>-15826.75</v>
      </c>
      <c r="K34" s="137">
        <f t="shared" si="6"/>
        <v>0</v>
      </c>
      <c r="L34" s="125"/>
    </row>
    <row r="35" spans="1:12" x14ac:dyDescent="0.25">
      <c r="A35" s="238" t="s">
        <v>72</v>
      </c>
      <c r="B35" s="239"/>
      <c r="C35" s="107"/>
      <c r="D35" s="138">
        <f>SUM(D25+D34)</f>
        <v>905720</v>
      </c>
      <c r="E35" s="138"/>
      <c r="F35" s="138">
        <f t="shared" ref="F35:K35" si="7">SUM(F25+F34)</f>
        <v>2710755.8</v>
      </c>
      <c r="G35" s="138"/>
      <c r="H35" s="138">
        <f t="shared" si="7"/>
        <v>474272.54000000004</v>
      </c>
      <c r="I35" s="138">
        <f t="shared" si="7"/>
        <v>497777.5</v>
      </c>
      <c r="J35" s="138">
        <f t="shared" si="7"/>
        <v>-15679.55</v>
      </c>
      <c r="K35" s="138">
        <f t="shared" si="7"/>
        <v>-7825.41</v>
      </c>
      <c r="L35" s="126"/>
    </row>
    <row r="36" spans="1:12" x14ac:dyDescent="0.25">
      <c r="D36" s="129"/>
    </row>
    <row r="37" spans="1:12" ht="15.75" thickBot="1" x14ac:dyDescent="0.3">
      <c r="D37" s="149"/>
      <c r="E37" s="150"/>
      <c r="F37" s="149"/>
      <c r="G37" s="150"/>
      <c r="H37" s="149"/>
      <c r="I37" s="149"/>
      <c r="J37" s="149"/>
      <c r="K37" s="149"/>
    </row>
    <row r="38" spans="1:12" ht="39" thickBot="1" x14ac:dyDescent="0.3">
      <c r="B38" s="130" t="s">
        <v>52</v>
      </c>
      <c r="C38" s="130" t="s">
        <v>53</v>
      </c>
      <c r="D38" s="130" t="s">
        <v>54</v>
      </c>
      <c r="E38" s="130" t="s">
        <v>55</v>
      </c>
      <c r="F38" s="131" t="s">
        <v>56</v>
      </c>
      <c r="G38" s="132" t="s">
        <v>57</v>
      </c>
      <c r="I38" s="154"/>
    </row>
    <row r="39" spans="1:12" x14ac:dyDescent="0.25">
      <c r="B39" s="79" t="s">
        <v>58</v>
      </c>
      <c r="C39" s="75">
        <f>+D25</f>
        <v>905669</v>
      </c>
      <c r="D39" s="86">
        <f>+E39/C39</f>
        <v>1.9990756004677206</v>
      </c>
      <c r="E39" s="91">
        <f>+F25</f>
        <v>1810500.8</v>
      </c>
      <c r="F39" s="86">
        <f>+G39/E39</f>
        <v>0.13635759785358836</v>
      </c>
      <c r="G39" s="88">
        <f>+H25</f>
        <v>246875.54</v>
      </c>
    </row>
    <row r="40" spans="1:12" ht="15.75" thickBot="1" x14ac:dyDescent="0.3">
      <c r="B40" s="77" t="s">
        <v>59</v>
      </c>
      <c r="C40" s="80">
        <f>+D34</f>
        <v>51</v>
      </c>
      <c r="D40" s="87">
        <f>+E40/C40</f>
        <v>17652.058823529413</v>
      </c>
      <c r="E40" s="92">
        <f>+F34</f>
        <v>900255</v>
      </c>
      <c r="F40" s="87">
        <f>+G40/E40</f>
        <v>0.25259176566639452</v>
      </c>
      <c r="G40" s="89">
        <f>+H34</f>
        <v>227397</v>
      </c>
    </row>
    <row r="41" spans="1:12" ht="15.75" thickBot="1" x14ac:dyDescent="0.3">
      <c r="B41" s="78" t="s">
        <v>60</v>
      </c>
      <c r="C41" s="76">
        <f>900000+4598+51+1020</f>
        <v>905669</v>
      </c>
      <c r="D41" s="94">
        <f>+E41/C41</f>
        <v>2.9930976990489899</v>
      </c>
      <c r="E41" s="93">
        <f>SUM(E39:E40)</f>
        <v>2710755.8</v>
      </c>
      <c r="F41" s="95">
        <f>+G41/E41</f>
        <v>0.174959522359041</v>
      </c>
      <c r="G41" s="90">
        <f>SUM(G39:G40)</f>
        <v>474272.54000000004</v>
      </c>
    </row>
    <row r="42" spans="1:12" ht="15.75" thickBot="1" x14ac:dyDescent="0.3">
      <c r="B42" s="81"/>
      <c r="C42" s="82"/>
      <c r="D42" s="83"/>
      <c r="E42" s="84"/>
      <c r="F42" s="85"/>
      <c r="G42" s="84"/>
    </row>
    <row r="43" spans="1:12" ht="15.75" thickBot="1" x14ac:dyDescent="0.3">
      <c r="B43" s="133"/>
      <c r="C43" s="130" t="s">
        <v>64</v>
      </c>
      <c r="D43" s="134" t="s">
        <v>65</v>
      </c>
    </row>
    <row r="44" spans="1:12" x14ac:dyDescent="0.25">
      <c r="B44" s="104" t="s">
        <v>61</v>
      </c>
      <c r="C44" s="105">
        <v>1934932</v>
      </c>
      <c r="D44" s="106">
        <v>497778</v>
      </c>
      <c r="E44" s="96"/>
      <c r="F44" s="97"/>
      <c r="G44" s="152"/>
    </row>
    <row r="45" spans="1:12" x14ac:dyDescent="0.25">
      <c r="B45" s="99" t="s">
        <v>62</v>
      </c>
      <c r="C45" s="98">
        <f>+E41</f>
        <v>2710755.8</v>
      </c>
      <c r="D45" s="100">
        <f>+G41</f>
        <v>474272.54000000004</v>
      </c>
      <c r="E45" s="96"/>
      <c r="F45" s="97"/>
      <c r="G45" s="153"/>
    </row>
    <row r="46" spans="1:12" ht="15.75" thickBot="1" x14ac:dyDescent="0.3">
      <c r="B46" s="101" t="s">
        <v>63</v>
      </c>
      <c r="C46" s="102">
        <f>+C45-C44</f>
        <v>775823.79999999981</v>
      </c>
      <c r="D46" s="103">
        <f>+D45-D44</f>
        <v>-23505.459999999963</v>
      </c>
      <c r="E46" s="96"/>
      <c r="F46" s="97"/>
      <c r="G46" s="96"/>
    </row>
  </sheetData>
  <mergeCells count="13">
    <mergeCell ref="A3:L3"/>
    <mergeCell ref="A1:L1"/>
    <mergeCell ref="A26:L26"/>
    <mergeCell ref="A34:B34"/>
    <mergeCell ref="A35:B35"/>
    <mergeCell ref="A18:B18"/>
    <mergeCell ref="A21:B21"/>
    <mergeCell ref="A24:B24"/>
    <mergeCell ref="A25:B25"/>
    <mergeCell ref="A4:L4"/>
    <mergeCell ref="A19:L19"/>
    <mergeCell ref="A22:L22"/>
    <mergeCell ref="A27:L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6"/>
  <sheetViews>
    <sheetView zoomScaleNormal="100" workbookViewId="0">
      <selection activeCell="H33" sqref="H33"/>
    </sheetView>
  </sheetViews>
  <sheetFormatPr defaultColWidth="9.140625" defaultRowHeight="12.75" x14ac:dyDescent="0.2"/>
  <cols>
    <col min="1" max="1" width="14.42578125" style="5" customWidth="1"/>
    <col min="2" max="2" width="38.7109375" style="4" customWidth="1"/>
    <col min="3" max="3" width="10" style="4" customWidth="1"/>
    <col min="4" max="4" width="14.85546875" style="5" customWidth="1"/>
    <col min="5" max="5" width="13.42578125" style="5" customWidth="1"/>
    <col min="6" max="6" width="13.28515625" style="4" customWidth="1"/>
    <col min="7" max="7" width="13.7109375" style="4" customWidth="1"/>
    <col min="8" max="8" width="11.28515625" style="3" bestFit="1" customWidth="1"/>
    <col min="9" max="9" width="10.42578125" style="2" bestFit="1" customWidth="1"/>
    <col min="10" max="47" width="9.140625" style="2"/>
    <col min="48" max="16384" width="9.140625" style="1"/>
  </cols>
  <sheetData>
    <row r="1" spans="1:47" s="64" customFormat="1" ht="35.25" customHeight="1" x14ac:dyDescent="0.25">
      <c r="A1" s="67" t="s">
        <v>0</v>
      </c>
      <c r="B1" s="68" t="s">
        <v>1</v>
      </c>
      <c r="C1" s="68" t="s">
        <v>47</v>
      </c>
      <c r="D1" s="67" t="s">
        <v>2</v>
      </c>
      <c r="E1" s="67" t="s">
        <v>3</v>
      </c>
      <c r="F1" s="68" t="s">
        <v>4</v>
      </c>
      <c r="G1" s="68" t="s">
        <v>5</v>
      </c>
      <c r="H1" s="67" t="s">
        <v>6</v>
      </c>
      <c r="I1" s="66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</row>
    <row r="2" spans="1:47" s="2" customFormat="1" ht="15.75" customHeight="1" x14ac:dyDescent="0.2">
      <c r="A2" s="63" t="s">
        <v>7</v>
      </c>
      <c r="B2" s="62"/>
      <c r="C2" s="62"/>
      <c r="D2" s="62"/>
      <c r="E2" s="62"/>
      <c r="F2" s="62"/>
      <c r="G2" s="62"/>
      <c r="H2" s="61"/>
    </row>
    <row r="3" spans="1:47" s="2" customFormat="1" x14ac:dyDescent="0.2">
      <c r="A3" s="60" t="s">
        <v>8</v>
      </c>
      <c r="B3" s="59"/>
      <c r="C3" s="59"/>
      <c r="D3" s="58"/>
      <c r="E3" s="58"/>
      <c r="F3" s="58"/>
      <c r="G3" s="58"/>
      <c r="H3" s="57"/>
    </row>
    <row r="4" spans="1:47" ht="14.25" customHeight="1" x14ac:dyDescent="0.2">
      <c r="A4" s="31" t="s">
        <v>9</v>
      </c>
      <c r="B4" s="4" t="s">
        <v>10</v>
      </c>
      <c r="D4" s="5">
        <v>490</v>
      </c>
      <c r="E4" s="5">
        <v>1</v>
      </c>
      <c r="F4" s="4">
        <v>490</v>
      </c>
      <c r="G4" s="4">
        <v>2</v>
      </c>
      <c r="H4" s="18">
        <f t="shared" ref="H4:H14" si="0">SUM(F4*G4)</f>
        <v>980</v>
      </c>
      <c r="I4" s="22"/>
    </row>
    <row r="5" spans="1:47" x14ac:dyDescent="0.2">
      <c r="A5" s="21">
        <v>249.4</v>
      </c>
      <c r="B5" s="4" t="s">
        <v>11</v>
      </c>
      <c r="D5" s="5">
        <v>49</v>
      </c>
      <c r="E5" s="5">
        <v>1</v>
      </c>
      <c r="F5" s="4">
        <v>49</v>
      </c>
      <c r="G5" s="4">
        <v>40</v>
      </c>
      <c r="H5" s="18">
        <f t="shared" si="0"/>
        <v>1960</v>
      </c>
    </row>
    <row r="6" spans="1:47" x14ac:dyDescent="0.2">
      <c r="A6" s="31" t="s">
        <v>12</v>
      </c>
      <c r="B6" s="4" t="s">
        <v>13</v>
      </c>
      <c r="D6" s="5">
        <v>587</v>
      </c>
      <c r="E6" s="5">
        <v>1</v>
      </c>
      <c r="F6" s="4">
        <v>587</v>
      </c>
      <c r="G6" s="4">
        <v>1.5</v>
      </c>
      <c r="H6" s="18">
        <f t="shared" si="0"/>
        <v>880.5</v>
      </c>
    </row>
    <row r="7" spans="1:47" x14ac:dyDescent="0.2">
      <c r="A7" s="31" t="s">
        <v>14</v>
      </c>
      <c r="B7" s="4" t="s">
        <v>15</v>
      </c>
      <c r="D7" s="5">
        <v>49</v>
      </c>
      <c r="E7" s="5">
        <v>1</v>
      </c>
      <c r="F7" s="4">
        <v>49</v>
      </c>
      <c r="G7" s="4">
        <v>5</v>
      </c>
      <c r="H7" s="18">
        <f t="shared" si="0"/>
        <v>245</v>
      </c>
    </row>
    <row r="8" spans="1:47" x14ac:dyDescent="0.2">
      <c r="A8" s="31" t="s">
        <v>16</v>
      </c>
      <c r="B8" s="4" t="s">
        <v>17</v>
      </c>
      <c r="D8" s="5">
        <v>49</v>
      </c>
      <c r="E8" s="5">
        <v>1</v>
      </c>
      <c r="F8" s="4">
        <v>49</v>
      </c>
      <c r="G8" s="4">
        <v>3</v>
      </c>
      <c r="H8" s="18">
        <f t="shared" si="0"/>
        <v>147</v>
      </c>
    </row>
    <row r="9" spans="1:47" x14ac:dyDescent="0.2">
      <c r="A9" s="21">
        <v>249.11</v>
      </c>
      <c r="B9" s="4" t="s">
        <v>18</v>
      </c>
      <c r="D9" s="5">
        <v>49</v>
      </c>
      <c r="E9" s="5">
        <v>1</v>
      </c>
      <c r="F9" s="4">
        <v>49</v>
      </c>
      <c r="G9" s="4">
        <v>10</v>
      </c>
      <c r="H9" s="18">
        <f t="shared" si="0"/>
        <v>490</v>
      </c>
    </row>
    <row r="10" spans="1:47" ht="15.75" customHeight="1" x14ac:dyDescent="0.2">
      <c r="A10" s="21">
        <v>249.12</v>
      </c>
      <c r="B10" s="56" t="s">
        <v>19</v>
      </c>
      <c r="D10" s="5">
        <v>5</v>
      </c>
      <c r="E10" s="5">
        <v>1</v>
      </c>
      <c r="F10" s="4">
        <v>5</v>
      </c>
      <c r="G10" s="4">
        <v>160</v>
      </c>
      <c r="H10" s="18">
        <f t="shared" si="0"/>
        <v>800</v>
      </c>
      <c r="I10" s="7"/>
    </row>
    <row r="11" spans="1:47" x14ac:dyDescent="0.2">
      <c r="A11" s="21" t="s">
        <v>20</v>
      </c>
      <c r="B11" s="4" t="s">
        <v>21</v>
      </c>
      <c r="D11" s="5">
        <v>12</v>
      </c>
      <c r="E11" s="5">
        <v>1</v>
      </c>
      <c r="F11" s="4">
        <v>12</v>
      </c>
      <c r="G11" s="4">
        <v>10</v>
      </c>
      <c r="H11" s="18">
        <f t="shared" si="0"/>
        <v>120</v>
      </c>
    </row>
    <row r="12" spans="1:47" x14ac:dyDescent="0.2">
      <c r="A12" s="21" t="s">
        <v>22</v>
      </c>
      <c r="B12" s="4" t="s">
        <v>23</v>
      </c>
      <c r="D12" s="5">
        <v>12</v>
      </c>
      <c r="E12" s="5">
        <v>1</v>
      </c>
      <c r="F12" s="4">
        <v>12</v>
      </c>
      <c r="G12" s="4">
        <v>15</v>
      </c>
      <c r="H12" s="18">
        <f t="shared" si="0"/>
        <v>180</v>
      </c>
    </row>
    <row r="13" spans="1:47" s="14" customFormat="1" x14ac:dyDescent="0.2">
      <c r="A13" s="31" t="s">
        <v>24</v>
      </c>
      <c r="B13" s="4" t="s">
        <v>25</v>
      </c>
      <c r="C13" s="4"/>
      <c r="D13" s="5">
        <v>49</v>
      </c>
      <c r="E13" s="5">
        <v>1</v>
      </c>
      <c r="F13" s="4">
        <v>49</v>
      </c>
      <c r="G13" s="4">
        <v>38</v>
      </c>
      <c r="H13" s="18">
        <f t="shared" si="0"/>
        <v>1862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14" customFormat="1" ht="13.5" thickBot="1" x14ac:dyDescent="0.25">
      <c r="A14" s="31"/>
      <c r="B14" s="4" t="s">
        <v>46</v>
      </c>
      <c r="C14" s="4" t="s">
        <v>45</v>
      </c>
      <c r="D14" s="5">
        <v>49</v>
      </c>
      <c r="E14" s="5">
        <v>1</v>
      </c>
      <c r="F14" s="4">
        <v>49</v>
      </c>
      <c r="G14" s="4">
        <v>2</v>
      </c>
      <c r="H14" s="55">
        <f t="shared" si="0"/>
        <v>98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14" customFormat="1" ht="13.5" thickBot="1" x14ac:dyDescent="0.25">
      <c r="A15" s="54" t="s">
        <v>26</v>
      </c>
      <c r="B15" s="53" t="s">
        <v>27</v>
      </c>
      <c r="C15" s="53"/>
      <c r="D15" s="52">
        <v>587</v>
      </c>
      <c r="E15" s="51"/>
      <c r="F15" s="50">
        <f>SUM(F4:F14)</f>
        <v>1400</v>
      </c>
      <c r="G15" s="49">
        <v>0.17</v>
      </c>
      <c r="H15" s="48">
        <f>SUM(H4:H14)</f>
        <v>7762.5</v>
      </c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2" customFormat="1" x14ac:dyDescent="0.2">
      <c r="A16" s="47" t="s">
        <v>28</v>
      </c>
      <c r="B16" s="46"/>
      <c r="C16" s="46"/>
      <c r="D16" s="46"/>
      <c r="E16" s="46"/>
      <c r="F16" s="46"/>
      <c r="G16" s="46"/>
      <c r="H16" s="45"/>
      <c r="I16" s="9"/>
    </row>
    <row r="17" spans="1:47" s="2" customFormat="1" x14ac:dyDescent="0.2">
      <c r="A17" s="31" t="s">
        <v>8</v>
      </c>
      <c r="B17" s="31"/>
      <c r="C17" s="31"/>
      <c r="D17" s="29"/>
      <c r="E17" s="44"/>
      <c r="F17" s="29"/>
      <c r="G17" s="44"/>
      <c r="H17" s="30"/>
      <c r="I17" s="9"/>
    </row>
    <row r="18" spans="1:47" s="2" customFormat="1" x14ac:dyDescent="0.2">
      <c r="A18" s="21">
        <v>249.6</v>
      </c>
      <c r="B18" s="33" t="s">
        <v>29</v>
      </c>
      <c r="C18" s="31"/>
      <c r="D18" s="32">
        <v>963685</v>
      </c>
      <c r="E18" s="32">
        <v>1</v>
      </c>
      <c r="F18" s="32">
        <v>963685</v>
      </c>
      <c r="G18" s="43">
        <v>0.25</v>
      </c>
      <c r="H18" s="32">
        <f>SUM(D18*G18)</f>
        <v>240921.25</v>
      </c>
      <c r="I18" s="9"/>
    </row>
    <row r="19" spans="1:47" s="2" customFormat="1" x14ac:dyDescent="0.2">
      <c r="A19" s="42" t="s">
        <v>26</v>
      </c>
      <c r="B19" s="42" t="s">
        <v>27</v>
      </c>
      <c r="C19" s="42"/>
      <c r="D19" s="40">
        <f>SUM(D18)</f>
        <v>963685</v>
      </c>
      <c r="E19" s="40"/>
      <c r="F19" s="40">
        <f>SUM(F18)</f>
        <v>963685</v>
      </c>
      <c r="G19" s="41"/>
      <c r="H19" s="40">
        <f>SUM(H18)</f>
        <v>240921.25</v>
      </c>
      <c r="I19" s="9"/>
    </row>
    <row r="20" spans="1:47" s="2" customFormat="1" x14ac:dyDescent="0.2">
      <c r="A20" s="39" t="s">
        <v>30</v>
      </c>
      <c r="B20" s="38"/>
      <c r="C20" s="38"/>
      <c r="D20" s="38"/>
      <c r="E20" s="38"/>
      <c r="F20" s="38"/>
      <c r="G20" s="38"/>
      <c r="H20" s="37"/>
      <c r="I20" s="9"/>
    </row>
    <row r="21" spans="1:47" s="2" customFormat="1" x14ac:dyDescent="0.2">
      <c r="A21" s="36" t="s">
        <v>8</v>
      </c>
      <c r="B21" s="36"/>
      <c r="C21" s="36"/>
      <c r="D21" s="34"/>
      <c r="E21" s="34"/>
      <c r="F21" s="34"/>
      <c r="G21" s="35"/>
      <c r="H21" s="34"/>
      <c r="I21" s="9"/>
    </row>
    <row r="22" spans="1:47" s="2" customFormat="1" x14ac:dyDescent="0.2">
      <c r="A22" s="31" t="s">
        <v>31</v>
      </c>
      <c r="B22" s="33" t="s">
        <v>32</v>
      </c>
      <c r="C22" s="31"/>
      <c r="D22" s="32">
        <v>5870</v>
      </c>
      <c r="E22" s="32">
        <v>1</v>
      </c>
      <c r="F22" s="32">
        <f>SUM(D22*E22)</f>
        <v>5870</v>
      </c>
      <c r="G22" s="32">
        <v>1</v>
      </c>
      <c r="H22" s="32">
        <f>SUM(F22)</f>
        <v>5870</v>
      </c>
      <c r="I22" s="9"/>
    </row>
    <row r="23" spans="1:47" s="2" customFormat="1" x14ac:dyDescent="0.2">
      <c r="A23" s="31" t="s">
        <v>26</v>
      </c>
      <c r="B23" s="31" t="s">
        <v>27</v>
      </c>
      <c r="C23" s="31"/>
      <c r="D23" s="29">
        <f>SUM(D22)</f>
        <v>5870</v>
      </c>
      <c r="E23" s="29"/>
      <c r="F23" s="29">
        <f>SUM(F22)</f>
        <v>5870</v>
      </c>
      <c r="G23" s="30"/>
      <c r="H23" s="29">
        <f>SUM(F23)</f>
        <v>5870</v>
      </c>
      <c r="I23" s="9"/>
    </row>
    <row r="24" spans="1:47" s="2" customFormat="1" x14ac:dyDescent="0.2">
      <c r="A24" s="28" t="s">
        <v>7</v>
      </c>
      <c r="B24" s="27"/>
      <c r="C24" s="27"/>
      <c r="D24" s="27"/>
      <c r="E24" s="27"/>
      <c r="F24" s="27"/>
      <c r="G24" s="27"/>
      <c r="H24" s="26"/>
      <c r="I24" s="9"/>
    </row>
    <row r="25" spans="1:47" x14ac:dyDescent="0.2">
      <c r="A25" s="25" t="s">
        <v>33</v>
      </c>
      <c r="B25" s="24"/>
      <c r="C25" s="24"/>
      <c r="D25" s="24"/>
      <c r="E25" s="24"/>
      <c r="F25" s="24"/>
      <c r="G25" s="24"/>
      <c r="H25" s="23"/>
    </row>
    <row r="26" spans="1:47" x14ac:dyDescent="0.2">
      <c r="A26" s="21">
        <v>249.9</v>
      </c>
      <c r="B26" s="4" t="s">
        <v>34</v>
      </c>
      <c r="D26" s="20">
        <v>49</v>
      </c>
      <c r="E26" s="20">
        <v>19667</v>
      </c>
      <c r="F26" s="19">
        <f>SUM(D26*E26)</f>
        <v>963683</v>
      </c>
      <c r="G26" s="4">
        <v>0.25</v>
      </c>
      <c r="H26" s="20">
        <f t="shared" ref="H26:H31" si="1">SUM(F26*G26)</f>
        <v>240920.75</v>
      </c>
    </row>
    <row r="27" spans="1:47" x14ac:dyDescent="0.2">
      <c r="A27" s="21" t="s">
        <v>31</v>
      </c>
      <c r="B27" s="4" t="s">
        <v>35</v>
      </c>
      <c r="D27" s="20">
        <v>49</v>
      </c>
      <c r="E27" s="20">
        <v>1</v>
      </c>
      <c r="F27" s="19">
        <v>49</v>
      </c>
      <c r="G27" s="19">
        <v>2</v>
      </c>
      <c r="H27" s="20">
        <f t="shared" si="1"/>
        <v>98</v>
      </c>
      <c r="I27" s="22"/>
    </row>
    <row r="28" spans="1:47" x14ac:dyDescent="0.2">
      <c r="A28" s="21" t="s">
        <v>12</v>
      </c>
      <c r="B28" s="4" t="s">
        <v>36</v>
      </c>
      <c r="D28" s="20">
        <v>49</v>
      </c>
      <c r="E28" s="5">
        <v>1</v>
      </c>
      <c r="F28" s="19">
        <v>49</v>
      </c>
      <c r="G28" s="4">
        <v>2</v>
      </c>
      <c r="H28" s="5">
        <f t="shared" si="1"/>
        <v>98</v>
      </c>
    </row>
    <row r="29" spans="1:47" x14ac:dyDescent="0.2">
      <c r="A29" s="21">
        <v>249.11</v>
      </c>
      <c r="B29" s="4" t="s">
        <v>37</v>
      </c>
      <c r="D29" s="20">
        <v>49</v>
      </c>
      <c r="E29" s="5">
        <v>1</v>
      </c>
      <c r="F29" s="19">
        <v>49</v>
      </c>
      <c r="G29" s="4">
        <v>2</v>
      </c>
      <c r="H29" s="5">
        <f t="shared" si="1"/>
        <v>98</v>
      </c>
    </row>
    <row r="30" spans="1:47" x14ac:dyDescent="0.2">
      <c r="A30" s="21" t="s">
        <v>38</v>
      </c>
      <c r="B30" s="4" t="s">
        <v>39</v>
      </c>
      <c r="D30" s="20">
        <v>49</v>
      </c>
      <c r="E30" s="5">
        <v>1</v>
      </c>
      <c r="F30" s="19">
        <v>49</v>
      </c>
      <c r="G30" s="4">
        <v>1</v>
      </c>
      <c r="H30" s="5">
        <f t="shared" si="1"/>
        <v>49</v>
      </c>
    </row>
    <row r="31" spans="1:47" x14ac:dyDescent="0.2">
      <c r="A31" s="21" t="s">
        <v>40</v>
      </c>
      <c r="B31" s="4" t="s">
        <v>41</v>
      </c>
      <c r="D31" s="20">
        <v>49</v>
      </c>
      <c r="E31" s="5">
        <v>1</v>
      </c>
      <c r="F31" s="19">
        <v>49</v>
      </c>
      <c r="G31" s="4">
        <v>40</v>
      </c>
      <c r="H31" s="18">
        <f t="shared" si="1"/>
        <v>1960</v>
      </c>
    </row>
    <row r="32" spans="1:47" s="14" customFormat="1" x14ac:dyDescent="0.2">
      <c r="A32" s="17" t="s">
        <v>26</v>
      </c>
      <c r="B32" s="17" t="s">
        <v>42</v>
      </c>
      <c r="C32" s="17"/>
      <c r="D32" s="15">
        <f>SUM(D26)</f>
        <v>49</v>
      </c>
      <c r="E32" s="15"/>
      <c r="F32" s="15">
        <f>SUM(F26:F31)</f>
        <v>963928</v>
      </c>
      <c r="G32" s="16"/>
      <c r="H32" s="15">
        <f>SUM(H26:H31)</f>
        <v>243223.75</v>
      </c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8" customFormat="1" ht="13.5" thickBot="1" x14ac:dyDescent="0.25">
      <c r="A33" s="13" t="s">
        <v>43</v>
      </c>
      <c r="B33" s="13" t="s">
        <v>44</v>
      </c>
      <c r="C33" s="13"/>
      <c r="D33" s="10">
        <f>SUM(D15+D19+D23)</f>
        <v>970142</v>
      </c>
      <c r="E33" s="12"/>
      <c r="F33" s="10">
        <f>SUM(F15+F19+F23+F32+D32)</f>
        <v>1934932</v>
      </c>
      <c r="G33" s="11"/>
      <c r="H33" s="10">
        <f>SUM(H15+H19+H23+H32)</f>
        <v>497777.5</v>
      </c>
      <c r="I33" s="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2" customFormat="1" ht="13.5" thickTop="1" x14ac:dyDescent="0.2">
      <c r="F34" s="22"/>
      <c r="H34" s="22"/>
    </row>
    <row r="35" spans="1:47" s="2" customFormat="1" x14ac:dyDescent="0.2"/>
    <row r="36" spans="1:47" s="2" customFormat="1" x14ac:dyDescent="0.2"/>
    <row r="37" spans="1:47" s="2" customFormat="1" x14ac:dyDescent="0.2"/>
    <row r="38" spans="1:47" s="2" customFormat="1" x14ac:dyDescent="0.2"/>
    <row r="39" spans="1:47" s="2" customFormat="1" x14ac:dyDescent="0.2">
      <c r="G39" s="6"/>
    </row>
    <row r="40" spans="1:47" s="2" customFormat="1" x14ac:dyDescent="0.2"/>
    <row r="41" spans="1:47" s="2" customFormat="1" x14ac:dyDescent="0.2"/>
    <row r="42" spans="1:47" s="2" customFormat="1" x14ac:dyDescent="0.2"/>
    <row r="43" spans="1:47" s="2" customFormat="1" x14ac:dyDescent="0.2"/>
    <row r="44" spans="1:47" s="2" customFormat="1" x14ac:dyDescent="0.2"/>
    <row r="45" spans="1:47" s="2" customFormat="1" x14ac:dyDescent="0.2"/>
    <row r="46" spans="1:47" s="2" customFormat="1" x14ac:dyDescent="0.2"/>
    <row r="47" spans="1:47" s="2" customFormat="1" x14ac:dyDescent="0.2"/>
    <row r="48" spans="1:4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</sheetData>
  <pageMargins left="0.5" right="0.5" top="1" bottom="0.75" header="0.25" footer="0.5"/>
  <pageSetup orientation="landscape" r:id="rId1"/>
  <headerFooter alignWithMargins="0">
    <oddHeader>&amp;COMB #0584-0541
Senior Farmers' Market Program (SFMNP)
 Reporting and Recordkeeping Requirements&amp;RJanuary 2010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2013</vt:lpstr>
      <vt:lpstr>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2016-05-17T16:42:31Z</cp:lastPrinted>
  <dcterms:created xsi:type="dcterms:W3CDTF">2012-09-04T15:22:05Z</dcterms:created>
  <dcterms:modified xsi:type="dcterms:W3CDTF">2016-09-28T21:04:19Z</dcterms:modified>
</cp:coreProperties>
</file>