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General Clearance Grant applications + forms 3137-0029 3137-0071\2015 general clearance\Generic Clearance to OMB\Supporting materials for 0029 and 0071\"/>
    </mc:Choice>
  </mc:AlternateContent>
  <bookViews>
    <workbookView xWindow="60" yWindow="5265" windowWidth="19140" windowHeight="6330" tabRatio="903" activeTab="2"/>
  </bookViews>
  <sheets>
    <sheet name="1. Justification Statement Calc" sheetId="4" r:id="rId1"/>
    <sheet name="2. Applications by Program-0029" sheetId="2" r:id="rId2"/>
    <sheet name="3. Applications by Form--0071 " sheetId="3" r:id="rId3"/>
    <sheet name="4. Post-award Forms--0071" sheetId="1" r:id="rId4"/>
    <sheet name="5. Small entity &amp; report elect." sheetId="5" r:id="rId5"/>
    <sheet name="6. Standard Forms" sheetId="6" r:id="rId6"/>
  </sheets>
  <definedNames>
    <definedName name="_xlnm.Print_Area" localSheetId="1">'2. Applications by Program-0029'!$A$1:$AH$62</definedName>
  </definedNames>
  <calcPr calcId="152511"/>
</workbook>
</file>

<file path=xl/calcChain.xml><?xml version="1.0" encoding="utf-8"?>
<calcChain xmlns="http://schemas.openxmlformats.org/spreadsheetml/2006/main">
  <c r="C37" i="2" l="1"/>
  <c r="E36" i="2"/>
  <c r="E35" i="2"/>
  <c r="E34" i="2"/>
  <c r="E33" i="2"/>
  <c r="E34" i="3"/>
  <c r="E33" i="3"/>
  <c r="E32" i="3"/>
  <c r="E31" i="3"/>
  <c r="E30" i="3"/>
  <c r="D33" i="3"/>
  <c r="D32" i="3"/>
  <c r="D31" i="3"/>
  <c r="D30" i="3"/>
  <c r="D36" i="2"/>
  <c r="D35" i="2"/>
  <c r="D34" i="2"/>
  <c r="F34" i="2" s="1"/>
  <c r="G34" i="2" s="1"/>
  <c r="D33" i="2"/>
  <c r="B37" i="2"/>
  <c r="E37" i="2" l="1"/>
  <c r="F36" i="2"/>
  <c r="G36" i="2" s="1"/>
  <c r="F33" i="2"/>
  <c r="G33" i="2" s="1"/>
  <c r="I34" i="2"/>
  <c r="J34" i="2" s="1"/>
  <c r="F35" i="2"/>
  <c r="D37" i="2"/>
  <c r="C25" i="5"/>
  <c r="I33" i="2" l="1"/>
  <c r="J33" i="2" s="1"/>
  <c r="I36" i="2"/>
  <c r="J36" i="2" s="1"/>
  <c r="G35" i="2"/>
  <c r="G37" i="2" s="1"/>
  <c r="I35" i="2"/>
  <c r="J35" i="2" s="1"/>
  <c r="F37" i="2"/>
  <c r="B11" i="5"/>
  <c r="C7" i="5"/>
  <c r="C23" i="2" l="1"/>
  <c r="B23" i="2"/>
  <c r="D41" i="1"/>
  <c r="E41" i="1" s="1"/>
  <c r="B9" i="6" l="1"/>
  <c r="D9" i="6" s="1"/>
  <c r="E9" i="6" s="1"/>
  <c r="D8" i="6"/>
  <c r="E8" i="6" s="1"/>
  <c r="C10" i="1"/>
  <c r="C9" i="1"/>
  <c r="C8" i="1"/>
  <c r="C7" i="1"/>
  <c r="C4" i="1"/>
  <c r="C3" i="1"/>
  <c r="D9" i="3"/>
  <c r="E9" i="3" s="1"/>
  <c r="D8" i="3"/>
  <c r="E8" i="3" s="1"/>
  <c r="B18" i="3"/>
  <c r="D18" i="3" s="1"/>
  <c r="E18" i="3" s="1"/>
  <c r="B19" i="3"/>
  <c r="D19" i="3" s="1"/>
  <c r="E19" i="3" s="1"/>
  <c r="B20" i="3"/>
  <c r="D20" i="3" s="1"/>
  <c r="E20" i="3" s="1"/>
  <c r="B21" i="3"/>
  <c r="B7" i="3" s="1"/>
  <c r="D7" i="3" s="1"/>
  <c r="E7" i="3" s="1"/>
  <c r="B22" i="3"/>
  <c r="D22" i="3" s="1"/>
  <c r="E22" i="3" s="1"/>
  <c r="B23" i="3"/>
  <c r="D23" i="3" s="1"/>
  <c r="E23" i="3" s="1"/>
  <c r="B24" i="3"/>
  <c r="D24" i="3" s="1"/>
  <c r="E24" i="3" s="1"/>
  <c r="B17" i="3"/>
  <c r="D17" i="3" s="1"/>
  <c r="E17" i="3" s="1"/>
  <c r="D21" i="2"/>
  <c r="F21" i="2" s="1"/>
  <c r="D19" i="2"/>
  <c r="D4" i="2"/>
  <c r="D5" i="2"/>
  <c r="D6" i="2"/>
  <c r="D7" i="2"/>
  <c r="D8" i="2"/>
  <c r="D9" i="2"/>
  <c r="D10" i="2"/>
  <c r="D11" i="2"/>
  <c r="D3" i="2"/>
  <c r="G21" i="2" l="1"/>
  <c r="I21" i="2"/>
  <c r="D23" i="2"/>
  <c r="D21" i="3"/>
  <c r="E21" i="3" s="1"/>
  <c r="B2" i="6"/>
  <c r="B3" i="6" l="1"/>
  <c r="D3" i="6" s="1"/>
  <c r="E3" i="6" s="1"/>
  <c r="D2" i="6"/>
  <c r="E2" i="6" s="1"/>
  <c r="B6" i="3"/>
  <c r="D6" i="3" s="1"/>
  <c r="E6" i="3" s="1"/>
  <c r="D4" i="6" l="1"/>
  <c r="B4" i="6"/>
  <c r="D18" i="1"/>
  <c r="E18" i="1" s="1"/>
  <c r="I8" i="1"/>
  <c r="I6" i="1"/>
  <c r="I3" i="1"/>
  <c r="I9" i="1" l="1"/>
  <c r="I5" i="1"/>
  <c r="I4" i="1"/>
  <c r="F19" i="2" l="1"/>
  <c r="I19" i="2" s="1"/>
  <c r="J19" i="2" s="1"/>
  <c r="F23" i="2" l="1"/>
  <c r="G19" i="2"/>
  <c r="G23" i="2" s="1"/>
  <c r="K7" i="1"/>
  <c r="C13" i="2" l="1"/>
  <c r="C11" i="3"/>
  <c r="C31" i="1"/>
  <c r="E3" i="2" l="1"/>
  <c r="E4" i="6" l="1"/>
  <c r="C21" i="1"/>
  <c r="B21" i="1"/>
  <c r="C30" i="1" l="1"/>
  <c r="D20" i="1"/>
  <c r="E20" i="1" s="1"/>
  <c r="C5" i="1" l="1"/>
  <c r="C6" i="1"/>
  <c r="C33" i="1"/>
  <c r="C35" i="1" s="1"/>
  <c r="B25" i="3"/>
  <c r="C12" i="1" l="1"/>
  <c r="B12" i="2"/>
  <c r="C12" i="2"/>
  <c r="B4" i="4" l="1"/>
  <c r="B26" i="2"/>
  <c r="B11" i="1"/>
  <c r="D10" i="1"/>
  <c r="E10" i="1" s="1"/>
  <c r="J10" i="1"/>
  <c r="J25" i="3"/>
  <c r="H25" i="3"/>
  <c r="I25" i="3"/>
  <c r="B5" i="5" l="1"/>
  <c r="B4" i="3"/>
  <c r="D4" i="3" s="1"/>
  <c r="E4" i="3" s="1"/>
  <c r="B3" i="3"/>
  <c r="D3" i="3" s="1"/>
  <c r="E3" i="3" s="1"/>
  <c r="B4" i="5"/>
  <c r="B6" i="5"/>
  <c r="B5" i="3"/>
  <c r="D5" i="3" s="1"/>
  <c r="E5" i="3" s="1"/>
  <c r="J27" i="3"/>
  <c r="J3" i="1"/>
  <c r="J5" i="1"/>
  <c r="J9" i="1"/>
  <c r="J8" i="1"/>
  <c r="K11" i="1"/>
  <c r="B29" i="1" s="1"/>
  <c r="D29" i="1" s="1"/>
  <c r="E29" i="1" s="1"/>
  <c r="J6" i="1"/>
  <c r="J4" i="1"/>
  <c r="C11" i="1"/>
  <c r="D3" i="1"/>
  <c r="E3" i="1" s="1"/>
  <c r="D5" i="1"/>
  <c r="E5" i="1" s="1"/>
  <c r="D9" i="1"/>
  <c r="E9" i="1" s="1"/>
  <c r="D8" i="1"/>
  <c r="E8" i="1" s="1"/>
  <c r="D7" i="1"/>
  <c r="E7" i="1" s="1"/>
  <c r="D6" i="1"/>
  <c r="E6" i="1" s="1"/>
  <c r="D4" i="1"/>
  <c r="E4" i="1" s="1"/>
  <c r="F11" i="2"/>
  <c r="B10" i="3"/>
  <c r="D17" i="1"/>
  <c r="E17" i="1" s="1"/>
  <c r="D19" i="1"/>
  <c r="E19" i="1" s="1"/>
  <c r="G11" i="2" l="1"/>
  <c r="I11" i="2"/>
  <c r="J11" i="2" s="1"/>
  <c r="B7" i="5"/>
  <c r="B9" i="5"/>
  <c r="E9" i="2"/>
  <c r="F9" i="2" s="1"/>
  <c r="B36" i="1"/>
  <c r="B9" i="4"/>
  <c r="E4" i="2"/>
  <c r="F4" i="2" s="1"/>
  <c r="E10" i="2"/>
  <c r="F10" i="2" s="1"/>
  <c r="E8" i="2"/>
  <c r="F8" i="2" s="1"/>
  <c r="E7" i="2"/>
  <c r="F7" i="2" s="1"/>
  <c r="E6" i="2"/>
  <c r="F6" i="2" s="1"/>
  <c r="E5" i="2"/>
  <c r="F5" i="2" s="1"/>
  <c r="F3" i="2"/>
  <c r="D11" i="1"/>
  <c r="E11" i="1"/>
  <c r="D21" i="1"/>
  <c r="E21" i="1"/>
  <c r="D25" i="3"/>
  <c r="I11" i="1"/>
  <c r="J11" i="1"/>
  <c r="B28" i="1" s="1"/>
  <c r="D28" i="1" s="1"/>
  <c r="E28" i="1" s="1"/>
  <c r="D12" i="2"/>
  <c r="C23" i="1"/>
  <c r="B23" i="1"/>
  <c r="C10" i="3"/>
  <c r="C36" i="1" s="1"/>
  <c r="C37" i="1" s="1"/>
  <c r="G6" i="2" l="1"/>
  <c r="I6" i="2"/>
  <c r="J6" i="2" s="1"/>
  <c r="G4" i="2"/>
  <c r="I4" i="2"/>
  <c r="J4" i="2" s="1"/>
  <c r="G7" i="2"/>
  <c r="I7" i="2"/>
  <c r="J7" i="2" s="1"/>
  <c r="G8" i="2"/>
  <c r="I8" i="2"/>
  <c r="J8" i="2" s="1"/>
  <c r="G3" i="2"/>
  <c r="I3" i="2"/>
  <c r="J3" i="2" s="1"/>
  <c r="G5" i="2"/>
  <c r="I5" i="2"/>
  <c r="J5" i="2" s="1"/>
  <c r="G10" i="2"/>
  <c r="I10" i="2"/>
  <c r="J10" i="2" s="1"/>
  <c r="G9" i="2"/>
  <c r="I9" i="2"/>
  <c r="J9" i="2" s="1"/>
  <c r="B27" i="1"/>
  <c r="B7" i="6"/>
  <c r="D7" i="6" s="1"/>
  <c r="E7" i="6" s="1"/>
  <c r="E25" i="3"/>
  <c r="E12" i="2"/>
  <c r="F12" i="2"/>
  <c r="E23" i="1"/>
  <c r="E10" i="3"/>
  <c r="D23" i="1"/>
  <c r="D10" i="3"/>
  <c r="G12" i="2" l="1"/>
  <c r="G26" i="2" s="1"/>
  <c r="D4" i="4"/>
  <c r="F4" i="4" s="1"/>
  <c r="B10" i="6"/>
  <c r="B30" i="1"/>
  <c r="B33" i="1" s="1"/>
  <c r="B10" i="4" s="1"/>
  <c r="D27" i="1"/>
  <c r="D9" i="4"/>
  <c r="F9" i="4" s="1"/>
  <c r="D36" i="1"/>
  <c r="B11" i="4" l="1"/>
  <c r="B14" i="4" s="1"/>
  <c r="B35" i="1"/>
  <c r="B37" i="1" s="1"/>
  <c r="E10" i="6"/>
  <c r="D10" i="6"/>
  <c r="E27" i="1"/>
  <c r="E30" i="1" s="1"/>
  <c r="E33" i="1" s="1"/>
  <c r="D30" i="1"/>
  <c r="D33" i="1" s="1"/>
  <c r="D10" i="4" s="1"/>
  <c r="F10" i="4" s="1"/>
  <c r="E36" i="1"/>
  <c r="D35" i="1" l="1"/>
  <c r="F11" i="4" l="1"/>
  <c r="F14" i="4" s="1"/>
  <c r="D11" i="4"/>
  <c r="D14" i="4" s="1"/>
  <c r="E35" i="1"/>
  <c r="E37" i="1" s="1"/>
  <c r="D37" i="1"/>
</calcChain>
</file>

<file path=xl/sharedStrings.xml><?xml version="1.0" encoding="utf-8"?>
<sst xmlns="http://schemas.openxmlformats.org/spreadsheetml/2006/main" count="224" uniqueCount="151">
  <si>
    <t>Cost</t>
  </si>
  <si>
    <t>State Grants Final Year Report (SPR)</t>
  </si>
  <si>
    <t>Native American Library Services Grants: Basic - 1 yr.</t>
  </si>
  <si>
    <t>Laura Bush 21st Century Librarian - 3 yr.</t>
  </si>
  <si>
    <t>TOTALS</t>
  </si>
  <si>
    <t>Totals</t>
  </si>
  <si>
    <t xml:space="preserve">Post-award forms: individual report  forms for discretionary grant programs </t>
  </si>
  <si>
    <t>Preparing/submitting grant applications by grant program</t>
  </si>
  <si>
    <t>Time per response (in hours)</t>
  </si>
  <si>
    <t xml:space="preserve">Museums for America (MFA)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</si>
  <si>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</si>
  <si>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</si>
  <si>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</si>
  <si>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</si>
  <si>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</si>
  <si>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Grants to State Libraries Program - five year plan</t>
  </si>
  <si>
    <t>Programs that use the form</t>
  </si>
  <si>
    <t xml:space="preserve">Application forms </t>
  </si>
  <si>
    <t>Program Information Sheet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</si>
  <si>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</si>
  <si>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</si>
  <si>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</si>
  <si>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</si>
  <si>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</si>
  <si>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</si>
  <si>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Burden hours for non-form application pieces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</si>
  <si>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</si>
  <si>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</si>
  <si>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</si>
  <si>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</si>
  <si>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</si>
  <si>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</si>
  <si>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</si>
  <si>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</si>
  <si>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</si>
  <si>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</si>
  <si>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</si>
  <si>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</si>
  <si>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</si>
  <si>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</si>
  <si>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</si>
  <si>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</si>
  <si>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</si>
  <si>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</si>
  <si>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</si>
  <si>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Reporting forms - includes discretionary and grants to states</t>
  </si>
  <si>
    <t>Native American Library Services Grants: Basic</t>
  </si>
  <si>
    <t>Native American Library Services Grants: Enhancement</t>
  </si>
  <si>
    <t>NM for Museum/Library</t>
  </si>
  <si>
    <t>All except National Medal and State Programs</t>
  </si>
  <si>
    <t>Time per response (hours)</t>
  </si>
  <si>
    <t>Post-award burden cost calculation by discretionary grant program</t>
  </si>
  <si>
    <t>Basis for calculation (number of reports)</t>
  </si>
  <si>
    <t>Total Burden Hours</t>
  </si>
  <si>
    <t>Burden Calculation for Generic Forms</t>
  </si>
  <si>
    <t>Burden Calculation for Program Specific Forms</t>
  </si>
  <si>
    <t>Post-award forms: Grants to States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</si>
  <si>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</si>
  <si>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</si>
  <si>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</si>
  <si>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</si>
  <si>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</si>
  <si>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</si>
  <si>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</si>
  <si>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1 final</t>
  </si>
  <si>
    <t>Number of Respondents</t>
  </si>
  <si>
    <t>min/hr</t>
  </si>
  <si>
    <t>3 hours</t>
  </si>
  <si>
    <t>60 minutes</t>
  </si>
  <si>
    <t>30 minutes</t>
  </si>
  <si>
    <t>15 minutes</t>
  </si>
  <si>
    <t>PIS</t>
  </si>
  <si>
    <t>Dig</t>
  </si>
  <si>
    <t>apps- 0071</t>
  </si>
  <si>
    <t>National Leadership Grant - 3 yr. Museums/Libraries</t>
  </si>
  <si>
    <t>Number of Responses (FY2014)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</si>
  <si>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2013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</si>
  <si>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2013</t>
    </r>
  </si>
  <si>
    <r>
      <t>Cost (27.67 per hour)</t>
    </r>
    <r>
      <rPr>
        <b/>
        <vertAlign val="superscript"/>
        <sz val="10"/>
        <rFont val="Arial"/>
        <family val="2"/>
      </rPr>
      <t>1</t>
    </r>
  </si>
  <si>
    <t>Cost  (27.67 per hour)1</t>
  </si>
  <si>
    <t>State Grant Final Financial Report - States</t>
  </si>
  <si>
    <t>State Grants Final Financial Report - territories</t>
  </si>
  <si>
    <t>Year</t>
  </si>
  <si>
    <t xml:space="preserve">Average time per response </t>
  </si>
  <si>
    <t>Average time per response</t>
  </si>
  <si>
    <t>Ave. time per resp.</t>
  </si>
  <si>
    <t>Reporting forms</t>
  </si>
  <si>
    <t>Number of Respondents for Small Entity (FY2014)</t>
  </si>
  <si>
    <t>Percentage of Respondents Reporting Electronically (FY2014)</t>
  </si>
  <si>
    <t>Administered through the American Alliance of Museums</t>
  </si>
  <si>
    <t>Estimated burden hours and costs for grant applications by grant program</t>
  </si>
  <si>
    <t>Digital Stewardship Supplementary Information Form</t>
  </si>
  <si>
    <t>Budget form</t>
  </si>
  <si>
    <t>Museums for America (MFA) - 3 yr.</t>
  </si>
  <si>
    <t>2 interims, 1 final</t>
  </si>
  <si>
    <t>Museum Grants for African American History and Culture - 3 yr.</t>
  </si>
  <si>
    <t>Native American/Native Hawaiian Museum Services - 3 yr.</t>
  </si>
  <si>
    <t>Interim Performance Report</t>
  </si>
  <si>
    <t>Final Performance Report</t>
  </si>
  <si>
    <t>SF-3881 (reporting)</t>
  </si>
  <si>
    <t>Administered through Heritage Preservation in 2014</t>
  </si>
  <si>
    <t>Sparks - 1 yr.</t>
  </si>
  <si>
    <t>Ave. time per response</t>
  </si>
  <si>
    <t>5 minutes</t>
  </si>
  <si>
    <t>Native American Library Services: Basic Grant Budget Form</t>
  </si>
  <si>
    <t xml:space="preserve">All except NAG Basic,  National Medal, and State Programs </t>
  </si>
  <si>
    <t>1 interim, 1 final</t>
  </si>
  <si>
    <t>State Grant Interim Financial Report</t>
  </si>
  <si>
    <t>11 interims</t>
  </si>
  <si>
    <t>1 NA-Basic final</t>
  </si>
  <si>
    <t>8 final</t>
  </si>
  <si>
    <t>1 year grant: 12.22 hours; 15.39 year grant: 10 hours; 3 year grant: 18.56 hours</t>
  </si>
  <si>
    <t>Totals for discretionary grants and Grants to States</t>
  </si>
  <si>
    <t>Total State Grant responses (line 22) + Total Discretionary responses (line 31)</t>
  </si>
  <si>
    <t>life of grant</t>
  </si>
  <si>
    <t>Programs that use the Form</t>
  </si>
  <si>
    <t>State Programs</t>
  </si>
  <si>
    <t xml:space="preserve">All </t>
  </si>
  <si>
    <t>Museum and library reviewers</t>
  </si>
  <si>
    <t>SF-424S (application; OMB 4040-0004)</t>
  </si>
  <si>
    <t>All except NA-Basic and State Programs</t>
  </si>
  <si>
    <t>SF-424B (application; OMB 4040-0007)
(submitted once during the five-year plan period and resubmitted if there is a change in the authorized certifying official)</t>
  </si>
  <si>
    <t>LB21, MFA, AAHC, NLG (incl. Sparks), NA-Enhancement, NANH</t>
  </si>
  <si>
    <t>SF-270 
([total grantees for all programs x maximum years of grant] x 2 + 10 National Medalists)</t>
  </si>
  <si>
    <t>SF-425 (financial reporting; OMB 0348-0061)
(interim + final reports on "post-award forms 0071" tab + 10 National Medalists)</t>
  </si>
  <si>
    <t>Burden hours for application forms (tab 3)</t>
  </si>
  <si>
    <t>National Leadership Grant (includes Sparks!) *</t>
  </si>
  <si>
    <t>* 250 (182 NLG [incl. cooperative agreements] + 68 Sparks) for libraries + 105 (70 NLG + 29 Sparks + 6 cooperative agreements) for museums</t>
  </si>
  <si>
    <t>CAP One-year Evaluation form</t>
  </si>
  <si>
    <t>Museum Assessment Program (MAP) Application</t>
  </si>
  <si>
    <t>CAP and MAP TOTALS</t>
  </si>
  <si>
    <t>CAP and MAP</t>
  </si>
  <si>
    <t>CAP</t>
  </si>
  <si>
    <t>all 3</t>
  </si>
  <si>
    <t>Program info</t>
  </si>
  <si>
    <t>Program info &amp; Budget</t>
  </si>
  <si>
    <t>Percentage of small entities</t>
  </si>
  <si>
    <t>Museum Assessment Program</t>
  </si>
  <si>
    <t>hours for ROCIS / time per response</t>
  </si>
  <si>
    <t>burden recalculated5/28/2015</t>
  </si>
  <si>
    <t>Conservation Assessment Program (CAP) Application *</t>
  </si>
  <si>
    <t>* CAP will not be submitted with this Clearance at this time.</t>
  </si>
  <si>
    <t>ROCIS wage/ROCIS hours per 1 response</t>
  </si>
  <si>
    <t>10 interims, 7 finals, 1 NA-Basic final</t>
  </si>
  <si>
    <t>NLG Libraries</t>
  </si>
  <si>
    <t>NLG Museums</t>
  </si>
  <si>
    <t>Sparks Libraries</t>
  </si>
  <si>
    <t>Sparks Museums</t>
  </si>
  <si>
    <t>National Leadership Grant (includes Sparks!)*</t>
  </si>
  <si>
    <t>NLG Breakdown</t>
  </si>
  <si>
    <t>*NLG Libraries &amp; Museums + Sparks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</si>
</sst>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0.000000"/>
    <numFmt numFmtId="167" formatCode="0.0000"/>
    <numFmt numFmtId="168" formatCode="_(* #,##0_);_(* \(#,##0\);_(* &quot;-&quot;??_);_(@_)"/>
  </numFmts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0" fillId="0" borderId="2" xfId="0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>
      <alignment horizontal="right"/>
    </xf>
    <xf numFmtId="0" fontId="3" fillId="0" borderId="2" xfId="0" applyNumberFormat="1" applyFont="1" applyFill="1" applyBorder="1" applyAlignment="1">
      <alignment horizontal="right" wrapText="1"/>
    </xf>
    <xf numFmtId="0" fontId="2" fillId="8" borderId="0" xfId="0" applyFont="1" applyFill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3" fillId="0" borderId="0" xfId="0" applyFont="1"/>
    <xf numFmtId="2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wrapText="1"/>
    </xf>
    <xf numFmtId="2" fontId="2" fillId="0" borderId="0" xfId="0" applyNumberFormat="1" applyFont="1"/>
    <xf numFmtId="0" fontId="0" fillId="0" borderId="0" xfId="0" applyFill="1" applyBorder="1" applyAlignment="1">
      <alignment vertical="top" wrapText="1"/>
    </xf>
    <xf numFmtId="0" fontId="2" fillId="0" borderId="5" xfId="0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4" fontId="2" fillId="0" borderId="0" xfId="0" applyNumberFormat="1" applyFont="1"/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wrapText="1"/>
    </xf>
    <xf numFmtId="2" fontId="0" fillId="0" borderId="0" xfId="0" applyNumberFormat="1"/>
    <xf numFmtId="165" fontId="2" fillId="0" borderId="0" xfId="0" applyNumberFormat="1" applyFont="1"/>
    <xf numFmtId="0" fontId="14" fillId="0" borderId="0" xfId="0" applyFont="1" applyAlignment="1">
      <alignment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6" xfId="0" applyBorder="1"/>
    <xf numFmtId="0" fontId="2" fillId="3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5" borderId="7" xfId="0" applyFont="1" applyFill="1" applyBorder="1"/>
    <xf numFmtId="4" fontId="2" fillId="5" borderId="7" xfId="0" applyNumberFormat="1" applyFont="1" applyFill="1" applyBorder="1"/>
    <xf numFmtId="165" fontId="3" fillId="5" borderId="7" xfId="0" applyNumberFormat="1" applyFont="1" applyFill="1" applyBorder="1" applyAlignment="1">
      <alignment vertical="top" wrapText="1"/>
    </xf>
    <xf numFmtId="166" fontId="2" fillId="9" borderId="2" xfId="0" applyNumberFormat="1" applyFont="1" applyFill="1" applyBorder="1" applyAlignment="1">
      <alignment horizontal="right" wrapText="1"/>
    </xf>
    <xf numFmtId="16" fontId="0" fillId="0" borderId="0" xfId="0" applyNumberFormat="1"/>
    <xf numFmtId="3" fontId="2" fillId="3" borderId="7" xfId="0" applyNumberFormat="1" applyFont="1" applyFill="1" applyBorder="1"/>
    <xf numFmtId="4" fontId="2" fillId="3" borderId="7" xfId="0" applyNumberFormat="1" applyFont="1" applyFill="1" applyBorder="1"/>
    <xf numFmtId="165" fontId="2" fillId="3" borderId="7" xfId="0" applyNumberFormat="1" applyFont="1" applyFill="1" applyBorder="1"/>
    <xf numFmtId="4" fontId="2" fillId="10" borderId="7" xfId="0" applyNumberFormat="1" applyFont="1" applyFill="1" applyBorder="1"/>
    <xf numFmtId="0" fontId="2" fillId="10" borderId="7" xfId="0" applyFont="1" applyFill="1" applyBorder="1"/>
    <xf numFmtId="3" fontId="2" fillId="10" borderId="7" xfId="0" applyNumberFormat="1" applyFont="1" applyFill="1" applyBorder="1" applyAlignment="1">
      <alignment horizontal="right" wrapText="1"/>
    </xf>
    <xf numFmtId="4" fontId="2" fillId="10" borderId="7" xfId="0" applyNumberFormat="1" applyFont="1" applyFill="1" applyBorder="1" applyAlignment="1">
      <alignment horizontal="right" wrapText="1"/>
    </xf>
    <xf numFmtId="165" fontId="2" fillId="10" borderId="7" xfId="0" applyNumberFormat="1" applyFont="1" applyFill="1" applyBorder="1" applyAlignment="1">
      <alignment wrapText="1"/>
    </xf>
    <xf numFmtId="167" fontId="2" fillId="9" borderId="6" xfId="0" applyNumberFormat="1" applyFont="1" applyFill="1" applyBorder="1"/>
    <xf numFmtId="4" fontId="2" fillId="0" borderId="6" xfId="0" applyNumberFormat="1" applyFont="1" applyFill="1" applyBorder="1" applyAlignment="1">
      <alignment wrapText="1"/>
    </xf>
    <xf numFmtId="0" fontId="2" fillId="0" borderId="0" xfId="0" applyFont="1" applyFill="1"/>
    <xf numFmtId="4" fontId="2" fillId="0" borderId="0" xfId="0" applyNumberFormat="1" applyFont="1" applyFill="1"/>
    <xf numFmtId="0" fontId="0" fillId="0" borderId="0" xfId="0" applyFill="1" applyAlignment="1">
      <alignment vertical="top"/>
    </xf>
    <xf numFmtId="2" fontId="0" fillId="0" borderId="6" xfId="0" applyNumberFormat="1" applyBorder="1"/>
    <xf numFmtId="4" fontId="2" fillId="0" borderId="6" xfId="0" applyNumberFormat="1" applyFont="1" applyBorder="1"/>
    <xf numFmtId="4" fontId="2" fillId="0" borderId="0" xfId="0" applyNumberFormat="1" applyFont="1" applyFill="1" applyBorder="1" applyAlignment="1">
      <alignment wrapText="1"/>
    </xf>
    <xf numFmtId="165" fontId="2" fillId="5" borderId="0" xfId="0" applyNumberFormat="1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>
      <alignment wrapText="1"/>
    </xf>
    <xf numFmtId="4" fontId="2" fillId="0" borderId="0" xfId="0" applyNumberFormat="1" applyFont="1" applyFill="1" applyBorder="1"/>
    <xf numFmtId="4" fontId="2" fillId="0" borderId="1" xfId="0" applyNumberFormat="1" applyFont="1" applyFill="1" applyBorder="1" applyAlignment="1">
      <alignment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top" wrapText="1"/>
    </xf>
    <xf numFmtId="3" fontId="0" fillId="0" borderId="0" xfId="0" applyNumberFormat="1" applyFill="1" applyBorder="1" applyAlignment="1">
      <alignment vertical="top" wrapText="1"/>
    </xf>
    <xf numFmtId="3" fontId="2" fillId="5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top" wrapText="1"/>
    </xf>
    <xf numFmtId="4" fontId="0" fillId="0" borderId="0" xfId="0" applyNumberForma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vertical="top" wrapText="1"/>
    </xf>
    <xf numFmtId="165" fontId="2" fillId="5" borderId="0" xfId="0" applyNumberFormat="1" applyFont="1" applyFill="1" applyBorder="1" applyAlignment="1">
      <alignment vertical="top" wrapText="1"/>
    </xf>
    <xf numFmtId="3" fontId="0" fillId="4" borderId="0" xfId="0" applyNumberFormat="1" applyFill="1" applyBorder="1" applyAlignment="1">
      <alignment vertical="top" wrapText="1"/>
    </xf>
    <xf numFmtId="4" fontId="0" fillId="4" borderId="0" xfId="0" applyNumberFormat="1" applyFill="1" applyBorder="1" applyAlignment="1">
      <alignment vertical="top" wrapText="1"/>
    </xf>
    <xf numFmtId="8" fontId="0" fillId="4" borderId="0" xfId="0" applyNumberForma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3" fillId="10" borderId="7" xfId="0" applyFont="1" applyFill="1" applyBorder="1"/>
    <xf numFmtId="0" fontId="3" fillId="0" borderId="6" xfId="0" applyFont="1" applyFill="1" applyBorder="1"/>
    <xf numFmtId="0" fontId="2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vertical="top" wrapText="1"/>
    </xf>
    <xf numFmtId="0" fontId="3" fillId="0" borderId="2" xfId="0" applyFont="1" applyBorder="1"/>
    <xf numFmtId="2" fontId="3" fillId="0" borderId="2" xfId="0" applyNumberFormat="1" applyFont="1" applyFill="1" applyBorder="1" applyAlignment="1">
      <alignment vertical="top" wrapText="1"/>
    </xf>
    <xf numFmtId="0" fontId="14" fillId="0" borderId="2" xfId="0" applyFont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14" fillId="0" borderId="2" xfId="0" applyFont="1" applyBorder="1"/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vertical="top" wrapText="1"/>
    </xf>
    <xf numFmtId="2" fontId="0" fillId="0" borderId="2" xfId="0" applyNumberForma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3" fontId="2" fillId="5" borderId="2" xfId="0" applyNumberFormat="1" applyFont="1" applyFill="1" applyBorder="1" applyAlignment="1">
      <alignment vertical="top" wrapText="1"/>
    </xf>
    <xf numFmtId="2" fontId="2" fillId="5" borderId="2" xfId="0" applyNumberFormat="1" applyFont="1" applyFill="1" applyBorder="1" applyAlignment="1">
      <alignment horizontal="right" vertical="top" wrapText="1"/>
    </xf>
    <xf numFmtId="165" fontId="2" fillId="5" borderId="2" xfId="0" applyNumberFormat="1" applyFont="1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2" fontId="2" fillId="9" borderId="2" xfId="0" applyNumberFormat="1" applyFont="1" applyFill="1" applyBorder="1" applyAlignment="1">
      <alignment horizontal="right" vertical="top" wrapText="1"/>
    </xf>
    <xf numFmtId="0" fontId="8" fillId="0" borderId="2" xfId="0" applyFont="1" applyBorder="1"/>
    <xf numFmtId="0" fontId="2" fillId="7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3" fillId="0" borderId="2" xfId="0" applyFont="1" applyFill="1" applyBorder="1" applyAlignment="1"/>
    <xf numFmtId="165" fontId="0" fillId="0" borderId="2" xfId="0" applyNumberFormat="1" applyFill="1" applyBorder="1"/>
    <xf numFmtId="0" fontId="0" fillId="0" borderId="2" xfId="0" applyFill="1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Fill="1" applyBorder="1"/>
    <xf numFmtId="0" fontId="2" fillId="0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/>
    <xf numFmtId="165" fontId="2" fillId="7" borderId="2" xfId="0" applyNumberFormat="1" applyFont="1" applyFill="1" applyBorder="1"/>
    <xf numFmtId="0" fontId="3" fillId="0" borderId="2" xfId="0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13" xfId="0" applyFont="1" applyFill="1" applyBorder="1" applyAlignment="1">
      <alignment wrapText="1"/>
    </xf>
    <xf numFmtId="4" fontId="3" fillId="0" borderId="13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/>
    <xf numFmtId="0" fontId="0" fillId="0" borderId="0" xfId="0" applyAlignment="1">
      <alignment wrapText="1"/>
    </xf>
    <xf numFmtId="0" fontId="0" fillId="0" borderId="0" xfId="0" applyFill="1" applyAlignme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4" xfId="0" applyFill="1" applyBorder="1"/>
    <xf numFmtId="0" fontId="3" fillId="0" borderId="4" xfId="0" applyNumberFormat="1" applyFont="1" applyFill="1" applyBorder="1" applyAlignment="1">
      <alignment horizontal="right" wrapText="1"/>
    </xf>
    <xf numFmtId="4" fontId="0" fillId="0" borderId="4" xfId="0" applyNumberFormat="1" applyFill="1" applyBorder="1"/>
    <xf numFmtId="0" fontId="2" fillId="0" borderId="10" xfId="0" applyFont="1" applyFill="1" applyBorder="1" applyAlignment="1">
      <alignment horizontal="right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4" fontId="2" fillId="0" borderId="15" xfId="0" applyNumberFormat="1" applyFont="1" applyBorder="1"/>
    <xf numFmtId="0" fontId="2" fillId="0" borderId="16" xfId="0" applyFont="1" applyFill="1" applyBorder="1" applyAlignment="1">
      <alignment horizontal="right" wrapText="1"/>
    </xf>
    <xf numFmtId="4" fontId="2" fillId="0" borderId="14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wrapText="1"/>
    </xf>
    <xf numFmtId="0" fontId="2" fillId="0" borderId="13" xfId="0" applyFont="1" applyFill="1" applyBorder="1"/>
    <xf numFmtId="4" fontId="2" fillId="0" borderId="14" xfId="0" applyNumberFormat="1" applyFont="1" applyFill="1" applyBorder="1"/>
    <xf numFmtId="165" fontId="3" fillId="0" borderId="3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horizontal="right" wrapText="1"/>
    </xf>
    <xf numFmtId="2" fontId="2" fillId="0" borderId="0" xfId="0" applyNumberFormat="1" applyFont="1" applyFill="1"/>
    <xf numFmtId="3" fontId="2" fillId="0" borderId="6" xfId="0" applyNumberFormat="1" applyFont="1" applyFill="1" applyBorder="1"/>
    <xf numFmtId="2" fontId="2" fillId="0" borderId="14" xfId="0" applyNumberFormat="1" applyFont="1" applyFill="1" applyBorder="1" applyAlignment="1">
      <alignment horizontal="right" vertical="top" wrapText="1"/>
    </xf>
    <xf numFmtId="165" fontId="2" fillId="0" borderId="3" xfId="0" applyNumberFormat="1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/>
    <xf numFmtId="2" fontId="2" fillId="0" borderId="6" xfId="0" applyNumberFormat="1" applyFont="1" applyFill="1" applyBorder="1"/>
    <xf numFmtId="0" fontId="3" fillId="0" borderId="0" xfId="0" applyFont="1" applyFill="1" applyAlignment="1">
      <alignment vertical="top" wrapText="1"/>
    </xf>
    <xf numFmtId="8" fontId="2" fillId="0" borderId="0" xfId="0" applyNumberFormat="1" applyFont="1" applyFill="1" applyBorder="1"/>
    <xf numFmtId="168" fontId="2" fillId="3" borderId="7" xfId="1" applyNumberFormat="1" applyFont="1" applyFill="1" applyBorder="1"/>
    <xf numFmtId="168" fontId="2" fillId="10" borderId="7" xfId="1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5" fontId="3" fillId="0" borderId="0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165" fontId="2" fillId="0" borderId="0" xfId="0" applyNumberFormat="1" applyFont="1" applyAlignment="1"/>
    <xf numFmtId="0" fontId="3" fillId="0" borderId="6" xfId="0" applyFont="1" applyBorder="1"/>
    <xf numFmtId="2" fontId="3" fillId="0" borderId="6" xfId="0" applyNumberFormat="1" applyFont="1" applyBorder="1"/>
    <xf numFmtId="165" fontId="3" fillId="0" borderId="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 readingOrder="1"/>
    </xf>
    <xf numFmtId="3" fontId="3" fillId="0" borderId="2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wrapText="1"/>
    </xf>
    <xf numFmtId="4" fontId="0" fillId="0" borderId="2" xfId="0" applyNumberFormat="1" applyFill="1" applyBorder="1" applyAlignment="1"/>
    <xf numFmtId="165" fontId="3" fillId="0" borderId="2" xfId="0" applyNumberFormat="1" applyFont="1" applyFill="1" applyBorder="1" applyAlignment="1">
      <alignment wrapText="1"/>
    </xf>
    <xf numFmtId="0" fontId="2" fillId="3" borderId="2" xfId="0" applyFont="1" applyFill="1" applyBorder="1"/>
    <xf numFmtId="3" fontId="2" fillId="3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2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10" fontId="0" fillId="0" borderId="0" xfId="0" applyNumberFormat="1"/>
    <xf numFmtId="3" fontId="3" fillId="0" borderId="0" xfId="0" applyNumberFormat="1" applyFont="1"/>
    <xf numFmtId="168" fontId="2" fillId="0" borderId="0" xfId="0" applyNumberFormat="1" applyFont="1"/>
    <xf numFmtId="0" fontId="3" fillId="11" borderId="2" xfId="0" applyFont="1" applyFill="1" applyBorder="1" applyAlignment="1">
      <alignment vertical="top" wrapText="1" readingOrder="1"/>
    </xf>
    <xf numFmtId="0" fontId="3" fillId="11" borderId="2" xfId="0" applyFont="1" applyFill="1" applyBorder="1" applyAlignment="1">
      <alignment wrapText="1"/>
    </xf>
    <xf numFmtId="3" fontId="3" fillId="11" borderId="2" xfId="0" applyNumberFormat="1" applyFont="1" applyFill="1" applyBorder="1" applyAlignment="1">
      <alignment horizontal="right" wrapText="1"/>
    </xf>
    <xf numFmtId="4" fontId="3" fillId="11" borderId="2" xfId="0" applyNumberFormat="1" applyFont="1" applyFill="1" applyBorder="1" applyAlignment="1">
      <alignment wrapText="1"/>
    </xf>
    <xf numFmtId="165" fontId="3" fillId="11" borderId="2" xfId="0" applyNumberFormat="1" applyFont="1" applyFill="1" applyBorder="1" applyAlignment="1">
      <alignment wrapText="1"/>
    </xf>
    <xf numFmtId="0" fontId="0" fillId="11" borderId="2" xfId="0" applyFill="1" applyBorder="1"/>
    <xf numFmtId="0" fontId="14" fillId="11" borderId="0" xfId="0" applyFont="1" applyFill="1" applyAlignment="1">
      <alignment wrapText="1"/>
    </xf>
    <xf numFmtId="5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13" fillId="0" borderId="0" xfId="0" applyFont="1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/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  <xf numFmtId="0" fontId="3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 applyFill="1" applyBorder="1" applyAlignment="1">
      <alignment horizontal="right" wrapText="1"/>
    </xf>
    <xf numFmtId="165" fontId="0" fillId="0" borderId="0" xfId="0" applyNumberFormat="1" applyFill="1" applyBorder="1"/>
    <xf numFmtId="165" fontId="0" fillId="0" borderId="0" xfId="0" applyNumberFormat="1"/>
    <xf numFmtId="0" fontId="16" fillId="0" borderId="0" xfId="0" applyFont="1" applyBorder="1"/>
    <xf numFmtId="165" fontId="16" fillId="0" borderId="0" xfId="0" applyNumberFormat="1" applyFont="1" applyFill="1" applyBorder="1"/>
    <xf numFmtId="165" fontId="16" fillId="0" borderId="0" xfId="0" applyNumberFormat="1" applyFont="1" applyFill="1" applyBorder="1" applyAlignment="1">
      <alignment wrapText="1"/>
    </xf>
    <xf numFmtId="4" fontId="0" fillId="0" borderId="0" xfId="0" applyNumberFormat="1"/>
    <xf numFmtId="4" fontId="16" fillId="0" borderId="0" xfId="0" applyNumberFormat="1" applyFont="1" applyBorder="1" applyAlignment="1">
      <alignment horizontal="right" wrapText="1"/>
    </xf>
    <xf numFmtId="4" fontId="16" fillId="0" borderId="0" xfId="0" applyNumberFormat="1" applyFont="1" applyFill="1" applyBorder="1" applyAlignment="1"/>
    <xf numFmtId="0" fontId="1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Normal="100" workbookViewId="0">
      <selection activeCell="D22" sqref="D22"/>
    </sheetView>
  </sheetViews>
  <sheetFormatPr defaultRowHeight="12.75" x14ac:dyDescent="0.2"/>
  <cols>
    <col min="1" max="1" width="23.5703125" customWidth="1"/>
    <col min="2" max="2" width="12.5703125" style="24" customWidth="1"/>
    <col min="3" max="3" width="11.7109375" customWidth="1"/>
    <col min="4" max="4" width="14" style="24" customWidth="1"/>
    <col min="5" max="5" width="32.5703125" customWidth="1"/>
    <col min="6" max="6" width="16.7109375" style="24" customWidth="1"/>
  </cols>
  <sheetData>
    <row r="2" spans="1:7" x14ac:dyDescent="0.2">
      <c r="A2" s="23" t="s">
        <v>40</v>
      </c>
      <c r="D2" s="113"/>
    </row>
    <row r="3" spans="1:7" ht="39.75" customHeight="1" x14ac:dyDescent="0.2">
      <c r="A3" s="19" t="s">
        <v>26</v>
      </c>
      <c r="B3" s="27" t="s">
        <v>27</v>
      </c>
      <c r="C3" s="20" t="s">
        <v>28</v>
      </c>
      <c r="D3" s="27" t="s">
        <v>29</v>
      </c>
      <c r="E3" s="20" t="s">
        <v>30</v>
      </c>
      <c r="F3" s="27" t="s">
        <v>0</v>
      </c>
    </row>
    <row r="4" spans="1:7" ht="49.5" customHeight="1" x14ac:dyDescent="0.2">
      <c r="A4" s="9" t="s">
        <v>31</v>
      </c>
      <c r="B4" s="118">
        <f>'2. Applications by Program-0029'!B12+'2. Applications by Program-0029'!B19</f>
        <v>1721</v>
      </c>
      <c r="C4" s="80" t="s">
        <v>32</v>
      </c>
      <c r="D4" s="122">
        <f>'2. Applications by Program-0029'!F12+'2. Applications by Program-0029'!F19</f>
        <v>45222.78</v>
      </c>
      <c r="E4" s="80" t="s">
        <v>33</v>
      </c>
      <c r="F4" s="125">
        <f>D4*27.67</f>
        <v>1251314.3226000001</v>
      </c>
      <c r="G4" s="92"/>
    </row>
    <row r="5" spans="1:7" x14ac:dyDescent="0.2">
      <c r="A5" s="21"/>
      <c r="B5" s="127"/>
      <c r="C5" s="22"/>
      <c r="D5" s="128"/>
      <c r="E5" s="22"/>
      <c r="F5" s="129"/>
    </row>
    <row r="6" spans="1:7" x14ac:dyDescent="0.2">
      <c r="A6" s="21"/>
      <c r="B6" s="127"/>
      <c r="C6" s="22"/>
      <c r="D6" s="128"/>
      <c r="E6" s="22"/>
      <c r="F6" s="129"/>
    </row>
    <row r="7" spans="1:7" x14ac:dyDescent="0.2">
      <c r="A7" s="5" t="s">
        <v>39</v>
      </c>
      <c r="B7" s="71"/>
      <c r="C7" s="2"/>
      <c r="D7" s="71"/>
      <c r="E7" s="2"/>
      <c r="F7" s="71"/>
    </row>
    <row r="8" spans="1:7" ht="30" x14ac:dyDescent="0.2">
      <c r="A8" s="31" t="s">
        <v>34</v>
      </c>
      <c r="B8" s="29" t="s">
        <v>27</v>
      </c>
      <c r="C8" s="30" t="s">
        <v>28</v>
      </c>
      <c r="D8" s="29" t="s">
        <v>29</v>
      </c>
      <c r="E8" s="30" t="s">
        <v>30</v>
      </c>
      <c r="F8" s="29" t="s">
        <v>0</v>
      </c>
    </row>
    <row r="9" spans="1:7" ht="54.75" customHeight="1" x14ac:dyDescent="0.2">
      <c r="A9" s="5" t="s">
        <v>35</v>
      </c>
      <c r="B9" s="119">
        <f>'3. Applications by Form--0071 '!B10</f>
        <v>4960</v>
      </c>
      <c r="C9" s="80" t="s">
        <v>32</v>
      </c>
      <c r="D9" s="123">
        <f>'3. Applications by Form--0071 '!D10</f>
        <v>5099.72</v>
      </c>
      <c r="E9" s="80" t="s">
        <v>36</v>
      </c>
      <c r="F9" s="125">
        <f>D9*27.67</f>
        <v>141109.25240000003</v>
      </c>
      <c r="G9" s="92"/>
    </row>
    <row r="10" spans="1:7" ht="81.75" customHeight="1" x14ac:dyDescent="0.2">
      <c r="A10" s="5" t="s">
        <v>45</v>
      </c>
      <c r="B10" s="119">
        <f>'4. Post-award Forms--0071'!B33+'4. Post-award Forms--0071'!B41</f>
        <v>1551</v>
      </c>
      <c r="C10" s="210" t="s">
        <v>114</v>
      </c>
      <c r="D10" s="124">
        <f>'4. Post-award Forms--0071'!D33+'4. Post-award Forms--0071'!D41</f>
        <v>9736.57</v>
      </c>
      <c r="E10" s="82" t="s">
        <v>37</v>
      </c>
      <c r="F10" s="125">
        <f>D10*27.67</f>
        <v>269410.89189999999</v>
      </c>
    </row>
    <row r="11" spans="1:7" x14ac:dyDescent="0.2">
      <c r="A11" s="30" t="s">
        <v>38</v>
      </c>
      <c r="B11" s="120">
        <f>SUM(B9:B10)</f>
        <v>6511</v>
      </c>
      <c r="C11" s="110"/>
      <c r="D11" s="39">
        <f>SUM(D9:D10)</f>
        <v>14836.29</v>
      </c>
      <c r="E11" s="110"/>
      <c r="F11" s="126">
        <f>SUM(F9:F10)</f>
        <v>410520.14430000004</v>
      </c>
    </row>
    <row r="12" spans="1:7" x14ac:dyDescent="0.2">
      <c r="B12" s="36"/>
      <c r="C12" s="24"/>
      <c r="D12" s="36"/>
      <c r="E12" s="24"/>
      <c r="F12" s="36"/>
    </row>
    <row r="13" spans="1:7" x14ac:dyDescent="0.2">
      <c r="B13" s="36"/>
      <c r="C13" s="24"/>
      <c r="D13" s="36"/>
      <c r="E13" s="24"/>
      <c r="F13" s="36"/>
    </row>
    <row r="14" spans="1:7" ht="25.5" x14ac:dyDescent="0.2">
      <c r="A14" s="32" t="s">
        <v>41</v>
      </c>
      <c r="B14" s="121">
        <f>SUM(B4+B11)</f>
        <v>8232</v>
      </c>
      <c r="C14" s="24"/>
      <c r="D14" s="121">
        <f>SUM(D4+D11)</f>
        <v>60059.07</v>
      </c>
      <c r="E14" s="24"/>
      <c r="F14" s="211">
        <f>SUM(F4+F11)</f>
        <v>1661834.4669000001</v>
      </c>
    </row>
    <row r="16" spans="1:7" x14ac:dyDescent="0.2">
      <c r="A16" s="24"/>
    </row>
    <row r="18" spans="1:1" x14ac:dyDescent="0.2">
      <c r="A18" s="54" t="s">
        <v>139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topLeftCell="A4" zoomScaleNormal="100" zoomScaleSheetLayoutView="100" workbookViewId="0">
      <selection activeCell="E40" sqref="E40"/>
    </sheetView>
  </sheetViews>
  <sheetFormatPr defaultRowHeight="12.75" x14ac:dyDescent="0.2"/>
  <cols>
    <col min="1" max="1" width="27.85546875" customWidth="1"/>
    <col min="2" max="2" width="12.42578125" customWidth="1"/>
    <col min="3" max="3" width="10" customWidth="1"/>
    <col min="4" max="4" width="8.7109375" customWidth="1"/>
    <col min="5" max="5" width="19.5703125" customWidth="1"/>
    <col min="6" max="6" width="20.5703125" customWidth="1"/>
    <col min="7" max="7" width="13.28515625" customWidth="1"/>
    <col min="8" max="8" width="9.5703125" customWidth="1"/>
    <col min="9" max="9" width="23.7109375" customWidth="1"/>
    <col min="10" max="10" width="11.85546875" customWidth="1"/>
  </cols>
  <sheetData>
    <row r="1" spans="1:10" x14ac:dyDescent="0.2">
      <c r="A1" s="23" t="s">
        <v>90</v>
      </c>
    </row>
    <row r="2" spans="1:10" ht="51" x14ac:dyDescent="0.2">
      <c r="A2" s="26" t="s">
        <v>7</v>
      </c>
      <c r="B2" s="27" t="s">
        <v>65</v>
      </c>
      <c r="C2" s="27" t="s">
        <v>8</v>
      </c>
      <c r="D2" s="27" t="s">
        <v>53</v>
      </c>
      <c r="E2" s="27" t="s">
        <v>125</v>
      </c>
      <c r="F2" s="27" t="s">
        <v>25</v>
      </c>
      <c r="G2" s="27" t="s">
        <v>78</v>
      </c>
      <c r="H2" s="84" t="s">
        <v>82</v>
      </c>
      <c r="I2" s="84" t="s">
        <v>138</v>
      </c>
      <c r="J2" s="27" t="s">
        <v>142</v>
      </c>
    </row>
    <row r="3" spans="1:10" ht="25.5" x14ac:dyDescent="0.2">
      <c r="A3" s="46" t="s">
        <v>14</v>
      </c>
      <c r="B3" s="85">
        <v>96</v>
      </c>
      <c r="C3" s="112">
        <v>40</v>
      </c>
      <c r="D3" s="43">
        <f>B3*C3</f>
        <v>3840</v>
      </c>
      <c r="E3" s="44">
        <f>'3. Applications by Form--0071 '!D17</f>
        <v>408</v>
      </c>
      <c r="F3" s="44">
        <f t="shared" ref="F3:F5" si="0">D3-E3</f>
        <v>3432</v>
      </c>
      <c r="G3" s="47">
        <f>F3*27.67</f>
        <v>94963.44</v>
      </c>
      <c r="H3">
        <v>2014</v>
      </c>
      <c r="I3" s="79">
        <f t="shared" ref="I3:I11" si="1">SUM(F3/B3)</f>
        <v>35.75</v>
      </c>
      <c r="J3">
        <f t="shared" ref="J3:J11" si="2">SUM(I3*27.67)</f>
        <v>989.2025000000001</v>
      </c>
    </row>
    <row r="4" spans="1:10" x14ac:dyDescent="0.2">
      <c r="A4" s="33" t="s">
        <v>9</v>
      </c>
      <c r="B4" s="40">
        <v>554</v>
      </c>
      <c r="C4" s="130">
        <v>40</v>
      </c>
      <c r="D4" s="43">
        <f t="shared" ref="D4:D11" si="3">B4*C4</f>
        <v>22160</v>
      </c>
      <c r="E4" s="131">
        <f>'3. Applications by Form--0071 '!D18</f>
        <v>2354.5</v>
      </c>
      <c r="F4" s="42">
        <f t="shared" si="0"/>
        <v>19805.5</v>
      </c>
      <c r="G4" s="47">
        <f t="shared" ref="G4:G11" si="4">F4*27.67</f>
        <v>548018.18500000006</v>
      </c>
      <c r="H4">
        <v>2014</v>
      </c>
      <c r="I4" s="79">
        <f t="shared" si="1"/>
        <v>35.75</v>
      </c>
      <c r="J4">
        <f t="shared" si="2"/>
        <v>989.2025000000001</v>
      </c>
    </row>
    <row r="5" spans="1:10" ht="25.5" x14ac:dyDescent="0.2">
      <c r="A5" s="17" t="s">
        <v>13</v>
      </c>
      <c r="B5" s="85">
        <v>32</v>
      </c>
      <c r="C5" s="112">
        <v>9</v>
      </c>
      <c r="D5" s="43">
        <f t="shared" si="3"/>
        <v>288</v>
      </c>
      <c r="E5" s="44">
        <f>'3. Applications by Form--0071 '!D19</f>
        <v>136</v>
      </c>
      <c r="F5" s="45">
        <f t="shared" si="0"/>
        <v>152</v>
      </c>
      <c r="G5" s="47">
        <f t="shared" si="4"/>
        <v>4205.84</v>
      </c>
      <c r="H5">
        <v>2014</v>
      </c>
      <c r="I5" s="79">
        <f t="shared" si="1"/>
        <v>4.75</v>
      </c>
      <c r="J5">
        <f t="shared" si="2"/>
        <v>131.4325</v>
      </c>
    </row>
    <row r="6" spans="1:10" ht="25.5" x14ac:dyDescent="0.2">
      <c r="A6" s="48" t="s">
        <v>126</v>
      </c>
      <c r="B6" s="40">
        <v>355</v>
      </c>
      <c r="C6" s="130">
        <v>40</v>
      </c>
      <c r="D6" s="43">
        <f t="shared" si="3"/>
        <v>14200</v>
      </c>
      <c r="E6" s="44">
        <f>'3. Applications by Form--0071 '!D20</f>
        <v>1508.75</v>
      </c>
      <c r="F6" s="42">
        <f t="shared" ref="F6:F11" si="5">D6-E6</f>
        <v>12691.25</v>
      </c>
      <c r="G6" s="47">
        <f t="shared" si="4"/>
        <v>351166.88750000001</v>
      </c>
      <c r="H6">
        <v>2014</v>
      </c>
      <c r="I6" s="79">
        <f t="shared" si="1"/>
        <v>35.75</v>
      </c>
      <c r="J6">
        <f t="shared" si="2"/>
        <v>989.2025000000001</v>
      </c>
    </row>
    <row r="7" spans="1:10" ht="25.5" x14ac:dyDescent="0.2">
      <c r="A7" s="48" t="s">
        <v>43</v>
      </c>
      <c r="B7" s="85">
        <v>159</v>
      </c>
      <c r="C7" s="112">
        <v>9</v>
      </c>
      <c r="D7" s="43">
        <f t="shared" si="3"/>
        <v>1431</v>
      </c>
      <c r="E7" s="44">
        <f>'3. Applications by Form--0071 '!D21</f>
        <v>12.72</v>
      </c>
      <c r="F7" s="44">
        <f>D7-E7</f>
        <v>1418.28</v>
      </c>
      <c r="G7" s="47">
        <f t="shared" si="4"/>
        <v>39243.8076</v>
      </c>
      <c r="H7">
        <v>2014</v>
      </c>
      <c r="I7" s="79">
        <f t="shared" si="1"/>
        <v>8.92</v>
      </c>
      <c r="J7">
        <f t="shared" si="2"/>
        <v>246.81640000000002</v>
      </c>
    </row>
    <row r="8" spans="1:10" ht="25.5" x14ac:dyDescent="0.2">
      <c r="A8" s="33" t="s">
        <v>46</v>
      </c>
      <c r="B8" s="40">
        <v>274</v>
      </c>
      <c r="C8" s="130">
        <v>2</v>
      </c>
      <c r="D8" s="43">
        <f t="shared" si="3"/>
        <v>548</v>
      </c>
      <c r="E8" s="44">
        <f>'3. Applications by Form--0071 '!D22</f>
        <v>137</v>
      </c>
      <c r="F8" s="42">
        <f t="shared" si="5"/>
        <v>411</v>
      </c>
      <c r="G8" s="47">
        <f t="shared" si="4"/>
        <v>11372.37</v>
      </c>
      <c r="H8">
        <v>2014</v>
      </c>
      <c r="I8" s="79">
        <f t="shared" si="1"/>
        <v>1.5</v>
      </c>
      <c r="J8">
        <f t="shared" si="2"/>
        <v>41.505000000000003</v>
      </c>
    </row>
    <row r="9" spans="1:10" ht="25.5" x14ac:dyDescent="0.2">
      <c r="A9" s="33" t="s">
        <v>47</v>
      </c>
      <c r="B9" s="40">
        <v>34</v>
      </c>
      <c r="C9" s="130">
        <v>40</v>
      </c>
      <c r="D9" s="43">
        <f t="shared" si="3"/>
        <v>1360</v>
      </c>
      <c r="E9" s="44">
        <f>'3. Applications by Form--0071 '!D23</f>
        <v>144.5</v>
      </c>
      <c r="F9" s="42">
        <f t="shared" si="5"/>
        <v>1215.5</v>
      </c>
      <c r="G9" s="47">
        <f t="shared" si="4"/>
        <v>33632.885000000002</v>
      </c>
      <c r="H9">
        <v>2014</v>
      </c>
      <c r="I9" s="79">
        <f t="shared" si="1"/>
        <v>35.75</v>
      </c>
      <c r="J9">
        <f t="shared" si="2"/>
        <v>989.2025000000001</v>
      </c>
    </row>
    <row r="10" spans="1:10" ht="25.5" x14ac:dyDescent="0.2">
      <c r="A10" s="17" t="s">
        <v>12</v>
      </c>
      <c r="B10" s="85">
        <v>31</v>
      </c>
      <c r="C10" s="112">
        <v>9</v>
      </c>
      <c r="D10" s="43">
        <f t="shared" si="3"/>
        <v>279</v>
      </c>
      <c r="E10" s="44">
        <f>'3. Applications by Form--0071 '!D24</f>
        <v>131.75</v>
      </c>
      <c r="F10" s="45">
        <f t="shared" si="5"/>
        <v>147.25</v>
      </c>
      <c r="G10" s="47">
        <f t="shared" si="4"/>
        <v>4074.4075000000003</v>
      </c>
      <c r="H10">
        <v>2014</v>
      </c>
      <c r="I10" s="79">
        <f t="shared" si="1"/>
        <v>4.75</v>
      </c>
      <c r="J10">
        <f t="shared" si="2"/>
        <v>131.4325</v>
      </c>
    </row>
    <row r="11" spans="1:10" ht="25.5" x14ac:dyDescent="0.2">
      <c r="A11" s="48" t="s">
        <v>15</v>
      </c>
      <c r="B11" s="41">
        <v>56</v>
      </c>
      <c r="C11" s="112">
        <v>90</v>
      </c>
      <c r="D11" s="43">
        <f t="shared" si="3"/>
        <v>5040</v>
      </c>
      <c r="E11" s="44">
        <v>0</v>
      </c>
      <c r="F11" s="44">
        <f t="shared" si="5"/>
        <v>5040</v>
      </c>
      <c r="G11" s="47">
        <f t="shared" si="4"/>
        <v>139456.80000000002</v>
      </c>
      <c r="H11">
        <v>2014</v>
      </c>
      <c r="I11" s="79">
        <f t="shared" si="1"/>
        <v>90</v>
      </c>
      <c r="J11">
        <f t="shared" si="2"/>
        <v>2490.3000000000002</v>
      </c>
    </row>
    <row r="12" spans="1:10" x14ac:dyDescent="0.2">
      <c r="A12" s="132" t="s">
        <v>4</v>
      </c>
      <c r="B12" s="212">
        <f t="shared" ref="B12:G12" si="6">SUM(B3:B11)</f>
        <v>1591</v>
      </c>
      <c r="C12" s="133">
        <f t="shared" si="6"/>
        <v>279</v>
      </c>
      <c r="D12" s="93">
        <f t="shared" si="6"/>
        <v>49146</v>
      </c>
      <c r="E12" s="94">
        <f t="shared" si="6"/>
        <v>4833.22</v>
      </c>
      <c r="F12" s="94">
        <f t="shared" si="6"/>
        <v>44312.78</v>
      </c>
      <c r="G12" s="95">
        <f t="shared" si="6"/>
        <v>1226134.6226000001</v>
      </c>
    </row>
    <row r="13" spans="1:10" x14ac:dyDescent="0.2">
      <c r="A13" s="134" t="s">
        <v>102</v>
      </c>
      <c r="B13" s="213"/>
      <c r="C13" s="97">
        <f>AVERAGE(C3:C11)</f>
        <v>31</v>
      </c>
      <c r="D13" s="98"/>
      <c r="E13" s="99"/>
      <c r="F13" s="96"/>
      <c r="G13" s="100"/>
    </row>
    <row r="15" spans="1:10" x14ac:dyDescent="0.2">
      <c r="A15" s="249" t="s">
        <v>77</v>
      </c>
      <c r="B15" s="250"/>
      <c r="C15" s="250"/>
      <c r="D15" s="250"/>
      <c r="E15" s="250"/>
      <c r="F15" s="250"/>
      <c r="G15" s="251"/>
    </row>
    <row r="16" spans="1:10" x14ac:dyDescent="0.2">
      <c r="A16" s="67"/>
    </row>
    <row r="17" spans="1:10" x14ac:dyDescent="0.2">
      <c r="A17" s="138" t="s">
        <v>131</v>
      </c>
    </row>
    <row r="18" spans="1:10" x14ac:dyDescent="0.2">
      <c r="A18" s="178" t="s">
        <v>89</v>
      </c>
      <c r="B18" s="169"/>
      <c r="C18" s="169"/>
      <c r="D18" s="62"/>
      <c r="E18" s="62"/>
      <c r="F18" s="62"/>
      <c r="G18" s="62"/>
      <c r="H18" s="62"/>
    </row>
    <row r="19" spans="1:10" ht="25.5" x14ac:dyDescent="0.2">
      <c r="A19" s="223" t="s">
        <v>129</v>
      </c>
      <c r="B19" s="168">
        <v>130</v>
      </c>
      <c r="C19" s="168">
        <v>7</v>
      </c>
      <c r="D19" s="224">
        <f>B19*C19</f>
        <v>910</v>
      </c>
      <c r="E19" s="225"/>
      <c r="F19" s="226">
        <f t="shared" ref="F19" si="7">D19-E19</f>
        <v>910</v>
      </c>
      <c r="G19" s="227">
        <f>F19*27.67</f>
        <v>25179.7</v>
      </c>
      <c r="H19" s="62">
        <v>2014</v>
      </c>
      <c r="I19" s="79">
        <f>SUM(F19/B19)</f>
        <v>7</v>
      </c>
      <c r="J19">
        <f>SUM(I19*27.67)</f>
        <v>193.69</v>
      </c>
    </row>
    <row r="20" spans="1:10" x14ac:dyDescent="0.2">
      <c r="A20" s="252" t="s">
        <v>100</v>
      </c>
      <c r="B20" s="252"/>
      <c r="C20" s="252"/>
      <c r="D20" s="252"/>
      <c r="E20" s="225"/>
      <c r="F20" s="226"/>
      <c r="G20" s="227"/>
      <c r="H20" s="62"/>
    </row>
    <row r="21" spans="1:10" ht="25.5" x14ac:dyDescent="0.2">
      <c r="A21" s="240" t="s">
        <v>140</v>
      </c>
      <c r="B21" s="241">
        <v>140</v>
      </c>
      <c r="C21" s="241">
        <v>7</v>
      </c>
      <c r="D21" s="242">
        <f>B21*C21</f>
        <v>980</v>
      </c>
      <c r="E21" s="243"/>
      <c r="F21" s="243">
        <f>D21-E21</f>
        <v>980</v>
      </c>
      <c r="G21" s="244">
        <f>F21*27.67</f>
        <v>27116.600000000002</v>
      </c>
      <c r="H21" s="245">
        <v>2014</v>
      </c>
      <c r="I21" s="246">
        <f>SUM(F21/B21)</f>
        <v>7</v>
      </c>
    </row>
    <row r="22" spans="1:10" x14ac:dyDescent="0.2">
      <c r="A22" s="62"/>
      <c r="B22" s="62"/>
      <c r="C22" s="62"/>
      <c r="D22" s="62"/>
      <c r="E22" s="62"/>
      <c r="F22" s="62"/>
      <c r="G22" s="62"/>
      <c r="H22" s="62"/>
    </row>
    <row r="23" spans="1:10" x14ac:dyDescent="0.2">
      <c r="A23" s="228" t="s">
        <v>130</v>
      </c>
      <c r="B23" s="228">
        <f>B19+B21</f>
        <v>270</v>
      </c>
      <c r="C23" s="228">
        <f>C19+C21</f>
        <v>14</v>
      </c>
      <c r="D23" s="229">
        <f>D19+D21</f>
        <v>1890</v>
      </c>
      <c r="E23" s="228"/>
      <c r="F23" s="230">
        <f>F19+F21</f>
        <v>1890</v>
      </c>
      <c r="G23" s="231">
        <f>G19+G21</f>
        <v>52296.3</v>
      </c>
      <c r="H23" s="62"/>
    </row>
    <row r="24" spans="1:10" x14ac:dyDescent="0.2">
      <c r="A24" s="67" t="s">
        <v>141</v>
      </c>
    </row>
    <row r="26" spans="1:10" x14ac:dyDescent="0.2">
      <c r="B26" s="239">
        <f>SUM(B12+B19)</f>
        <v>1721</v>
      </c>
      <c r="G26" s="247">
        <f>SUM(G12+G19)</f>
        <v>1251314.3226000001</v>
      </c>
    </row>
    <row r="27" spans="1:10" x14ac:dyDescent="0.2">
      <c r="B27" s="239"/>
    </row>
    <row r="28" spans="1:10" x14ac:dyDescent="0.2">
      <c r="A28" s="253" t="s">
        <v>127</v>
      </c>
      <c r="B28" s="253"/>
      <c r="C28" s="253"/>
    </row>
    <row r="29" spans="1:10" x14ac:dyDescent="0.2">
      <c r="A29" s="253"/>
      <c r="B29" s="253"/>
      <c r="C29" s="253"/>
    </row>
    <row r="30" spans="1:10" x14ac:dyDescent="0.2">
      <c r="A30" s="253"/>
      <c r="B30" s="253"/>
      <c r="C30" s="253"/>
    </row>
    <row r="31" spans="1:10" x14ac:dyDescent="0.2">
      <c r="A31" s="248"/>
      <c r="B31" s="248"/>
      <c r="C31" s="248"/>
    </row>
    <row r="32" spans="1:10" x14ac:dyDescent="0.2">
      <c r="A32" s="281" t="s">
        <v>149</v>
      </c>
    </row>
    <row r="33" spans="1:10" x14ac:dyDescent="0.2">
      <c r="A33" s="67" t="s">
        <v>144</v>
      </c>
      <c r="B33">
        <v>182</v>
      </c>
      <c r="C33">
        <v>40</v>
      </c>
      <c r="D33" s="43">
        <f>B33*C33</f>
        <v>7280</v>
      </c>
      <c r="E33" s="44">
        <f>'3. Applications by Form--0071 '!D30</f>
        <v>773.5</v>
      </c>
      <c r="F33" s="42">
        <f t="shared" ref="F33:F36" si="8">D33-E33</f>
        <v>6506.5</v>
      </c>
      <c r="G33" s="47">
        <f t="shared" ref="G33:G36" si="9">F33*27.67</f>
        <v>180034.85500000001</v>
      </c>
      <c r="I33" s="79">
        <f>SUM(F33/B33)</f>
        <v>35.75</v>
      </c>
      <c r="J33">
        <f t="shared" ref="J33:J36" si="10">SUM(I33*27.67)</f>
        <v>989.2025000000001</v>
      </c>
    </row>
    <row r="34" spans="1:10" x14ac:dyDescent="0.2">
      <c r="A34" s="67" t="s">
        <v>145</v>
      </c>
      <c r="B34">
        <v>76</v>
      </c>
      <c r="C34">
        <v>40</v>
      </c>
      <c r="D34" s="43">
        <f>B34*C34</f>
        <v>3040</v>
      </c>
      <c r="E34" s="44">
        <f>'3. Applications by Form--0071 '!D31</f>
        <v>323</v>
      </c>
      <c r="F34" s="42">
        <f t="shared" si="8"/>
        <v>2717</v>
      </c>
      <c r="G34" s="47">
        <f t="shared" si="9"/>
        <v>75179.39</v>
      </c>
      <c r="I34" s="79">
        <f>SUM(F34/B34)</f>
        <v>35.75</v>
      </c>
      <c r="J34">
        <f t="shared" si="10"/>
        <v>989.2025000000001</v>
      </c>
    </row>
    <row r="35" spans="1:10" x14ac:dyDescent="0.2">
      <c r="A35" s="67" t="s">
        <v>146</v>
      </c>
      <c r="B35">
        <v>68</v>
      </c>
      <c r="C35">
        <v>40</v>
      </c>
      <c r="D35" s="43">
        <f>B35*C35</f>
        <v>2720</v>
      </c>
      <c r="E35" s="44">
        <f>'3. Applications by Form--0071 '!D32</f>
        <v>289</v>
      </c>
      <c r="F35" s="42">
        <f t="shared" si="8"/>
        <v>2431</v>
      </c>
      <c r="G35" s="47">
        <f t="shared" si="9"/>
        <v>67265.77</v>
      </c>
      <c r="I35" s="79">
        <f>SUM(F35/B35)</f>
        <v>35.75</v>
      </c>
      <c r="J35">
        <f t="shared" si="10"/>
        <v>989.2025000000001</v>
      </c>
    </row>
    <row r="36" spans="1:10" x14ac:dyDescent="0.2">
      <c r="A36" s="67" t="s">
        <v>147</v>
      </c>
      <c r="B36" s="271">
        <v>29</v>
      </c>
      <c r="C36" s="271">
        <v>40</v>
      </c>
      <c r="D36" s="272">
        <f>B36*C36</f>
        <v>1160</v>
      </c>
      <c r="E36" s="280">
        <f>'3. Applications by Form--0071 '!D33</f>
        <v>123.25</v>
      </c>
      <c r="F36" s="279">
        <f t="shared" si="8"/>
        <v>1036.75</v>
      </c>
      <c r="G36" s="277">
        <f t="shared" si="9"/>
        <v>28686.872500000001</v>
      </c>
      <c r="I36" s="79">
        <f>SUM(F36/B36)</f>
        <v>35.75</v>
      </c>
      <c r="J36">
        <f t="shared" si="10"/>
        <v>989.2025000000001</v>
      </c>
    </row>
    <row r="37" spans="1:10" x14ac:dyDescent="0.2">
      <c r="B37" s="23">
        <f>SUM(B33:B36)</f>
        <v>355</v>
      </c>
      <c r="C37">
        <f>AVERAGE(C33:C36)</f>
        <v>40</v>
      </c>
      <c r="D37" s="235">
        <f>SUM(D33:D36)</f>
        <v>14200</v>
      </c>
      <c r="E37" s="278">
        <f>SUM(E33:E36)</f>
        <v>1508.75</v>
      </c>
      <c r="F37" s="278">
        <f>SUM(F33:F36)</f>
        <v>12691.25</v>
      </c>
      <c r="G37" s="274">
        <f>SUM(G33:G36)</f>
        <v>351166.88750000001</v>
      </c>
    </row>
  </sheetData>
  <mergeCells count="3">
    <mergeCell ref="A15:G15"/>
    <mergeCell ref="A20:D20"/>
    <mergeCell ref="A28:C30"/>
  </mergeCells>
  <phoneticPr fontId="1" type="noConversion"/>
  <pageMargins left="0.25" right="0.25" top="0.75" bottom="0.75" header="0.3" footer="0.3"/>
  <pageSetup scale="36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3" zoomScaleNormal="100" workbookViewId="0">
      <pane xSplit="1" topLeftCell="B1" activePane="topRight" state="frozen"/>
      <selection pane="topRight" activeCell="C39" sqref="C39"/>
    </sheetView>
  </sheetViews>
  <sheetFormatPr defaultRowHeight="12.75" x14ac:dyDescent="0.2"/>
  <cols>
    <col min="1" max="1" width="21" customWidth="1"/>
    <col min="2" max="2" width="17.28515625" customWidth="1"/>
    <col min="3" max="3" width="12.5703125" customWidth="1"/>
    <col min="4" max="4" width="13.42578125" customWidth="1"/>
    <col min="5" max="5" width="13.85546875" customWidth="1"/>
    <col min="6" max="6" width="25.5703125" customWidth="1"/>
    <col min="7" max="7" width="14.7109375" customWidth="1"/>
    <col min="8" max="8" width="5" bestFit="1" customWidth="1"/>
    <col min="9" max="9" width="12" bestFit="1" customWidth="1"/>
    <col min="10" max="10" width="10.7109375" bestFit="1" customWidth="1"/>
    <col min="11" max="11" width="14.7109375" customWidth="1"/>
  </cols>
  <sheetData>
    <row r="1" spans="1:11" ht="20.25" customHeight="1" x14ac:dyDescent="0.25">
      <c r="A1" s="256" t="s">
        <v>54</v>
      </c>
      <c r="B1" s="256"/>
      <c r="C1" s="256"/>
      <c r="D1" s="256"/>
      <c r="E1" s="256"/>
      <c r="F1" s="256"/>
    </row>
    <row r="2" spans="1:11" ht="38.25" x14ac:dyDescent="0.2">
      <c r="A2" s="136" t="s">
        <v>17</v>
      </c>
      <c r="B2" s="136" t="s">
        <v>75</v>
      </c>
      <c r="C2" s="136" t="s">
        <v>50</v>
      </c>
      <c r="D2" s="136" t="s">
        <v>53</v>
      </c>
      <c r="E2" s="136" t="s">
        <v>78</v>
      </c>
      <c r="F2" s="137" t="s">
        <v>16</v>
      </c>
      <c r="G2" s="62"/>
      <c r="H2" s="62"/>
      <c r="I2" s="62"/>
      <c r="J2" s="138" t="s">
        <v>66</v>
      </c>
    </row>
    <row r="3" spans="1:11" ht="45" customHeight="1" x14ac:dyDescent="0.2">
      <c r="A3" s="139" t="s">
        <v>18</v>
      </c>
      <c r="B3" s="140">
        <f>H25</f>
        <v>1378</v>
      </c>
      <c r="C3" s="141">
        <v>0.25</v>
      </c>
      <c r="D3" s="142">
        <f>B3*C3</f>
        <v>344.5</v>
      </c>
      <c r="E3" s="143">
        <f>D3*27.67</f>
        <v>9532.3150000000005</v>
      </c>
      <c r="F3" s="139" t="s">
        <v>49</v>
      </c>
      <c r="G3" s="62"/>
      <c r="H3" s="62"/>
      <c r="I3" s="62"/>
      <c r="J3" s="144" t="s">
        <v>70</v>
      </c>
      <c r="K3" s="68"/>
    </row>
    <row r="4" spans="1:11" ht="42.75" customHeight="1" x14ac:dyDescent="0.2">
      <c r="A4" s="139" t="s">
        <v>92</v>
      </c>
      <c r="B4" s="140">
        <f>I25</f>
        <v>1104</v>
      </c>
      <c r="C4" s="145">
        <v>3</v>
      </c>
      <c r="D4" s="142">
        <f t="shared" ref="D4:D9" si="0">B4*C4</f>
        <v>3312</v>
      </c>
      <c r="E4" s="143">
        <f t="shared" ref="E4:E9" si="1">D4*27.67</f>
        <v>91643.040000000008</v>
      </c>
      <c r="F4" s="139" t="s">
        <v>105</v>
      </c>
      <c r="G4" s="146"/>
      <c r="H4" s="62"/>
      <c r="I4" s="62"/>
      <c r="J4" s="62" t="s">
        <v>67</v>
      </c>
      <c r="K4" s="69"/>
    </row>
    <row r="5" spans="1:11" ht="38.25" x14ac:dyDescent="0.2">
      <c r="A5" s="139" t="s">
        <v>91</v>
      </c>
      <c r="B5" s="147">
        <f>J25</f>
        <v>542</v>
      </c>
      <c r="C5" s="141">
        <v>1</v>
      </c>
      <c r="D5" s="142">
        <f t="shared" si="0"/>
        <v>542</v>
      </c>
      <c r="E5" s="143">
        <f t="shared" si="1"/>
        <v>14997.140000000001</v>
      </c>
      <c r="F5" s="139" t="s">
        <v>122</v>
      </c>
      <c r="G5" s="148"/>
      <c r="H5" s="62"/>
      <c r="I5" s="62"/>
      <c r="J5" s="62" t="s">
        <v>68</v>
      </c>
      <c r="K5" s="70"/>
    </row>
    <row r="6" spans="1:11" ht="38.25" x14ac:dyDescent="0.2">
      <c r="A6" s="139" t="s">
        <v>104</v>
      </c>
      <c r="B6" s="147">
        <f>B22</f>
        <v>274</v>
      </c>
      <c r="C6" s="141">
        <v>0.5</v>
      </c>
      <c r="D6" s="142">
        <f t="shared" si="0"/>
        <v>137</v>
      </c>
      <c r="E6" s="143">
        <f t="shared" si="1"/>
        <v>3790.7900000000004</v>
      </c>
      <c r="F6" s="149" t="s">
        <v>19</v>
      </c>
      <c r="G6" s="62"/>
      <c r="H6" s="62"/>
      <c r="I6" s="62"/>
      <c r="J6" s="62" t="s">
        <v>69</v>
      </c>
    </row>
    <row r="7" spans="1:11" ht="38.25" x14ac:dyDescent="0.2">
      <c r="A7" s="149" t="s">
        <v>44</v>
      </c>
      <c r="B7" s="147">
        <f>B21</f>
        <v>159</v>
      </c>
      <c r="C7" s="141">
        <v>0.08</v>
      </c>
      <c r="D7" s="142">
        <f t="shared" si="0"/>
        <v>12.72</v>
      </c>
      <c r="E7" s="143">
        <f t="shared" si="1"/>
        <v>351.96240000000006</v>
      </c>
      <c r="F7" s="139" t="s">
        <v>48</v>
      </c>
      <c r="G7" s="150"/>
      <c r="H7" s="62"/>
      <c r="I7" s="62"/>
      <c r="J7" s="144" t="s">
        <v>103</v>
      </c>
    </row>
    <row r="8" spans="1:11" ht="25.5" x14ac:dyDescent="0.2">
      <c r="A8" s="149" t="s">
        <v>20</v>
      </c>
      <c r="B8" s="151">
        <v>75</v>
      </c>
      <c r="C8" s="152">
        <v>0.5</v>
      </c>
      <c r="D8" s="142">
        <f t="shared" si="0"/>
        <v>37.5</v>
      </c>
      <c r="E8" s="143">
        <f t="shared" si="1"/>
        <v>1037.625</v>
      </c>
      <c r="F8" s="149" t="s">
        <v>21</v>
      </c>
      <c r="G8" s="146"/>
      <c r="H8" s="62"/>
      <c r="I8" s="62"/>
      <c r="J8" s="62" t="s">
        <v>69</v>
      </c>
    </row>
    <row r="9" spans="1:11" ht="25.5" x14ac:dyDescent="0.2">
      <c r="A9" s="149" t="s">
        <v>22</v>
      </c>
      <c r="B9" s="153">
        <v>1428</v>
      </c>
      <c r="C9" s="152">
        <v>0.5</v>
      </c>
      <c r="D9" s="142">
        <f t="shared" si="0"/>
        <v>714</v>
      </c>
      <c r="E9" s="143">
        <f t="shared" si="1"/>
        <v>19756.38</v>
      </c>
      <c r="F9" s="149" t="s">
        <v>21</v>
      </c>
      <c r="G9" s="148"/>
      <c r="H9" s="62"/>
      <c r="I9" s="62"/>
      <c r="J9" s="144" t="s">
        <v>69</v>
      </c>
    </row>
    <row r="10" spans="1:11" ht="25.5" x14ac:dyDescent="0.2">
      <c r="A10" s="136" t="s">
        <v>23</v>
      </c>
      <c r="B10" s="154">
        <f>SUM(B3:B9)</f>
        <v>4960</v>
      </c>
      <c r="C10" s="155">
        <f>SUM(C3:C9)</f>
        <v>5.83</v>
      </c>
      <c r="D10" s="155">
        <f>SUM(D3:D9)</f>
        <v>5099.72</v>
      </c>
      <c r="E10" s="156">
        <f>SUM(E3:E9)</f>
        <v>141109.2524</v>
      </c>
      <c r="F10" s="151"/>
      <c r="G10" s="62"/>
      <c r="H10" s="62"/>
      <c r="I10" s="62"/>
      <c r="J10" s="62"/>
    </row>
    <row r="11" spans="1:11" x14ac:dyDescent="0.2">
      <c r="A11" s="157" t="s">
        <v>85</v>
      </c>
      <c r="B11" s="206"/>
      <c r="C11" s="158">
        <f>AVERAGE(C3:C9)</f>
        <v>0.83285714285714285</v>
      </c>
      <c r="D11" s="204"/>
      <c r="E11" s="205"/>
      <c r="F11" s="207"/>
      <c r="G11" s="208"/>
      <c r="H11" s="208"/>
      <c r="I11" s="208"/>
      <c r="J11" s="208"/>
    </row>
    <row r="12" spans="1:11" x14ac:dyDescent="0.2">
      <c r="A12" s="3"/>
      <c r="C12" s="13"/>
      <c r="D12" s="14"/>
      <c r="E12" s="15"/>
      <c r="F12" s="16"/>
      <c r="G12" s="12"/>
    </row>
    <row r="13" spans="1:11" ht="13.5" customHeight="1" x14ac:dyDescent="0.2">
      <c r="A13" s="249" t="s">
        <v>76</v>
      </c>
      <c r="B13" s="257"/>
      <c r="C13" s="257"/>
      <c r="D13" s="257"/>
      <c r="E13" s="257"/>
      <c r="F13" s="257"/>
      <c r="G13" s="258"/>
    </row>
    <row r="15" spans="1:11" ht="15" x14ac:dyDescent="0.2">
      <c r="A15" s="159" t="s">
        <v>55</v>
      </c>
      <c r="B15" s="62"/>
      <c r="C15" s="62"/>
      <c r="D15" s="62"/>
      <c r="E15" s="62"/>
      <c r="F15" s="62"/>
      <c r="G15" s="62"/>
      <c r="H15" s="62"/>
      <c r="I15" s="62"/>
      <c r="J15" s="62"/>
      <c r="K15" s="111"/>
    </row>
    <row r="16" spans="1:11" ht="38.25" x14ac:dyDescent="0.2">
      <c r="A16" s="160" t="s">
        <v>24</v>
      </c>
      <c r="B16" s="160" t="s">
        <v>75</v>
      </c>
      <c r="C16" s="160" t="s">
        <v>50</v>
      </c>
      <c r="D16" s="160" t="s">
        <v>53</v>
      </c>
      <c r="E16" s="161" t="s">
        <v>79</v>
      </c>
      <c r="F16" s="162"/>
      <c r="G16" s="163"/>
      <c r="H16" s="62" t="s">
        <v>71</v>
      </c>
      <c r="I16" s="144" t="s">
        <v>92</v>
      </c>
      <c r="J16" s="62" t="s">
        <v>72</v>
      </c>
    </row>
    <row r="17" spans="1:10" ht="25.5" x14ac:dyDescent="0.2">
      <c r="A17" s="164" t="s">
        <v>14</v>
      </c>
      <c r="B17" s="165">
        <f>'2. Applications by Program-0029'!B3</f>
        <v>96</v>
      </c>
      <c r="C17" s="62">
        <v>4.25</v>
      </c>
      <c r="D17" s="62">
        <f>B17*C17</f>
        <v>408</v>
      </c>
      <c r="E17" s="166">
        <f>D17*27.67</f>
        <v>11289.36</v>
      </c>
      <c r="F17" s="62"/>
      <c r="G17" s="62"/>
      <c r="H17" s="167">
        <v>96</v>
      </c>
      <c r="I17" s="167">
        <v>96</v>
      </c>
      <c r="J17" s="167">
        <v>40</v>
      </c>
    </row>
    <row r="18" spans="1:10" ht="25.5" x14ac:dyDescent="0.2">
      <c r="A18" s="139" t="s">
        <v>9</v>
      </c>
      <c r="B18" s="165">
        <f>'2. Applications by Program-0029'!B4</f>
        <v>554</v>
      </c>
      <c r="C18" s="169">
        <v>4.25</v>
      </c>
      <c r="D18" s="62">
        <f t="shared" ref="D18:D24" si="2">B18*C18</f>
        <v>2354.5</v>
      </c>
      <c r="E18" s="166">
        <f t="shared" ref="E18:E24" si="3">D18*27.67</f>
        <v>65149.015000000007</v>
      </c>
      <c r="F18" s="62"/>
      <c r="G18" s="62"/>
      <c r="H18" s="168">
        <v>554</v>
      </c>
      <c r="I18" s="168">
        <v>554</v>
      </c>
      <c r="J18" s="168">
        <v>277</v>
      </c>
    </row>
    <row r="19" spans="1:10" ht="38.25" x14ac:dyDescent="0.2">
      <c r="A19" s="164" t="s">
        <v>13</v>
      </c>
      <c r="B19" s="165">
        <f>'2. Applications by Program-0029'!B5</f>
        <v>32</v>
      </c>
      <c r="C19" s="62">
        <v>4.25</v>
      </c>
      <c r="D19" s="62">
        <f t="shared" si="2"/>
        <v>136</v>
      </c>
      <c r="E19" s="166">
        <f t="shared" si="3"/>
        <v>3763.1200000000003</v>
      </c>
      <c r="F19" s="62"/>
      <c r="G19" s="62"/>
      <c r="H19" s="167">
        <v>32</v>
      </c>
      <c r="I19" s="167">
        <v>32</v>
      </c>
      <c r="J19" s="167">
        <v>16</v>
      </c>
    </row>
    <row r="20" spans="1:10" ht="38.25" x14ac:dyDescent="0.2">
      <c r="A20" s="139" t="s">
        <v>148</v>
      </c>
      <c r="B20" s="165">
        <f>'2. Applications by Program-0029'!B6</f>
        <v>355</v>
      </c>
      <c r="C20" s="62">
        <v>4.25</v>
      </c>
      <c r="D20" s="62">
        <f t="shared" si="2"/>
        <v>1508.75</v>
      </c>
      <c r="E20" s="166">
        <f t="shared" si="3"/>
        <v>41747.112500000003</v>
      </c>
      <c r="F20" s="170"/>
      <c r="G20" s="62"/>
      <c r="H20" s="168">
        <v>355</v>
      </c>
      <c r="I20" s="168">
        <v>355</v>
      </c>
      <c r="J20" s="168">
        <v>178</v>
      </c>
    </row>
    <row r="21" spans="1:10" ht="38.25" x14ac:dyDescent="0.2">
      <c r="A21" s="164" t="s">
        <v>43</v>
      </c>
      <c r="B21" s="165">
        <f>'2. Applications by Program-0029'!B7</f>
        <v>159</v>
      </c>
      <c r="C21" s="62">
        <v>0.08</v>
      </c>
      <c r="D21" s="62">
        <f t="shared" si="2"/>
        <v>12.72</v>
      </c>
      <c r="E21" s="166">
        <f t="shared" si="3"/>
        <v>351.96240000000006</v>
      </c>
      <c r="F21" s="150"/>
      <c r="G21" s="62"/>
      <c r="H21" s="167">
        <v>0</v>
      </c>
      <c r="I21" s="167">
        <v>0</v>
      </c>
      <c r="J21" s="167">
        <v>0</v>
      </c>
    </row>
    <row r="22" spans="1:10" ht="25.5" x14ac:dyDescent="0.2">
      <c r="A22" s="139" t="s">
        <v>10</v>
      </c>
      <c r="B22" s="165">
        <f>'2. Applications by Program-0029'!B8</f>
        <v>274</v>
      </c>
      <c r="C22" s="62">
        <v>0.5</v>
      </c>
      <c r="D22" s="62">
        <f t="shared" si="2"/>
        <v>137</v>
      </c>
      <c r="E22" s="166">
        <f t="shared" si="3"/>
        <v>3790.7900000000004</v>
      </c>
      <c r="F22" s="62"/>
      <c r="G22" s="62"/>
      <c r="H22" s="168">
        <v>274</v>
      </c>
      <c r="I22" s="168">
        <v>0</v>
      </c>
      <c r="J22" s="168">
        <v>0</v>
      </c>
    </row>
    <row r="23" spans="1:10" ht="38.25" x14ac:dyDescent="0.2">
      <c r="A23" s="139" t="s">
        <v>11</v>
      </c>
      <c r="B23" s="165">
        <f>'2. Applications by Program-0029'!B9</f>
        <v>34</v>
      </c>
      <c r="C23" s="62">
        <v>4.25</v>
      </c>
      <c r="D23" s="62">
        <f t="shared" si="2"/>
        <v>144.5</v>
      </c>
      <c r="E23" s="166">
        <f t="shared" si="3"/>
        <v>3998.3150000000001</v>
      </c>
      <c r="F23" s="62"/>
      <c r="G23" s="62"/>
      <c r="H23" s="168">
        <v>34</v>
      </c>
      <c r="I23" s="168">
        <v>34</v>
      </c>
      <c r="J23" s="168">
        <v>15</v>
      </c>
    </row>
    <row r="24" spans="1:10" ht="38.25" x14ac:dyDescent="0.2">
      <c r="A24" s="164" t="s">
        <v>12</v>
      </c>
      <c r="B24" s="165">
        <f>'2. Applications by Program-0029'!B10</f>
        <v>31</v>
      </c>
      <c r="C24" s="62">
        <v>4.25</v>
      </c>
      <c r="D24" s="62">
        <f t="shared" si="2"/>
        <v>131.75</v>
      </c>
      <c r="E24" s="166">
        <f t="shared" si="3"/>
        <v>3645.5225</v>
      </c>
      <c r="F24" s="62"/>
      <c r="G24" s="62"/>
      <c r="H24" s="167">
        <v>33</v>
      </c>
      <c r="I24" s="167">
        <v>33</v>
      </c>
      <c r="J24" s="167">
        <v>16</v>
      </c>
    </row>
    <row r="25" spans="1:10" x14ac:dyDescent="0.2">
      <c r="A25" s="171" t="s">
        <v>4</v>
      </c>
      <c r="B25" s="172">
        <f>SUM(B17:B24)</f>
        <v>1535</v>
      </c>
      <c r="C25" s="172"/>
      <c r="D25" s="172">
        <f>SUM(D17:D24)</f>
        <v>4833.22</v>
      </c>
      <c r="E25" s="173">
        <f>SUM(E17:E24)</f>
        <v>133735.1974</v>
      </c>
      <c r="F25" s="62"/>
      <c r="G25" s="62"/>
      <c r="H25" s="138">
        <f>SUM(H17:H24)</f>
        <v>1378</v>
      </c>
      <c r="I25" s="138">
        <f>SUM(I17:I24)</f>
        <v>1104</v>
      </c>
      <c r="J25" s="138">
        <f>SUM(J17:J24)</f>
        <v>542</v>
      </c>
    </row>
    <row r="26" spans="1:10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">
      <c r="A27" s="254"/>
      <c r="B27" s="255"/>
      <c r="C27" s="255"/>
      <c r="D27" s="255"/>
      <c r="E27" s="255"/>
      <c r="F27" s="62"/>
      <c r="G27" s="62"/>
      <c r="H27" s="62"/>
      <c r="I27" s="62"/>
      <c r="J27" s="138">
        <f>SUM(H25:J25)</f>
        <v>3024</v>
      </c>
    </row>
    <row r="29" spans="1:10" x14ac:dyDescent="0.2">
      <c r="A29" s="23" t="s">
        <v>150</v>
      </c>
    </row>
    <row r="30" spans="1:10" x14ac:dyDescent="0.2">
      <c r="A30" s="67" t="s">
        <v>144</v>
      </c>
      <c r="B30">
        <v>182</v>
      </c>
      <c r="C30">
        <v>4.25</v>
      </c>
      <c r="D30" s="49">
        <f t="shared" ref="D30:D33" si="4">B30*C30</f>
        <v>773.5</v>
      </c>
      <c r="E30" s="273">
        <f>D30*27.67</f>
        <v>21402.745000000003</v>
      </c>
    </row>
    <row r="31" spans="1:10" x14ac:dyDescent="0.2">
      <c r="A31" s="67" t="s">
        <v>145</v>
      </c>
      <c r="B31">
        <v>76</v>
      </c>
      <c r="C31">
        <v>4.25</v>
      </c>
      <c r="D31" s="49">
        <f t="shared" si="4"/>
        <v>323</v>
      </c>
      <c r="E31" s="273">
        <f>D31*27.67</f>
        <v>8937.41</v>
      </c>
    </row>
    <row r="32" spans="1:10" x14ac:dyDescent="0.2">
      <c r="A32" s="67" t="s">
        <v>146</v>
      </c>
      <c r="B32">
        <v>68</v>
      </c>
      <c r="C32">
        <v>4.25</v>
      </c>
      <c r="D32" s="49">
        <f t="shared" si="4"/>
        <v>289</v>
      </c>
      <c r="E32" s="273">
        <f>D32*27.67</f>
        <v>7996.63</v>
      </c>
    </row>
    <row r="33" spans="1:5" x14ac:dyDescent="0.2">
      <c r="A33" s="67" t="s">
        <v>147</v>
      </c>
      <c r="B33" s="271">
        <v>29</v>
      </c>
      <c r="C33" s="271">
        <v>4.25</v>
      </c>
      <c r="D33" s="275">
        <f t="shared" si="4"/>
        <v>123.25</v>
      </c>
      <c r="E33" s="276">
        <f>D33*27.67</f>
        <v>3410.3275000000003</v>
      </c>
    </row>
    <row r="34" spans="1:5" x14ac:dyDescent="0.2">
      <c r="E34" s="274">
        <f>SUM(E30:E33)</f>
        <v>41747.112500000003</v>
      </c>
    </row>
  </sheetData>
  <mergeCells count="3">
    <mergeCell ref="A27:E27"/>
    <mergeCell ref="A1:F1"/>
    <mergeCell ref="A13:G13"/>
  </mergeCells>
  <phoneticPr fontId="1" type="noConversion"/>
  <pageMargins left="0.75" right="0.75" top="1" bottom="1" header="0.5" footer="0.5"/>
  <pageSetup paperSize="5" scale="99" orientation="landscape" cellComments="asDisplayed" r:id="rId1"/>
  <headerFooter alignWithMargins="0"/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Layout" topLeftCell="A28" zoomScaleNormal="100" workbookViewId="0">
      <selection activeCell="A48" sqref="A48"/>
    </sheetView>
  </sheetViews>
  <sheetFormatPr defaultRowHeight="12.75" x14ac:dyDescent="0.2"/>
  <cols>
    <col min="1" max="1" width="37.5703125" style="2" customWidth="1"/>
    <col min="2" max="2" width="12" customWidth="1"/>
    <col min="3" max="3" width="17.5703125" customWidth="1"/>
    <col min="4" max="4" width="11.42578125" customWidth="1"/>
    <col min="5" max="5" width="14.5703125" customWidth="1"/>
    <col min="6" max="6" width="17.42578125" style="1" customWidth="1"/>
    <col min="8" max="8" width="11.85546875" customWidth="1"/>
    <col min="9" max="10" width="9.140625" style="24"/>
  </cols>
  <sheetData>
    <row r="1" spans="1:11" ht="15" x14ac:dyDescent="0.2">
      <c r="A1" s="262" t="s">
        <v>51</v>
      </c>
      <c r="B1" s="263"/>
      <c r="C1" s="263"/>
      <c r="D1" s="264"/>
      <c r="E1" s="264"/>
      <c r="F1" s="264"/>
    </row>
    <row r="2" spans="1:11" ht="51" x14ac:dyDescent="0.2">
      <c r="A2" s="136" t="s">
        <v>59</v>
      </c>
      <c r="B2" s="136" t="s">
        <v>75</v>
      </c>
      <c r="C2" s="136" t="s">
        <v>50</v>
      </c>
      <c r="D2" s="136" t="s">
        <v>53</v>
      </c>
      <c r="E2" s="136" t="s">
        <v>78</v>
      </c>
      <c r="F2" s="136" t="s">
        <v>52</v>
      </c>
      <c r="I2" s="162" t="s">
        <v>57</v>
      </c>
      <c r="J2" s="162" t="s">
        <v>58</v>
      </c>
      <c r="K2" s="136" t="s">
        <v>63</v>
      </c>
    </row>
    <row r="3" spans="1:11" x14ac:dyDescent="0.2">
      <c r="A3" s="149" t="s">
        <v>3</v>
      </c>
      <c r="B3" s="165">
        <v>34</v>
      </c>
      <c r="C3" s="167">
        <f>C27*2+C28</f>
        <v>18.560000000000002</v>
      </c>
      <c r="D3" s="66">
        <f>B3*C3</f>
        <v>631.04000000000008</v>
      </c>
      <c r="E3" s="143">
        <f>D3*27.67</f>
        <v>17460.876800000002</v>
      </c>
      <c r="F3" s="182" t="s">
        <v>94</v>
      </c>
      <c r="G3" s="59"/>
      <c r="H3" s="59"/>
      <c r="I3" s="167">
        <f>SUM(B3*2)</f>
        <v>68</v>
      </c>
      <c r="J3" s="167">
        <f>SUM(B3*1)</f>
        <v>34</v>
      </c>
      <c r="K3" s="62">
        <v>0</v>
      </c>
    </row>
    <row r="4" spans="1:11" x14ac:dyDescent="0.2">
      <c r="A4" s="139" t="s">
        <v>93</v>
      </c>
      <c r="B4" s="168">
        <v>196</v>
      </c>
      <c r="C4" s="167">
        <f t="shared" ref="C4:C6" si="0">C28*2+C29</f>
        <v>26.44</v>
      </c>
      <c r="D4" s="66">
        <f>B4*C4</f>
        <v>5182.2400000000007</v>
      </c>
      <c r="E4" s="143">
        <f t="shared" ref="E4:E10" si="1">D4*27.67</f>
        <v>143392.58080000003</v>
      </c>
      <c r="F4" s="182" t="s">
        <v>94</v>
      </c>
      <c r="G4" s="59"/>
      <c r="H4" s="59"/>
      <c r="I4" s="167">
        <f>SUM(B4*2)</f>
        <v>392</v>
      </c>
      <c r="J4" s="167">
        <f>SUM(B4*1)</f>
        <v>196</v>
      </c>
      <c r="K4" s="62">
        <v>0</v>
      </c>
    </row>
    <row r="5" spans="1:11" ht="25.5" x14ac:dyDescent="0.2">
      <c r="A5" s="139" t="s">
        <v>95</v>
      </c>
      <c r="B5" s="165">
        <v>12</v>
      </c>
      <c r="C5" s="167">
        <f t="shared" si="0"/>
        <v>21.39</v>
      </c>
      <c r="D5" s="66">
        <f>B5*C5</f>
        <v>256.68</v>
      </c>
      <c r="E5" s="143">
        <f t="shared" si="1"/>
        <v>7102.3356000000003</v>
      </c>
      <c r="F5" s="182" t="s">
        <v>94</v>
      </c>
      <c r="G5" s="59"/>
      <c r="H5" s="59"/>
      <c r="I5" s="167">
        <f>SUM(B5*2)</f>
        <v>24</v>
      </c>
      <c r="J5" s="167">
        <f>SUM(B5*1)</f>
        <v>12</v>
      </c>
      <c r="K5" s="62">
        <v>0</v>
      </c>
    </row>
    <row r="6" spans="1:11" ht="25.5" x14ac:dyDescent="0.2">
      <c r="A6" s="139" t="s">
        <v>74</v>
      </c>
      <c r="B6" s="168">
        <v>67</v>
      </c>
      <c r="C6" s="167">
        <f t="shared" si="0"/>
        <v>40.576666666666668</v>
      </c>
      <c r="D6" s="175">
        <f t="shared" ref="D6:D9" si="2">B6*C6</f>
        <v>2718.6366666666668</v>
      </c>
      <c r="E6" s="143">
        <f t="shared" si="1"/>
        <v>75224.676566666676</v>
      </c>
      <c r="F6" s="182" t="s">
        <v>94</v>
      </c>
      <c r="G6" s="260"/>
      <c r="H6" s="260"/>
      <c r="I6" s="167">
        <f>SUM(B6*2)</f>
        <v>134</v>
      </c>
      <c r="J6" s="167">
        <f t="shared" ref="J6:J9" si="3">SUM(B6*1)</f>
        <v>67</v>
      </c>
      <c r="K6" s="62">
        <v>0</v>
      </c>
    </row>
    <row r="7" spans="1:11" ht="25.5" x14ac:dyDescent="0.2">
      <c r="A7" s="139" t="s">
        <v>2</v>
      </c>
      <c r="B7" s="168">
        <v>274</v>
      </c>
      <c r="C7" s="174">
        <f>C29</f>
        <v>2</v>
      </c>
      <c r="D7" s="175">
        <f t="shared" si="2"/>
        <v>548</v>
      </c>
      <c r="E7" s="143">
        <f t="shared" si="1"/>
        <v>15163.160000000002</v>
      </c>
      <c r="F7" s="182" t="s">
        <v>109</v>
      </c>
      <c r="G7" s="59"/>
      <c r="H7" s="59"/>
      <c r="I7" s="169">
        <v>0</v>
      </c>
      <c r="J7" s="24">
        <v>0</v>
      </c>
      <c r="K7" s="167">
        <f>SUM(B7*1)</f>
        <v>274</v>
      </c>
    </row>
    <row r="8" spans="1:11" ht="25.5" x14ac:dyDescent="0.2">
      <c r="A8" s="139" t="s">
        <v>42</v>
      </c>
      <c r="B8" s="168">
        <v>14</v>
      </c>
      <c r="C8" s="174">
        <f>C27+C28</f>
        <v>15.39</v>
      </c>
      <c r="D8" s="175">
        <f t="shared" si="2"/>
        <v>215.46</v>
      </c>
      <c r="E8" s="143">
        <f t="shared" si="1"/>
        <v>5961.7782000000007</v>
      </c>
      <c r="F8" s="182" t="s">
        <v>106</v>
      </c>
      <c r="G8" s="59"/>
      <c r="H8" s="59"/>
      <c r="I8" s="167">
        <f>SUM(B8*1)</f>
        <v>14</v>
      </c>
      <c r="J8" s="167">
        <f t="shared" si="3"/>
        <v>14</v>
      </c>
      <c r="K8" s="62">
        <v>0</v>
      </c>
    </row>
    <row r="9" spans="1:11" ht="25.5" x14ac:dyDescent="0.2">
      <c r="A9" s="139" t="s">
        <v>96</v>
      </c>
      <c r="B9" s="165">
        <v>20</v>
      </c>
      <c r="C9" s="167">
        <f>C27*2+C28</f>
        <v>18.560000000000002</v>
      </c>
      <c r="D9" s="66">
        <f t="shared" si="2"/>
        <v>371.20000000000005</v>
      </c>
      <c r="E9" s="143">
        <f t="shared" si="1"/>
        <v>10271.104000000001</v>
      </c>
      <c r="F9" s="182" t="s">
        <v>94</v>
      </c>
      <c r="G9" s="59"/>
      <c r="H9" s="59"/>
      <c r="I9" s="167">
        <f>SUM(B9*2)</f>
        <v>40</v>
      </c>
      <c r="J9" s="167">
        <f t="shared" si="3"/>
        <v>20</v>
      </c>
      <c r="K9" s="62">
        <v>0</v>
      </c>
    </row>
    <row r="10" spans="1:11" ht="13.5" thickBot="1" x14ac:dyDescent="0.25">
      <c r="A10" s="184" t="s">
        <v>101</v>
      </c>
      <c r="B10" s="176">
        <v>22</v>
      </c>
      <c r="C10" s="167">
        <f>C28</f>
        <v>12.22</v>
      </c>
      <c r="D10" s="177">
        <f>B10*C10</f>
        <v>268.84000000000003</v>
      </c>
      <c r="E10" s="143">
        <f t="shared" si="1"/>
        <v>7438.8028000000013</v>
      </c>
      <c r="F10" s="183" t="s">
        <v>64</v>
      </c>
      <c r="G10" s="253"/>
      <c r="H10" s="253"/>
      <c r="I10" s="168">
        <v>0</v>
      </c>
      <c r="J10" s="167">
        <f>SUM(B10*1)</f>
        <v>22</v>
      </c>
      <c r="K10" s="62">
        <v>0</v>
      </c>
    </row>
    <row r="11" spans="1:11" ht="13.5" thickBot="1" x14ac:dyDescent="0.25">
      <c r="A11" s="185" t="s">
        <v>5</v>
      </c>
      <c r="B11" s="88">
        <f>SUM(B3:B10)</f>
        <v>639</v>
      </c>
      <c r="C11" s="88">
        <f>SUM(C3:C10)</f>
        <v>155.13666666666668</v>
      </c>
      <c r="D11" s="89">
        <f>SUM(D3:D10)</f>
        <v>10192.096666666668</v>
      </c>
      <c r="E11" s="90">
        <f>SUM(E3:E10)</f>
        <v>282015.31476666674</v>
      </c>
      <c r="F11" s="267" t="s">
        <v>143</v>
      </c>
      <c r="G11" s="268"/>
      <c r="H11" s="269"/>
      <c r="I11" s="178">
        <f>SUM(I3:I10)</f>
        <v>672</v>
      </c>
      <c r="J11" s="178">
        <f>SUM(J3:J10)</f>
        <v>365</v>
      </c>
      <c r="K11" s="138">
        <f>SUM(K3:K10)</f>
        <v>274</v>
      </c>
    </row>
    <row r="12" spans="1:11" x14ac:dyDescent="0.2">
      <c r="A12" s="186" t="s">
        <v>84</v>
      </c>
      <c r="B12" s="198"/>
      <c r="C12" s="101">
        <f>AVERAGE(C3:C10)</f>
        <v>19.392083333333336</v>
      </c>
      <c r="D12" s="199"/>
      <c r="E12" s="200"/>
      <c r="F12" s="86"/>
      <c r="G12" s="86"/>
      <c r="H12" s="87"/>
      <c r="I12" s="103"/>
      <c r="J12" s="103"/>
      <c r="K12" s="23"/>
    </row>
    <row r="13" spans="1:11" x14ac:dyDescent="0.2">
      <c r="A13" s="3"/>
      <c r="B13" s="18"/>
      <c r="C13" s="18"/>
      <c r="D13" s="10"/>
      <c r="E13" s="11"/>
      <c r="F13" s="17"/>
    </row>
    <row r="14" spans="1:11" x14ac:dyDescent="0.2">
      <c r="A14" s="249" t="s">
        <v>77</v>
      </c>
      <c r="B14" s="261"/>
      <c r="C14" s="261"/>
      <c r="D14" s="261"/>
      <c r="E14" s="261"/>
      <c r="F14" s="261"/>
    </row>
    <row r="15" spans="1:11" x14ac:dyDescent="0.2">
      <c r="I15" s="18"/>
      <c r="J15" s="114"/>
      <c r="K15" s="11"/>
    </row>
    <row r="16" spans="1:11" ht="38.25" x14ac:dyDescent="0.2">
      <c r="A16" s="28" t="s">
        <v>56</v>
      </c>
      <c r="B16" s="29" t="s">
        <v>75</v>
      </c>
      <c r="C16" s="29" t="s">
        <v>50</v>
      </c>
      <c r="D16" s="29" t="s">
        <v>53</v>
      </c>
      <c r="E16" s="29" t="s">
        <v>78</v>
      </c>
      <c r="F16" s="5"/>
    </row>
    <row r="17" spans="1:11" x14ac:dyDescent="0.2">
      <c r="A17" s="12" t="s">
        <v>1</v>
      </c>
      <c r="B17" s="36">
        <v>53</v>
      </c>
      <c r="C17" s="36">
        <v>40</v>
      </c>
      <c r="D17" s="35">
        <f>B17*C17</f>
        <v>2120</v>
      </c>
      <c r="E17" s="37">
        <f>SUM(D17*27.67)</f>
        <v>58660.4</v>
      </c>
    </row>
    <row r="18" spans="1:11" x14ac:dyDescent="0.2">
      <c r="A18" s="33" t="s">
        <v>107</v>
      </c>
      <c r="B18" s="36">
        <v>53</v>
      </c>
      <c r="C18" s="36">
        <v>3.67</v>
      </c>
      <c r="D18" s="35">
        <f>B18*C18</f>
        <v>194.51</v>
      </c>
      <c r="E18" s="37">
        <f>SUM(D18*27.67)</f>
        <v>5382.0916999999999</v>
      </c>
      <c r="F18" s="179"/>
    </row>
    <row r="19" spans="1:11" x14ac:dyDescent="0.2">
      <c r="A19" s="33" t="s">
        <v>80</v>
      </c>
      <c r="B19" s="36">
        <v>53</v>
      </c>
      <c r="C19" s="36">
        <v>3.67</v>
      </c>
      <c r="D19" s="35">
        <f>B19*C19</f>
        <v>194.51</v>
      </c>
      <c r="E19" s="37">
        <f>SUM(D19*27.67)</f>
        <v>5382.0916999999999</v>
      </c>
    </row>
    <row r="20" spans="1:11" ht="25.5" x14ac:dyDescent="0.2">
      <c r="A20" s="33" t="s">
        <v>81</v>
      </c>
      <c r="B20" s="36">
        <v>3</v>
      </c>
      <c r="C20" s="36">
        <v>3.67</v>
      </c>
      <c r="D20" s="35">
        <f>B20*C20</f>
        <v>11.01</v>
      </c>
      <c r="E20" s="37">
        <f>SUM(D20*27.67)</f>
        <v>304.64670000000001</v>
      </c>
      <c r="F20" s="270"/>
      <c r="G20" s="258"/>
      <c r="H20" s="258"/>
    </row>
    <row r="21" spans="1:11" x14ac:dyDescent="0.2">
      <c r="A21" s="50" t="s">
        <v>5</v>
      </c>
      <c r="B21" s="51">
        <f>SUM(B17:B20)</f>
        <v>162</v>
      </c>
      <c r="C21" s="51">
        <f>SUM(C17:C20)</f>
        <v>51.010000000000005</v>
      </c>
      <c r="D21" s="52">
        <f>SUM(D17:D20)</f>
        <v>2520.0300000000007</v>
      </c>
      <c r="E21" s="53">
        <f>SUM(E17:E20)</f>
        <v>69729.230100000001</v>
      </c>
    </row>
    <row r="22" spans="1:11" x14ac:dyDescent="0.2">
      <c r="B22" s="24"/>
    </row>
    <row r="23" spans="1:11" ht="25.5" x14ac:dyDescent="0.2">
      <c r="A23" s="29" t="s">
        <v>112</v>
      </c>
      <c r="B23" s="38">
        <f>B11+B21</f>
        <v>801</v>
      </c>
      <c r="C23" s="38">
        <f>C11+C21</f>
        <v>206.1466666666667</v>
      </c>
      <c r="D23" s="39">
        <f>D11+D21</f>
        <v>12712.126666666669</v>
      </c>
      <c r="E23" s="109">
        <f>E11+E21</f>
        <v>351744.54486666672</v>
      </c>
    </row>
    <row r="26" spans="1:11" ht="39" thickBot="1" x14ac:dyDescent="0.25">
      <c r="A26" s="8" t="s">
        <v>6</v>
      </c>
      <c r="B26" s="61" t="s">
        <v>60</v>
      </c>
      <c r="C26" s="63" t="s">
        <v>61</v>
      </c>
      <c r="D26" s="64" t="s">
        <v>53</v>
      </c>
      <c r="E26" s="65" t="s">
        <v>78</v>
      </c>
    </row>
    <row r="27" spans="1:11" x14ac:dyDescent="0.2">
      <c r="A27" s="4" t="s">
        <v>97</v>
      </c>
      <c r="B27" s="62">
        <f>I11</f>
        <v>672</v>
      </c>
      <c r="C27" s="25">
        <v>3.17</v>
      </c>
      <c r="D27" s="66">
        <f>B27*C27</f>
        <v>2130.2399999999998</v>
      </c>
      <c r="E27" s="115">
        <f>D27*27.67</f>
        <v>58943.7408</v>
      </c>
      <c r="F27" s="116" t="s">
        <v>108</v>
      </c>
    </row>
    <row r="28" spans="1:11" x14ac:dyDescent="0.2">
      <c r="A28" s="4" t="s">
        <v>98</v>
      </c>
      <c r="B28" s="62">
        <f>J11</f>
        <v>365</v>
      </c>
      <c r="C28" s="60">
        <v>12.22</v>
      </c>
      <c r="D28" s="66">
        <f>B28*C28</f>
        <v>4460.3</v>
      </c>
      <c r="E28" s="115">
        <f t="shared" ref="E28:E29" si="4">D28*27.67</f>
        <v>123416.50100000002</v>
      </c>
      <c r="F28" s="117" t="s">
        <v>110</v>
      </c>
      <c r="G28" s="265" t="s">
        <v>111</v>
      </c>
      <c r="H28" s="266"/>
      <c r="I28" s="266"/>
      <c r="J28" s="258"/>
      <c r="K28" s="258"/>
    </row>
    <row r="29" spans="1:11" ht="13.5" thickBot="1" x14ac:dyDescent="0.25">
      <c r="A29" s="187" t="s">
        <v>62</v>
      </c>
      <c r="B29" s="188">
        <f>K11</f>
        <v>274</v>
      </c>
      <c r="C29" s="189">
        <v>2</v>
      </c>
      <c r="D29" s="190">
        <f>B29*C29</f>
        <v>548</v>
      </c>
      <c r="E29" s="115">
        <f t="shared" si="4"/>
        <v>15163.160000000002</v>
      </c>
      <c r="F29" s="191" t="s">
        <v>64</v>
      </c>
      <c r="G29" s="192"/>
      <c r="H29" s="193"/>
      <c r="I29" s="193"/>
      <c r="J29" s="180"/>
      <c r="K29" s="180"/>
    </row>
    <row r="30" spans="1:11" s="24" customFormat="1" x14ac:dyDescent="0.2">
      <c r="A30" s="201"/>
      <c r="B30" s="72">
        <f>SUM(B27:B29)</f>
        <v>1311</v>
      </c>
      <c r="C30" s="72">
        <f>SUM(C27:C29)</f>
        <v>17.39</v>
      </c>
      <c r="D30" s="73">
        <f>SUM(D27:D29)</f>
        <v>7138.54</v>
      </c>
      <c r="E30" s="194">
        <f>SUM(E27:E29)</f>
        <v>197523.40180000002</v>
      </c>
      <c r="F30"/>
      <c r="G30"/>
      <c r="H30"/>
      <c r="K30"/>
    </row>
    <row r="31" spans="1:11" x14ac:dyDescent="0.2">
      <c r="A31" s="76" t="s">
        <v>83</v>
      </c>
      <c r="B31" s="195"/>
      <c r="C31" s="91">
        <f>AVERAGE(C27:C29)</f>
        <v>5.7966666666666669</v>
      </c>
      <c r="D31" s="196"/>
      <c r="E31" s="197"/>
      <c r="F31"/>
    </row>
    <row r="32" spans="1:11" x14ac:dyDescent="0.2">
      <c r="B32" s="6"/>
      <c r="C32" s="7"/>
      <c r="D32" s="1"/>
      <c r="F32"/>
    </row>
    <row r="33" spans="1:6" ht="25.5" x14ac:dyDescent="0.2">
      <c r="A33" s="75" t="s">
        <v>113</v>
      </c>
      <c r="B33" s="23">
        <f>SUM(B21+B30)</f>
        <v>1473</v>
      </c>
      <c r="C33" s="70">
        <f>SUM(C21+C30)</f>
        <v>68.400000000000006</v>
      </c>
      <c r="D33" s="74">
        <f>SUM(D21+D30)</f>
        <v>9658.57</v>
      </c>
      <c r="E33" s="74">
        <f>SUM(E21+E30)</f>
        <v>267252.63190000004</v>
      </c>
      <c r="F33"/>
    </row>
    <row r="34" spans="1:6" x14ac:dyDescent="0.2">
      <c r="A34" s="75"/>
      <c r="B34" s="23"/>
      <c r="C34" s="70"/>
      <c r="D34" s="74"/>
      <c r="E34" s="74"/>
      <c r="F34"/>
    </row>
    <row r="35" spans="1:6" x14ac:dyDescent="0.2">
      <c r="A35" s="75" t="s">
        <v>86</v>
      </c>
      <c r="B35" s="23">
        <f>B33</f>
        <v>1473</v>
      </c>
      <c r="C35" s="70">
        <f>C33</f>
        <v>68.400000000000006</v>
      </c>
      <c r="D35" s="10">
        <f>D33</f>
        <v>9658.57</v>
      </c>
      <c r="E35" s="108">
        <f>D35*27.67</f>
        <v>267252.63190000004</v>
      </c>
      <c r="F35"/>
    </row>
    <row r="36" spans="1:6" x14ac:dyDescent="0.2">
      <c r="A36" s="76" t="s">
        <v>73</v>
      </c>
      <c r="B36" s="203">
        <f>'3. Applications by Form--0071 '!B10</f>
        <v>4960</v>
      </c>
      <c r="C36" s="209">
        <f>'3. Applications by Form--0071 '!C10</f>
        <v>5.83</v>
      </c>
      <c r="D36" s="107">
        <f>'3. Applications by Form--0071 '!D10</f>
        <v>5099.72</v>
      </c>
      <c r="E36" s="102">
        <f>D36*27.67</f>
        <v>141109.25240000003</v>
      </c>
      <c r="F36"/>
    </row>
    <row r="37" spans="1:6" x14ac:dyDescent="0.2">
      <c r="B37" s="103">
        <f>SUM(B35:B36)</f>
        <v>6433</v>
      </c>
      <c r="C37" s="202">
        <f>SUM(C35:C36)</f>
        <v>74.23</v>
      </c>
      <c r="D37" s="104">
        <f>SUM(D35:D36)</f>
        <v>14758.29</v>
      </c>
      <c r="E37" s="104">
        <f>SUM(E35:E36)</f>
        <v>408361.88430000003</v>
      </c>
      <c r="F37"/>
    </row>
    <row r="38" spans="1:6" x14ac:dyDescent="0.2">
      <c r="E38" s="1"/>
      <c r="F38"/>
    </row>
    <row r="39" spans="1:6" x14ac:dyDescent="0.2">
      <c r="A39" s="138" t="s">
        <v>132</v>
      </c>
      <c r="B39" s="67"/>
      <c r="E39" s="1"/>
      <c r="F39"/>
    </row>
    <row r="40" spans="1:6" x14ac:dyDescent="0.2">
      <c r="A40" s="259" t="s">
        <v>100</v>
      </c>
      <c r="B40" s="259"/>
      <c r="C40" s="259"/>
      <c r="D40" s="62"/>
      <c r="E40" s="62"/>
    </row>
    <row r="41" spans="1:6" x14ac:dyDescent="0.2">
      <c r="A41" s="139" t="s">
        <v>128</v>
      </c>
      <c r="B41" s="62">
        <v>78</v>
      </c>
      <c r="C41" s="62">
        <v>1</v>
      </c>
      <c r="D41" s="62">
        <f>B41*C41</f>
        <v>78</v>
      </c>
      <c r="E41" s="62">
        <f>D41*27.67</f>
        <v>2158.2600000000002</v>
      </c>
    </row>
  </sheetData>
  <mergeCells count="8">
    <mergeCell ref="A40:C40"/>
    <mergeCell ref="G6:H6"/>
    <mergeCell ref="A14:F14"/>
    <mergeCell ref="A1:F1"/>
    <mergeCell ref="G28:K28"/>
    <mergeCell ref="F11:H11"/>
    <mergeCell ref="F20:H20"/>
    <mergeCell ref="G10:H10"/>
  </mergeCells>
  <phoneticPr fontId="1" type="noConversion"/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view="pageLayout" topLeftCell="A19" zoomScaleNormal="100" workbookViewId="0">
      <selection activeCell="B37" sqref="B37"/>
    </sheetView>
  </sheetViews>
  <sheetFormatPr defaultRowHeight="12.75" x14ac:dyDescent="0.2"/>
  <cols>
    <col min="1" max="1" width="21.5703125" customWidth="1"/>
    <col min="2" max="2" width="18.85546875" customWidth="1"/>
    <col min="3" max="3" width="16.42578125" customWidth="1"/>
    <col min="4" max="4" width="14.85546875" customWidth="1"/>
  </cols>
  <sheetData>
    <row r="2" spans="1:6" x14ac:dyDescent="0.2">
      <c r="C2" s="54"/>
      <c r="D2" s="54"/>
    </row>
    <row r="3" spans="1:6" ht="72.75" customHeight="1" x14ac:dyDescent="0.2">
      <c r="A3" s="29" t="s">
        <v>17</v>
      </c>
      <c r="B3" s="29" t="s">
        <v>75</v>
      </c>
      <c r="C3" s="58" t="s">
        <v>87</v>
      </c>
      <c r="D3" s="30" t="s">
        <v>88</v>
      </c>
      <c r="E3" s="137" t="s">
        <v>16</v>
      </c>
      <c r="F3" s="30" t="s">
        <v>136</v>
      </c>
    </row>
    <row r="4" spans="1:6" ht="29.25" customHeight="1" x14ac:dyDescent="0.2">
      <c r="A4" s="33" t="s">
        <v>18</v>
      </c>
      <c r="B4" s="57">
        <f>'3. Applications by Form--0071 '!H25</f>
        <v>1378</v>
      </c>
      <c r="C4" s="105">
        <v>300</v>
      </c>
      <c r="D4" s="55">
        <v>1</v>
      </c>
      <c r="E4" s="139" t="s">
        <v>49</v>
      </c>
    </row>
    <row r="5" spans="1:6" ht="102" x14ac:dyDescent="0.2">
      <c r="A5" s="33" t="s">
        <v>92</v>
      </c>
      <c r="B5" s="57">
        <f>'3. Applications by Form--0071 '!I25</f>
        <v>1104</v>
      </c>
      <c r="C5" s="105">
        <v>250</v>
      </c>
      <c r="D5" s="56">
        <v>1</v>
      </c>
      <c r="E5" s="139" t="s">
        <v>105</v>
      </c>
    </row>
    <row r="6" spans="1:6" ht="43.5" customHeight="1" x14ac:dyDescent="0.2">
      <c r="A6" s="33" t="s">
        <v>91</v>
      </c>
      <c r="B6" s="34">
        <f>'3. Applications by Form--0071 '!J25</f>
        <v>542</v>
      </c>
      <c r="C6" s="81">
        <v>100</v>
      </c>
      <c r="D6" s="55">
        <v>1</v>
      </c>
      <c r="E6" s="139" t="s">
        <v>122</v>
      </c>
    </row>
    <row r="7" spans="1:6" x14ac:dyDescent="0.2">
      <c r="B7" s="236">
        <f>SUM(B4:B6)</f>
        <v>3024</v>
      </c>
      <c r="C7" s="23">
        <f>SUM(C4:C6)</f>
        <v>650</v>
      </c>
    </row>
    <row r="8" spans="1:6" x14ac:dyDescent="0.2">
      <c r="B8" s="236"/>
      <c r="C8" s="23"/>
    </row>
    <row r="9" spans="1:6" x14ac:dyDescent="0.2">
      <c r="A9" s="236" t="s">
        <v>133</v>
      </c>
      <c r="B9" s="238">
        <f>SUM(B4:B6)</f>
        <v>3024</v>
      </c>
      <c r="C9" s="81">
        <v>650</v>
      </c>
      <c r="F9" s="237">
        <v>0.215</v>
      </c>
    </row>
    <row r="10" spans="1:6" x14ac:dyDescent="0.2">
      <c r="A10" s="236" t="s">
        <v>134</v>
      </c>
      <c r="B10" s="235">
        <v>1378</v>
      </c>
      <c r="C10" s="81">
        <v>300</v>
      </c>
      <c r="F10" s="237">
        <v>0.2177</v>
      </c>
    </row>
    <row r="11" spans="1:6" x14ac:dyDescent="0.2">
      <c r="A11" s="67" t="s">
        <v>135</v>
      </c>
      <c r="B11" s="235">
        <f>SUM(B4:B5)</f>
        <v>2482</v>
      </c>
      <c r="C11">
        <v>550</v>
      </c>
      <c r="F11" s="237">
        <v>0.22159999999999999</v>
      </c>
    </row>
    <row r="12" spans="1:6" x14ac:dyDescent="0.2">
      <c r="A12" s="67"/>
    </row>
    <row r="13" spans="1:6" x14ac:dyDescent="0.2">
      <c r="A13" s="67"/>
    </row>
    <row r="15" spans="1:6" ht="25.5" x14ac:dyDescent="0.2">
      <c r="A15" s="232" t="s">
        <v>14</v>
      </c>
      <c r="B15" s="85">
        <v>96</v>
      </c>
      <c r="C15">
        <v>21</v>
      </c>
      <c r="F15" s="237">
        <v>0.215</v>
      </c>
    </row>
    <row r="16" spans="1:6" ht="25.5" x14ac:dyDescent="0.2">
      <c r="A16" s="33" t="s">
        <v>9</v>
      </c>
      <c r="B16" s="40">
        <v>554</v>
      </c>
      <c r="C16">
        <v>119.11</v>
      </c>
      <c r="F16" s="237">
        <v>0.215</v>
      </c>
    </row>
    <row r="17" spans="1:6" ht="38.25" x14ac:dyDescent="0.2">
      <c r="A17" s="234" t="s">
        <v>13</v>
      </c>
      <c r="B17" s="85">
        <v>32</v>
      </c>
      <c r="C17">
        <v>7</v>
      </c>
      <c r="F17" s="237">
        <v>0.215</v>
      </c>
    </row>
    <row r="18" spans="1:6" ht="38.25" x14ac:dyDescent="0.2">
      <c r="A18" s="48" t="s">
        <v>126</v>
      </c>
      <c r="B18" s="40">
        <v>355</v>
      </c>
      <c r="C18">
        <v>76</v>
      </c>
      <c r="F18" s="237">
        <v>0.215</v>
      </c>
    </row>
    <row r="19" spans="1:6" ht="38.25" x14ac:dyDescent="0.2">
      <c r="A19" s="48" t="s">
        <v>43</v>
      </c>
      <c r="B19" s="85">
        <v>159</v>
      </c>
      <c r="C19">
        <v>40</v>
      </c>
      <c r="F19" s="237">
        <v>0.25</v>
      </c>
    </row>
    <row r="20" spans="1:6" ht="25.5" x14ac:dyDescent="0.2">
      <c r="A20" s="33" t="s">
        <v>46</v>
      </c>
      <c r="B20" s="40">
        <v>274</v>
      </c>
      <c r="C20">
        <v>60</v>
      </c>
      <c r="F20" s="237">
        <v>0.2177</v>
      </c>
    </row>
    <row r="21" spans="1:6" ht="38.25" x14ac:dyDescent="0.2">
      <c r="A21" s="33" t="s">
        <v>47</v>
      </c>
      <c r="B21" s="40">
        <v>34</v>
      </c>
      <c r="C21">
        <v>7</v>
      </c>
      <c r="F21" s="237">
        <v>0.215</v>
      </c>
    </row>
    <row r="22" spans="1:6" ht="38.25" x14ac:dyDescent="0.2">
      <c r="A22" s="234" t="s">
        <v>12</v>
      </c>
      <c r="B22" s="85">
        <v>31</v>
      </c>
      <c r="C22">
        <v>7</v>
      </c>
      <c r="F22" s="237">
        <v>0.215</v>
      </c>
    </row>
    <row r="23" spans="1:6" ht="38.25" x14ac:dyDescent="0.2">
      <c r="A23" s="48" t="s">
        <v>15</v>
      </c>
      <c r="B23" s="233">
        <v>56</v>
      </c>
      <c r="C23">
        <v>0</v>
      </c>
      <c r="F23" s="237">
        <v>0</v>
      </c>
    </row>
    <row r="24" spans="1:6" ht="25.5" x14ac:dyDescent="0.2">
      <c r="A24" s="40" t="s">
        <v>137</v>
      </c>
      <c r="B24" s="233">
        <v>130</v>
      </c>
      <c r="C24">
        <v>33</v>
      </c>
      <c r="F24" s="237">
        <v>0.25</v>
      </c>
    </row>
    <row r="25" spans="1:6" x14ac:dyDescent="0.2">
      <c r="C25">
        <f>SUM(C15:C24)</f>
        <v>370.11</v>
      </c>
    </row>
    <row r="28" spans="1:6" x14ac:dyDescent="0.2">
      <c r="A28" s="281" t="s">
        <v>149</v>
      </c>
    </row>
    <row r="29" spans="1:6" x14ac:dyDescent="0.2">
      <c r="A29" s="67" t="s">
        <v>144</v>
      </c>
      <c r="B29">
        <v>182</v>
      </c>
      <c r="C29">
        <v>39</v>
      </c>
      <c r="F29" s="237">
        <v>0.215</v>
      </c>
    </row>
    <row r="30" spans="1:6" x14ac:dyDescent="0.2">
      <c r="A30" s="67" t="s">
        <v>145</v>
      </c>
      <c r="B30">
        <v>76</v>
      </c>
      <c r="C30">
        <v>16</v>
      </c>
      <c r="F30" s="237">
        <v>0.215</v>
      </c>
    </row>
    <row r="31" spans="1:6" x14ac:dyDescent="0.2">
      <c r="A31" s="67" t="s">
        <v>146</v>
      </c>
      <c r="B31">
        <v>68</v>
      </c>
      <c r="C31">
        <v>15</v>
      </c>
      <c r="F31" s="237">
        <v>0.215</v>
      </c>
    </row>
    <row r="32" spans="1:6" x14ac:dyDescent="0.2">
      <c r="A32" s="67" t="s">
        <v>147</v>
      </c>
      <c r="B32" s="271">
        <v>29</v>
      </c>
      <c r="C32">
        <v>6</v>
      </c>
      <c r="F32" s="237">
        <v>0.215</v>
      </c>
    </row>
  </sheetData>
  <pageMargins left="0.7" right="0.7" top="0.75" bottom="0.75" header="0.3" footer="0.3"/>
  <pageSetup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zoomScaleNormal="100" workbookViewId="0">
      <selection activeCell="A11" sqref="A11"/>
    </sheetView>
  </sheetViews>
  <sheetFormatPr defaultRowHeight="12.75" x14ac:dyDescent="0.2"/>
  <cols>
    <col min="1" max="1" width="36.140625" customWidth="1"/>
    <col min="2" max="2" width="13.7109375" style="24" customWidth="1"/>
    <col min="3" max="3" width="15.5703125" customWidth="1"/>
    <col min="4" max="4" width="14.42578125" customWidth="1"/>
    <col min="5" max="5" width="13" customWidth="1"/>
    <col min="6" max="6" width="18.42578125" customWidth="1"/>
  </cols>
  <sheetData>
    <row r="1" spans="1:6" ht="43.5" customHeight="1" x14ac:dyDescent="0.2">
      <c r="A1" s="23" t="s">
        <v>40</v>
      </c>
      <c r="B1" s="29" t="s">
        <v>75</v>
      </c>
      <c r="C1" s="29" t="s">
        <v>50</v>
      </c>
      <c r="D1" s="29" t="s">
        <v>53</v>
      </c>
      <c r="E1" s="29" t="s">
        <v>78</v>
      </c>
      <c r="F1" s="29" t="s">
        <v>115</v>
      </c>
    </row>
    <row r="2" spans="1:6" ht="38.25" x14ac:dyDescent="0.2">
      <c r="A2" s="67" t="s">
        <v>119</v>
      </c>
      <c r="B2" s="36">
        <f>'2. Applications by Program-0029'!B3+'2. Applications by Program-0029'!B4+'2. Applications by Program-0029'!B5+'2. Applications by Program-0029'!B6+'2. Applications by Program-0029'!B8+'2. Applications by Program-0029'!B9+'2. Applications by Program-0029'!B10</f>
        <v>1376</v>
      </c>
      <c r="C2" s="49">
        <v>0.33</v>
      </c>
      <c r="D2" s="49">
        <f>B2*C2</f>
        <v>454.08000000000004</v>
      </c>
      <c r="E2" s="216">
        <f>D2*27.67</f>
        <v>12564.393600000001</v>
      </c>
      <c r="F2" s="33" t="s">
        <v>49</v>
      </c>
    </row>
    <row r="3" spans="1:6" ht="63.75" x14ac:dyDescent="0.2">
      <c r="A3" s="214" t="s">
        <v>121</v>
      </c>
      <c r="B3" s="135">
        <f>'2. Applications by Program-0029'!B11</f>
        <v>56</v>
      </c>
      <c r="C3" s="83">
        <v>1</v>
      </c>
      <c r="D3" s="106">
        <f>B3*C3</f>
        <v>56</v>
      </c>
      <c r="E3" s="217">
        <f>D3*27.67</f>
        <v>1549.52</v>
      </c>
      <c r="F3" t="s">
        <v>116</v>
      </c>
    </row>
    <row r="4" spans="1:6" x14ac:dyDescent="0.2">
      <c r="A4" s="67"/>
      <c r="B4" s="103">
        <f>SUM(B2:B3)</f>
        <v>1432</v>
      </c>
      <c r="D4" s="70">
        <f>SUM(D2:D3)</f>
        <v>510.08000000000004</v>
      </c>
      <c r="E4" s="218">
        <f>SUM(E2:E3)</f>
        <v>14113.913600000002</v>
      </c>
    </row>
    <row r="5" spans="1:6" x14ac:dyDescent="0.2">
      <c r="A5" s="67"/>
      <c r="B5" s="103"/>
      <c r="D5" s="70"/>
      <c r="E5" s="218"/>
    </row>
    <row r="6" spans="1:6" x14ac:dyDescent="0.2">
      <c r="A6" s="23" t="s">
        <v>39</v>
      </c>
      <c r="D6" s="77"/>
      <c r="E6" s="216"/>
    </row>
    <row r="7" spans="1:6" ht="51" x14ac:dyDescent="0.2">
      <c r="A7" s="215" t="s">
        <v>124</v>
      </c>
      <c r="B7" s="24">
        <f>'4. Post-award Forms--0071'!I11+'4. Post-award Forms--0071'!J11+10</f>
        <v>1047</v>
      </c>
      <c r="C7">
        <v>1.5</v>
      </c>
      <c r="D7" s="77">
        <f>B7*C7</f>
        <v>1570.5</v>
      </c>
      <c r="E7" s="216">
        <f>D7*27.67</f>
        <v>43455.735000000001</v>
      </c>
      <c r="F7" s="33" t="s">
        <v>120</v>
      </c>
    </row>
    <row r="8" spans="1:6" ht="25.5" x14ac:dyDescent="0.2">
      <c r="A8" s="67" t="s">
        <v>99</v>
      </c>
      <c r="B8" s="24">
        <v>301</v>
      </c>
      <c r="C8">
        <v>0.25</v>
      </c>
      <c r="D8" s="77">
        <f>B8*C8</f>
        <v>75.25</v>
      </c>
      <c r="E8" s="216">
        <f>D8*27.67</f>
        <v>2082.1675</v>
      </c>
      <c r="F8" s="181" t="s">
        <v>118</v>
      </c>
    </row>
    <row r="9" spans="1:6" ht="51" x14ac:dyDescent="0.2">
      <c r="A9" s="214" t="s">
        <v>123</v>
      </c>
      <c r="B9" s="135" t="e">
        <f>(('4. Post-award Forms--0071'!B3*3+'4. Post-award Forms--0071'!B4*3+'4. Post-award Forms--0071'!B5*3+'4. Post-award Forms--0071'!B6*3+'4. Post-award Forms--0071'!B7+'4. Post-award Forms--0071'!B8*2+'4. Post-award Forms--0071'!B9*3+'4. Post-award Forms--0071'!#REF!+'4. Post-award Forms--0071'!B10+'4. Post-award Forms--0071'!B19+'4. Post-award Forms--0071'!B20)*2)+10</f>
        <v>#REF!</v>
      </c>
      <c r="C9" s="220">
        <v>1</v>
      </c>
      <c r="D9" s="221" t="e">
        <f>B9*C9</f>
        <v>#REF!</v>
      </c>
      <c r="E9" s="222" t="e">
        <f>D9*27.67</f>
        <v>#REF!</v>
      </c>
      <c r="F9" s="67" t="s">
        <v>117</v>
      </c>
    </row>
    <row r="10" spans="1:6" x14ac:dyDescent="0.2">
      <c r="B10" s="103" t="e">
        <f>SUM(B7:B9)</f>
        <v>#REF!</v>
      </c>
      <c r="D10" s="70" t="e">
        <f>SUM(D7:D9)</f>
        <v>#REF!</v>
      </c>
      <c r="E10" s="219" t="e">
        <f>SUM(E7:E9)</f>
        <v>#REF!</v>
      </c>
    </row>
    <row r="11" spans="1:6" x14ac:dyDescent="0.2">
      <c r="B11" s="103"/>
      <c r="D11" s="70"/>
      <c r="E11" s="78"/>
    </row>
    <row r="13" spans="1:6" x14ac:dyDescent="0.2">
      <c r="A13" s="214"/>
      <c r="B13" s="214"/>
    </row>
    <row r="14" spans="1:6" x14ac:dyDescent="0.2">
      <c r="A14" s="214"/>
      <c r="B14" s="214"/>
    </row>
    <row r="17" spans="1:1" x14ac:dyDescent="0.2">
      <c r="A17" s="67"/>
    </row>
  </sheetData>
  <pageMargins left="0.7" right="0.7" top="0.75" bottom="0.75" header="0.3" footer="0.3"/>
  <pageSetup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 Justification Statement Calc</vt:lpstr>
      <vt:lpstr>2. Applications by Program-0029</vt:lpstr>
      <vt:lpstr>3. Applications by Form--0071 </vt:lpstr>
      <vt:lpstr>4. Post-award Forms--0071</vt:lpstr>
      <vt:lpstr>5. Small entity &amp; report elect.</vt:lpstr>
      <vt:lpstr>6. Standard Forms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2015-05-28T18:27:22Z</dcterms:modified>
</cp:coreProperties>
</file>