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7329"/>
  <workbookPr defaultThemeVersion="153222"/>
  <mc:AlternateContent xmlns:mc="http://schemas.openxmlformats.org/markup-compatibility/2006">
    <mc:Choice Requires="x15">
      <x15ac:absPath xmlns:x15ac="http://schemas.microsoft.com/office/spreadsheetml/2010/11/ac" url="S:\Projects\USDA\FNS\Sodium\Working\OMB package\5. OCIO\"/>
    </mc:Choice>
  </mc:AlternateContent>
  <bookViews>
    <workbookView xWindow="0" yWindow="0" windowWidth="19200" windowHeight="9555"/>
  </bookViews>
  <sheets>
    <sheet name="Sodium Burden Table" sheetId="1" r:id="rId1"/>
  </sheet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5" i="1" l="1"/>
  <c r="K5" i="1" s="1"/>
  <c r="L5" i="1"/>
  <c r="N5" i="1" s="1"/>
  <c r="P5" i="1" l="1"/>
  <c r="L7" i="1"/>
  <c r="P7" i="1" s="1"/>
  <c r="I7" i="1"/>
  <c r="K7" i="1" s="1"/>
  <c r="Q7" i="1" l="1"/>
  <c r="Q5" i="1"/>
  <c r="N7" i="1"/>
  <c r="F60" i="1" l="1"/>
  <c r="G60" i="1" s="1"/>
  <c r="O60" i="1"/>
  <c r="F49" i="1"/>
  <c r="O49" i="1"/>
  <c r="O38" i="1"/>
  <c r="G49" i="1" l="1"/>
  <c r="L49" i="1" s="1"/>
  <c r="K60" i="1" l="1"/>
  <c r="I60" i="1"/>
  <c r="L60" i="1"/>
  <c r="N49" i="1"/>
  <c r="P49" i="1"/>
  <c r="I49" i="1"/>
  <c r="K49" i="1"/>
  <c r="J15" i="1"/>
  <c r="Q49" i="1" l="1"/>
  <c r="N60" i="1"/>
  <c r="P60" i="1"/>
  <c r="Q60" i="1" s="1"/>
  <c r="J21" i="1"/>
  <c r="J25" i="1"/>
  <c r="F17" i="1" l="1"/>
  <c r="F16" i="1"/>
  <c r="G15" i="1"/>
  <c r="F21" i="1" l="1"/>
  <c r="G21" i="1" s="1"/>
  <c r="F22" i="1" s="1"/>
  <c r="L15" i="1"/>
  <c r="G39" i="1"/>
  <c r="G50" i="1"/>
  <c r="G22" i="1" l="1"/>
  <c r="I22" i="1" s="1"/>
  <c r="K22" i="1" s="1"/>
  <c r="P15" i="1"/>
  <c r="N15" i="1"/>
  <c r="G20" i="1"/>
  <c r="I20" i="1" s="1"/>
  <c r="K20" i="1" s="1"/>
  <c r="I21" i="1"/>
  <c r="F20" i="1"/>
  <c r="L21" i="1"/>
  <c r="P21" i="1" s="1"/>
  <c r="L22" i="1" l="1"/>
  <c r="N22" i="1" s="1"/>
  <c r="L20" i="1"/>
  <c r="P20" i="1" s="1"/>
  <c r="Q20" i="1" s="1"/>
  <c r="G11" i="1"/>
  <c r="L11" i="1" s="1"/>
  <c r="P11" i="1" s="1"/>
  <c r="G8" i="1"/>
  <c r="L8" i="1" s="1"/>
  <c r="L6" i="1"/>
  <c r="G16" i="1"/>
  <c r="I16" i="1" s="1"/>
  <c r="K16" i="1" s="1"/>
  <c r="G17" i="1"/>
  <c r="L17" i="1" s="1"/>
  <c r="I15" i="1"/>
  <c r="J27" i="1"/>
  <c r="G26" i="1"/>
  <c r="I26" i="1" s="1"/>
  <c r="F26" i="1"/>
  <c r="G25" i="1"/>
  <c r="I25" i="1" s="1"/>
  <c r="F25" i="1"/>
  <c r="F23" i="1"/>
  <c r="G23" i="1" s="1"/>
  <c r="L23" i="1" s="1"/>
  <c r="P23" i="1" s="1"/>
  <c r="G34" i="1"/>
  <c r="I34" i="1" s="1"/>
  <c r="G33" i="1"/>
  <c r="K33" i="1" s="1"/>
  <c r="G45" i="1"/>
  <c r="K45" i="1" s="1"/>
  <c r="G44" i="1"/>
  <c r="K44" i="1" s="1"/>
  <c r="G43" i="1"/>
  <c r="I43" i="1" s="1"/>
  <c r="O37" i="1"/>
  <c r="J37" i="1"/>
  <c r="F34" i="1"/>
  <c r="F33" i="1"/>
  <c r="F42" i="1"/>
  <c r="K39" i="1"/>
  <c r="F45" i="1"/>
  <c r="F44" i="1"/>
  <c r="F43" i="1"/>
  <c r="I50" i="1"/>
  <c r="L56" i="1"/>
  <c r="P56" i="1" s="1"/>
  <c r="L55" i="1"/>
  <c r="P55" i="1" s="1"/>
  <c r="L54" i="1"/>
  <c r="P54" i="1" s="1"/>
  <c r="G53" i="1"/>
  <c r="K53" i="1" s="1"/>
  <c r="K56" i="1"/>
  <c r="I56" i="1"/>
  <c r="K55" i="1"/>
  <c r="I55" i="1"/>
  <c r="K54" i="1"/>
  <c r="I54" i="1"/>
  <c r="K65" i="1"/>
  <c r="K66" i="1"/>
  <c r="K67" i="1"/>
  <c r="G64" i="1"/>
  <c r="K64" i="1" s="1"/>
  <c r="G61" i="1"/>
  <c r="L61" i="1" s="1"/>
  <c r="P61" i="1" s="1"/>
  <c r="L65" i="1"/>
  <c r="P65" i="1" s="1"/>
  <c r="L66" i="1"/>
  <c r="P66" i="1" s="1"/>
  <c r="L67" i="1"/>
  <c r="P67" i="1" s="1"/>
  <c r="J59" i="1"/>
  <c r="I65" i="1"/>
  <c r="I66" i="1"/>
  <c r="I67" i="1"/>
  <c r="P22" i="1" l="1"/>
  <c r="Q22" i="1" s="1"/>
  <c r="N20" i="1"/>
  <c r="P6" i="1"/>
  <c r="N8" i="1"/>
  <c r="P8" i="1"/>
  <c r="P17" i="1"/>
  <c r="N17" i="1"/>
  <c r="F18" i="1"/>
  <c r="K25" i="1"/>
  <c r="L25" i="1"/>
  <c r="L43" i="1"/>
  <c r="P43" i="1" s="1"/>
  <c r="I33" i="1"/>
  <c r="K43" i="1"/>
  <c r="I8" i="1"/>
  <c r="K8" i="1" s="1"/>
  <c r="F9" i="1"/>
  <c r="G9" i="1" s="1"/>
  <c r="N11" i="1"/>
  <c r="F12" i="1"/>
  <c r="G12" i="1" s="1"/>
  <c r="I11" i="1"/>
  <c r="K11" i="1" s="1"/>
  <c r="L50" i="1"/>
  <c r="P50" i="1" s="1"/>
  <c r="L16" i="1"/>
  <c r="L26" i="1"/>
  <c r="P26" i="1" s="1"/>
  <c r="L34" i="1"/>
  <c r="K34" i="1"/>
  <c r="I17" i="1"/>
  <c r="K17" i="1" s="1"/>
  <c r="L33" i="1"/>
  <c r="K26" i="1"/>
  <c r="N23" i="1"/>
  <c r="I23" i="1"/>
  <c r="K23" i="1" s="1"/>
  <c r="G42" i="1"/>
  <c r="L44" i="1"/>
  <c r="L45" i="1"/>
  <c r="I44" i="1"/>
  <c r="I45" i="1"/>
  <c r="L39" i="1"/>
  <c r="P39" i="1" s="1"/>
  <c r="N43" i="1"/>
  <c r="I39" i="1"/>
  <c r="N54" i="1"/>
  <c r="Q67" i="1"/>
  <c r="Q65" i="1"/>
  <c r="I53" i="1"/>
  <c r="N67" i="1"/>
  <c r="N55" i="1"/>
  <c r="L53" i="1"/>
  <c r="Q56" i="1"/>
  <c r="N56" i="1"/>
  <c r="N66" i="1"/>
  <c r="K61" i="1"/>
  <c r="Q61" i="1" s="1"/>
  <c r="N65" i="1"/>
  <c r="Q66" i="1"/>
  <c r="Q54" i="1"/>
  <c r="N50" i="1"/>
  <c r="K50" i="1"/>
  <c r="Q55" i="1"/>
  <c r="N61" i="1"/>
  <c r="F62" i="1"/>
  <c r="L64" i="1"/>
  <c r="P64" i="1" s="1"/>
  <c r="I61" i="1"/>
  <c r="I64" i="1"/>
  <c r="Q8" i="1" l="1"/>
  <c r="Q43" i="1"/>
  <c r="P16" i="1"/>
  <c r="Q16" i="1" s="1"/>
  <c r="N16" i="1"/>
  <c r="P53" i="1"/>
  <c r="Q53" i="1" s="1"/>
  <c r="N25" i="1"/>
  <c r="P25" i="1"/>
  <c r="Q25" i="1" s="1"/>
  <c r="P33" i="1"/>
  <c r="Q33" i="1" s="1"/>
  <c r="N45" i="1"/>
  <c r="P45" i="1"/>
  <c r="Q45" i="1" s="1"/>
  <c r="N44" i="1"/>
  <c r="P44" i="1"/>
  <c r="Q44" i="1" s="1"/>
  <c r="N34" i="1"/>
  <c r="P34" i="1"/>
  <c r="Q34" i="1" s="1"/>
  <c r="Q17" i="1"/>
  <c r="Q11" i="1"/>
  <c r="Q26" i="1"/>
  <c r="Q23" i="1"/>
  <c r="N26" i="1"/>
  <c r="N33" i="1"/>
  <c r="I12" i="1"/>
  <c r="K12" i="1" s="1"/>
  <c r="I9" i="1"/>
  <c r="K9" i="1" s="1"/>
  <c r="F51" i="1"/>
  <c r="G51" i="1" s="1"/>
  <c r="G18" i="1"/>
  <c r="L18" i="1" s="1"/>
  <c r="I42" i="1"/>
  <c r="K42" i="1"/>
  <c r="L42" i="1"/>
  <c r="P42" i="1" s="1"/>
  <c r="F40" i="1"/>
  <c r="G40" i="1" s="1"/>
  <c r="N39" i="1"/>
  <c r="Q39" i="1"/>
  <c r="N53" i="1"/>
  <c r="N64" i="1"/>
  <c r="Q64" i="1"/>
  <c r="G62" i="1"/>
  <c r="Q50" i="1"/>
  <c r="P18" i="1" l="1"/>
  <c r="N18" i="1"/>
  <c r="K40" i="1"/>
  <c r="L40" i="1"/>
  <c r="F19" i="1"/>
  <c r="L12" i="1"/>
  <c r="P12" i="1" s="1"/>
  <c r="L9" i="1"/>
  <c r="P9" i="1" s="1"/>
  <c r="I18" i="1"/>
  <c r="K18" i="1" s="1"/>
  <c r="N42" i="1"/>
  <c r="Q42" i="1"/>
  <c r="I62" i="1"/>
  <c r="K62" i="1"/>
  <c r="L62" i="1"/>
  <c r="P62" i="1" s="1"/>
  <c r="I51" i="1"/>
  <c r="K51" i="1"/>
  <c r="L51" i="1"/>
  <c r="P51" i="1" s="1"/>
  <c r="G19" i="1" l="1"/>
  <c r="I19" i="1" s="1"/>
  <c r="K19" i="1" s="1"/>
  <c r="F24" i="1"/>
  <c r="F41" i="1"/>
  <c r="G41" i="1" s="1"/>
  <c r="P40" i="1"/>
  <c r="Q40" i="1" s="1"/>
  <c r="I40" i="1"/>
  <c r="L19" i="1"/>
  <c r="Q18" i="1"/>
  <c r="F13" i="1"/>
  <c r="G13" i="1" s="1"/>
  <c r="N12" i="1"/>
  <c r="Q12" i="1" s="1"/>
  <c r="N9" i="1"/>
  <c r="Q9" i="1" s="1"/>
  <c r="F10" i="1"/>
  <c r="G10" i="1" s="1"/>
  <c r="N40" i="1"/>
  <c r="I41" i="1"/>
  <c r="K41" i="1"/>
  <c r="Q51" i="1"/>
  <c r="N51" i="1"/>
  <c r="F52" i="1"/>
  <c r="G52" i="1" s="1"/>
  <c r="N62" i="1"/>
  <c r="Q62" i="1"/>
  <c r="F63" i="1"/>
  <c r="G24" i="1" l="1"/>
  <c r="L24" i="1"/>
  <c r="L41" i="1"/>
  <c r="N41" i="1"/>
  <c r="P41" i="1"/>
  <c r="Q41" i="1" s="1"/>
  <c r="P19" i="1"/>
  <c r="Q19" i="1" s="1"/>
  <c r="N19" i="1"/>
  <c r="I13" i="1"/>
  <c r="K13" i="1" s="1"/>
  <c r="I10" i="1"/>
  <c r="K10" i="1" s="1"/>
  <c r="L10" i="1"/>
  <c r="L52" i="1"/>
  <c r="P52" i="1" s="1"/>
  <c r="G63" i="1"/>
  <c r="L63" i="1" s="1"/>
  <c r="P63" i="1" s="1"/>
  <c r="P24" i="1" l="1"/>
  <c r="N24" i="1"/>
  <c r="K24" i="1"/>
  <c r="I24" i="1"/>
  <c r="N10" i="1"/>
  <c r="P10" i="1"/>
  <c r="L13" i="1"/>
  <c r="N63" i="1"/>
  <c r="N52" i="1"/>
  <c r="I63" i="1"/>
  <c r="K63" i="1"/>
  <c r="I52" i="1"/>
  <c r="K52" i="1"/>
  <c r="Q10" i="1" l="1"/>
  <c r="Q24" i="1"/>
  <c r="P13" i="1"/>
  <c r="Q13" i="1" s="1"/>
  <c r="N13" i="1"/>
  <c r="F14" i="1"/>
  <c r="G14" i="1" s="1"/>
  <c r="Q52" i="1"/>
  <c r="Q63" i="1"/>
  <c r="L14" i="1" l="1"/>
  <c r="P14" i="1" l="1"/>
  <c r="N14" i="1"/>
  <c r="I14" i="1"/>
  <c r="K14" i="1" s="1"/>
  <c r="Q14" i="1" l="1"/>
  <c r="G68" i="1"/>
  <c r="L59" i="1"/>
  <c r="K59" i="1"/>
  <c r="K68" i="1" s="1"/>
  <c r="I59" i="1"/>
  <c r="I68" i="1" s="1"/>
  <c r="H68" i="1" s="1"/>
  <c r="G57" i="1"/>
  <c r="L48" i="1"/>
  <c r="K48" i="1"/>
  <c r="K57" i="1" s="1"/>
  <c r="I48" i="1"/>
  <c r="I57" i="1" s="1"/>
  <c r="G37" i="1"/>
  <c r="G27" i="1"/>
  <c r="G35" i="1" s="1"/>
  <c r="N21" i="1"/>
  <c r="K21" i="1"/>
  <c r="K15" i="1"/>
  <c r="N6" i="1"/>
  <c r="I6" i="1"/>
  <c r="H57" i="1" l="1"/>
  <c r="F28" i="1"/>
  <c r="I37" i="1"/>
  <c r="F38" i="1"/>
  <c r="K6" i="1"/>
  <c r="L68" i="1"/>
  <c r="P59" i="1"/>
  <c r="P68" i="1" s="1"/>
  <c r="Q21" i="1"/>
  <c r="Q15" i="1"/>
  <c r="N48" i="1"/>
  <c r="N57" i="1" s="1"/>
  <c r="L57" i="1"/>
  <c r="F32" i="1"/>
  <c r="F29" i="1"/>
  <c r="G29" i="1" s="1"/>
  <c r="J57" i="1"/>
  <c r="J68" i="1"/>
  <c r="L27" i="1"/>
  <c r="L35" i="1" s="1"/>
  <c r="K37" i="1"/>
  <c r="G46" i="1"/>
  <c r="L37" i="1"/>
  <c r="P48" i="1"/>
  <c r="P57" i="1" s="1"/>
  <c r="I27" i="1"/>
  <c r="N59" i="1"/>
  <c r="N68" i="1" s="1"/>
  <c r="M68" i="1" s="1"/>
  <c r="M57" i="1" l="1"/>
  <c r="G38" i="1"/>
  <c r="L38" i="1"/>
  <c r="G28" i="1"/>
  <c r="I28" i="1" s="1"/>
  <c r="K28" i="1" s="1"/>
  <c r="L28" i="1"/>
  <c r="L46" i="1"/>
  <c r="P37" i="1"/>
  <c r="P27" i="1"/>
  <c r="Q6" i="1"/>
  <c r="L29" i="1"/>
  <c r="P29" i="1" s="1"/>
  <c r="K29" i="1"/>
  <c r="I29" i="1"/>
  <c r="G32" i="1"/>
  <c r="L32" i="1" s="1"/>
  <c r="P32" i="1" s="1"/>
  <c r="O68" i="1"/>
  <c r="G69" i="1"/>
  <c r="K27" i="1"/>
  <c r="O57" i="1"/>
  <c r="N27" i="1"/>
  <c r="N37" i="1"/>
  <c r="Q59" i="1"/>
  <c r="Q68" i="1" s="1"/>
  <c r="Q48" i="1"/>
  <c r="Q57" i="1" l="1"/>
  <c r="N38" i="1"/>
  <c r="N46" i="1" s="1"/>
  <c r="M46" i="1" s="1"/>
  <c r="P38" i="1"/>
  <c r="P28" i="1"/>
  <c r="Q28" i="1" s="1"/>
  <c r="N28" i="1"/>
  <c r="I38" i="1"/>
  <c r="I46" i="1" s="1"/>
  <c r="H46" i="1" s="1"/>
  <c r="K38" i="1"/>
  <c r="K46" i="1" s="1"/>
  <c r="J46" i="1" s="1"/>
  <c r="L69" i="1"/>
  <c r="G73" i="1" s="1"/>
  <c r="N32" i="1"/>
  <c r="K32" i="1"/>
  <c r="I32" i="1"/>
  <c r="Q29" i="1"/>
  <c r="F30" i="1"/>
  <c r="G30" i="1" s="1"/>
  <c r="N29" i="1"/>
  <c r="Q37" i="1"/>
  <c r="Q38" i="1" l="1"/>
  <c r="Q46" i="1"/>
  <c r="P46" i="1"/>
  <c r="O46" i="1" s="1"/>
  <c r="Q27" i="1"/>
  <c r="Q32" i="1"/>
  <c r="L30" i="1"/>
  <c r="P30" i="1" s="1"/>
  <c r="N30" i="1" l="1"/>
  <c r="F31" i="1"/>
  <c r="G31" i="1" s="1"/>
  <c r="K30" i="1"/>
  <c r="I30" i="1"/>
  <c r="Q30" i="1" l="1"/>
  <c r="I31" i="1" l="1"/>
  <c r="I35" i="1" s="1"/>
  <c r="H35" i="1" s="1"/>
  <c r="K31" i="1"/>
  <c r="K35" i="1" s="1"/>
  <c r="L31" i="1"/>
  <c r="P31" i="1" s="1"/>
  <c r="P35" i="1" s="1"/>
  <c r="J35" i="1" l="1"/>
  <c r="N31" i="1"/>
  <c r="K69" i="1"/>
  <c r="N35" i="1" l="1"/>
  <c r="I69" i="1"/>
  <c r="H69" i="1" s="1"/>
  <c r="Q31" i="1"/>
  <c r="Q35" i="1" s="1"/>
  <c r="P69" i="1"/>
  <c r="N69" i="1" l="1"/>
  <c r="M69" i="1" s="1"/>
  <c r="M35" i="1"/>
  <c r="J69" i="1"/>
  <c r="O35" i="1"/>
  <c r="Q69" i="1"/>
  <c r="G74" i="1" l="1"/>
  <c r="O69" i="1"/>
  <c r="G76" i="1"/>
  <c r="G77" i="1"/>
  <c r="G75" i="1"/>
</calcChain>
</file>

<file path=xl/sharedStrings.xml><?xml version="1.0" encoding="utf-8"?>
<sst xmlns="http://schemas.openxmlformats.org/spreadsheetml/2006/main" count="165" uniqueCount="112">
  <si>
    <t>Affected Public</t>
  </si>
  <si>
    <t>Instrument</t>
  </si>
  <si>
    <t>Total Sample Size</t>
  </si>
  <si>
    <t>Respondents</t>
  </si>
  <si>
    <t>Non-Respondents</t>
  </si>
  <si>
    <t>Grand Total Burden Estimate (Hours)</t>
  </si>
  <si>
    <t xml:space="preserve">Estimated Number of Respondents </t>
  </si>
  <si>
    <t xml:space="preserve">Total Annual Responses </t>
  </si>
  <si>
    <t>Average Time Per Response (Hours)</t>
  </si>
  <si>
    <t>Total Annual Burden Estimate (Hours)</t>
  </si>
  <si>
    <t>Frequency of Non-Response</t>
  </si>
  <si>
    <t>Total Annual Non-Responses</t>
  </si>
  <si>
    <t>Average Time Per Non- Response (Hours)</t>
  </si>
  <si>
    <t>State, Local, and Tribal Government</t>
  </si>
  <si>
    <t>SFA Director</t>
  </si>
  <si>
    <t>In-Depth Interview-Telephone or On-Site</t>
  </si>
  <si>
    <t>School Administrator</t>
  </si>
  <si>
    <t>Subtotal of State, Local, and Tribal Government</t>
  </si>
  <si>
    <t>Business or Other For-Profit</t>
  </si>
  <si>
    <t>Food Supplier</t>
  </si>
  <si>
    <t>Subtotal of Business or Other For-Profit</t>
  </si>
  <si>
    <t>Individuals or Households</t>
  </si>
  <si>
    <t>Community-Based Stakeholder</t>
  </si>
  <si>
    <t>Not-For-Profit Institutions</t>
  </si>
  <si>
    <t>Not-for-Profit Institutions</t>
  </si>
  <si>
    <t>Grand Total</t>
  </si>
  <si>
    <t>Total # of respondents (including participants and non-respondents)</t>
  </si>
  <si>
    <t>Estimated total # of annual responses (including participants and non-respondents)</t>
  </si>
  <si>
    <t>Total annual burden estimates (including participants and non-respondents)</t>
  </si>
  <si>
    <t>Estimated frequency of responses per respondent (including participants and non-respondents)</t>
  </si>
  <si>
    <t>Estimated time per response (including participants and non-respondents)</t>
  </si>
  <si>
    <t>Subtotal of Individuals or Households</t>
  </si>
  <si>
    <t>Subtotal of Not-For Profit Institutions</t>
  </si>
  <si>
    <t>In-Depth Interview Invitation Email</t>
  </si>
  <si>
    <t>In-Depth Interview Confirmation and Preparation Email</t>
  </si>
  <si>
    <t>In-Depth Interview Thank You Letter</t>
  </si>
  <si>
    <t>Appendix ID</t>
  </si>
  <si>
    <t>C9</t>
  </si>
  <si>
    <t>C10</t>
  </si>
  <si>
    <t>KEY:</t>
  </si>
  <si>
    <t>email, read</t>
  </si>
  <si>
    <t>3 min</t>
  </si>
  <si>
    <t>email, don’t read</t>
  </si>
  <si>
    <t>1.2 min</t>
  </si>
  <si>
    <t>call</t>
  </si>
  <si>
    <t>door knock</t>
  </si>
  <si>
    <t>mail, read</t>
  </si>
  <si>
    <t>mail, don't read</t>
  </si>
  <si>
    <t>voicemail</t>
  </si>
  <si>
    <t>email back</t>
  </si>
  <si>
    <t>1.8 min</t>
  </si>
  <si>
    <t>mail back</t>
  </si>
  <si>
    <t>consent form</t>
  </si>
  <si>
    <t>4 min</t>
  </si>
  <si>
    <t>In-Depth Interview Invitation Phone Script, Call 1</t>
  </si>
  <si>
    <t>In-Depth Interview Invitation Phone Script, Call 2</t>
  </si>
  <si>
    <t>In-Depth Interview Invitation Phone Script, Call 3</t>
  </si>
  <si>
    <t xml:space="preserve">Brief Site Visit Selection Interview Invitation and Preparation Email </t>
  </si>
  <si>
    <t>In-Depth Interview Reminder Phone Script</t>
  </si>
  <si>
    <t>Prescreening Web Survey Invitation Email</t>
  </si>
  <si>
    <t>Prescreening Web Survey Reminder Email, 1</t>
  </si>
  <si>
    <t>Prescreening Web Survey Reminder Email, 2</t>
  </si>
  <si>
    <t>Prescreening Web Survey Reminder Phone Script, Call 1</t>
  </si>
  <si>
    <t>Prescreening Web Survey Reminder Phone Script, Call 2</t>
  </si>
  <si>
    <t>Prescreening Web Survey Reminder Phone Script, Call 3</t>
  </si>
  <si>
    <t>Prescreening Web Survey Reminder Phone Script, Call 4</t>
  </si>
  <si>
    <t>Prescreening Web Survey Questionnaire-Web</t>
  </si>
  <si>
    <t>Brief Site Visit Selection Interview Guide-Telephone</t>
  </si>
  <si>
    <t>In-Depth Interview Guide-Telephone or On-Site</t>
  </si>
  <si>
    <t>B1</t>
  </si>
  <si>
    <t>C3</t>
  </si>
  <si>
    <t>C4</t>
  </si>
  <si>
    <t>C5</t>
  </si>
  <si>
    <t>C2</t>
  </si>
  <si>
    <t>Participant Consent Script</t>
  </si>
  <si>
    <t>Brief Site Visit Selection Interview Follow-Up Email</t>
  </si>
  <si>
    <t>C11</t>
  </si>
  <si>
    <t>Respondent Type</t>
  </si>
  <si>
    <t>C7a</t>
  </si>
  <si>
    <t>2.4 min</t>
  </si>
  <si>
    <t>B3</t>
  </si>
  <si>
    <t>B7</t>
  </si>
  <si>
    <t>In-Depth Interview Observational Instrument-On-Site</t>
  </si>
  <si>
    <t>B4</t>
  </si>
  <si>
    <t>B8</t>
  </si>
  <si>
    <t>B9</t>
  </si>
  <si>
    <t>B5</t>
  </si>
  <si>
    <t>B10</t>
  </si>
  <si>
    <t>B6</t>
  </si>
  <si>
    <t>Brief Site Visit Selection Interview Invitation/Reminder Phone Script, Call 1</t>
  </si>
  <si>
    <t>Brief Site Visit Selection Interview Invitation/Reminder Phone Script, Call 2</t>
  </si>
  <si>
    <t>Brief Site Visit Selection Interview Invitation/Reminder Phone Script, Call 3</t>
  </si>
  <si>
    <t>B2b</t>
  </si>
  <si>
    <t>B2a</t>
  </si>
  <si>
    <t>C6a</t>
  </si>
  <si>
    <t>C8a</t>
  </si>
  <si>
    <t>C6b</t>
  </si>
  <si>
    <t>C7b</t>
  </si>
  <si>
    <t>C8b</t>
  </si>
  <si>
    <t>C7c</t>
  </si>
  <si>
    <t>C8c</t>
  </si>
  <si>
    <t>C7d</t>
  </si>
  <si>
    <t>C8d</t>
  </si>
  <si>
    <t>C1b</t>
  </si>
  <si>
    <t>Note: Appendices A1, A2, and C1a are not data collection instruments and do not add burden to potential respondents and therefore are not included in this table.</t>
  </si>
  <si>
    <t>C1c</t>
  </si>
  <si>
    <t>Attachment Notification Email to SFA Directors</t>
  </si>
  <si>
    <t>State Agency CN Directors</t>
  </si>
  <si>
    <r>
      <t>Frequency of Response</t>
    </r>
    <r>
      <rPr>
        <b/>
        <vertAlign val="superscript"/>
        <sz val="9.5"/>
        <rFont val="Arial Narrow"/>
        <family val="2"/>
      </rPr>
      <t xml:space="preserve"> </t>
    </r>
  </si>
  <si>
    <r>
      <t>Estimated Number of Non-Respondents</t>
    </r>
    <r>
      <rPr>
        <b/>
        <vertAlign val="superscript"/>
        <sz val="9.5"/>
        <rFont val="Arial Narrow"/>
        <family val="2"/>
      </rPr>
      <t xml:space="preserve"> </t>
    </r>
  </si>
  <si>
    <r>
      <t>Notification Email to State Agency CN Directors</t>
    </r>
    <r>
      <rPr>
        <vertAlign val="superscript"/>
        <sz val="10"/>
        <rFont val="Arial Narrow"/>
        <family val="2"/>
      </rPr>
      <t>a</t>
    </r>
  </si>
  <si>
    <r>
      <t xml:space="preserve">a </t>
    </r>
    <r>
      <rPr>
        <sz val="10"/>
        <rFont val="Arial Narrow"/>
        <family val="2"/>
      </rPr>
      <t xml:space="preserve">Select State agency CN directors in the 48 contiguous States and District of Columbia will be asked to notify SFA directors selected for participation in the Prescreening Web Survey of the study by email (Appendix C1a, C1b, and C1c).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</si>
</sst>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7" x14ac:knownFonts="1">
    <font>
      <sz val="11"/>
      <color theme="1"/>
      <name val="Calibri"/>
      <family val="2"/>
      <scheme val="minor"/>
    </font>
    <font>
      <sz val="11"/>
      <color theme="1"/>
      <name val="Calibri"/>
      <family val="2"/>
      <scheme val="minor"/>
    </font>
    <font>
      <b/>
      <sz val="11"/>
      <color theme="1"/>
      <name val="Calibri"/>
      <family val="2"/>
      <scheme val="minor"/>
    </font>
    <font>
      <sz val="11"/>
      <color rgb="FFFF00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i/>
      <sz val="11"/>
      <color rgb="FF7F7F7F"/>
      <name val="Calibri"/>
      <family val="2"/>
      <scheme val="minor"/>
    </font>
    <font>
      <sz val="11"/>
      <color theme="0"/>
      <name val="Calibri"/>
      <family val="2"/>
      <scheme val="minor"/>
    </font>
    <font>
      <b/>
      <sz val="18"/>
      <color theme="3"/>
      <name val="Calibri Light"/>
      <family val="2"/>
      <scheme val="major"/>
    </font>
    <font>
      <sz val="10"/>
      <name val="Arial Narrow"/>
      <family val="2"/>
    </font>
    <font>
      <b/>
      <sz val="10"/>
      <name val="Arial Narrow"/>
      <family val="2"/>
    </font>
    <font>
      <sz val="11"/>
      <name val="Calibri"/>
      <family val="2"/>
      <scheme val="minor"/>
    </font>
    <font>
      <sz val="9.5"/>
      <name val="Arial Narrow"/>
      <family val="2"/>
    </font>
    <font>
      <b/>
      <sz val="9.5"/>
      <name val="Arial Narrow"/>
      <family val="2"/>
    </font>
    <font>
      <b/>
      <sz val="8"/>
      <name val="Arial"/>
      <family val="2"/>
    </font>
    <font>
      <b/>
      <vertAlign val="superscript"/>
      <sz val="9.5"/>
      <name val="Arial Narrow"/>
      <family val="2"/>
    </font>
    <font>
      <b/>
      <sz val="11"/>
      <name val="Calibri"/>
      <family val="2"/>
      <scheme val="minor"/>
    </font>
    <font>
      <vertAlign val="superscript"/>
      <sz val="10"/>
      <name val="Arial Narrow"/>
      <family val="2"/>
    </font>
  </fonts>
  <fills count="36">
    <fill>
      <patternFill patternType="none"/>
    </fill>
    <fill>
      <patternFill patternType="gray125"/>
    </fill>
    <fill>
      <patternFill patternType="solid">
        <fgColor rgb="FFFFFFCC"/>
      </patternFill>
    </fill>
    <fill>
      <patternFill patternType="solid">
        <fgColor rgb="FFFFFFFF"/>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63">
    <border>
      <left/>
      <right/>
      <top/>
      <bottom/>
      <diagonal/>
    </border>
    <border>
      <left style="thin">
        <color rgb="FFB2B2B2"/>
      </left>
      <right style="thin">
        <color rgb="FFB2B2B2"/>
      </right>
      <top style="thin">
        <color rgb="FFB2B2B2"/>
      </top>
      <bottom style="thin">
        <color rgb="FFB2B2B2"/>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ck">
        <color indexed="64"/>
      </left>
      <right/>
      <top style="medium">
        <color indexed="64"/>
      </top>
      <bottom style="medium">
        <color indexed="64"/>
      </bottom>
      <diagonal/>
    </border>
    <border>
      <left/>
      <right/>
      <top style="medium">
        <color indexed="64"/>
      </top>
      <bottom style="medium">
        <color indexed="64"/>
      </bottom>
      <diagonal/>
    </border>
    <border>
      <left/>
      <right style="thick">
        <color indexed="64"/>
      </right>
      <top style="medium">
        <color indexed="64"/>
      </top>
      <bottom style="medium">
        <color indexed="64"/>
      </bottom>
      <diagonal/>
    </border>
    <border>
      <left style="thick">
        <color indexed="64"/>
      </left>
      <right style="medium">
        <color indexed="64"/>
      </right>
      <top style="medium">
        <color indexed="64"/>
      </top>
      <bottom/>
      <diagonal/>
    </border>
    <border>
      <left style="thick">
        <color indexed="64"/>
      </left>
      <right style="medium">
        <color indexed="64"/>
      </right>
      <top style="medium">
        <color indexed="64"/>
      </top>
      <bottom style="medium">
        <color indexed="64"/>
      </bottom>
      <diagonal/>
    </border>
    <border>
      <left style="thick">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ck">
        <color indexed="64"/>
      </top>
      <bottom style="medium">
        <color indexed="64"/>
      </bottom>
      <diagonal/>
    </border>
    <border>
      <left style="medium">
        <color indexed="64"/>
      </left>
      <right/>
      <top style="thick">
        <color indexed="64"/>
      </top>
      <bottom style="medium">
        <color indexed="64"/>
      </bottom>
      <diagonal/>
    </border>
    <border>
      <left style="thick">
        <color indexed="64"/>
      </left>
      <right style="medium">
        <color indexed="64"/>
      </right>
      <top style="thick">
        <color indexed="64"/>
      </top>
      <bottom style="medium">
        <color indexed="64"/>
      </bottom>
      <diagonal/>
    </border>
    <border>
      <left style="medium">
        <color indexed="64"/>
      </left>
      <right style="medium">
        <color indexed="64"/>
      </right>
      <top style="thick">
        <color indexed="64"/>
      </top>
      <bottom/>
      <diagonal/>
    </border>
    <border>
      <left style="thick">
        <color indexed="64"/>
      </left>
      <right style="medium">
        <color indexed="64"/>
      </right>
      <top style="medium">
        <color indexed="64"/>
      </top>
      <bottom style="thick">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right style="medium">
        <color indexed="64"/>
      </right>
      <top style="thick">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bottom style="thick">
        <color indexed="64"/>
      </bottom>
      <diagonal/>
    </border>
    <border>
      <left style="medium">
        <color indexed="64"/>
      </left>
      <right style="medium">
        <color indexed="64"/>
      </right>
      <top style="medium">
        <color indexed="64"/>
      </top>
      <bottom style="thick">
        <color indexed="64"/>
      </bottom>
      <diagonal/>
    </border>
    <border>
      <left style="medium">
        <color indexed="64"/>
      </left>
      <right/>
      <top style="thick">
        <color indexed="64"/>
      </top>
      <bottom style="thick">
        <color indexed="64"/>
      </bottom>
      <diagonal/>
    </border>
    <border>
      <left style="medium">
        <color indexed="64"/>
      </left>
      <right/>
      <top style="medium">
        <color indexed="64"/>
      </top>
      <bottom style="thick">
        <color indexed="64"/>
      </bottom>
      <diagonal/>
    </border>
    <border>
      <left style="thin">
        <color indexed="64"/>
      </left>
      <right style="medium">
        <color indexed="64"/>
      </right>
      <top/>
      <bottom/>
      <diagonal/>
    </border>
    <border>
      <left style="thick">
        <color indexed="64"/>
      </left>
      <right style="medium">
        <color indexed="64"/>
      </right>
      <top/>
      <bottom/>
      <diagonal/>
    </border>
    <border>
      <left/>
      <right/>
      <top style="thick">
        <color indexed="64"/>
      </top>
      <bottom style="thick">
        <color indexed="64"/>
      </bottom>
      <diagonal/>
    </border>
    <border>
      <left/>
      <right/>
      <top style="medium">
        <color indexed="64"/>
      </top>
      <bottom style="thick">
        <color indexed="64"/>
      </bottom>
      <diagonal/>
    </border>
    <border>
      <left style="medium">
        <color indexed="64"/>
      </left>
      <right style="thick">
        <color indexed="64"/>
      </right>
      <top style="medium">
        <color indexed="64"/>
      </top>
      <bottom style="thick">
        <color indexed="64"/>
      </bottom>
      <diagonal/>
    </border>
    <border>
      <left style="thick">
        <color indexed="64"/>
      </left>
      <right style="medium">
        <color indexed="64"/>
      </right>
      <top style="thick">
        <color indexed="64"/>
      </top>
      <bottom/>
      <diagonal/>
    </border>
    <border>
      <left style="thin">
        <color indexed="64"/>
      </left>
      <right style="medium">
        <color indexed="64"/>
      </right>
      <top style="thick">
        <color indexed="64"/>
      </top>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right style="thick">
        <color indexed="64"/>
      </right>
      <top style="thick">
        <color indexed="64"/>
      </top>
      <bottom style="medium">
        <color indexed="64"/>
      </bottom>
      <diagonal/>
    </border>
    <border>
      <left style="medium">
        <color indexed="64"/>
      </left>
      <right style="thick">
        <color indexed="64"/>
      </right>
      <top style="thick">
        <color indexed="64"/>
      </top>
      <bottom style="medium">
        <color indexed="64"/>
      </bottom>
      <diagonal/>
    </border>
    <border>
      <left style="thick">
        <color indexed="64"/>
      </left>
      <right style="thick">
        <color indexed="64"/>
      </right>
      <top style="thick">
        <color indexed="64"/>
      </top>
      <bottom/>
      <diagonal/>
    </border>
    <border>
      <left style="thick">
        <color indexed="64"/>
      </left>
      <right style="thick">
        <color indexed="64"/>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ck">
        <color indexed="64"/>
      </left>
      <right style="thick">
        <color indexed="64"/>
      </right>
      <top/>
      <bottom style="medium">
        <color indexed="64"/>
      </bottom>
      <diagonal/>
    </border>
    <border>
      <left style="thick">
        <color indexed="64"/>
      </left>
      <right style="thick">
        <color indexed="64"/>
      </right>
      <top style="medium">
        <color indexed="64"/>
      </top>
      <bottom style="medium">
        <color indexed="64"/>
      </bottom>
      <diagonal/>
    </border>
    <border>
      <left style="thick">
        <color indexed="64"/>
      </left>
      <right style="thick">
        <color indexed="64"/>
      </right>
      <top style="medium">
        <color indexed="64"/>
      </top>
      <bottom style="thick">
        <color indexed="64"/>
      </bottom>
      <diagonal/>
    </border>
    <border>
      <left style="thick">
        <color indexed="64"/>
      </left>
      <right style="thick">
        <color indexed="64"/>
      </right>
      <top style="medium">
        <color indexed="64"/>
      </top>
      <bottom/>
      <diagonal/>
    </border>
    <border>
      <left style="thick">
        <color indexed="64"/>
      </left>
      <right style="thick">
        <color indexed="64"/>
      </right>
      <top style="thick">
        <color indexed="64"/>
      </top>
      <bottom style="medium">
        <color indexed="64"/>
      </bottom>
      <diagonal/>
    </border>
    <border>
      <left style="thick">
        <color indexed="64"/>
      </left>
      <right/>
      <top/>
      <bottom style="medium">
        <color indexed="64"/>
      </bottom>
      <diagonal/>
    </border>
    <border>
      <left style="thick">
        <color indexed="64"/>
      </left>
      <right/>
      <top style="medium">
        <color indexed="64"/>
      </top>
      <bottom/>
      <diagonal/>
    </border>
    <border>
      <left style="thick">
        <color indexed="64"/>
      </left>
      <right/>
      <top/>
      <bottom/>
      <diagonal/>
    </border>
    <border>
      <left style="thick">
        <color indexed="64"/>
      </left>
      <right/>
      <top style="medium">
        <color indexed="64"/>
      </top>
      <bottom style="thick">
        <color indexed="64"/>
      </bottom>
      <diagonal/>
    </border>
    <border>
      <left style="thick">
        <color indexed="64"/>
      </left>
      <right style="thick">
        <color indexed="64"/>
      </right>
      <top style="thick">
        <color indexed="64"/>
      </top>
      <bottom style="thick">
        <color indexed="64"/>
      </bottom>
      <diagonal/>
    </border>
    <border>
      <left style="medium">
        <color indexed="64"/>
      </left>
      <right style="medium">
        <color indexed="64"/>
      </right>
      <top style="thick">
        <color indexed="64"/>
      </top>
      <bottom style="thick">
        <color indexed="64"/>
      </bottom>
      <diagonal/>
    </border>
    <border>
      <left style="thick">
        <color indexed="64"/>
      </left>
      <right style="medium">
        <color indexed="64"/>
      </right>
      <top style="thick">
        <color indexed="64"/>
      </top>
      <bottom style="thick">
        <color indexed="64"/>
      </bottom>
      <diagonal/>
    </border>
  </borders>
  <cellStyleXfs count="42">
    <xf numFmtId="0" fontId="0" fillId="0" borderId="0"/>
    <xf numFmtId="0" fontId="1" fillId="2" borderId="1" applyNumberFormat="0" applyFont="0" applyAlignment="0" applyProtection="0"/>
    <xf numFmtId="0" fontId="4" fillId="0" borderId="22" applyNumberFormat="0" applyFill="0" applyAlignment="0" applyProtection="0"/>
    <xf numFmtId="0" fontId="5" fillId="0" borderId="23" applyNumberFormat="0" applyFill="0" applyAlignment="0" applyProtection="0"/>
    <xf numFmtId="0" fontId="6" fillId="0" borderId="24" applyNumberFormat="0" applyFill="0" applyAlignment="0" applyProtection="0"/>
    <xf numFmtId="0" fontId="6" fillId="0" borderId="0" applyNumberFormat="0" applyFill="0" applyBorder="0" applyAlignment="0" applyProtection="0"/>
    <xf numFmtId="0" fontId="7" fillId="6" borderId="0" applyNumberFormat="0" applyBorder="0" applyAlignment="0" applyProtection="0"/>
    <xf numFmtId="0" fontId="8" fillId="7" borderId="0" applyNumberFormat="0" applyBorder="0" applyAlignment="0" applyProtection="0"/>
    <xf numFmtId="0" fontId="9" fillId="8" borderId="0" applyNumberFormat="0" applyBorder="0" applyAlignment="0" applyProtection="0"/>
    <xf numFmtId="0" fontId="10" fillId="9" borderId="25" applyNumberFormat="0" applyAlignment="0" applyProtection="0"/>
    <xf numFmtId="0" fontId="11" fillId="10" borderId="26" applyNumberFormat="0" applyAlignment="0" applyProtection="0"/>
    <xf numFmtId="0" fontId="12" fillId="10" borderId="25" applyNumberFormat="0" applyAlignment="0" applyProtection="0"/>
    <xf numFmtId="0" fontId="13" fillId="0" borderId="27" applyNumberFormat="0" applyFill="0" applyAlignment="0" applyProtection="0"/>
    <xf numFmtId="0" fontId="14" fillId="11" borderId="28" applyNumberFormat="0" applyAlignment="0" applyProtection="0"/>
    <xf numFmtId="0" fontId="3" fillId="0" borderId="0" applyNumberFormat="0" applyFill="0" applyBorder="0" applyAlignment="0" applyProtection="0"/>
    <xf numFmtId="0" fontId="15" fillId="0" borderId="0" applyNumberFormat="0" applyFill="0" applyBorder="0" applyAlignment="0" applyProtection="0"/>
    <xf numFmtId="0" fontId="2" fillId="0" borderId="29" applyNumberFormat="0" applyFill="0" applyAlignment="0" applyProtection="0"/>
    <xf numFmtId="0" fontId="16" fillId="12"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6" fillId="15" borderId="0" applyNumberFormat="0" applyBorder="0" applyAlignment="0" applyProtection="0"/>
    <xf numFmtId="0" fontId="16" fillId="16"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6" fillId="19" borderId="0" applyNumberFormat="0" applyBorder="0" applyAlignment="0" applyProtection="0"/>
    <xf numFmtId="0" fontId="16" fillId="20"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6" fillId="23" borderId="0" applyNumberFormat="0" applyBorder="0" applyAlignment="0" applyProtection="0"/>
    <xf numFmtId="0" fontId="16" fillId="24"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6" fillId="27" borderId="0" applyNumberFormat="0" applyBorder="0" applyAlignment="0" applyProtection="0"/>
    <xf numFmtId="0" fontId="16" fillId="28"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6" fillId="31" borderId="0" applyNumberFormat="0" applyBorder="0" applyAlignment="0" applyProtection="0"/>
    <xf numFmtId="0" fontId="16" fillId="32"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6" fillId="35" borderId="0" applyNumberFormat="0" applyBorder="0" applyAlignment="0" applyProtection="0"/>
    <xf numFmtId="0" fontId="17" fillId="0" borderId="0" applyNumberFormat="0" applyFill="0" applyBorder="0" applyAlignment="0" applyProtection="0"/>
  </cellStyleXfs>
  <cellXfs count="180">
    <xf numFmtId="0" fontId="0" fillId="0" borderId="0" xfId="0"/>
    <xf numFmtId="0" fontId="18" fillId="0" borderId="16" xfId="0" applyFont="1" applyBorder="1" applyAlignment="1">
      <alignment horizontal="left" vertical="center" wrapText="1"/>
    </xf>
    <xf numFmtId="0" fontId="18" fillId="0" borderId="14" xfId="1" applyFont="1" applyFill="1" applyBorder="1" applyAlignment="1">
      <alignment horizontal="center" vertical="center"/>
    </xf>
    <xf numFmtId="0" fontId="18" fillId="0" borderId="9" xfId="0" applyFont="1" applyFill="1" applyBorder="1" applyAlignment="1">
      <alignment horizontal="center" vertical="center"/>
    </xf>
    <xf numFmtId="2" fontId="18" fillId="0" borderId="14" xfId="0" applyNumberFormat="1" applyFont="1" applyFill="1" applyBorder="1" applyAlignment="1">
      <alignment horizontal="center" vertical="center"/>
    </xf>
    <xf numFmtId="1" fontId="18" fillId="0" borderId="9" xfId="1" applyNumberFormat="1" applyFont="1" applyFill="1" applyBorder="1" applyAlignment="1">
      <alignment horizontal="center" vertical="center"/>
    </xf>
    <xf numFmtId="0" fontId="18" fillId="0" borderId="16" xfId="1" applyFont="1" applyFill="1" applyBorder="1" applyAlignment="1">
      <alignment horizontal="center" vertical="center"/>
    </xf>
    <xf numFmtId="2" fontId="18" fillId="0" borderId="16" xfId="0" applyNumberFormat="1" applyFont="1" applyFill="1" applyBorder="1" applyAlignment="1">
      <alignment horizontal="center" vertical="center"/>
    </xf>
    <xf numFmtId="2" fontId="18" fillId="0" borderId="51" xfId="0" applyNumberFormat="1" applyFont="1" applyBorder="1" applyAlignment="1">
      <alignment horizontal="center" vertical="center"/>
    </xf>
    <xf numFmtId="0" fontId="18" fillId="0" borderId="2" xfId="0" applyFont="1" applyBorder="1" applyAlignment="1">
      <alignment horizontal="left" vertical="center" wrapText="1"/>
    </xf>
    <xf numFmtId="0" fontId="18" fillId="0" borderId="2" xfId="0" applyFont="1" applyBorder="1" applyAlignment="1">
      <alignment horizontal="center" vertical="center" wrapText="1"/>
    </xf>
    <xf numFmtId="0" fontId="18" fillId="0" borderId="3" xfId="1" applyFont="1" applyFill="1" applyBorder="1" applyAlignment="1">
      <alignment horizontal="center" vertical="center"/>
    </xf>
    <xf numFmtId="1" fontId="18" fillId="0" borderId="8" xfId="0" applyNumberFormat="1" applyFont="1" applyFill="1" applyBorder="1" applyAlignment="1">
      <alignment horizontal="center" vertical="center"/>
    </xf>
    <xf numFmtId="0" fontId="18" fillId="0" borderId="2" xfId="0" applyFont="1" applyFill="1" applyBorder="1" applyAlignment="1">
      <alignment horizontal="center" vertical="center"/>
    </xf>
    <xf numFmtId="1" fontId="18" fillId="0" borderId="2" xfId="0" applyNumberFormat="1" applyFont="1" applyFill="1" applyBorder="1" applyAlignment="1">
      <alignment horizontal="center" vertical="center"/>
    </xf>
    <xf numFmtId="2" fontId="18" fillId="0" borderId="3" xfId="0" applyNumberFormat="1" applyFont="1" applyFill="1" applyBorder="1" applyAlignment="1">
      <alignment horizontal="center" vertical="center"/>
    </xf>
    <xf numFmtId="1" fontId="18" fillId="0" borderId="8" xfId="1" applyNumberFormat="1" applyFont="1" applyFill="1" applyBorder="1" applyAlignment="1">
      <alignment horizontal="center" vertical="center"/>
    </xf>
    <xf numFmtId="1" fontId="18" fillId="0" borderId="2" xfId="1" applyNumberFormat="1" applyFont="1" applyFill="1" applyBorder="1" applyAlignment="1">
      <alignment horizontal="center" vertical="center"/>
    </xf>
    <xf numFmtId="2" fontId="18" fillId="0" borderId="2" xfId="0" applyNumberFormat="1" applyFont="1" applyFill="1" applyBorder="1" applyAlignment="1">
      <alignment horizontal="center" vertical="center"/>
    </xf>
    <xf numFmtId="2" fontId="18" fillId="0" borderId="52" xfId="0" applyNumberFormat="1" applyFont="1" applyBorder="1" applyAlignment="1">
      <alignment horizontal="center" vertical="center"/>
    </xf>
    <xf numFmtId="1" fontId="18" fillId="0" borderId="3" xfId="1" applyNumberFormat="1" applyFont="1" applyFill="1" applyBorder="1" applyAlignment="1">
      <alignment horizontal="center" vertical="center"/>
    </xf>
    <xf numFmtId="0" fontId="18" fillId="0" borderId="16" xfId="0" applyFont="1" applyBorder="1" applyAlignment="1">
      <alignment horizontal="center" vertical="center" wrapText="1"/>
    </xf>
    <xf numFmtId="0" fontId="18" fillId="0" borderId="11" xfId="0" applyFont="1" applyBorder="1" applyAlignment="1">
      <alignment horizontal="left" vertical="center" wrapText="1"/>
    </xf>
    <xf numFmtId="1" fontId="18" fillId="0" borderId="12" xfId="1" applyNumberFormat="1" applyFont="1" applyFill="1" applyBorder="1" applyAlignment="1">
      <alignment horizontal="center" vertical="center"/>
    </xf>
    <xf numFmtId="1" fontId="18" fillId="0" borderId="7" xfId="0" applyNumberFormat="1" applyFont="1" applyFill="1" applyBorder="1" applyAlignment="1">
      <alignment horizontal="center" vertical="center"/>
    </xf>
    <xf numFmtId="1" fontId="18" fillId="0" borderId="11" xfId="0" applyNumberFormat="1" applyFont="1" applyFill="1" applyBorder="1" applyAlignment="1">
      <alignment horizontal="center" vertical="center"/>
    </xf>
    <xf numFmtId="2" fontId="18" fillId="0" borderId="12" xfId="0" applyNumberFormat="1" applyFont="1" applyFill="1" applyBorder="1" applyAlignment="1">
      <alignment horizontal="center" vertical="center"/>
    </xf>
    <xf numFmtId="1" fontId="18" fillId="0" borderId="7" xfId="1" applyNumberFormat="1" applyFont="1" applyFill="1" applyBorder="1" applyAlignment="1">
      <alignment horizontal="center" vertical="center"/>
    </xf>
    <xf numFmtId="1" fontId="18" fillId="0" borderId="11" xfId="1" applyNumberFormat="1" applyFont="1" applyFill="1" applyBorder="1" applyAlignment="1">
      <alignment horizontal="center" vertical="center"/>
    </xf>
    <xf numFmtId="2" fontId="18" fillId="0" borderId="11" xfId="0" applyNumberFormat="1" applyFont="1" applyFill="1" applyBorder="1" applyAlignment="1">
      <alignment horizontal="center" vertical="center"/>
    </xf>
    <xf numFmtId="2" fontId="18" fillId="0" borderId="54" xfId="0" applyNumberFormat="1" applyFont="1" applyBorder="1" applyAlignment="1">
      <alignment horizontal="center" vertical="center"/>
    </xf>
    <xf numFmtId="0" fontId="18" fillId="0" borderId="17" xfId="0" applyFont="1" applyFill="1" applyBorder="1" applyAlignment="1">
      <alignment horizontal="left" vertical="center"/>
    </xf>
    <xf numFmtId="0" fontId="18" fillId="0" borderId="17" xfId="0" applyFont="1" applyFill="1" applyBorder="1" applyAlignment="1">
      <alignment horizontal="center" vertical="center"/>
    </xf>
    <xf numFmtId="0" fontId="18" fillId="0" borderId="18" xfId="0" applyFont="1" applyFill="1" applyBorder="1" applyAlignment="1">
      <alignment horizontal="center" vertical="center"/>
    </xf>
    <xf numFmtId="1" fontId="18" fillId="0" borderId="19" xfId="0" applyNumberFormat="1" applyFont="1" applyFill="1" applyBorder="1" applyAlignment="1">
      <alignment horizontal="center" vertical="center"/>
    </xf>
    <xf numFmtId="1" fontId="18" fillId="0" borderId="17" xfId="0" applyNumberFormat="1" applyFont="1" applyFill="1" applyBorder="1" applyAlignment="1">
      <alignment horizontal="center" vertical="center"/>
    </xf>
    <xf numFmtId="2" fontId="18" fillId="0" borderId="17" xfId="0" applyNumberFormat="1" applyFont="1" applyFill="1" applyBorder="1" applyAlignment="1">
      <alignment horizontal="center" vertical="center"/>
    </xf>
    <xf numFmtId="2" fontId="18" fillId="0" borderId="18" xfId="0" applyNumberFormat="1" applyFont="1" applyFill="1" applyBorder="1" applyAlignment="1">
      <alignment horizontal="center" vertical="center"/>
    </xf>
    <xf numFmtId="1" fontId="18" fillId="0" borderId="19" xfId="1" applyNumberFormat="1" applyFont="1" applyFill="1" applyBorder="1" applyAlignment="1">
      <alignment horizontal="center" vertical="center"/>
    </xf>
    <xf numFmtId="1" fontId="18" fillId="0" borderId="17" xfId="1" applyNumberFormat="1" applyFont="1" applyFill="1" applyBorder="1" applyAlignment="1">
      <alignment horizontal="center" vertical="center"/>
    </xf>
    <xf numFmtId="2" fontId="18" fillId="0" borderId="55" xfId="0" applyNumberFormat="1" applyFont="1" applyBorder="1" applyAlignment="1">
      <alignment horizontal="center" vertical="center"/>
    </xf>
    <xf numFmtId="0" fontId="18" fillId="0" borderId="3" xfId="0" applyFont="1" applyFill="1" applyBorder="1" applyAlignment="1">
      <alignment horizontal="left" vertical="center" wrapText="1"/>
    </xf>
    <xf numFmtId="0" fontId="18" fillId="0" borderId="3" xfId="0" applyFont="1" applyFill="1" applyBorder="1" applyAlignment="1">
      <alignment horizontal="center" vertical="center"/>
    </xf>
    <xf numFmtId="0" fontId="18" fillId="0" borderId="2" xfId="0" applyFont="1" applyFill="1" applyBorder="1" applyAlignment="1">
      <alignment horizontal="left" vertical="center"/>
    </xf>
    <xf numFmtId="0" fontId="18" fillId="0" borderId="11" xfId="0" applyFont="1" applyFill="1" applyBorder="1" applyAlignment="1">
      <alignment horizontal="center" vertical="center"/>
    </xf>
    <xf numFmtId="2" fontId="18" fillId="0" borderId="52" xfId="0" applyNumberFormat="1" applyFont="1" applyFill="1" applyBorder="1" applyAlignment="1">
      <alignment horizontal="center" vertical="center"/>
    </xf>
    <xf numFmtId="0" fontId="18" fillId="0" borderId="10" xfId="0" applyFont="1" applyFill="1" applyBorder="1" applyAlignment="1">
      <alignment horizontal="center" vertical="center"/>
    </xf>
    <xf numFmtId="1" fontId="18" fillId="0" borderId="3" xfId="0" applyNumberFormat="1" applyFont="1" applyFill="1" applyBorder="1" applyAlignment="1">
      <alignment horizontal="center" vertical="center"/>
    </xf>
    <xf numFmtId="0" fontId="18" fillId="0" borderId="16" xfId="0" applyFont="1" applyFill="1" applyBorder="1" applyAlignment="1">
      <alignment horizontal="center" vertical="center"/>
    </xf>
    <xf numFmtId="0" fontId="18" fillId="0" borderId="11" xfId="0" applyFont="1" applyFill="1" applyBorder="1" applyAlignment="1">
      <alignment horizontal="left" vertical="center"/>
    </xf>
    <xf numFmtId="1" fontId="18" fillId="0" borderId="12" xfId="0" applyNumberFormat="1" applyFont="1" applyFill="1" applyBorder="1" applyAlignment="1">
      <alignment horizontal="center" vertical="center"/>
    </xf>
    <xf numFmtId="2" fontId="18" fillId="0" borderId="54" xfId="0" applyNumberFormat="1" applyFont="1" applyFill="1" applyBorder="1" applyAlignment="1">
      <alignment horizontal="center" vertical="center"/>
    </xf>
    <xf numFmtId="1" fontId="18" fillId="0" borderId="18" xfId="0" applyNumberFormat="1" applyFont="1" applyFill="1" applyBorder="1" applyAlignment="1">
      <alignment horizontal="center" vertical="center"/>
    </xf>
    <xf numFmtId="2" fontId="18" fillId="0" borderId="55" xfId="0" applyNumberFormat="1" applyFont="1" applyFill="1" applyBorder="1" applyAlignment="1">
      <alignment horizontal="center" vertical="center"/>
    </xf>
    <xf numFmtId="0" fontId="18" fillId="0" borderId="2" xfId="0" applyFont="1" applyFill="1" applyBorder="1" applyAlignment="1">
      <alignment vertical="center" wrapText="1"/>
    </xf>
    <xf numFmtId="0" fontId="18" fillId="0" borderId="11" xfId="0" applyFont="1" applyFill="1" applyBorder="1" applyAlignment="1">
      <alignment horizontal="center" vertical="center" wrapText="1"/>
    </xf>
    <xf numFmtId="0" fontId="18" fillId="0" borderId="2" xfId="0" applyFont="1" applyBorder="1" applyAlignment="1">
      <alignment vertical="center" wrapText="1"/>
    </xf>
    <xf numFmtId="0" fontId="18" fillId="0" borderId="11" xfId="0" applyFont="1" applyBorder="1" applyAlignment="1">
      <alignment horizontal="center" vertical="center" wrapText="1"/>
    </xf>
    <xf numFmtId="0" fontId="18" fillId="3" borderId="3" xfId="0" applyFont="1" applyFill="1" applyBorder="1" applyAlignment="1">
      <alignment horizontal="center" vertical="center" wrapText="1"/>
    </xf>
    <xf numFmtId="0" fontId="18" fillId="0" borderId="3" xfId="0" applyFont="1" applyFill="1" applyBorder="1" applyAlignment="1">
      <alignment horizontal="center" vertical="center" wrapText="1"/>
    </xf>
    <xf numFmtId="0" fontId="18" fillId="0" borderId="8" xfId="0" applyFont="1" applyFill="1" applyBorder="1" applyAlignment="1">
      <alignment horizontal="center" vertical="center"/>
    </xf>
    <xf numFmtId="0" fontId="18" fillId="0" borderId="3" xfId="0" applyFont="1" applyBorder="1" applyAlignment="1">
      <alignment horizontal="center" vertical="center" wrapText="1"/>
    </xf>
    <xf numFmtId="2" fontId="18" fillId="0" borderId="53" xfId="0" applyNumberFormat="1" applyFont="1" applyBorder="1" applyAlignment="1">
      <alignment horizontal="center" vertical="center"/>
    </xf>
    <xf numFmtId="0" fontId="18" fillId="0" borderId="17" xfId="0" applyFont="1" applyBorder="1" applyAlignment="1">
      <alignment horizontal="left" vertical="center"/>
    </xf>
    <xf numFmtId="0" fontId="18" fillId="0" borderId="17" xfId="0" applyFont="1" applyBorder="1" applyAlignment="1">
      <alignment horizontal="center" vertical="center"/>
    </xf>
    <xf numFmtId="0" fontId="18" fillId="3" borderId="18" xfId="0" applyFont="1" applyFill="1" applyBorder="1" applyAlignment="1">
      <alignment horizontal="center" vertical="center" wrapText="1"/>
    </xf>
    <xf numFmtId="0" fontId="18" fillId="0" borderId="19" xfId="0" applyFont="1" applyFill="1" applyBorder="1" applyAlignment="1">
      <alignment horizontal="center" vertical="center"/>
    </xf>
    <xf numFmtId="0" fontId="18" fillId="0" borderId="16" xfId="0" applyFont="1" applyBorder="1" applyAlignment="1">
      <alignment horizontal="center" vertical="center"/>
    </xf>
    <xf numFmtId="0" fontId="18" fillId="3" borderId="14" xfId="0" applyFont="1" applyFill="1" applyBorder="1" applyAlignment="1">
      <alignment horizontal="center" vertical="center" wrapText="1"/>
    </xf>
    <xf numFmtId="1" fontId="18" fillId="3" borderId="3" xfId="0" applyNumberFormat="1" applyFont="1" applyFill="1" applyBorder="1" applyAlignment="1">
      <alignment horizontal="center" vertical="center" wrapText="1"/>
    </xf>
    <xf numFmtId="0" fontId="19" fillId="0" borderId="8" xfId="0" applyFont="1" applyFill="1" applyBorder="1" applyAlignment="1">
      <alignment horizontal="center" vertical="center"/>
    </xf>
    <xf numFmtId="1" fontId="19" fillId="0" borderId="16" xfId="0" applyNumberFormat="1" applyFont="1" applyFill="1" applyBorder="1" applyAlignment="1">
      <alignment horizontal="center"/>
    </xf>
    <xf numFmtId="2" fontId="19" fillId="0" borderId="16" xfId="0" applyNumberFormat="1" applyFont="1" applyFill="1" applyBorder="1" applyAlignment="1">
      <alignment horizontal="center" vertical="center"/>
    </xf>
    <xf numFmtId="2" fontId="19" fillId="0" borderId="14" xfId="0" applyNumberFormat="1" applyFont="1" applyFill="1" applyBorder="1" applyAlignment="1">
      <alignment horizontal="center" vertical="center"/>
    </xf>
    <xf numFmtId="1" fontId="19" fillId="0" borderId="9" xfId="1" applyNumberFormat="1" applyFont="1" applyFill="1" applyBorder="1" applyAlignment="1">
      <alignment horizontal="center" vertical="center"/>
    </xf>
    <xf numFmtId="1" fontId="19" fillId="0" borderId="16" xfId="1" applyNumberFormat="1" applyFont="1" applyFill="1" applyBorder="1" applyAlignment="1">
      <alignment horizontal="center" vertical="center"/>
    </xf>
    <xf numFmtId="1" fontId="19" fillId="0" borderId="2" xfId="0" applyNumberFormat="1" applyFont="1" applyFill="1" applyBorder="1" applyAlignment="1">
      <alignment horizontal="center" vertical="center"/>
    </xf>
    <xf numFmtId="2" fontId="19" fillId="0" borderId="52" xfId="0" applyNumberFormat="1" applyFont="1" applyBorder="1" applyAlignment="1">
      <alignment horizontal="center" vertical="center"/>
    </xf>
    <xf numFmtId="0" fontId="18" fillId="0" borderId="2" xfId="0" applyFont="1" applyBorder="1" applyAlignment="1">
      <alignment horizontal="left" vertical="center"/>
    </xf>
    <xf numFmtId="0" fontId="18" fillId="0" borderId="2" xfId="0" applyFont="1" applyBorder="1" applyAlignment="1">
      <alignment horizontal="center" vertical="center"/>
    </xf>
    <xf numFmtId="2" fontId="19" fillId="0" borderId="2" xfId="0" applyNumberFormat="1" applyFont="1" applyFill="1" applyBorder="1" applyAlignment="1">
      <alignment horizontal="center" vertical="center"/>
    </xf>
    <xf numFmtId="2" fontId="19" fillId="0" borderId="3" xfId="0" applyNumberFormat="1" applyFont="1" applyFill="1" applyBorder="1" applyAlignment="1">
      <alignment horizontal="center" vertical="center"/>
    </xf>
    <xf numFmtId="1" fontId="19" fillId="0" borderId="2" xfId="1" applyNumberFormat="1" applyFont="1" applyFill="1" applyBorder="1" applyAlignment="1">
      <alignment horizontal="center" vertical="center"/>
    </xf>
    <xf numFmtId="4" fontId="18" fillId="0" borderId="2" xfId="0" applyNumberFormat="1" applyFont="1" applyFill="1" applyBorder="1" applyAlignment="1">
      <alignment horizontal="center" vertical="center"/>
    </xf>
    <xf numFmtId="0" fontId="19" fillId="0" borderId="7" xfId="0" applyFont="1" applyFill="1" applyBorder="1" applyAlignment="1">
      <alignment horizontal="center" vertical="center"/>
    </xf>
    <xf numFmtId="1" fontId="19" fillId="0" borderId="11" xfId="0" applyNumberFormat="1" applyFont="1" applyFill="1" applyBorder="1" applyAlignment="1">
      <alignment horizontal="center" vertical="center"/>
    </xf>
    <xf numFmtId="2" fontId="19" fillId="0" borderId="11" xfId="0" applyNumberFormat="1" applyFont="1" applyFill="1" applyBorder="1" applyAlignment="1">
      <alignment horizontal="center" vertical="center"/>
    </xf>
    <xf numFmtId="2" fontId="19" fillId="0" borderId="12" xfId="0" applyNumberFormat="1" applyFont="1" applyFill="1" applyBorder="1" applyAlignment="1">
      <alignment horizontal="center" vertical="center"/>
    </xf>
    <xf numFmtId="1" fontId="19" fillId="0" borderId="11" xfId="1" applyNumberFormat="1" applyFont="1" applyFill="1" applyBorder="1" applyAlignment="1">
      <alignment horizontal="center" vertical="center"/>
    </xf>
    <xf numFmtId="2" fontId="19" fillId="0" borderId="54" xfId="0" applyNumberFormat="1" applyFont="1" applyBorder="1" applyAlignment="1">
      <alignment horizontal="center" vertical="center"/>
    </xf>
    <xf numFmtId="1" fontId="18" fillId="0" borderId="9" xfId="0" applyNumberFormat="1" applyFont="1" applyFill="1" applyBorder="1" applyAlignment="1">
      <alignment horizontal="center" vertical="center"/>
    </xf>
    <xf numFmtId="1" fontId="18" fillId="0" borderId="16" xfId="0" applyNumberFormat="1" applyFont="1" applyFill="1" applyBorder="1" applyAlignment="1">
      <alignment horizontal="center" vertical="center"/>
    </xf>
    <xf numFmtId="1" fontId="19" fillId="0" borderId="8" xfId="0" applyNumberFormat="1" applyFont="1" applyFill="1" applyBorder="1" applyAlignment="1">
      <alignment horizontal="center" vertical="center"/>
    </xf>
    <xf numFmtId="0" fontId="19" fillId="4" borderId="21" xfId="0" applyFont="1" applyFill="1" applyBorder="1" applyAlignment="1">
      <alignment horizontal="center" vertical="center"/>
    </xf>
    <xf numFmtId="1" fontId="19" fillId="4" borderId="33" xfId="0" applyNumberFormat="1" applyFont="1" applyFill="1" applyBorder="1" applyAlignment="1">
      <alignment horizontal="center" vertical="center"/>
    </xf>
    <xf numFmtId="2" fontId="19" fillId="4" borderId="35" xfId="0" applyNumberFormat="1" applyFont="1" applyFill="1" applyBorder="1" applyAlignment="1">
      <alignment horizontal="center" vertical="center"/>
    </xf>
    <xf numFmtId="2" fontId="19" fillId="4" borderId="40" xfId="0" applyNumberFormat="1" applyFont="1" applyFill="1" applyBorder="1" applyAlignment="1">
      <alignment horizontal="center" vertical="center"/>
    </xf>
    <xf numFmtId="1" fontId="19" fillId="4" borderId="35" xfId="1" applyNumberFormat="1" applyFont="1" applyFill="1" applyBorder="1" applyAlignment="1">
      <alignment horizontal="center" vertical="center"/>
    </xf>
    <xf numFmtId="2" fontId="19" fillId="4" borderId="53" xfId="0" applyNumberFormat="1" applyFont="1" applyFill="1" applyBorder="1" applyAlignment="1">
      <alignment horizontal="center" vertical="center"/>
    </xf>
    <xf numFmtId="0" fontId="18" fillId="0" borderId="33" xfId="0" applyFont="1" applyFill="1" applyBorder="1" applyAlignment="1">
      <alignment horizontal="center" vertical="center"/>
    </xf>
    <xf numFmtId="2" fontId="18" fillId="0" borderId="40" xfId="0" applyNumberFormat="1" applyFont="1" applyFill="1" applyBorder="1" applyAlignment="1">
      <alignment horizontal="center" vertical="center"/>
    </xf>
    <xf numFmtId="0" fontId="19" fillId="5" borderId="56" xfId="0" applyFont="1" applyFill="1" applyBorder="1" applyAlignment="1">
      <alignment horizontal="right" vertical="center"/>
    </xf>
    <xf numFmtId="0" fontId="19" fillId="5" borderId="15" xfId="0" applyFont="1" applyFill="1" applyBorder="1" applyAlignment="1">
      <alignment horizontal="right" vertical="center"/>
    </xf>
    <xf numFmtId="0" fontId="19" fillId="4" borderId="4" xfId="0" applyFont="1" applyFill="1" applyBorder="1" applyAlignment="1">
      <alignment horizontal="center" vertical="center"/>
    </xf>
    <xf numFmtId="0" fontId="19" fillId="4" borderId="5" xfId="0" applyFont="1" applyFill="1" applyBorder="1" applyAlignment="1">
      <alignment horizontal="center" vertical="center"/>
    </xf>
    <xf numFmtId="0" fontId="19" fillId="4" borderId="6" xfId="0" applyFont="1" applyFill="1" applyBorder="1" applyAlignment="1">
      <alignment horizontal="center" vertical="center"/>
    </xf>
    <xf numFmtId="0" fontId="18" fillId="0" borderId="11" xfId="0" applyFont="1" applyFill="1" applyBorder="1" applyAlignment="1">
      <alignment horizontal="center" vertical="center"/>
    </xf>
    <xf numFmtId="0" fontId="18" fillId="0" borderId="10" xfId="0" applyFont="1" applyFill="1" applyBorder="1" applyAlignment="1">
      <alignment horizontal="center" vertical="center"/>
    </xf>
    <xf numFmtId="0" fontId="18" fillId="0" borderId="16" xfId="0" applyFont="1" applyFill="1" applyBorder="1" applyAlignment="1">
      <alignment horizontal="center" vertical="center"/>
    </xf>
    <xf numFmtId="0" fontId="18" fillId="0" borderId="11" xfId="0" applyFont="1" applyBorder="1" applyAlignment="1">
      <alignment horizontal="center" vertical="center" wrapText="1"/>
    </xf>
    <xf numFmtId="0" fontId="18" fillId="0" borderId="10" xfId="0" applyFont="1" applyBorder="1" applyAlignment="1">
      <alignment horizontal="center" vertical="center" wrapText="1"/>
    </xf>
    <xf numFmtId="0" fontId="18" fillId="0" borderId="16" xfId="0" applyFont="1" applyBorder="1" applyAlignment="1">
      <alignment horizontal="center" vertical="center" wrapText="1"/>
    </xf>
    <xf numFmtId="0" fontId="18" fillId="0" borderId="2" xfId="0" applyFont="1" applyBorder="1" applyAlignment="1">
      <alignment horizontal="center" vertical="center"/>
    </xf>
    <xf numFmtId="0" fontId="18" fillId="0" borderId="8" xfId="0" applyFont="1" applyBorder="1" applyAlignment="1">
      <alignment horizontal="center" vertical="center" wrapText="1"/>
    </xf>
    <xf numFmtId="0" fontId="18" fillId="0" borderId="58" xfId="0" applyFont="1" applyBorder="1" applyAlignment="1">
      <alignment horizontal="center" vertical="center" wrapText="1"/>
    </xf>
    <xf numFmtId="0" fontId="18" fillId="0" borderId="37" xfId="0" applyFont="1" applyBorder="1" applyAlignment="1">
      <alignment horizontal="center" vertical="center" wrapText="1"/>
    </xf>
    <xf numFmtId="0" fontId="18" fillId="0" borderId="20" xfId="0" applyFont="1" applyBorder="1" applyAlignment="1">
      <alignment horizontal="center" vertical="center"/>
    </xf>
    <xf numFmtId="0" fontId="18" fillId="0" borderId="10" xfId="0" applyFont="1" applyBorder="1" applyAlignment="1">
      <alignment horizontal="center" vertical="center"/>
    </xf>
    <xf numFmtId="0" fontId="18" fillId="0" borderId="32" xfId="0" applyFont="1" applyBorder="1" applyAlignment="1">
      <alignment horizontal="center" vertical="center"/>
    </xf>
    <xf numFmtId="0" fontId="19" fillId="4" borderId="59" xfId="0" applyFont="1" applyFill="1" applyBorder="1" applyAlignment="1">
      <alignment horizontal="right" vertical="center"/>
    </xf>
    <xf numFmtId="0" fontId="19" fillId="4" borderId="39" xfId="0" applyFont="1" applyFill="1" applyBorder="1" applyAlignment="1">
      <alignment horizontal="right" vertical="center"/>
    </xf>
    <xf numFmtId="0" fontId="19" fillId="5" borderId="4" xfId="0" applyFont="1" applyFill="1" applyBorder="1" applyAlignment="1">
      <alignment horizontal="right" vertical="center"/>
    </xf>
    <xf numFmtId="0" fontId="19" fillId="5" borderId="5" xfId="0" applyFont="1" applyFill="1" applyBorder="1" applyAlignment="1">
      <alignment horizontal="right" vertical="center"/>
    </xf>
    <xf numFmtId="0" fontId="19" fillId="4" borderId="49" xfId="0" applyFont="1" applyFill="1" applyBorder="1" applyAlignment="1">
      <alignment horizontal="center" vertical="center"/>
    </xf>
    <xf numFmtId="0" fontId="19" fillId="4" borderId="38" xfId="0" applyFont="1" applyFill="1" applyBorder="1" applyAlignment="1">
      <alignment horizontal="center" vertical="center"/>
    </xf>
    <xf numFmtId="0" fontId="19" fillId="4" borderId="50" xfId="0" applyFont="1" applyFill="1" applyBorder="1" applyAlignment="1">
      <alignment horizontal="center" vertical="center"/>
    </xf>
    <xf numFmtId="0" fontId="18" fillId="0" borderId="57" xfId="0" applyFont="1" applyBorder="1" applyAlignment="1">
      <alignment horizontal="center" vertical="center" wrapText="1"/>
    </xf>
    <xf numFmtId="0" fontId="18" fillId="0" borderId="56" xfId="0" applyFont="1" applyBorder="1" applyAlignment="1">
      <alignment horizontal="center" vertical="center" wrapText="1"/>
    </xf>
    <xf numFmtId="0" fontId="19" fillId="5" borderId="57" xfId="0" applyFont="1" applyFill="1" applyBorder="1" applyAlignment="1">
      <alignment horizontal="right" vertical="center"/>
    </xf>
    <xf numFmtId="0" fontId="19" fillId="5" borderId="13" xfId="0" applyFont="1" applyFill="1" applyBorder="1" applyAlignment="1">
      <alignment horizontal="right" vertical="center"/>
    </xf>
    <xf numFmtId="0" fontId="20" fillId="0" borderId="0" xfId="0" applyFont="1"/>
    <xf numFmtId="0" fontId="21" fillId="0" borderId="0" xfId="0" applyFont="1"/>
    <xf numFmtId="0" fontId="22" fillId="0" borderId="41" xfId="0" applyFont="1" applyBorder="1" applyAlignment="1">
      <alignment horizontal="center" vertical="center" wrapText="1"/>
    </xf>
    <xf numFmtId="0" fontId="22" fillId="3" borderId="17" xfId="0" applyFont="1" applyFill="1" applyBorder="1" applyAlignment="1">
      <alignment horizontal="center" vertical="center" wrapText="1"/>
    </xf>
    <xf numFmtId="0" fontId="22" fillId="0" borderId="42" xfId="0" applyFont="1" applyBorder="1" applyAlignment="1">
      <alignment horizontal="center" vertical="center"/>
    </xf>
    <xf numFmtId="0" fontId="23" fillId="0" borderId="20" xfId="0" applyFont="1" applyBorder="1" applyAlignment="1">
      <alignment horizontal="center" vertical="center" textRotation="90"/>
    </xf>
    <xf numFmtId="0" fontId="22" fillId="3" borderId="18" xfId="0" applyFont="1" applyFill="1" applyBorder="1" applyAlignment="1">
      <alignment horizontal="center" vertical="center" wrapText="1"/>
    </xf>
    <xf numFmtId="0" fontId="22" fillId="0" borderId="43" xfId="0" applyFont="1" applyBorder="1" applyAlignment="1">
      <alignment horizontal="center"/>
    </xf>
    <xf numFmtId="0" fontId="22" fillId="0" borderId="44" xfId="0" applyFont="1" applyBorder="1" applyAlignment="1">
      <alignment horizontal="center"/>
    </xf>
    <xf numFmtId="0" fontId="22" fillId="0" borderId="45" xfId="0" applyFont="1" applyBorder="1" applyAlignment="1">
      <alignment horizontal="center"/>
    </xf>
    <xf numFmtId="0" fontId="22" fillId="4" borderId="30" xfId="0" applyFont="1" applyFill="1" applyBorder="1" applyAlignment="1">
      <alignment horizontal="center"/>
    </xf>
    <xf numFmtId="0" fontId="22" fillId="4" borderId="17" xfId="0" applyFont="1" applyFill="1" applyBorder="1" applyAlignment="1">
      <alignment horizontal="center"/>
    </xf>
    <xf numFmtId="0" fontId="22" fillId="4" borderId="46" xfId="0" applyFont="1" applyFill="1" applyBorder="1" applyAlignment="1">
      <alignment horizontal="center"/>
    </xf>
    <xf numFmtId="0" fontId="22" fillId="3" borderId="47" xfId="0" applyFont="1" applyFill="1" applyBorder="1" applyAlignment="1">
      <alignment horizontal="center" vertical="center" wrapText="1"/>
    </xf>
    <xf numFmtId="0" fontId="22" fillId="0" borderId="37" xfId="0" applyFont="1" applyBorder="1" applyAlignment="1">
      <alignment horizontal="center" vertical="center" wrapText="1"/>
    </xf>
    <xf numFmtId="0" fontId="22" fillId="3" borderId="11" xfId="0" applyFont="1" applyFill="1" applyBorder="1" applyAlignment="1">
      <alignment horizontal="center" vertical="center" wrapText="1"/>
    </xf>
    <xf numFmtId="0" fontId="22" fillId="0" borderId="36" xfId="0" applyFont="1" applyBorder="1" applyAlignment="1">
      <alignment horizontal="center" vertical="center"/>
    </xf>
    <xf numFmtId="0" fontId="23" fillId="0" borderId="10" xfId="0" applyFont="1" applyBorder="1" applyAlignment="1">
      <alignment horizontal="center" vertical="center" textRotation="90"/>
    </xf>
    <xf numFmtId="0" fontId="22" fillId="3" borderId="12" xfId="0" applyFont="1" applyFill="1" applyBorder="1" applyAlignment="1">
      <alignment horizontal="center" vertical="center" wrapText="1"/>
    </xf>
    <xf numFmtId="0" fontId="22" fillId="0" borderId="7" xfId="0" applyFont="1" applyFill="1" applyBorder="1" applyAlignment="1">
      <alignment horizontal="center" vertical="center" wrapText="1"/>
    </xf>
    <xf numFmtId="0" fontId="22" fillId="0" borderId="11" xfId="0" applyFont="1" applyFill="1" applyBorder="1" applyAlignment="1">
      <alignment horizontal="center" vertical="center" wrapText="1"/>
    </xf>
    <xf numFmtId="0" fontId="22" fillId="0" borderId="12" xfId="0" applyFont="1" applyFill="1" applyBorder="1" applyAlignment="1">
      <alignment horizontal="center" vertical="center" wrapText="1"/>
    </xf>
    <xf numFmtId="0" fontId="22" fillId="3" borderId="48" xfId="0" applyFont="1" applyFill="1" applyBorder="1" applyAlignment="1">
      <alignment horizontal="center" vertical="center" wrapText="1"/>
    </xf>
    <xf numFmtId="0" fontId="25" fillId="0" borderId="0" xfId="0" applyFont="1"/>
    <xf numFmtId="0" fontId="22" fillId="4" borderId="49" xfId="0" applyFont="1" applyFill="1" applyBorder="1" applyAlignment="1">
      <alignment horizontal="center" vertical="center"/>
    </xf>
    <xf numFmtId="0" fontId="22" fillId="4" borderId="38" xfId="0" applyFont="1" applyFill="1" applyBorder="1" applyAlignment="1">
      <alignment horizontal="center" vertical="center"/>
    </xf>
    <xf numFmtId="0" fontId="22" fillId="4" borderId="50" xfId="0" applyFont="1" applyFill="1" applyBorder="1" applyAlignment="1">
      <alignment horizontal="center" vertical="center"/>
    </xf>
    <xf numFmtId="0" fontId="18" fillId="0" borderId="0" xfId="0" applyFont="1"/>
    <xf numFmtId="0" fontId="18" fillId="0" borderId="61" xfId="0" applyFont="1" applyBorder="1" applyAlignment="1">
      <alignment horizontal="center"/>
    </xf>
    <xf numFmtId="0" fontId="18" fillId="0" borderId="61" xfId="0" applyFont="1" applyBorder="1" applyAlignment="1">
      <alignment wrapText="1"/>
    </xf>
    <xf numFmtId="0" fontId="18" fillId="0" borderId="61" xfId="0" applyFont="1" applyBorder="1" applyAlignment="1">
      <alignment horizontal="center" vertical="center"/>
    </xf>
    <xf numFmtId="0" fontId="18" fillId="0" borderId="61" xfId="0" applyFont="1" applyFill="1" applyBorder="1" applyAlignment="1">
      <alignment horizontal="center" vertical="center"/>
    </xf>
    <xf numFmtId="2" fontId="18" fillId="0" borderId="34" xfId="0" applyNumberFormat="1" applyFont="1" applyFill="1" applyBorder="1" applyAlignment="1">
      <alignment horizontal="center" vertical="center"/>
    </xf>
    <xf numFmtId="1" fontId="18" fillId="0" borderId="62" xfId="1" applyNumberFormat="1" applyFont="1" applyFill="1" applyBorder="1" applyAlignment="1">
      <alignment horizontal="center" vertical="center"/>
    </xf>
    <xf numFmtId="0" fontId="18" fillId="0" borderId="61" xfId="1" applyFont="1" applyFill="1" applyBorder="1" applyAlignment="1">
      <alignment horizontal="center" vertical="center"/>
    </xf>
    <xf numFmtId="2" fontId="18" fillId="0" borderId="61" xfId="0" applyNumberFormat="1" applyFont="1" applyFill="1" applyBorder="1" applyAlignment="1">
      <alignment horizontal="center" vertical="center"/>
    </xf>
    <xf numFmtId="2" fontId="18" fillId="0" borderId="60" xfId="0" applyNumberFormat="1" applyFont="1" applyBorder="1" applyAlignment="1">
      <alignment horizontal="center" vertical="center"/>
    </xf>
    <xf numFmtId="0" fontId="18" fillId="0" borderId="2" xfId="1" applyFont="1" applyFill="1" applyBorder="1" applyAlignment="1">
      <alignment horizontal="center" vertical="center"/>
    </xf>
    <xf numFmtId="2" fontId="20" fillId="0" borderId="0" xfId="0" applyNumberFormat="1" applyFont="1"/>
    <xf numFmtId="0" fontId="22" fillId="0" borderId="0" xfId="0" applyFont="1"/>
    <xf numFmtId="0" fontId="26" fillId="0" borderId="14" xfId="0" applyFont="1" applyBorder="1" applyAlignment="1">
      <alignment horizontal="left"/>
    </xf>
    <xf numFmtId="0" fontId="18" fillId="0" borderId="15" xfId="0" applyFont="1" applyBorder="1" applyAlignment="1">
      <alignment horizontal="left"/>
    </xf>
    <xf numFmtId="0" fontId="18" fillId="0" borderId="31" xfId="0" applyFont="1" applyBorder="1" applyAlignment="1">
      <alignment horizontal="left"/>
    </xf>
    <xf numFmtId="0" fontId="18" fillId="0" borderId="14" xfId="0" applyFont="1" applyBorder="1" applyAlignment="1">
      <alignment horizontal="left"/>
    </xf>
    <xf numFmtId="2" fontId="21" fillId="0" borderId="0" xfId="0" applyNumberFormat="1" applyFont="1"/>
    <xf numFmtId="1" fontId="21" fillId="0" borderId="0" xfId="0" applyNumberFormat="1" applyFont="1"/>
    <xf numFmtId="0" fontId="21" fillId="0" borderId="0" xfId="0" applyFont="1" applyBorder="1"/>
    <xf numFmtId="0" fontId="21" fillId="0" borderId="0" xfId="0" applyFont="1" applyBorder="1" applyAlignment="1">
      <alignment vertical="center"/>
    </xf>
    <xf numFmtId="0" fontId="18" fillId="2" borderId="1" xfId="1" applyFont="1"/>
    <xf numFmtId="0" fontId="18" fillId="2" borderId="1" xfId="1" applyFont="1" applyBorder="1"/>
  </cellXfs>
  <cellStyles count="42">
    <cellStyle name="20% - Accent1" xfId="18" builtinId="30" customBuiltin="1"/>
    <cellStyle name="20% - Accent2" xfId="22" builtinId="34" customBuiltin="1"/>
    <cellStyle name="20% - Accent3" xfId="26" builtinId="38" customBuiltin="1"/>
    <cellStyle name="20% - Accent4" xfId="30" builtinId="42" customBuiltin="1"/>
    <cellStyle name="20% - Accent5" xfId="34" builtinId="46" customBuiltin="1"/>
    <cellStyle name="20% - Accent6" xfId="38" builtinId="50" customBuiltin="1"/>
    <cellStyle name="40% - Accent1" xfId="19" builtinId="31" customBuiltin="1"/>
    <cellStyle name="40% - Accent2" xfId="23" builtinId="35" customBuiltin="1"/>
    <cellStyle name="40% - Accent3" xfId="27" builtinId="39" customBuiltin="1"/>
    <cellStyle name="40% - Accent4" xfId="31" builtinId="43" customBuiltin="1"/>
    <cellStyle name="40% - Accent5" xfId="35" builtinId="47" customBuiltin="1"/>
    <cellStyle name="40% - Accent6" xfId="39" builtinId="51" customBuiltin="1"/>
    <cellStyle name="60% - Accent1" xfId="20" builtinId="32" customBuiltin="1"/>
    <cellStyle name="60% - Accent2" xfId="24" builtinId="36" customBuiltin="1"/>
    <cellStyle name="60% - Accent3" xfId="28" builtinId="40" customBuiltin="1"/>
    <cellStyle name="60% - Accent4" xfId="32" builtinId="44" customBuiltin="1"/>
    <cellStyle name="60% - Accent5" xfId="36" builtinId="48" customBuiltin="1"/>
    <cellStyle name="60% - Accent6" xfId="40" builtinId="52" customBuiltin="1"/>
    <cellStyle name="Accent1" xfId="17" builtinId="29" customBuiltin="1"/>
    <cellStyle name="Accent2" xfId="21" builtinId="33" customBuiltin="1"/>
    <cellStyle name="Accent3" xfId="25" builtinId="37" customBuiltin="1"/>
    <cellStyle name="Accent4" xfId="29" builtinId="41" customBuiltin="1"/>
    <cellStyle name="Accent5" xfId="33" builtinId="45" customBuiltin="1"/>
    <cellStyle name="Accent6" xfId="37" builtinId="49" customBuiltin="1"/>
    <cellStyle name="Bad" xfId="7" builtinId="27" customBuiltin="1"/>
    <cellStyle name="Calculation" xfId="11" builtinId="22" customBuiltin="1"/>
    <cellStyle name="Check Cell" xfId="13" builtinId="23" customBuiltin="1"/>
    <cellStyle name="Explanatory Text" xfId="15"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 builtinId="10" customBuiltin="1"/>
    <cellStyle name="Output" xfId="10" builtinId="21" customBuiltin="1"/>
    <cellStyle name="Title 2" xfId="41"/>
    <cellStyle name="Total" xfId="16"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90"/>
  <sheetViews>
    <sheetView tabSelected="1" zoomScale="90" zoomScaleNormal="90" workbookViewId="0">
      <pane ySplit="3" topLeftCell="A4" activePane="bottomLeft" state="frozen"/>
      <selection pane="bottomLeft" activeCell="S15" sqref="S15"/>
    </sheetView>
  </sheetViews>
  <sheetFormatPr defaultRowHeight="15" x14ac:dyDescent="0.25"/>
  <cols>
    <col min="1" max="2" width="9" style="130"/>
    <col min="3" max="3" width="22.25" style="130" customWidth="1"/>
    <col min="4" max="4" width="50.25" style="130" customWidth="1"/>
    <col min="5" max="5" width="7" style="130" customWidth="1"/>
    <col min="6" max="16" width="9.125" style="130" customWidth="1"/>
    <col min="17" max="16384" width="9" style="130"/>
  </cols>
  <sheetData>
    <row r="1" spans="1:17" ht="15.75" thickBot="1" x14ac:dyDescent="0.3"/>
    <row r="2" spans="1:17" ht="16.5" thickTop="1" thickBot="1" x14ac:dyDescent="0.3">
      <c r="A2" s="131"/>
      <c r="B2" s="132" t="s">
        <v>0</v>
      </c>
      <c r="C2" s="133" t="s">
        <v>77</v>
      </c>
      <c r="D2" s="134" t="s">
        <v>1</v>
      </c>
      <c r="E2" s="135" t="s">
        <v>36</v>
      </c>
      <c r="F2" s="136" t="s">
        <v>2</v>
      </c>
      <c r="G2" s="137" t="s">
        <v>3</v>
      </c>
      <c r="H2" s="138"/>
      <c r="I2" s="138"/>
      <c r="J2" s="138"/>
      <c r="K2" s="139"/>
      <c r="L2" s="140" t="s">
        <v>4</v>
      </c>
      <c r="M2" s="141"/>
      <c r="N2" s="141"/>
      <c r="O2" s="141"/>
      <c r="P2" s="142"/>
      <c r="Q2" s="143" t="s">
        <v>5</v>
      </c>
    </row>
    <row r="3" spans="1:17" ht="64.5" thickBot="1" x14ac:dyDescent="0.3">
      <c r="A3" s="131"/>
      <c r="B3" s="144"/>
      <c r="C3" s="145"/>
      <c r="D3" s="146"/>
      <c r="E3" s="147"/>
      <c r="F3" s="148"/>
      <c r="G3" s="149" t="s">
        <v>6</v>
      </c>
      <c r="H3" s="150" t="s">
        <v>108</v>
      </c>
      <c r="I3" s="150" t="s">
        <v>7</v>
      </c>
      <c r="J3" s="150" t="s">
        <v>8</v>
      </c>
      <c r="K3" s="151" t="s">
        <v>9</v>
      </c>
      <c r="L3" s="149" t="s">
        <v>109</v>
      </c>
      <c r="M3" s="150" t="s">
        <v>10</v>
      </c>
      <c r="N3" s="150" t="s">
        <v>11</v>
      </c>
      <c r="O3" s="150" t="s">
        <v>12</v>
      </c>
      <c r="P3" s="151" t="s">
        <v>9</v>
      </c>
      <c r="Q3" s="152"/>
    </row>
    <row r="4" spans="1:17" ht="16.5" thickTop="1" thickBot="1" x14ac:dyDescent="0.3">
      <c r="A4" s="131"/>
      <c r="B4" s="154" t="s">
        <v>13</v>
      </c>
      <c r="C4" s="155"/>
      <c r="D4" s="155"/>
      <c r="E4" s="155"/>
      <c r="F4" s="155"/>
      <c r="G4" s="155"/>
      <c r="H4" s="155"/>
      <c r="I4" s="155"/>
      <c r="J4" s="155"/>
      <c r="K4" s="155"/>
      <c r="L4" s="155"/>
      <c r="M4" s="155"/>
      <c r="N4" s="155"/>
      <c r="O4" s="155"/>
      <c r="P4" s="155"/>
      <c r="Q4" s="156"/>
    </row>
    <row r="5" spans="1:17" s="157" customFormat="1" ht="15.75" customHeight="1" thickTop="1" thickBot="1" x14ac:dyDescent="0.25">
      <c r="B5" s="114" t="s">
        <v>13</v>
      </c>
      <c r="C5" s="158" t="s">
        <v>107</v>
      </c>
      <c r="D5" s="159" t="s">
        <v>110</v>
      </c>
      <c r="E5" s="158" t="s">
        <v>103</v>
      </c>
      <c r="F5" s="160">
        <v>49</v>
      </c>
      <c r="G5" s="160">
        <v>49</v>
      </c>
      <c r="H5" s="161">
        <v>1</v>
      </c>
      <c r="I5" s="161">
        <f>H5*G5</f>
        <v>49</v>
      </c>
      <c r="J5" s="161">
        <v>0.02</v>
      </c>
      <c r="K5" s="162">
        <f>J5*I5*H5</f>
        <v>0.98</v>
      </c>
      <c r="L5" s="163">
        <f>F5-G5</f>
        <v>0</v>
      </c>
      <c r="M5" s="161">
        <v>0</v>
      </c>
      <c r="N5" s="164">
        <f>M5*L5</f>
        <v>0</v>
      </c>
      <c r="O5" s="165">
        <v>0</v>
      </c>
      <c r="P5" s="162">
        <f>O5*M5*L5</f>
        <v>0</v>
      </c>
      <c r="Q5" s="166">
        <f>P5+K5</f>
        <v>0.98</v>
      </c>
    </row>
    <row r="6" spans="1:17" ht="15.75" customHeight="1" thickTop="1" thickBot="1" x14ac:dyDescent="0.3">
      <c r="A6" s="131"/>
      <c r="B6" s="115"/>
      <c r="C6" s="117" t="s">
        <v>14</v>
      </c>
      <c r="D6" s="1" t="s">
        <v>66</v>
      </c>
      <c r="E6" s="21" t="s">
        <v>69</v>
      </c>
      <c r="F6" s="2">
        <v>625</v>
      </c>
      <c r="G6" s="3">
        <v>500</v>
      </c>
      <c r="H6" s="48">
        <v>1</v>
      </c>
      <c r="I6" s="46">
        <f>266+234</f>
        <v>500</v>
      </c>
      <c r="J6" s="48">
        <v>0.25</v>
      </c>
      <c r="K6" s="4">
        <f>J6*I6*H6</f>
        <v>125</v>
      </c>
      <c r="L6" s="5">
        <f>F6-G6</f>
        <v>125</v>
      </c>
      <c r="M6" s="48">
        <v>0</v>
      </c>
      <c r="N6" s="6">
        <f>M6*L6</f>
        <v>0</v>
      </c>
      <c r="O6" s="7">
        <v>0</v>
      </c>
      <c r="P6" s="4">
        <f>O6*M6*L6</f>
        <v>0</v>
      </c>
      <c r="Q6" s="8">
        <f>P6+K6</f>
        <v>125</v>
      </c>
    </row>
    <row r="7" spans="1:17" ht="15.75" customHeight="1" thickBot="1" x14ac:dyDescent="0.3">
      <c r="A7" s="131"/>
      <c r="B7" s="115"/>
      <c r="C7" s="117"/>
      <c r="D7" s="9" t="s">
        <v>106</v>
      </c>
      <c r="E7" s="10" t="s">
        <v>105</v>
      </c>
      <c r="F7" s="11">
        <v>625</v>
      </c>
      <c r="G7" s="60">
        <v>500</v>
      </c>
      <c r="H7" s="13">
        <v>1</v>
      </c>
      <c r="I7" s="44">
        <f>266+234</f>
        <v>500</v>
      </c>
      <c r="J7" s="13">
        <v>0.02</v>
      </c>
      <c r="K7" s="15">
        <f t="shared" ref="K7" si="0">J7*I7*H7</f>
        <v>10</v>
      </c>
      <c r="L7" s="16">
        <f>F7-G7</f>
        <v>125</v>
      </c>
      <c r="M7" s="13">
        <v>0</v>
      </c>
      <c r="N7" s="167">
        <f t="shared" ref="N7" si="1">M7*L7</f>
        <v>0</v>
      </c>
      <c r="O7" s="18">
        <v>0</v>
      </c>
      <c r="P7" s="15">
        <f>O7*M7*L7</f>
        <v>0</v>
      </c>
      <c r="Q7" s="19">
        <f>P7+K7</f>
        <v>10</v>
      </c>
    </row>
    <row r="8" spans="1:17" ht="15.75" customHeight="1" thickBot="1" x14ac:dyDescent="0.3">
      <c r="A8" s="131"/>
      <c r="B8" s="115"/>
      <c r="C8" s="117"/>
      <c r="D8" s="9" t="s">
        <v>59</v>
      </c>
      <c r="E8" s="10" t="s">
        <v>73</v>
      </c>
      <c r="F8" s="11">
        <v>625</v>
      </c>
      <c r="G8" s="12">
        <f>F8*(0.25)</f>
        <v>156.25</v>
      </c>
      <c r="H8" s="13">
        <v>1</v>
      </c>
      <c r="I8" s="14">
        <f>G8*H8</f>
        <v>156.25</v>
      </c>
      <c r="J8" s="13">
        <v>0.05</v>
      </c>
      <c r="K8" s="15">
        <f t="shared" ref="K8:K27" si="2">J8*I8*H8</f>
        <v>7.8125</v>
      </c>
      <c r="L8" s="16">
        <f t="shared" ref="L8:L14" si="3">F8-G8</f>
        <v>468.75</v>
      </c>
      <c r="M8" s="13">
        <v>1</v>
      </c>
      <c r="N8" s="17">
        <f t="shared" ref="N8:N20" si="4">M8*L8</f>
        <v>468.75</v>
      </c>
      <c r="O8" s="18">
        <v>0.02</v>
      </c>
      <c r="P8" s="15">
        <f>O8*M8*L8</f>
        <v>9.375</v>
      </c>
      <c r="Q8" s="19">
        <f t="shared" ref="Q8:Q34" si="5">P8+K8</f>
        <v>17.1875</v>
      </c>
    </row>
    <row r="9" spans="1:17" ht="15.75" customHeight="1" thickBot="1" x14ac:dyDescent="0.3">
      <c r="A9" s="131"/>
      <c r="B9" s="115"/>
      <c r="C9" s="117"/>
      <c r="D9" s="9" t="s">
        <v>60</v>
      </c>
      <c r="E9" s="109" t="s">
        <v>70</v>
      </c>
      <c r="F9" s="20">
        <f>L8</f>
        <v>468.75</v>
      </c>
      <c r="G9" s="12">
        <f>F9*(0.25/2)</f>
        <v>58.59375</v>
      </c>
      <c r="H9" s="13">
        <v>1</v>
      </c>
      <c r="I9" s="14">
        <f t="shared" ref="I9:I14" si="6">G9*H9</f>
        <v>58.59375</v>
      </c>
      <c r="J9" s="13">
        <v>0.05</v>
      </c>
      <c r="K9" s="15">
        <f t="shared" si="2"/>
        <v>2.9296875</v>
      </c>
      <c r="L9" s="16">
        <f t="shared" si="3"/>
        <v>410.15625</v>
      </c>
      <c r="M9" s="13">
        <v>1</v>
      </c>
      <c r="N9" s="17">
        <f t="shared" si="4"/>
        <v>410.15625</v>
      </c>
      <c r="O9" s="18">
        <v>0.02</v>
      </c>
      <c r="P9" s="15">
        <f t="shared" ref="P9:P19" si="7">O9*M9*L9</f>
        <v>8.203125</v>
      </c>
      <c r="Q9" s="19">
        <f t="shared" si="5"/>
        <v>11.1328125</v>
      </c>
    </row>
    <row r="10" spans="1:17" ht="15.75" customHeight="1" thickBot="1" x14ac:dyDescent="0.3">
      <c r="A10" s="131"/>
      <c r="B10" s="115"/>
      <c r="C10" s="117"/>
      <c r="D10" s="9" t="s">
        <v>61</v>
      </c>
      <c r="E10" s="111"/>
      <c r="F10" s="20">
        <f>L9</f>
        <v>410.15625</v>
      </c>
      <c r="G10" s="12">
        <f>F10*(0.25/2.4)</f>
        <v>42.724609375</v>
      </c>
      <c r="H10" s="13">
        <v>1</v>
      </c>
      <c r="I10" s="14">
        <f t="shared" si="6"/>
        <v>42.724609375</v>
      </c>
      <c r="J10" s="13">
        <v>0.05</v>
      </c>
      <c r="K10" s="15">
        <f t="shared" si="2"/>
        <v>2.13623046875</v>
      </c>
      <c r="L10" s="16">
        <f t="shared" si="3"/>
        <v>367.431640625</v>
      </c>
      <c r="M10" s="13">
        <v>1</v>
      </c>
      <c r="N10" s="17">
        <f t="shared" si="4"/>
        <v>367.431640625</v>
      </c>
      <c r="O10" s="18">
        <v>0.02</v>
      </c>
      <c r="P10" s="15">
        <f t="shared" si="7"/>
        <v>7.3486328125</v>
      </c>
      <c r="Q10" s="19">
        <f t="shared" si="5"/>
        <v>9.48486328125</v>
      </c>
    </row>
    <row r="11" spans="1:17" ht="15.75" customHeight="1" thickBot="1" x14ac:dyDescent="0.3">
      <c r="A11" s="131"/>
      <c r="B11" s="115"/>
      <c r="C11" s="117"/>
      <c r="D11" s="9" t="s">
        <v>62</v>
      </c>
      <c r="E11" s="109" t="s">
        <v>71</v>
      </c>
      <c r="F11" s="11">
        <v>625</v>
      </c>
      <c r="G11" s="12">
        <f>F11*(0.2)</f>
        <v>125</v>
      </c>
      <c r="H11" s="13">
        <v>1</v>
      </c>
      <c r="I11" s="14">
        <f t="shared" si="6"/>
        <v>125</v>
      </c>
      <c r="J11" s="13">
        <v>7.0000000000000007E-2</v>
      </c>
      <c r="K11" s="15">
        <f t="shared" si="2"/>
        <v>8.75</v>
      </c>
      <c r="L11" s="16">
        <f t="shared" si="3"/>
        <v>500</v>
      </c>
      <c r="M11" s="13">
        <v>1</v>
      </c>
      <c r="N11" s="17">
        <f t="shared" si="4"/>
        <v>500</v>
      </c>
      <c r="O11" s="18">
        <v>0.02</v>
      </c>
      <c r="P11" s="15">
        <f t="shared" si="7"/>
        <v>10</v>
      </c>
      <c r="Q11" s="19">
        <f t="shared" si="5"/>
        <v>18.75</v>
      </c>
    </row>
    <row r="12" spans="1:17" ht="15.75" customHeight="1" thickBot="1" x14ac:dyDescent="0.3">
      <c r="A12" s="131"/>
      <c r="B12" s="115"/>
      <c r="C12" s="117"/>
      <c r="D12" s="9" t="s">
        <v>63</v>
      </c>
      <c r="E12" s="110"/>
      <c r="F12" s="20">
        <f>L11</f>
        <v>500</v>
      </c>
      <c r="G12" s="12">
        <f>F12*(0.2/2)</f>
        <v>50</v>
      </c>
      <c r="H12" s="13">
        <v>1</v>
      </c>
      <c r="I12" s="14">
        <f t="shared" si="6"/>
        <v>50</v>
      </c>
      <c r="J12" s="13">
        <v>7.0000000000000007E-2</v>
      </c>
      <c r="K12" s="15">
        <f t="shared" si="2"/>
        <v>3.5000000000000004</v>
      </c>
      <c r="L12" s="16">
        <f t="shared" si="3"/>
        <v>450</v>
      </c>
      <c r="M12" s="13">
        <v>1</v>
      </c>
      <c r="N12" s="17">
        <f t="shared" si="4"/>
        <v>450</v>
      </c>
      <c r="O12" s="18">
        <v>0.02</v>
      </c>
      <c r="P12" s="15">
        <f t="shared" si="7"/>
        <v>9</v>
      </c>
      <c r="Q12" s="19">
        <f t="shared" si="5"/>
        <v>12.5</v>
      </c>
    </row>
    <row r="13" spans="1:17" ht="15.75" customHeight="1" thickBot="1" x14ac:dyDescent="0.3">
      <c r="A13" s="131"/>
      <c r="B13" s="115"/>
      <c r="C13" s="117"/>
      <c r="D13" s="9" t="s">
        <v>64</v>
      </c>
      <c r="E13" s="110"/>
      <c r="F13" s="20">
        <f>L12</f>
        <v>450</v>
      </c>
      <c r="G13" s="12">
        <f>F13*(0.2/2.25)</f>
        <v>40</v>
      </c>
      <c r="H13" s="13">
        <v>1</v>
      </c>
      <c r="I13" s="14">
        <f t="shared" si="6"/>
        <v>40</v>
      </c>
      <c r="J13" s="13">
        <v>7.0000000000000007E-2</v>
      </c>
      <c r="K13" s="15">
        <f t="shared" si="2"/>
        <v>2.8000000000000003</v>
      </c>
      <c r="L13" s="16">
        <f t="shared" si="3"/>
        <v>410</v>
      </c>
      <c r="M13" s="13">
        <v>1</v>
      </c>
      <c r="N13" s="17">
        <f t="shared" si="4"/>
        <v>410</v>
      </c>
      <c r="O13" s="18">
        <v>0.02</v>
      </c>
      <c r="P13" s="15">
        <f t="shared" si="7"/>
        <v>8.1999999999999993</v>
      </c>
      <c r="Q13" s="19">
        <f t="shared" si="5"/>
        <v>11</v>
      </c>
    </row>
    <row r="14" spans="1:17" ht="15.75" customHeight="1" thickBot="1" x14ac:dyDescent="0.3">
      <c r="A14" s="131"/>
      <c r="B14" s="115"/>
      <c r="C14" s="117"/>
      <c r="D14" s="22" t="s">
        <v>65</v>
      </c>
      <c r="E14" s="110"/>
      <c r="F14" s="23">
        <f>L13</f>
        <v>410</v>
      </c>
      <c r="G14" s="24">
        <f>F14*(0.2/3)</f>
        <v>27.333333333333332</v>
      </c>
      <c r="H14" s="44">
        <v>1</v>
      </c>
      <c r="I14" s="25">
        <f t="shared" si="6"/>
        <v>27.333333333333332</v>
      </c>
      <c r="J14" s="44">
        <v>7.0000000000000007E-2</v>
      </c>
      <c r="K14" s="26">
        <f t="shared" si="2"/>
        <v>1.9133333333333333</v>
      </c>
      <c r="L14" s="27">
        <f t="shared" si="3"/>
        <v>382.66666666666669</v>
      </c>
      <c r="M14" s="44">
        <v>0</v>
      </c>
      <c r="N14" s="28">
        <f t="shared" si="4"/>
        <v>0</v>
      </c>
      <c r="O14" s="29">
        <v>0.02</v>
      </c>
      <c r="P14" s="26">
        <f t="shared" si="7"/>
        <v>0</v>
      </c>
      <c r="Q14" s="30">
        <f t="shared" si="5"/>
        <v>1.9133333333333333</v>
      </c>
    </row>
    <row r="15" spans="1:17" ht="15.75" customHeight="1" thickTop="1" thickBot="1" x14ac:dyDescent="0.3">
      <c r="A15" s="131"/>
      <c r="B15" s="115"/>
      <c r="C15" s="117"/>
      <c r="D15" s="31" t="s">
        <v>67</v>
      </c>
      <c r="E15" s="32" t="s">
        <v>92</v>
      </c>
      <c r="F15" s="33">
        <v>56</v>
      </c>
      <c r="G15" s="34">
        <f>F15*0.8</f>
        <v>44.800000000000004</v>
      </c>
      <c r="H15" s="32">
        <v>1</v>
      </c>
      <c r="I15" s="35">
        <f>G15*H15</f>
        <v>44.800000000000004</v>
      </c>
      <c r="J15" s="36">
        <f>0.33</f>
        <v>0.33</v>
      </c>
      <c r="K15" s="37">
        <f t="shared" si="2"/>
        <v>14.784000000000002</v>
      </c>
      <c r="L15" s="38">
        <f>F15-G15</f>
        <v>11.199999999999996</v>
      </c>
      <c r="M15" s="32">
        <v>0</v>
      </c>
      <c r="N15" s="39">
        <f t="shared" si="4"/>
        <v>0</v>
      </c>
      <c r="O15" s="36">
        <v>0.02</v>
      </c>
      <c r="P15" s="37">
        <f t="shared" si="7"/>
        <v>0</v>
      </c>
      <c r="Q15" s="40">
        <f t="shared" si="5"/>
        <v>14.784000000000002</v>
      </c>
    </row>
    <row r="16" spans="1:17" ht="15.75" customHeight="1" thickBot="1" x14ac:dyDescent="0.3">
      <c r="A16" s="131"/>
      <c r="B16" s="115"/>
      <c r="C16" s="117"/>
      <c r="D16" s="41" t="s">
        <v>57</v>
      </c>
      <c r="E16" s="13" t="s">
        <v>72</v>
      </c>
      <c r="F16" s="42">
        <f>F15</f>
        <v>56</v>
      </c>
      <c r="G16" s="12">
        <f>F16*0.25</f>
        <v>14</v>
      </c>
      <c r="H16" s="13">
        <v>1</v>
      </c>
      <c r="I16" s="14">
        <f t="shared" ref="I16:I21" si="8">G16*H16</f>
        <v>14</v>
      </c>
      <c r="J16" s="13">
        <v>0.05</v>
      </c>
      <c r="K16" s="15">
        <f t="shared" si="2"/>
        <v>0.70000000000000007</v>
      </c>
      <c r="L16" s="12">
        <f t="shared" ref="L16:L20" si="9">F16-G16</f>
        <v>42</v>
      </c>
      <c r="M16" s="13">
        <v>1</v>
      </c>
      <c r="N16" s="17">
        <f t="shared" si="4"/>
        <v>42</v>
      </c>
      <c r="O16" s="18">
        <v>0.02</v>
      </c>
      <c r="P16" s="15">
        <f t="shared" si="7"/>
        <v>0.84</v>
      </c>
      <c r="Q16" s="19">
        <f t="shared" si="5"/>
        <v>1.54</v>
      </c>
    </row>
    <row r="17" spans="1:17" ht="15.75" customHeight="1" thickBot="1" x14ac:dyDescent="0.3">
      <c r="A17" s="131"/>
      <c r="B17" s="115"/>
      <c r="C17" s="117"/>
      <c r="D17" s="43" t="s">
        <v>89</v>
      </c>
      <c r="E17" s="106" t="s">
        <v>93</v>
      </c>
      <c r="F17" s="42">
        <f>F15</f>
        <v>56</v>
      </c>
      <c r="G17" s="12">
        <f>F17*0.25</f>
        <v>14</v>
      </c>
      <c r="H17" s="13">
        <v>1</v>
      </c>
      <c r="I17" s="14">
        <f t="shared" si="8"/>
        <v>14</v>
      </c>
      <c r="J17" s="13">
        <v>7.0000000000000007E-2</v>
      </c>
      <c r="K17" s="15">
        <f t="shared" si="2"/>
        <v>0.98000000000000009</v>
      </c>
      <c r="L17" s="12">
        <f t="shared" si="9"/>
        <v>42</v>
      </c>
      <c r="M17" s="14">
        <v>1</v>
      </c>
      <c r="N17" s="17">
        <f t="shared" si="4"/>
        <v>42</v>
      </c>
      <c r="O17" s="18">
        <v>0.02</v>
      </c>
      <c r="P17" s="15">
        <f t="shared" si="7"/>
        <v>0.84</v>
      </c>
      <c r="Q17" s="45">
        <f t="shared" si="5"/>
        <v>1.82</v>
      </c>
    </row>
    <row r="18" spans="1:17" ht="15.75" customHeight="1" thickBot="1" x14ac:dyDescent="0.3">
      <c r="A18" s="131"/>
      <c r="B18" s="115"/>
      <c r="C18" s="117"/>
      <c r="D18" s="43" t="s">
        <v>90</v>
      </c>
      <c r="E18" s="107"/>
      <c r="F18" s="47">
        <f>L17</f>
        <v>42</v>
      </c>
      <c r="G18" s="12">
        <f>F18*0.25</f>
        <v>10.5</v>
      </c>
      <c r="H18" s="13">
        <v>1</v>
      </c>
      <c r="I18" s="14">
        <f t="shared" si="8"/>
        <v>10.5</v>
      </c>
      <c r="J18" s="13">
        <v>7.0000000000000007E-2</v>
      </c>
      <c r="K18" s="15">
        <f t="shared" si="2"/>
        <v>0.7350000000000001</v>
      </c>
      <c r="L18" s="12">
        <f t="shared" si="9"/>
        <v>31.5</v>
      </c>
      <c r="M18" s="14">
        <v>1</v>
      </c>
      <c r="N18" s="17">
        <f t="shared" si="4"/>
        <v>31.5</v>
      </c>
      <c r="O18" s="13">
        <v>0.02</v>
      </c>
      <c r="P18" s="15">
        <f t="shared" si="7"/>
        <v>0.63</v>
      </c>
      <c r="Q18" s="45">
        <f t="shared" si="5"/>
        <v>1.3650000000000002</v>
      </c>
    </row>
    <row r="19" spans="1:17" ht="15.75" customHeight="1" thickBot="1" x14ac:dyDescent="0.3">
      <c r="A19" s="131"/>
      <c r="B19" s="115"/>
      <c r="C19" s="117"/>
      <c r="D19" s="43" t="s">
        <v>91</v>
      </c>
      <c r="E19" s="108"/>
      <c r="F19" s="47">
        <f>L18</f>
        <v>31.5</v>
      </c>
      <c r="G19" s="12">
        <f>F19*0.2</f>
        <v>6.3000000000000007</v>
      </c>
      <c r="H19" s="13">
        <v>1</v>
      </c>
      <c r="I19" s="14">
        <f t="shared" si="8"/>
        <v>6.3000000000000007</v>
      </c>
      <c r="J19" s="13">
        <v>7.0000000000000007E-2</v>
      </c>
      <c r="K19" s="15">
        <f t="shared" si="2"/>
        <v>0.44100000000000011</v>
      </c>
      <c r="L19" s="12">
        <f t="shared" si="9"/>
        <v>25.2</v>
      </c>
      <c r="M19" s="14">
        <v>0</v>
      </c>
      <c r="N19" s="17">
        <f t="shared" si="4"/>
        <v>0</v>
      </c>
      <c r="O19" s="13">
        <v>0.02</v>
      </c>
      <c r="P19" s="15">
        <f t="shared" si="7"/>
        <v>0</v>
      </c>
      <c r="Q19" s="45">
        <f t="shared" si="5"/>
        <v>0.44100000000000011</v>
      </c>
    </row>
    <row r="20" spans="1:17" ht="15.75" customHeight="1" thickBot="1" x14ac:dyDescent="0.3">
      <c r="A20" s="131"/>
      <c r="B20" s="115"/>
      <c r="C20" s="117"/>
      <c r="D20" s="49" t="s">
        <v>75</v>
      </c>
      <c r="E20" s="46" t="s">
        <v>76</v>
      </c>
      <c r="F20" s="50">
        <f>F21</f>
        <v>44.800000000000004</v>
      </c>
      <c r="G20" s="24">
        <f>G21</f>
        <v>35.840000000000003</v>
      </c>
      <c r="H20" s="44">
        <v>1</v>
      </c>
      <c r="I20" s="25">
        <f t="shared" si="8"/>
        <v>35.840000000000003</v>
      </c>
      <c r="J20" s="44">
        <v>0.05</v>
      </c>
      <c r="K20" s="26">
        <f t="shared" si="2"/>
        <v>1.7920000000000003</v>
      </c>
      <c r="L20" s="24">
        <f t="shared" si="9"/>
        <v>8.9600000000000009</v>
      </c>
      <c r="M20" s="44">
        <v>1</v>
      </c>
      <c r="N20" s="28">
        <f t="shared" si="4"/>
        <v>8.9600000000000009</v>
      </c>
      <c r="O20" s="44">
        <v>0.02</v>
      </c>
      <c r="P20" s="26">
        <f>O20*M20*L20</f>
        <v>0.17920000000000003</v>
      </c>
      <c r="Q20" s="51">
        <f t="shared" si="5"/>
        <v>1.9712000000000003</v>
      </c>
    </row>
    <row r="21" spans="1:17" ht="15.75" customHeight="1" thickTop="1" thickBot="1" x14ac:dyDescent="0.3">
      <c r="A21" s="131"/>
      <c r="B21" s="115"/>
      <c r="C21" s="117"/>
      <c r="D21" s="31" t="s">
        <v>68</v>
      </c>
      <c r="E21" s="32" t="s">
        <v>80</v>
      </c>
      <c r="F21" s="52">
        <f>G15</f>
        <v>44.800000000000004</v>
      </c>
      <c r="G21" s="34">
        <f>F21*0.8</f>
        <v>35.840000000000003</v>
      </c>
      <c r="H21" s="32">
        <v>1</v>
      </c>
      <c r="I21" s="35">
        <f t="shared" si="8"/>
        <v>35.840000000000003</v>
      </c>
      <c r="J21" s="36">
        <f>1+0.0167+0.0167+0.05</f>
        <v>1.0833999999999999</v>
      </c>
      <c r="K21" s="37">
        <f t="shared" si="2"/>
        <v>38.829056000000001</v>
      </c>
      <c r="L21" s="34">
        <f>F21-G21</f>
        <v>8.9600000000000009</v>
      </c>
      <c r="M21" s="32">
        <v>1</v>
      </c>
      <c r="N21" s="35">
        <f>M21*L21</f>
        <v>8.9600000000000009</v>
      </c>
      <c r="O21" s="32">
        <v>0.02</v>
      </c>
      <c r="P21" s="37">
        <f>O21*L21*M21</f>
        <v>0.17920000000000003</v>
      </c>
      <c r="Q21" s="53">
        <f t="shared" si="5"/>
        <v>39.008256000000003</v>
      </c>
    </row>
    <row r="22" spans="1:17" ht="15.75" customHeight="1" thickBot="1" x14ac:dyDescent="0.3">
      <c r="A22" s="131"/>
      <c r="B22" s="115"/>
      <c r="C22" s="117"/>
      <c r="D22" s="43" t="s">
        <v>82</v>
      </c>
      <c r="E22" s="13" t="s">
        <v>81</v>
      </c>
      <c r="F22" s="47">
        <f>G21-26</f>
        <v>9.8400000000000034</v>
      </c>
      <c r="G22" s="12">
        <f>F22*0.8</f>
        <v>7.8720000000000034</v>
      </c>
      <c r="H22" s="13">
        <v>1</v>
      </c>
      <c r="I22" s="14">
        <f t="shared" ref="I22" si="10">G22*H22</f>
        <v>7.8720000000000034</v>
      </c>
      <c r="J22" s="18">
        <v>0.33</v>
      </c>
      <c r="K22" s="15">
        <f t="shared" ref="K22" si="11">J22*I22*H22</f>
        <v>2.5977600000000014</v>
      </c>
      <c r="L22" s="12">
        <f>F22-G22</f>
        <v>1.968</v>
      </c>
      <c r="M22" s="13">
        <v>1</v>
      </c>
      <c r="N22" s="14">
        <f>M22*L22</f>
        <v>1.968</v>
      </c>
      <c r="O22" s="13">
        <v>0.02</v>
      </c>
      <c r="P22" s="15">
        <f>O22*L22*M22</f>
        <v>3.9359999999999999E-2</v>
      </c>
      <c r="Q22" s="45">
        <f t="shared" ref="Q22" si="12">P22+K22</f>
        <v>2.6371200000000012</v>
      </c>
    </row>
    <row r="23" spans="1:17" ht="15.75" customHeight="1" thickBot="1" x14ac:dyDescent="0.3">
      <c r="A23" s="131"/>
      <c r="B23" s="115"/>
      <c r="C23" s="117"/>
      <c r="D23" s="54" t="s">
        <v>58</v>
      </c>
      <c r="E23" s="55" t="s">
        <v>94</v>
      </c>
      <c r="F23" s="47">
        <f>F21</f>
        <v>44.800000000000004</v>
      </c>
      <c r="G23" s="12">
        <f>F23*0.8</f>
        <v>35.840000000000003</v>
      </c>
      <c r="H23" s="13">
        <v>1</v>
      </c>
      <c r="I23" s="14">
        <f t="shared" ref="I23:I26" si="13">G23*H23</f>
        <v>35.840000000000003</v>
      </c>
      <c r="J23" s="13">
        <v>7.0000000000000007E-2</v>
      </c>
      <c r="K23" s="15">
        <f t="shared" si="2"/>
        <v>2.5088000000000004</v>
      </c>
      <c r="L23" s="16">
        <f>F23-G23</f>
        <v>8.9600000000000009</v>
      </c>
      <c r="M23" s="14">
        <v>1</v>
      </c>
      <c r="N23" s="14">
        <f>M23*L23</f>
        <v>8.9600000000000009</v>
      </c>
      <c r="O23" s="13">
        <v>0.02</v>
      </c>
      <c r="P23" s="15">
        <f t="shared" ref="P23:P34" si="14">O23*L23*M23</f>
        <v>0.17920000000000003</v>
      </c>
      <c r="Q23" s="45">
        <f t="shared" si="5"/>
        <v>2.6880000000000006</v>
      </c>
    </row>
    <row r="24" spans="1:17" ht="15.75" customHeight="1" thickBot="1" x14ac:dyDescent="0.3">
      <c r="A24" s="131"/>
      <c r="B24" s="115"/>
      <c r="C24" s="117"/>
      <c r="D24" s="56" t="s">
        <v>33</v>
      </c>
      <c r="E24" s="57" t="s">
        <v>78</v>
      </c>
      <c r="F24" s="58">
        <f>F19</f>
        <v>31.5</v>
      </c>
      <c r="G24" s="12">
        <f>F24*0.25</f>
        <v>7.875</v>
      </c>
      <c r="H24" s="14">
        <v>1</v>
      </c>
      <c r="I24" s="14">
        <f t="shared" si="13"/>
        <v>7.875</v>
      </c>
      <c r="J24" s="13">
        <v>0.05</v>
      </c>
      <c r="K24" s="15">
        <f t="shared" ref="K24" si="15">J24*H24*G24</f>
        <v>0.39375000000000004</v>
      </c>
      <c r="L24" s="12">
        <f t="shared" ref="L24" si="16">F24-G24</f>
        <v>23.625</v>
      </c>
      <c r="M24" s="14">
        <v>1</v>
      </c>
      <c r="N24" s="14">
        <f t="shared" ref="N24" si="17">M24*L24</f>
        <v>23.625</v>
      </c>
      <c r="O24" s="13">
        <v>0.02</v>
      </c>
      <c r="P24" s="15">
        <f t="shared" ref="P24" si="18">O24*L24*M24</f>
        <v>0.47250000000000003</v>
      </c>
      <c r="Q24" s="19">
        <f t="shared" ref="Q24" si="19">P24+K24</f>
        <v>0.86625000000000008</v>
      </c>
    </row>
    <row r="25" spans="1:17" ht="15.75" customHeight="1" thickBot="1" x14ac:dyDescent="0.3">
      <c r="A25" s="131"/>
      <c r="B25" s="115"/>
      <c r="C25" s="117"/>
      <c r="D25" s="54" t="s">
        <v>34</v>
      </c>
      <c r="E25" s="59" t="s">
        <v>95</v>
      </c>
      <c r="F25" s="42">
        <f t="shared" ref="F25:G26" si="20">26+10</f>
        <v>36</v>
      </c>
      <c r="G25" s="60">
        <f t="shared" si="20"/>
        <v>36</v>
      </c>
      <c r="H25" s="13">
        <v>1</v>
      </c>
      <c r="I25" s="14">
        <f t="shared" si="13"/>
        <v>36</v>
      </c>
      <c r="J25" s="18">
        <f>0.05+0.1167</f>
        <v>0.16670000000000001</v>
      </c>
      <c r="K25" s="15">
        <f>J25*H25*G25</f>
        <v>6.0012000000000008</v>
      </c>
      <c r="L25" s="12">
        <f t="shared" ref="L25:L26" si="21">F25-G25</f>
        <v>0</v>
      </c>
      <c r="M25" s="14">
        <v>0</v>
      </c>
      <c r="N25" s="14">
        <f t="shared" ref="N25:N26" si="22">M25*L25</f>
        <v>0</v>
      </c>
      <c r="O25" s="13">
        <v>0.02</v>
      </c>
      <c r="P25" s="15">
        <f t="shared" si="14"/>
        <v>0</v>
      </c>
      <c r="Q25" s="45">
        <f t="shared" si="5"/>
        <v>6.0012000000000008</v>
      </c>
    </row>
    <row r="26" spans="1:17" ht="15.75" thickBot="1" x14ac:dyDescent="0.3">
      <c r="A26" s="131"/>
      <c r="B26" s="115"/>
      <c r="C26" s="118"/>
      <c r="D26" s="56" t="s">
        <v>35</v>
      </c>
      <c r="E26" s="61" t="s">
        <v>37</v>
      </c>
      <c r="F26" s="42">
        <f t="shared" si="20"/>
        <v>36</v>
      </c>
      <c r="G26" s="60">
        <f t="shared" si="20"/>
        <v>36</v>
      </c>
      <c r="H26" s="13">
        <v>1</v>
      </c>
      <c r="I26" s="13">
        <f t="shared" si="13"/>
        <v>36</v>
      </c>
      <c r="J26" s="13">
        <v>0.02</v>
      </c>
      <c r="K26" s="15">
        <f>J26*H26*G26</f>
        <v>0.72</v>
      </c>
      <c r="L26" s="12">
        <f t="shared" si="21"/>
        <v>0</v>
      </c>
      <c r="M26" s="14">
        <v>0</v>
      </c>
      <c r="N26" s="14">
        <f t="shared" si="22"/>
        <v>0</v>
      </c>
      <c r="O26" s="99">
        <v>0.02</v>
      </c>
      <c r="P26" s="100">
        <f t="shared" si="14"/>
        <v>0</v>
      </c>
      <c r="Q26" s="62">
        <f t="shared" si="5"/>
        <v>0.72</v>
      </c>
    </row>
    <row r="27" spans="1:17" ht="15.75" customHeight="1" thickTop="1" thickBot="1" x14ac:dyDescent="0.3">
      <c r="A27" s="131"/>
      <c r="B27" s="115"/>
      <c r="C27" s="116" t="s">
        <v>16</v>
      </c>
      <c r="D27" s="63" t="s">
        <v>68</v>
      </c>
      <c r="E27" s="64" t="s">
        <v>83</v>
      </c>
      <c r="F27" s="65">
        <v>45</v>
      </c>
      <c r="G27" s="66">
        <f>26+10</f>
        <v>36</v>
      </c>
      <c r="H27" s="32">
        <v>1</v>
      </c>
      <c r="I27" s="32">
        <f>G27*H27</f>
        <v>36</v>
      </c>
      <c r="J27" s="36">
        <f>1</f>
        <v>1</v>
      </c>
      <c r="K27" s="37">
        <f t="shared" si="2"/>
        <v>36</v>
      </c>
      <c r="L27" s="66">
        <f>F27-G27</f>
        <v>9</v>
      </c>
      <c r="M27" s="32">
        <v>1</v>
      </c>
      <c r="N27" s="32">
        <f>M27*L27</f>
        <v>9</v>
      </c>
      <c r="O27" s="48">
        <v>0.02</v>
      </c>
      <c r="P27" s="4">
        <f t="shared" si="14"/>
        <v>0.18</v>
      </c>
      <c r="Q27" s="8">
        <f t="shared" si="5"/>
        <v>36.18</v>
      </c>
    </row>
    <row r="28" spans="1:17" ht="15.75" customHeight="1" thickBot="1" x14ac:dyDescent="0.3">
      <c r="A28" s="131"/>
      <c r="B28" s="115"/>
      <c r="C28" s="117"/>
      <c r="D28" s="43" t="s">
        <v>82</v>
      </c>
      <c r="E28" s="67" t="s">
        <v>84</v>
      </c>
      <c r="F28" s="68">
        <f>G27-26</f>
        <v>10</v>
      </c>
      <c r="G28" s="3">
        <f>F28*0.8</f>
        <v>8</v>
      </c>
      <c r="H28" s="48">
        <v>1</v>
      </c>
      <c r="I28" s="48">
        <f>G28*H28</f>
        <v>8</v>
      </c>
      <c r="J28" s="7">
        <v>0.6</v>
      </c>
      <c r="K28" s="4">
        <f t="shared" ref="K28" si="23">J28*I28*H28</f>
        <v>4.8</v>
      </c>
      <c r="L28" s="3">
        <f>F28-G28</f>
        <v>2</v>
      </c>
      <c r="M28" s="48">
        <v>1</v>
      </c>
      <c r="N28" s="48">
        <f>M28*L28</f>
        <v>2</v>
      </c>
      <c r="O28" s="48">
        <v>0.02</v>
      </c>
      <c r="P28" s="4">
        <f t="shared" ref="P28" si="24">O28*L28*M28</f>
        <v>0.04</v>
      </c>
      <c r="Q28" s="8">
        <f t="shared" ref="Q28" si="25">P28+K28</f>
        <v>4.84</v>
      </c>
    </row>
    <row r="29" spans="1:17" ht="15.75" customHeight="1" thickBot="1" x14ac:dyDescent="0.3">
      <c r="A29" s="131"/>
      <c r="B29" s="115"/>
      <c r="C29" s="117"/>
      <c r="D29" s="56" t="s">
        <v>54</v>
      </c>
      <c r="E29" s="109" t="s">
        <v>96</v>
      </c>
      <c r="F29" s="58">
        <f>F27</f>
        <v>45</v>
      </c>
      <c r="G29" s="12">
        <f>F29*0.25</f>
        <v>11.25</v>
      </c>
      <c r="H29" s="13">
        <v>1</v>
      </c>
      <c r="I29" s="14">
        <f>G29*H29</f>
        <v>11.25</v>
      </c>
      <c r="J29" s="13">
        <v>7.0000000000000007E-2</v>
      </c>
      <c r="K29" s="15">
        <f t="shared" ref="K29:K34" si="26">J29*H29*G29</f>
        <v>0.78750000000000009</v>
      </c>
      <c r="L29" s="12">
        <f t="shared" ref="L29:L34" si="27">F29-G29</f>
        <v>33.75</v>
      </c>
      <c r="M29" s="14">
        <v>1</v>
      </c>
      <c r="N29" s="14">
        <f>M29*L29</f>
        <v>33.75</v>
      </c>
      <c r="O29" s="13">
        <v>0.02</v>
      </c>
      <c r="P29" s="15">
        <f t="shared" si="14"/>
        <v>0.67500000000000004</v>
      </c>
      <c r="Q29" s="19">
        <f t="shared" si="5"/>
        <v>1.4625000000000001</v>
      </c>
    </row>
    <row r="30" spans="1:17" ht="15.75" customHeight="1" thickBot="1" x14ac:dyDescent="0.3">
      <c r="A30" s="131"/>
      <c r="B30" s="115"/>
      <c r="C30" s="117"/>
      <c r="D30" s="56" t="s">
        <v>55</v>
      </c>
      <c r="E30" s="110"/>
      <c r="F30" s="69">
        <f>L29</f>
        <v>33.75</v>
      </c>
      <c r="G30" s="12">
        <f t="shared" ref="G30:G31" si="28">F30*0.25</f>
        <v>8.4375</v>
      </c>
      <c r="H30" s="14">
        <v>1</v>
      </c>
      <c r="I30" s="14">
        <f t="shared" ref="I30:I34" si="29">G30*H30</f>
        <v>8.4375</v>
      </c>
      <c r="J30" s="13">
        <v>7.0000000000000007E-2</v>
      </c>
      <c r="K30" s="15">
        <f t="shared" si="26"/>
        <v>0.59062500000000007</v>
      </c>
      <c r="L30" s="12">
        <f t="shared" si="27"/>
        <v>25.3125</v>
      </c>
      <c r="M30" s="14">
        <v>1</v>
      </c>
      <c r="N30" s="14">
        <f t="shared" ref="N30:N34" si="30">M30*L30</f>
        <v>25.3125</v>
      </c>
      <c r="O30" s="13">
        <v>0.02</v>
      </c>
      <c r="P30" s="15">
        <f t="shared" si="14"/>
        <v>0.50624999999999998</v>
      </c>
      <c r="Q30" s="19">
        <f t="shared" si="5"/>
        <v>1.096875</v>
      </c>
    </row>
    <row r="31" spans="1:17" ht="15.75" customHeight="1" thickBot="1" x14ac:dyDescent="0.3">
      <c r="A31" s="131"/>
      <c r="B31" s="115"/>
      <c r="C31" s="117"/>
      <c r="D31" s="56" t="s">
        <v>56</v>
      </c>
      <c r="E31" s="111"/>
      <c r="F31" s="69">
        <f>L30</f>
        <v>25.3125</v>
      </c>
      <c r="G31" s="12">
        <f t="shared" si="28"/>
        <v>6.328125</v>
      </c>
      <c r="H31" s="14">
        <v>1</v>
      </c>
      <c r="I31" s="14">
        <f t="shared" si="29"/>
        <v>6.328125</v>
      </c>
      <c r="J31" s="13">
        <v>7.0000000000000007E-2</v>
      </c>
      <c r="K31" s="15">
        <f t="shared" si="26"/>
        <v>0.44296875000000002</v>
      </c>
      <c r="L31" s="12">
        <f t="shared" si="27"/>
        <v>18.984375</v>
      </c>
      <c r="M31" s="14">
        <v>0</v>
      </c>
      <c r="N31" s="14">
        <f t="shared" si="30"/>
        <v>0</v>
      </c>
      <c r="O31" s="13">
        <v>0.02</v>
      </c>
      <c r="P31" s="15">
        <f t="shared" si="14"/>
        <v>0</v>
      </c>
      <c r="Q31" s="19">
        <f t="shared" si="5"/>
        <v>0.44296875000000002</v>
      </c>
    </row>
    <row r="32" spans="1:17" ht="15.75" customHeight="1" thickBot="1" x14ac:dyDescent="0.3">
      <c r="A32" s="131"/>
      <c r="B32" s="115"/>
      <c r="C32" s="117"/>
      <c r="D32" s="56" t="s">
        <v>33</v>
      </c>
      <c r="E32" s="57" t="s">
        <v>97</v>
      </c>
      <c r="F32" s="58">
        <f>F27</f>
        <v>45</v>
      </c>
      <c r="G32" s="12">
        <f>F32*0.25</f>
        <v>11.25</v>
      </c>
      <c r="H32" s="14">
        <v>1</v>
      </c>
      <c r="I32" s="14">
        <f t="shared" si="29"/>
        <v>11.25</v>
      </c>
      <c r="J32" s="13">
        <v>0.05</v>
      </c>
      <c r="K32" s="15">
        <f t="shared" si="26"/>
        <v>0.5625</v>
      </c>
      <c r="L32" s="12">
        <f t="shared" si="27"/>
        <v>33.75</v>
      </c>
      <c r="M32" s="14">
        <v>1</v>
      </c>
      <c r="N32" s="14">
        <f t="shared" si="30"/>
        <v>33.75</v>
      </c>
      <c r="O32" s="13">
        <v>0.02</v>
      </c>
      <c r="P32" s="15">
        <f t="shared" si="14"/>
        <v>0.67500000000000004</v>
      </c>
      <c r="Q32" s="19">
        <f t="shared" si="5"/>
        <v>1.2375</v>
      </c>
    </row>
    <row r="33" spans="1:17" ht="15.75" customHeight="1" thickBot="1" x14ac:dyDescent="0.3">
      <c r="A33" s="131"/>
      <c r="B33" s="115"/>
      <c r="C33" s="117"/>
      <c r="D33" s="56" t="s">
        <v>34</v>
      </c>
      <c r="E33" s="61" t="s">
        <v>98</v>
      </c>
      <c r="F33" s="42">
        <f t="shared" ref="F33:G34" si="31">26+10</f>
        <v>36</v>
      </c>
      <c r="G33" s="60">
        <f t="shared" si="31"/>
        <v>36</v>
      </c>
      <c r="H33" s="13">
        <v>1</v>
      </c>
      <c r="I33" s="14">
        <f t="shared" si="29"/>
        <v>36</v>
      </c>
      <c r="J33" s="13">
        <v>0.05</v>
      </c>
      <c r="K33" s="15">
        <f t="shared" si="26"/>
        <v>1.8</v>
      </c>
      <c r="L33" s="12">
        <f t="shared" si="27"/>
        <v>0</v>
      </c>
      <c r="M33" s="14">
        <v>0</v>
      </c>
      <c r="N33" s="14">
        <f t="shared" si="30"/>
        <v>0</v>
      </c>
      <c r="O33" s="13">
        <v>0.02</v>
      </c>
      <c r="P33" s="15">
        <f t="shared" si="14"/>
        <v>0</v>
      </c>
      <c r="Q33" s="19">
        <f t="shared" si="5"/>
        <v>1.8</v>
      </c>
    </row>
    <row r="34" spans="1:17" ht="15.75" customHeight="1" thickBot="1" x14ac:dyDescent="0.3">
      <c r="A34" s="131"/>
      <c r="B34" s="115"/>
      <c r="C34" s="117"/>
      <c r="D34" s="56" t="s">
        <v>35</v>
      </c>
      <c r="E34" s="61" t="s">
        <v>37</v>
      </c>
      <c r="F34" s="42">
        <f t="shared" si="31"/>
        <v>36</v>
      </c>
      <c r="G34" s="60">
        <f t="shared" si="31"/>
        <v>36</v>
      </c>
      <c r="H34" s="13">
        <v>1</v>
      </c>
      <c r="I34" s="13">
        <f t="shared" si="29"/>
        <v>36</v>
      </c>
      <c r="J34" s="13">
        <v>0.02</v>
      </c>
      <c r="K34" s="15">
        <f t="shared" si="26"/>
        <v>0.72</v>
      </c>
      <c r="L34" s="12">
        <f t="shared" si="27"/>
        <v>0</v>
      </c>
      <c r="M34" s="14">
        <v>0</v>
      </c>
      <c r="N34" s="14">
        <f t="shared" si="30"/>
        <v>0</v>
      </c>
      <c r="O34" s="13">
        <v>0.02</v>
      </c>
      <c r="P34" s="15">
        <f t="shared" si="14"/>
        <v>0</v>
      </c>
      <c r="Q34" s="19">
        <f t="shared" si="5"/>
        <v>0.72</v>
      </c>
    </row>
    <row r="35" spans="1:17" s="153" customFormat="1" ht="15.75" thickBot="1" x14ac:dyDescent="0.3">
      <c r="A35" s="169"/>
      <c r="B35" s="101" t="s">
        <v>17</v>
      </c>
      <c r="C35" s="102"/>
      <c r="D35" s="102"/>
      <c r="E35" s="102"/>
      <c r="F35" s="102"/>
      <c r="G35" s="70">
        <f>SUM(G6,G27,G5)</f>
        <v>585</v>
      </c>
      <c r="H35" s="82">
        <f>I35/G35</f>
        <v>3.3966398593304836</v>
      </c>
      <c r="I35" s="71">
        <f>SUM(I5:I34)</f>
        <v>1987.034317708333</v>
      </c>
      <c r="J35" s="72">
        <f>K35/I35</f>
        <v>0.14192402644425692</v>
      </c>
      <c r="K35" s="73">
        <f>SUM(K5:K34)</f>
        <v>282.00791105208344</v>
      </c>
      <c r="L35" s="74">
        <f>L6+L27+L5</f>
        <v>134</v>
      </c>
      <c r="M35" s="75">
        <f>N35/L35</f>
        <v>21.478532765858208</v>
      </c>
      <c r="N35" s="76">
        <f>SUM(N5:N34)</f>
        <v>2878.123390625</v>
      </c>
      <c r="O35" s="72">
        <f>P35/N35</f>
        <v>2.0000000000000004E-2</v>
      </c>
      <c r="P35" s="73">
        <f>SUM(P5:P34)</f>
        <v>57.56246781250001</v>
      </c>
      <c r="Q35" s="77">
        <f>SUM(Q5:Q34)</f>
        <v>339.57037886458329</v>
      </c>
    </row>
    <row r="36" spans="1:17" ht="15.75" thickBot="1" x14ac:dyDescent="0.3">
      <c r="A36" s="131"/>
      <c r="B36" s="103" t="s">
        <v>18</v>
      </c>
      <c r="C36" s="104"/>
      <c r="D36" s="104"/>
      <c r="E36" s="104"/>
      <c r="F36" s="104"/>
      <c r="G36" s="104"/>
      <c r="H36" s="104"/>
      <c r="I36" s="104"/>
      <c r="J36" s="104"/>
      <c r="K36" s="104"/>
      <c r="L36" s="104"/>
      <c r="M36" s="104"/>
      <c r="N36" s="104"/>
      <c r="O36" s="104"/>
      <c r="P36" s="104"/>
      <c r="Q36" s="105"/>
    </row>
    <row r="37" spans="1:17" ht="15.75" customHeight="1" thickBot="1" x14ac:dyDescent="0.3">
      <c r="A37" s="131"/>
      <c r="B37" s="113" t="s">
        <v>18</v>
      </c>
      <c r="C37" s="112" t="s">
        <v>19</v>
      </c>
      <c r="D37" s="78" t="s">
        <v>68</v>
      </c>
      <c r="E37" s="79" t="s">
        <v>86</v>
      </c>
      <c r="F37" s="58">
        <v>45</v>
      </c>
      <c r="G37" s="60">
        <f>26+10</f>
        <v>36</v>
      </c>
      <c r="H37" s="13">
        <v>1</v>
      </c>
      <c r="I37" s="13">
        <f>G37*H37</f>
        <v>36</v>
      </c>
      <c r="J37" s="18">
        <f>1</f>
        <v>1</v>
      </c>
      <c r="K37" s="15">
        <f t="shared" ref="K37:K45" si="32">J37*H37*G37</f>
        <v>36</v>
      </c>
      <c r="L37" s="60">
        <f>F37-G37</f>
        <v>9</v>
      </c>
      <c r="M37" s="13">
        <v>1</v>
      </c>
      <c r="N37" s="13">
        <f>M37*L37</f>
        <v>9</v>
      </c>
      <c r="O37" s="18">
        <f>0</f>
        <v>0</v>
      </c>
      <c r="P37" s="15">
        <f>O37*L37*M37</f>
        <v>0</v>
      </c>
      <c r="Q37" s="19">
        <f>P37+K37</f>
        <v>36</v>
      </c>
    </row>
    <row r="38" spans="1:17" ht="15.75" customHeight="1" thickBot="1" x14ac:dyDescent="0.3">
      <c r="A38" s="131"/>
      <c r="B38" s="113"/>
      <c r="C38" s="112"/>
      <c r="D38" s="43" t="s">
        <v>82</v>
      </c>
      <c r="E38" s="79" t="s">
        <v>85</v>
      </c>
      <c r="F38" s="58">
        <f>G37-26</f>
        <v>10</v>
      </c>
      <c r="G38" s="60">
        <f>F38*0.8</f>
        <v>8</v>
      </c>
      <c r="H38" s="13">
        <v>1</v>
      </c>
      <c r="I38" s="13">
        <f>G38*H38</f>
        <v>8</v>
      </c>
      <c r="J38" s="18">
        <v>0.33</v>
      </c>
      <c r="K38" s="15">
        <f t="shared" ref="K38" si="33">J38*H38*G38</f>
        <v>2.64</v>
      </c>
      <c r="L38" s="60">
        <f>F38-G38</f>
        <v>2</v>
      </c>
      <c r="M38" s="13">
        <v>1</v>
      </c>
      <c r="N38" s="13">
        <f>M38*L38</f>
        <v>2</v>
      </c>
      <c r="O38" s="18">
        <f>0</f>
        <v>0</v>
      </c>
      <c r="P38" s="15">
        <f>O38*L38*M38</f>
        <v>0</v>
      </c>
      <c r="Q38" s="19">
        <f>P38+K38</f>
        <v>2.64</v>
      </c>
    </row>
    <row r="39" spans="1:17" ht="15.75" customHeight="1" thickBot="1" x14ac:dyDescent="0.3">
      <c r="A39" s="131"/>
      <c r="B39" s="113"/>
      <c r="C39" s="112"/>
      <c r="D39" s="56" t="s">
        <v>54</v>
      </c>
      <c r="E39" s="109" t="s">
        <v>96</v>
      </c>
      <c r="F39" s="58">
        <v>45</v>
      </c>
      <c r="G39" s="12">
        <f>F39*0.275</f>
        <v>12.375000000000002</v>
      </c>
      <c r="H39" s="13">
        <v>1</v>
      </c>
      <c r="I39" s="14">
        <f>G39*H39</f>
        <v>12.375000000000002</v>
      </c>
      <c r="J39" s="13">
        <v>7.0000000000000007E-2</v>
      </c>
      <c r="K39" s="15">
        <f t="shared" si="32"/>
        <v>0.86625000000000019</v>
      </c>
      <c r="L39" s="12">
        <f t="shared" ref="L39:L45" si="34">F39-G39</f>
        <v>32.625</v>
      </c>
      <c r="M39" s="14">
        <v>1</v>
      </c>
      <c r="N39" s="14">
        <f>M39*L39</f>
        <v>32.625</v>
      </c>
      <c r="O39" s="13">
        <v>0.02</v>
      </c>
      <c r="P39" s="15">
        <f>O39*L39*M39</f>
        <v>0.65249999999999997</v>
      </c>
      <c r="Q39" s="19">
        <f t="shared" ref="Q39:Q45" si="35">P39+K39</f>
        <v>1.5187500000000003</v>
      </c>
    </row>
    <row r="40" spans="1:17" ht="15.75" customHeight="1" thickBot="1" x14ac:dyDescent="0.3">
      <c r="A40" s="131"/>
      <c r="B40" s="113"/>
      <c r="C40" s="112"/>
      <c r="D40" s="56" t="s">
        <v>55</v>
      </c>
      <c r="E40" s="110"/>
      <c r="F40" s="69">
        <f>L39</f>
        <v>32.625</v>
      </c>
      <c r="G40" s="12">
        <f>F40*0.275</f>
        <v>8.9718750000000007</v>
      </c>
      <c r="H40" s="14">
        <v>1</v>
      </c>
      <c r="I40" s="14">
        <f t="shared" ref="I40:I45" si="36">G40*H40</f>
        <v>8.9718750000000007</v>
      </c>
      <c r="J40" s="13">
        <v>7.0000000000000007E-2</v>
      </c>
      <c r="K40" s="15">
        <f t="shared" si="32"/>
        <v>0.62803125000000015</v>
      </c>
      <c r="L40" s="12">
        <f t="shared" si="34"/>
        <v>23.653124999999999</v>
      </c>
      <c r="M40" s="14">
        <v>1</v>
      </c>
      <c r="N40" s="14">
        <f t="shared" ref="N40:N45" si="37">M40*L40</f>
        <v>23.653124999999999</v>
      </c>
      <c r="O40" s="13">
        <v>0.02</v>
      </c>
      <c r="P40" s="15">
        <f t="shared" ref="P40:P45" si="38">O40*L40*M40</f>
        <v>0.4730625</v>
      </c>
      <c r="Q40" s="19">
        <f t="shared" si="35"/>
        <v>1.1010937500000002</v>
      </c>
    </row>
    <row r="41" spans="1:17" ht="15.75" customHeight="1" thickBot="1" x14ac:dyDescent="0.3">
      <c r="A41" s="131"/>
      <c r="B41" s="113"/>
      <c r="C41" s="112"/>
      <c r="D41" s="56" t="s">
        <v>56</v>
      </c>
      <c r="E41" s="111"/>
      <c r="F41" s="69">
        <f>L40</f>
        <v>23.653124999999999</v>
      </c>
      <c r="G41" s="12">
        <f>F41*0.25</f>
        <v>5.9132812499999998</v>
      </c>
      <c r="H41" s="14">
        <v>1</v>
      </c>
      <c r="I41" s="14">
        <f t="shared" si="36"/>
        <v>5.9132812499999998</v>
      </c>
      <c r="J41" s="13">
        <v>7.0000000000000007E-2</v>
      </c>
      <c r="K41" s="15">
        <f t="shared" si="32"/>
        <v>0.41392968750000003</v>
      </c>
      <c r="L41" s="12">
        <f t="shared" si="34"/>
        <v>17.739843749999999</v>
      </c>
      <c r="M41" s="14">
        <v>0</v>
      </c>
      <c r="N41" s="14">
        <f t="shared" si="37"/>
        <v>0</v>
      </c>
      <c r="O41" s="13">
        <v>0.02</v>
      </c>
      <c r="P41" s="15">
        <f t="shared" si="38"/>
        <v>0</v>
      </c>
      <c r="Q41" s="19">
        <f t="shared" si="35"/>
        <v>0.41392968750000003</v>
      </c>
    </row>
    <row r="42" spans="1:17" ht="15.75" customHeight="1" thickBot="1" x14ac:dyDescent="0.3">
      <c r="A42" s="131"/>
      <c r="B42" s="113"/>
      <c r="C42" s="112"/>
      <c r="D42" s="56" t="s">
        <v>33</v>
      </c>
      <c r="E42" s="57" t="s">
        <v>99</v>
      </c>
      <c r="F42" s="58">
        <f>34+12</f>
        <v>46</v>
      </c>
      <c r="G42" s="12">
        <f>F42*0.2</f>
        <v>9.2000000000000011</v>
      </c>
      <c r="H42" s="14">
        <v>1</v>
      </c>
      <c r="I42" s="14">
        <f t="shared" si="36"/>
        <v>9.2000000000000011</v>
      </c>
      <c r="J42" s="13">
        <v>0.05</v>
      </c>
      <c r="K42" s="15">
        <f t="shared" si="32"/>
        <v>0.46000000000000008</v>
      </c>
      <c r="L42" s="12">
        <f t="shared" si="34"/>
        <v>36.799999999999997</v>
      </c>
      <c r="M42" s="14">
        <v>1</v>
      </c>
      <c r="N42" s="14">
        <f t="shared" si="37"/>
        <v>36.799999999999997</v>
      </c>
      <c r="O42" s="13">
        <v>0.02</v>
      </c>
      <c r="P42" s="15">
        <f t="shared" si="38"/>
        <v>0.73599999999999999</v>
      </c>
      <c r="Q42" s="19">
        <f t="shared" si="35"/>
        <v>1.1960000000000002</v>
      </c>
    </row>
    <row r="43" spans="1:17" ht="15.75" customHeight="1" thickBot="1" x14ac:dyDescent="0.3">
      <c r="A43" s="131"/>
      <c r="B43" s="113"/>
      <c r="C43" s="112"/>
      <c r="D43" s="56" t="s">
        <v>34</v>
      </c>
      <c r="E43" s="61" t="s">
        <v>100</v>
      </c>
      <c r="F43" s="42">
        <f t="shared" ref="F43:G45" si="39">26+10</f>
        <v>36</v>
      </c>
      <c r="G43" s="60">
        <f t="shared" si="39"/>
        <v>36</v>
      </c>
      <c r="H43" s="13">
        <v>1</v>
      </c>
      <c r="I43" s="14">
        <f t="shared" si="36"/>
        <v>36</v>
      </c>
      <c r="J43" s="13">
        <v>0.05</v>
      </c>
      <c r="K43" s="15">
        <f t="shared" si="32"/>
        <v>1.8</v>
      </c>
      <c r="L43" s="12">
        <f t="shared" si="34"/>
        <v>0</v>
      </c>
      <c r="M43" s="14">
        <v>0</v>
      </c>
      <c r="N43" s="14">
        <f t="shared" si="37"/>
        <v>0</v>
      </c>
      <c r="O43" s="13">
        <v>0.02</v>
      </c>
      <c r="P43" s="15">
        <f t="shared" si="38"/>
        <v>0</v>
      </c>
      <c r="Q43" s="19">
        <f t="shared" si="35"/>
        <v>1.8</v>
      </c>
    </row>
    <row r="44" spans="1:17" ht="15.75" customHeight="1" thickBot="1" x14ac:dyDescent="0.3">
      <c r="A44" s="131"/>
      <c r="B44" s="113"/>
      <c r="C44" s="112"/>
      <c r="D44" s="56" t="s">
        <v>35</v>
      </c>
      <c r="E44" s="61" t="s">
        <v>37</v>
      </c>
      <c r="F44" s="42">
        <f t="shared" si="39"/>
        <v>36</v>
      </c>
      <c r="G44" s="60">
        <f t="shared" si="39"/>
        <v>36</v>
      </c>
      <c r="H44" s="13">
        <v>1</v>
      </c>
      <c r="I44" s="13">
        <f t="shared" si="36"/>
        <v>36</v>
      </c>
      <c r="J44" s="13">
        <v>0.02</v>
      </c>
      <c r="K44" s="15">
        <f t="shared" si="32"/>
        <v>0.72</v>
      </c>
      <c r="L44" s="12">
        <f t="shared" si="34"/>
        <v>0</v>
      </c>
      <c r="M44" s="14">
        <v>0</v>
      </c>
      <c r="N44" s="14">
        <f t="shared" si="37"/>
        <v>0</v>
      </c>
      <c r="O44" s="13">
        <v>0.02</v>
      </c>
      <c r="P44" s="15">
        <f t="shared" si="38"/>
        <v>0</v>
      </c>
      <c r="Q44" s="19">
        <f t="shared" si="35"/>
        <v>0.72</v>
      </c>
    </row>
    <row r="45" spans="1:17" ht="15.75" customHeight="1" thickBot="1" x14ac:dyDescent="0.3">
      <c r="A45" s="131"/>
      <c r="B45" s="113"/>
      <c r="C45" s="112"/>
      <c r="D45" s="43" t="s">
        <v>74</v>
      </c>
      <c r="E45" s="61" t="s">
        <v>38</v>
      </c>
      <c r="F45" s="42">
        <f t="shared" si="39"/>
        <v>36</v>
      </c>
      <c r="G45" s="60">
        <f t="shared" si="39"/>
        <v>36</v>
      </c>
      <c r="H45" s="13">
        <v>1</v>
      </c>
      <c r="I45" s="13">
        <f t="shared" si="36"/>
        <v>36</v>
      </c>
      <c r="J45" s="13">
        <v>0.04</v>
      </c>
      <c r="K45" s="15">
        <f t="shared" si="32"/>
        <v>1.44</v>
      </c>
      <c r="L45" s="12">
        <f t="shared" si="34"/>
        <v>0</v>
      </c>
      <c r="M45" s="14">
        <v>0</v>
      </c>
      <c r="N45" s="14">
        <f t="shared" si="37"/>
        <v>0</v>
      </c>
      <c r="O45" s="13">
        <v>0.02</v>
      </c>
      <c r="P45" s="15">
        <f t="shared" si="38"/>
        <v>0</v>
      </c>
      <c r="Q45" s="19">
        <f t="shared" si="35"/>
        <v>1.44</v>
      </c>
    </row>
    <row r="46" spans="1:17" s="153" customFormat="1" ht="15.75" thickBot="1" x14ac:dyDescent="0.3">
      <c r="A46" s="169"/>
      <c r="B46" s="121" t="s">
        <v>20</v>
      </c>
      <c r="C46" s="122"/>
      <c r="D46" s="122"/>
      <c r="E46" s="122"/>
      <c r="F46" s="122"/>
      <c r="G46" s="70">
        <f>SUM(G37:G37)</f>
        <v>36</v>
      </c>
      <c r="H46" s="82">
        <f>I46/G46</f>
        <v>5.2350043402777784</v>
      </c>
      <c r="I46" s="76">
        <f>SUM(I37:I45)</f>
        <v>188.46015625000001</v>
      </c>
      <c r="J46" s="80">
        <f>K46/I46</f>
        <v>0.23860858354509612</v>
      </c>
      <c r="K46" s="81">
        <f>SUM(K37:K45)</f>
        <v>44.968210937499997</v>
      </c>
      <c r="L46" s="70">
        <f>L37</f>
        <v>9</v>
      </c>
      <c r="M46" s="82">
        <f>N46/L46</f>
        <v>11.564236111111111</v>
      </c>
      <c r="N46" s="76">
        <f>SUM(N37:N45)</f>
        <v>104.078125</v>
      </c>
      <c r="O46" s="80">
        <f>P46/N46</f>
        <v>1.7886203272781866E-2</v>
      </c>
      <c r="P46" s="81">
        <f>SUM(P37:P45)</f>
        <v>1.8615625</v>
      </c>
      <c r="Q46" s="77">
        <f>SUM(Q37:Q45)</f>
        <v>46.829773437499988</v>
      </c>
    </row>
    <row r="47" spans="1:17" ht="15.75" thickBot="1" x14ac:dyDescent="0.3">
      <c r="A47" s="131"/>
      <c r="B47" s="103" t="s">
        <v>21</v>
      </c>
      <c r="C47" s="104"/>
      <c r="D47" s="104"/>
      <c r="E47" s="104"/>
      <c r="F47" s="104"/>
      <c r="G47" s="104"/>
      <c r="H47" s="104"/>
      <c r="I47" s="104"/>
      <c r="J47" s="104"/>
      <c r="K47" s="104"/>
      <c r="L47" s="104"/>
      <c r="M47" s="104"/>
      <c r="N47" s="104"/>
      <c r="O47" s="104"/>
      <c r="P47" s="104"/>
      <c r="Q47" s="105"/>
    </row>
    <row r="48" spans="1:17" ht="15.75" customHeight="1" thickBot="1" x14ac:dyDescent="0.3">
      <c r="A48" s="131"/>
      <c r="B48" s="126" t="s">
        <v>21</v>
      </c>
      <c r="C48" s="109" t="s">
        <v>22</v>
      </c>
      <c r="D48" s="78" t="s">
        <v>68</v>
      </c>
      <c r="E48" s="10" t="s">
        <v>88</v>
      </c>
      <c r="F48" s="58">
        <v>35</v>
      </c>
      <c r="G48" s="60">
        <v>28</v>
      </c>
      <c r="H48" s="13">
        <v>1</v>
      </c>
      <c r="I48" s="13">
        <f>G48*H48</f>
        <v>28</v>
      </c>
      <c r="J48" s="18">
        <v>1</v>
      </c>
      <c r="K48" s="15">
        <f t="shared" ref="K48:K56" si="40">J48*H48*G48</f>
        <v>28</v>
      </c>
      <c r="L48" s="60">
        <f>F48-G48</f>
        <v>7</v>
      </c>
      <c r="M48" s="13">
        <v>1</v>
      </c>
      <c r="N48" s="13">
        <f>M48*L48</f>
        <v>7</v>
      </c>
      <c r="O48" s="83">
        <v>0</v>
      </c>
      <c r="P48" s="15">
        <f>O48*M48*L48</f>
        <v>0</v>
      </c>
      <c r="Q48" s="19">
        <f>P48+K48</f>
        <v>28</v>
      </c>
    </row>
    <row r="49" spans="1:21" ht="15.75" customHeight="1" thickBot="1" x14ac:dyDescent="0.3">
      <c r="A49" s="131"/>
      <c r="B49" s="114"/>
      <c r="C49" s="110"/>
      <c r="D49" s="43" t="s">
        <v>82</v>
      </c>
      <c r="E49" s="79" t="s">
        <v>87</v>
      </c>
      <c r="F49" s="58">
        <f>G48-20</f>
        <v>8</v>
      </c>
      <c r="G49" s="12">
        <f>F49*0.8</f>
        <v>6.4</v>
      </c>
      <c r="H49" s="13">
        <v>1</v>
      </c>
      <c r="I49" s="14">
        <f>G49*H49</f>
        <v>6.4</v>
      </c>
      <c r="J49" s="18">
        <v>0.33</v>
      </c>
      <c r="K49" s="15">
        <f t="shared" si="40"/>
        <v>2.1120000000000001</v>
      </c>
      <c r="L49" s="12">
        <f>F49-G49</f>
        <v>1.5999999999999996</v>
      </c>
      <c r="M49" s="13">
        <v>1</v>
      </c>
      <c r="N49" s="14">
        <f>M49*L49</f>
        <v>1.5999999999999996</v>
      </c>
      <c r="O49" s="18">
        <f>0</f>
        <v>0</v>
      </c>
      <c r="P49" s="15">
        <f>O49*L49*M49</f>
        <v>0</v>
      </c>
      <c r="Q49" s="19">
        <f>P49+K49</f>
        <v>2.1120000000000001</v>
      </c>
    </row>
    <row r="50" spans="1:21" ht="15.75" customHeight="1" thickBot="1" x14ac:dyDescent="0.3">
      <c r="A50" s="131"/>
      <c r="B50" s="114"/>
      <c r="C50" s="110"/>
      <c r="D50" s="56" t="s">
        <v>54</v>
      </c>
      <c r="E50" s="109" t="s">
        <v>96</v>
      </c>
      <c r="F50" s="58">
        <v>35</v>
      </c>
      <c r="G50" s="12">
        <f>F50*0.3</f>
        <v>10.5</v>
      </c>
      <c r="H50" s="13">
        <v>1</v>
      </c>
      <c r="I50" s="14">
        <f>G50*H50</f>
        <v>10.5</v>
      </c>
      <c r="J50" s="13">
        <v>7.0000000000000007E-2</v>
      </c>
      <c r="K50" s="15">
        <f t="shared" si="40"/>
        <v>0.7350000000000001</v>
      </c>
      <c r="L50" s="12">
        <f t="shared" ref="L50:L53" si="41">F50-G50</f>
        <v>24.5</v>
      </c>
      <c r="M50" s="14">
        <v>1</v>
      </c>
      <c r="N50" s="14">
        <f>M50*L50</f>
        <v>24.5</v>
      </c>
      <c r="O50" s="13">
        <v>0.02</v>
      </c>
      <c r="P50" s="15">
        <f t="shared" ref="P50:P56" si="42">O50*M50*L50</f>
        <v>0.49</v>
      </c>
      <c r="Q50" s="19">
        <f>P50+K50</f>
        <v>1.2250000000000001</v>
      </c>
    </row>
    <row r="51" spans="1:21" ht="15.75" customHeight="1" thickBot="1" x14ac:dyDescent="0.3">
      <c r="A51" s="131"/>
      <c r="B51" s="114"/>
      <c r="C51" s="110"/>
      <c r="D51" s="56" t="s">
        <v>55</v>
      </c>
      <c r="E51" s="110"/>
      <c r="F51" s="69">
        <f>L50</f>
        <v>24.5</v>
      </c>
      <c r="G51" s="12">
        <f t="shared" ref="G51" si="43">F51*0.3</f>
        <v>7.35</v>
      </c>
      <c r="H51" s="14">
        <v>1</v>
      </c>
      <c r="I51" s="14">
        <f t="shared" ref="I51:I56" si="44">G51*H51</f>
        <v>7.35</v>
      </c>
      <c r="J51" s="13">
        <v>7.0000000000000007E-2</v>
      </c>
      <c r="K51" s="15">
        <f t="shared" si="40"/>
        <v>0.51450000000000007</v>
      </c>
      <c r="L51" s="12">
        <f t="shared" si="41"/>
        <v>17.149999999999999</v>
      </c>
      <c r="M51" s="14">
        <v>1</v>
      </c>
      <c r="N51" s="14">
        <f t="shared" ref="N51:N56" si="45">M51*L51</f>
        <v>17.149999999999999</v>
      </c>
      <c r="O51" s="13">
        <v>0.02</v>
      </c>
      <c r="P51" s="15">
        <f t="shared" si="42"/>
        <v>0.34299999999999997</v>
      </c>
      <c r="Q51" s="19">
        <f t="shared" ref="Q51:Q56" si="46">P51+K51</f>
        <v>0.85750000000000004</v>
      </c>
    </row>
    <row r="52" spans="1:21" ht="15.75" customHeight="1" thickBot="1" x14ac:dyDescent="0.3">
      <c r="A52" s="131"/>
      <c r="B52" s="114"/>
      <c r="C52" s="110"/>
      <c r="D52" s="56" t="s">
        <v>56</v>
      </c>
      <c r="E52" s="111"/>
      <c r="F52" s="69">
        <f>L51</f>
        <v>17.149999999999999</v>
      </c>
      <c r="G52" s="12">
        <f>F52*0.25</f>
        <v>4.2874999999999996</v>
      </c>
      <c r="H52" s="14">
        <v>1</v>
      </c>
      <c r="I52" s="14">
        <f t="shared" si="44"/>
        <v>4.2874999999999996</v>
      </c>
      <c r="J52" s="13">
        <v>7.0000000000000007E-2</v>
      </c>
      <c r="K52" s="15">
        <f t="shared" si="40"/>
        <v>0.30012500000000003</v>
      </c>
      <c r="L52" s="12">
        <f t="shared" si="41"/>
        <v>12.862499999999999</v>
      </c>
      <c r="M52" s="14">
        <v>0</v>
      </c>
      <c r="N52" s="14">
        <f t="shared" si="45"/>
        <v>0</v>
      </c>
      <c r="O52" s="13">
        <v>0.02</v>
      </c>
      <c r="P52" s="15">
        <f t="shared" si="42"/>
        <v>0</v>
      </c>
      <c r="Q52" s="19">
        <f t="shared" si="46"/>
        <v>0.30012500000000003</v>
      </c>
      <c r="T52" s="168"/>
    </row>
    <row r="53" spans="1:21" ht="15.75" customHeight="1" thickBot="1" x14ac:dyDescent="0.3">
      <c r="A53" s="131"/>
      <c r="B53" s="114"/>
      <c r="C53" s="110"/>
      <c r="D53" s="56" t="s">
        <v>33</v>
      </c>
      <c r="E53" s="57" t="s">
        <v>101</v>
      </c>
      <c r="F53" s="58">
        <v>32</v>
      </c>
      <c r="G53" s="12">
        <f>F53*0.2</f>
        <v>6.4</v>
      </c>
      <c r="H53" s="14">
        <v>1</v>
      </c>
      <c r="I53" s="14">
        <f t="shared" si="44"/>
        <v>6.4</v>
      </c>
      <c r="J53" s="13">
        <v>0.05</v>
      </c>
      <c r="K53" s="15">
        <f t="shared" si="40"/>
        <v>0.32000000000000006</v>
      </c>
      <c r="L53" s="12">
        <f t="shared" si="41"/>
        <v>25.6</v>
      </c>
      <c r="M53" s="14">
        <v>1</v>
      </c>
      <c r="N53" s="14">
        <f t="shared" si="45"/>
        <v>25.6</v>
      </c>
      <c r="O53" s="13">
        <v>0.02</v>
      </c>
      <c r="P53" s="15">
        <f t="shared" si="42"/>
        <v>0.51200000000000001</v>
      </c>
      <c r="Q53" s="19">
        <f t="shared" si="46"/>
        <v>0.83200000000000007</v>
      </c>
      <c r="T53" s="168"/>
    </row>
    <row r="54" spans="1:21" ht="15.75" customHeight="1" thickBot="1" x14ac:dyDescent="0.3">
      <c r="A54" s="131"/>
      <c r="B54" s="114"/>
      <c r="C54" s="110"/>
      <c r="D54" s="56" t="s">
        <v>34</v>
      </c>
      <c r="E54" s="61" t="s">
        <v>102</v>
      </c>
      <c r="F54" s="42">
        <v>28</v>
      </c>
      <c r="G54" s="60">
        <v>28</v>
      </c>
      <c r="H54" s="13">
        <v>1</v>
      </c>
      <c r="I54" s="14">
        <f t="shared" si="44"/>
        <v>28</v>
      </c>
      <c r="J54" s="13">
        <v>0.05</v>
      </c>
      <c r="K54" s="15">
        <f t="shared" si="40"/>
        <v>1.4000000000000001</v>
      </c>
      <c r="L54" s="12">
        <f t="shared" ref="L54:L56" si="47">F54-G54</f>
        <v>0</v>
      </c>
      <c r="M54" s="14">
        <v>0</v>
      </c>
      <c r="N54" s="14">
        <f t="shared" si="45"/>
        <v>0</v>
      </c>
      <c r="O54" s="13">
        <v>0.02</v>
      </c>
      <c r="P54" s="15">
        <f t="shared" si="42"/>
        <v>0</v>
      </c>
      <c r="Q54" s="19">
        <f t="shared" si="46"/>
        <v>1.4000000000000001</v>
      </c>
      <c r="T54" s="168"/>
    </row>
    <row r="55" spans="1:21" ht="15.75" customHeight="1" thickBot="1" x14ac:dyDescent="0.3">
      <c r="A55" s="131"/>
      <c r="B55" s="114"/>
      <c r="C55" s="110"/>
      <c r="D55" s="56" t="s">
        <v>35</v>
      </c>
      <c r="E55" s="61" t="s">
        <v>37</v>
      </c>
      <c r="F55" s="42">
        <v>28</v>
      </c>
      <c r="G55" s="60">
        <v>28</v>
      </c>
      <c r="H55" s="13">
        <v>1</v>
      </c>
      <c r="I55" s="13">
        <f t="shared" si="44"/>
        <v>28</v>
      </c>
      <c r="J55" s="13">
        <v>0.02</v>
      </c>
      <c r="K55" s="15">
        <f t="shared" si="40"/>
        <v>0.56000000000000005</v>
      </c>
      <c r="L55" s="12">
        <f t="shared" si="47"/>
        <v>0</v>
      </c>
      <c r="M55" s="14">
        <v>0</v>
      </c>
      <c r="N55" s="14">
        <f t="shared" si="45"/>
        <v>0</v>
      </c>
      <c r="O55" s="13">
        <v>0.02</v>
      </c>
      <c r="P55" s="15">
        <f t="shared" si="42"/>
        <v>0</v>
      </c>
      <c r="Q55" s="19">
        <f t="shared" si="46"/>
        <v>0.56000000000000005</v>
      </c>
      <c r="T55" s="168"/>
    </row>
    <row r="56" spans="1:21" ht="15.75" customHeight="1" thickBot="1" x14ac:dyDescent="0.3">
      <c r="A56" s="131"/>
      <c r="B56" s="127"/>
      <c r="C56" s="111"/>
      <c r="D56" s="43" t="s">
        <v>74</v>
      </c>
      <c r="E56" s="61" t="s">
        <v>38</v>
      </c>
      <c r="F56" s="42">
        <v>28</v>
      </c>
      <c r="G56" s="60">
        <v>28</v>
      </c>
      <c r="H56" s="13">
        <v>1</v>
      </c>
      <c r="I56" s="13">
        <f t="shared" si="44"/>
        <v>28</v>
      </c>
      <c r="J56" s="13">
        <v>0.04</v>
      </c>
      <c r="K56" s="15">
        <f t="shared" si="40"/>
        <v>1.1200000000000001</v>
      </c>
      <c r="L56" s="12">
        <f t="shared" si="47"/>
        <v>0</v>
      </c>
      <c r="M56" s="14">
        <v>0</v>
      </c>
      <c r="N56" s="14">
        <f t="shared" si="45"/>
        <v>0</v>
      </c>
      <c r="O56" s="13">
        <v>0.02</v>
      </c>
      <c r="P56" s="15">
        <f t="shared" si="42"/>
        <v>0</v>
      </c>
      <c r="Q56" s="19">
        <f t="shared" si="46"/>
        <v>1.1200000000000001</v>
      </c>
    </row>
    <row r="57" spans="1:21" s="153" customFormat="1" ht="15.75" thickBot="1" x14ac:dyDescent="0.3">
      <c r="A57" s="169"/>
      <c r="B57" s="128" t="s">
        <v>31</v>
      </c>
      <c r="C57" s="129"/>
      <c r="D57" s="129"/>
      <c r="E57" s="129"/>
      <c r="F57" s="129"/>
      <c r="G57" s="84">
        <f>G48</f>
        <v>28</v>
      </c>
      <c r="H57" s="85">
        <f>I57/G57</f>
        <v>5.2477678571428568</v>
      </c>
      <c r="I57" s="85">
        <f>SUM(I48:I56)</f>
        <v>146.9375</v>
      </c>
      <c r="J57" s="86">
        <f>K57/I57</f>
        <v>0.23861590812420252</v>
      </c>
      <c r="K57" s="87">
        <f>SUM(K48:K56)</f>
        <v>35.061625000000006</v>
      </c>
      <c r="L57" s="84">
        <f>L48</f>
        <v>7</v>
      </c>
      <c r="M57" s="88">
        <f>N57/L57</f>
        <v>10.835714285714285</v>
      </c>
      <c r="N57" s="85">
        <f>SUM(N48:N56)</f>
        <v>75.849999999999994</v>
      </c>
      <c r="O57" s="86">
        <f>P57/N57</f>
        <v>1.7732366512854317E-2</v>
      </c>
      <c r="P57" s="87">
        <f>SUM(P48:P56)</f>
        <v>1.345</v>
      </c>
      <c r="Q57" s="89">
        <f>SUM(Q48:Q56)</f>
        <v>36.406625000000005</v>
      </c>
    </row>
    <row r="58" spans="1:21" ht="16.5" thickTop="1" thickBot="1" x14ac:dyDescent="0.3">
      <c r="A58" s="131"/>
      <c r="B58" s="123" t="s">
        <v>23</v>
      </c>
      <c r="C58" s="124"/>
      <c r="D58" s="124"/>
      <c r="E58" s="124"/>
      <c r="F58" s="124"/>
      <c r="G58" s="124"/>
      <c r="H58" s="124"/>
      <c r="I58" s="124"/>
      <c r="J58" s="124"/>
      <c r="K58" s="124"/>
      <c r="L58" s="124"/>
      <c r="M58" s="124"/>
      <c r="N58" s="124"/>
      <c r="O58" s="124"/>
      <c r="P58" s="124"/>
      <c r="Q58" s="125"/>
    </row>
    <row r="59" spans="1:21" ht="15.75" customHeight="1" thickTop="1" thickBot="1" x14ac:dyDescent="0.3">
      <c r="A59" s="131"/>
      <c r="B59" s="114" t="s">
        <v>24</v>
      </c>
      <c r="C59" s="110" t="s">
        <v>22</v>
      </c>
      <c r="D59" s="1" t="s">
        <v>15</v>
      </c>
      <c r="E59" s="21" t="s">
        <v>88</v>
      </c>
      <c r="F59" s="68">
        <v>10</v>
      </c>
      <c r="G59" s="3">
        <v>8</v>
      </c>
      <c r="H59" s="48">
        <v>1</v>
      </c>
      <c r="I59" s="48">
        <f>G59*H59</f>
        <v>8</v>
      </c>
      <c r="J59" s="7">
        <f>1</f>
        <v>1</v>
      </c>
      <c r="K59" s="4">
        <f>J59*H59*G59</f>
        <v>8</v>
      </c>
      <c r="L59" s="90">
        <f>F59-G59</f>
        <v>2</v>
      </c>
      <c r="M59" s="91">
        <v>1</v>
      </c>
      <c r="N59" s="91">
        <f>M59*L59</f>
        <v>2</v>
      </c>
      <c r="O59" s="7">
        <v>0</v>
      </c>
      <c r="P59" s="4">
        <f>O59*M59*L59</f>
        <v>0</v>
      </c>
      <c r="Q59" s="8">
        <f>P59+K59</f>
        <v>8</v>
      </c>
      <c r="U59" s="168"/>
    </row>
    <row r="60" spans="1:21" ht="15.75" customHeight="1" thickBot="1" x14ac:dyDescent="0.3">
      <c r="A60" s="131"/>
      <c r="B60" s="114"/>
      <c r="C60" s="110"/>
      <c r="D60" s="43" t="s">
        <v>82</v>
      </c>
      <c r="E60" s="79" t="s">
        <v>87</v>
      </c>
      <c r="F60" s="58">
        <f>G59-6</f>
        <v>2</v>
      </c>
      <c r="G60" s="12">
        <f>F60*0.8</f>
        <v>1.6</v>
      </c>
      <c r="H60" s="13">
        <v>1</v>
      </c>
      <c r="I60" s="14">
        <f>G60*H60</f>
        <v>1.6</v>
      </c>
      <c r="J60" s="18">
        <v>0.33</v>
      </c>
      <c r="K60" s="15">
        <f t="shared" ref="K60" si="48">J60*H60*G60</f>
        <v>0.52800000000000002</v>
      </c>
      <c r="L60" s="12">
        <f>F60-G60</f>
        <v>0.39999999999999991</v>
      </c>
      <c r="M60" s="13">
        <v>1</v>
      </c>
      <c r="N60" s="14">
        <f>M60*L60</f>
        <v>0.39999999999999991</v>
      </c>
      <c r="O60" s="18">
        <f>0</f>
        <v>0</v>
      </c>
      <c r="P60" s="15">
        <f>O60*L60*M60</f>
        <v>0</v>
      </c>
      <c r="Q60" s="19">
        <f>P60+K60</f>
        <v>0.52800000000000002</v>
      </c>
    </row>
    <row r="61" spans="1:21" ht="15.75" customHeight="1" thickBot="1" x14ac:dyDescent="0.3">
      <c r="A61" s="131"/>
      <c r="B61" s="114"/>
      <c r="C61" s="110"/>
      <c r="D61" s="56" t="s">
        <v>54</v>
      </c>
      <c r="E61" s="109" t="s">
        <v>96</v>
      </c>
      <c r="F61" s="69">
        <v>10</v>
      </c>
      <c r="G61" s="12">
        <f>F61*0.25</f>
        <v>2.5</v>
      </c>
      <c r="H61" s="14">
        <v>1</v>
      </c>
      <c r="I61" s="14">
        <f t="shared" ref="I61:I67" si="49">G61*H61</f>
        <v>2.5</v>
      </c>
      <c r="J61" s="13">
        <v>7.0000000000000007E-2</v>
      </c>
      <c r="K61" s="15">
        <f t="shared" ref="K61:K67" si="50">J61*H61*G61</f>
        <v>0.17500000000000002</v>
      </c>
      <c r="L61" s="12">
        <f t="shared" ref="L61:L67" si="51">F61-G61</f>
        <v>7.5</v>
      </c>
      <c r="M61" s="14">
        <v>1</v>
      </c>
      <c r="N61" s="14">
        <f t="shared" ref="N61:N67" si="52">M61*L61</f>
        <v>7.5</v>
      </c>
      <c r="O61" s="13">
        <v>0.02</v>
      </c>
      <c r="P61" s="15">
        <f t="shared" ref="P61:P67" si="53">O61*M61*L61</f>
        <v>0.15</v>
      </c>
      <c r="Q61" s="19">
        <f t="shared" ref="Q61:Q67" si="54">P61+K61</f>
        <v>0.32500000000000001</v>
      </c>
    </row>
    <row r="62" spans="1:21" ht="15.75" customHeight="1" thickBot="1" x14ac:dyDescent="0.3">
      <c r="A62" s="131"/>
      <c r="B62" s="114"/>
      <c r="C62" s="110"/>
      <c r="D62" s="56" t="s">
        <v>55</v>
      </c>
      <c r="E62" s="110"/>
      <c r="F62" s="69">
        <f>L61</f>
        <v>7.5</v>
      </c>
      <c r="G62" s="12">
        <f t="shared" ref="G62:G63" si="55">F62*0.25</f>
        <v>1.875</v>
      </c>
      <c r="H62" s="14">
        <v>1</v>
      </c>
      <c r="I62" s="14">
        <f t="shared" si="49"/>
        <v>1.875</v>
      </c>
      <c r="J62" s="13">
        <v>7.0000000000000007E-2</v>
      </c>
      <c r="K62" s="15">
        <f t="shared" si="50"/>
        <v>0.13125000000000001</v>
      </c>
      <c r="L62" s="12">
        <f t="shared" si="51"/>
        <v>5.625</v>
      </c>
      <c r="M62" s="14">
        <v>1</v>
      </c>
      <c r="N62" s="14">
        <f t="shared" si="52"/>
        <v>5.625</v>
      </c>
      <c r="O62" s="13">
        <v>0.02</v>
      </c>
      <c r="P62" s="15">
        <f t="shared" si="53"/>
        <v>0.1125</v>
      </c>
      <c r="Q62" s="19">
        <f t="shared" si="54"/>
        <v>0.24375000000000002</v>
      </c>
    </row>
    <row r="63" spans="1:21" ht="15.75" customHeight="1" thickBot="1" x14ac:dyDescent="0.3">
      <c r="A63" s="131"/>
      <c r="B63" s="114"/>
      <c r="C63" s="110"/>
      <c r="D63" s="56" t="s">
        <v>56</v>
      </c>
      <c r="E63" s="111"/>
      <c r="F63" s="69">
        <f>L62</f>
        <v>5.625</v>
      </c>
      <c r="G63" s="12">
        <f t="shared" si="55"/>
        <v>1.40625</v>
      </c>
      <c r="H63" s="14">
        <v>1</v>
      </c>
      <c r="I63" s="14">
        <f t="shared" si="49"/>
        <v>1.40625</v>
      </c>
      <c r="J63" s="13">
        <v>7.0000000000000007E-2</v>
      </c>
      <c r="K63" s="15">
        <f t="shared" si="50"/>
        <v>9.8437500000000011E-2</v>
      </c>
      <c r="L63" s="12">
        <f t="shared" si="51"/>
        <v>4.21875</v>
      </c>
      <c r="M63" s="14">
        <v>0</v>
      </c>
      <c r="N63" s="14">
        <f t="shared" si="52"/>
        <v>0</v>
      </c>
      <c r="O63" s="13">
        <v>0.02</v>
      </c>
      <c r="P63" s="15">
        <f>O63*M63*L63</f>
        <v>0</v>
      </c>
      <c r="Q63" s="19">
        <f t="shared" si="54"/>
        <v>9.8437500000000011E-2</v>
      </c>
    </row>
    <row r="64" spans="1:21" ht="15.75" customHeight="1" thickBot="1" x14ac:dyDescent="0.3">
      <c r="A64" s="131"/>
      <c r="B64" s="114"/>
      <c r="C64" s="110"/>
      <c r="D64" s="56" t="s">
        <v>33</v>
      </c>
      <c r="E64" s="57" t="s">
        <v>101</v>
      </c>
      <c r="F64" s="58">
        <v>10</v>
      </c>
      <c r="G64" s="12">
        <f>F64*0.2</f>
        <v>2</v>
      </c>
      <c r="H64" s="13">
        <v>1</v>
      </c>
      <c r="I64" s="14">
        <f t="shared" si="49"/>
        <v>2</v>
      </c>
      <c r="J64" s="13">
        <v>0.05</v>
      </c>
      <c r="K64" s="15">
        <f t="shared" si="50"/>
        <v>0.1</v>
      </c>
      <c r="L64" s="12">
        <f t="shared" si="51"/>
        <v>8</v>
      </c>
      <c r="M64" s="14">
        <v>1</v>
      </c>
      <c r="N64" s="14">
        <f t="shared" si="52"/>
        <v>8</v>
      </c>
      <c r="O64" s="13">
        <v>0.02</v>
      </c>
      <c r="P64" s="15">
        <f t="shared" si="53"/>
        <v>0.16</v>
      </c>
      <c r="Q64" s="19">
        <f t="shared" si="54"/>
        <v>0.26</v>
      </c>
    </row>
    <row r="65" spans="1:17" ht="15.75" customHeight="1" thickBot="1" x14ac:dyDescent="0.3">
      <c r="A65" s="131"/>
      <c r="B65" s="114"/>
      <c r="C65" s="110"/>
      <c r="D65" s="56" t="s">
        <v>34</v>
      </c>
      <c r="E65" s="61" t="s">
        <v>102</v>
      </c>
      <c r="F65" s="58">
        <v>8</v>
      </c>
      <c r="G65" s="60">
        <v>8</v>
      </c>
      <c r="H65" s="13">
        <v>1</v>
      </c>
      <c r="I65" s="13">
        <f t="shared" si="49"/>
        <v>8</v>
      </c>
      <c r="J65" s="13">
        <v>0.05</v>
      </c>
      <c r="K65" s="15">
        <f t="shared" si="50"/>
        <v>0.4</v>
      </c>
      <c r="L65" s="12">
        <f t="shared" si="51"/>
        <v>0</v>
      </c>
      <c r="M65" s="14">
        <v>0</v>
      </c>
      <c r="N65" s="14">
        <f t="shared" si="52"/>
        <v>0</v>
      </c>
      <c r="O65" s="13">
        <v>0.02</v>
      </c>
      <c r="P65" s="15">
        <f t="shared" si="53"/>
        <v>0</v>
      </c>
      <c r="Q65" s="19">
        <f t="shared" si="54"/>
        <v>0.4</v>
      </c>
    </row>
    <row r="66" spans="1:17" ht="15.75" customHeight="1" thickBot="1" x14ac:dyDescent="0.3">
      <c r="A66" s="131"/>
      <c r="B66" s="114"/>
      <c r="C66" s="110"/>
      <c r="D66" s="56" t="s">
        <v>35</v>
      </c>
      <c r="E66" s="61" t="s">
        <v>37</v>
      </c>
      <c r="F66" s="58">
        <v>8</v>
      </c>
      <c r="G66" s="60">
        <v>8</v>
      </c>
      <c r="H66" s="13">
        <v>1</v>
      </c>
      <c r="I66" s="13">
        <f t="shared" si="49"/>
        <v>8</v>
      </c>
      <c r="J66" s="13">
        <v>0.02</v>
      </c>
      <c r="K66" s="15">
        <f t="shared" si="50"/>
        <v>0.16</v>
      </c>
      <c r="L66" s="12">
        <f t="shared" si="51"/>
        <v>0</v>
      </c>
      <c r="M66" s="14">
        <v>0</v>
      </c>
      <c r="N66" s="14">
        <f t="shared" si="52"/>
        <v>0</v>
      </c>
      <c r="O66" s="13">
        <v>0.02</v>
      </c>
      <c r="P66" s="15">
        <f t="shared" si="53"/>
        <v>0</v>
      </c>
      <c r="Q66" s="19">
        <f t="shared" si="54"/>
        <v>0.16</v>
      </c>
    </row>
    <row r="67" spans="1:17" ht="15.75" customHeight="1" thickBot="1" x14ac:dyDescent="0.3">
      <c r="A67" s="131"/>
      <c r="B67" s="127"/>
      <c r="C67" s="111"/>
      <c r="D67" s="43" t="s">
        <v>74</v>
      </c>
      <c r="E67" s="61" t="s">
        <v>38</v>
      </c>
      <c r="F67" s="58">
        <v>8</v>
      </c>
      <c r="G67" s="60">
        <v>8</v>
      </c>
      <c r="H67" s="13">
        <v>1</v>
      </c>
      <c r="I67" s="13">
        <f t="shared" si="49"/>
        <v>8</v>
      </c>
      <c r="J67" s="13">
        <v>0.04</v>
      </c>
      <c r="K67" s="15">
        <f t="shared" si="50"/>
        <v>0.32</v>
      </c>
      <c r="L67" s="12">
        <f t="shared" si="51"/>
        <v>0</v>
      </c>
      <c r="M67" s="14">
        <v>0</v>
      </c>
      <c r="N67" s="14">
        <f t="shared" si="52"/>
        <v>0</v>
      </c>
      <c r="O67" s="13">
        <v>0.02</v>
      </c>
      <c r="P67" s="15">
        <f t="shared" si="53"/>
        <v>0</v>
      </c>
      <c r="Q67" s="19">
        <f t="shared" si="54"/>
        <v>0.32</v>
      </c>
    </row>
    <row r="68" spans="1:17" ht="15.75" thickBot="1" x14ac:dyDescent="0.3">
      <c r="A68" s="169"/>
      <c r="B68" s="121" t="s">
        <v>32</v>
      </c>
      <c r="C68" s="122"/>
      <c r="D68" s="102"/>
      <c r="E68" s="102"/>
      <c r="F68" s="102"/>
      <c r="G68" s="70">
        <f>G59</f>
        <v>8</v>
      </c>
      <c r="H68" s="82">
        <f>I68/G68</f>
        <v>5.1726562500000002</v>
      </c>
      <c r="I68" s="76">
        <f>SUM(I59:I67)</f>
        <v>41.381250000000001</v>
      </c>
      <c r="J68" s="80">
        <f>K68/I68</f>
        <v>0.2395453858933696</v>
      </c>
      <c r="K68" s="81">
        <f>SUM(K59:K67)</f>
        <v>9.9126875000000005</v>
      </c>
      <c r="L68" s="92">
        <f>L59</f>
        <v>2</v>
      </c>
      <c r="M68" s="82">
        <f>N68/L68</f>
        <v>11.762499999999999</v>
      </c>
      <c r="N68" s="76">
        <f>SUM(N59:N67)</f>
        <v>23.524999999999999</v>
      </c>
      <c r="O68" s="80">
        <f>P68/N68</f>
        <v>1.79596174282678E-2</v>
      </c>
      <c r="P68" s="81">
        <f>SUM(P59:P67)</f>
        <v>0.42249999999999999</v>
      </c>
      <c r="Q68" s="77">
        <f>SUM(Q59:Q67)</f>
        <v>10.3351875</v>
      </c>
    </row>
    <row r="69" spans="1:17" ht="15.75" thickBot="1" x14ac:dyDescent="0.3">
      <c r="A69" s="169"/>
      <c r="B69" s="119" t="s">
        <v>25</v>
      </c>
      <c r="C69" s="120"/>
      <c r="D69" s="120"/>
      <c r="E69" s="120"/>
      <c r="F69" s="120"/>
      <c r="G69" s="93">
        <f>G35+G46+G57+G68</f>
        <v>657</v>
      </c>
      <c r="H69" s="97">
        <f>I69/G69</f>
        <v>3.597889229769152</v>
      </c>
      <c r="I69" s="94">
        <f>I35+I46+I57+I68</f>
        <v>2363.8132239583329</v>
      </c>
      <c r="J69" s="95">
        <f>K69/I69</f>
        <v>0.15735187142524415</v>
      </c>
      <c r="K69" s="96">
        <f>K35+K46+K57+K68</f>
        <v>371.95043448958342</v>
      </c>
      <c r="L69" s="93">
        <f>L35+L46+L57+L68</f>
        <v>152</v>
      </c>
      <c r="M69" s="97">
        <f>N69/L69</f>
        <v>20.273529708059211</v>
      </c>
      <c r="N69" s="94">
        <f>N35+N46+N57+N68</f>
        <v>3081.576515625</v>
      </c>
      <c r="O69" s="95">
        <f>P69/N69</f>
        <v>1.9857215941980026E-2</v>
      </c>
      <c r="P69" s="96">
        <f>P35+P46+P57+P68</f>
        <v>61.191530312500007</v>
      </c>
      <c r="Q69" s="98">
        <f>Q35+Q46+Q57+Q68</f>
        <v>433.14196480208329</v>
      </c>
    </row>
    <row r="70" spans="1:17" ht="17.25" thickTop="1" thickBot="1" x14ac:dyDescent="0.3">
      <c r="A70" s="131"/>
      <c r="B70" s="170" t="s">
        <v>111</v>
      </c>
      <c r="C70" s="171"/>
      <c r="D70" s="171"/>
      <c r="E70" s="171"/>
      <c r="F70" s="171"/>
      <c r="G70" s="171"/>
      <c r="H70" s="171"/>
      <c r="I70" s="171"/>
      <c r="J70" s="171"/>
      <c r="K70" s="171"/>
      <c r="L70" s="171"/>
      <c r="M70" s="171"/>
      <c r="N70" s="171"/>
      <c r="O70" s="171"/>
      <c r="P70" s="171"/>
      <c r="Q70" s="172"/>
    </row>
    <row r="71" spans="1:17" ht="15.75" thickBot="1" x14ac:dyDescent="0.3">
      <c r="A71" s="131"/>
      <c r="B71" s="173" t="s">
        <v>104</v>
      </c>
      <c r="C71" s="171"/>
      <c r="D71" s="171"/>
      <c r="E71" s="171"/>
      <c r="F71" s="171"/>
      <c r="G71" s="171"/>
      <c r="H71" s="171"/>
      <c r="I71" s="171"/>
      <c r="J71" s="171"/>
      <c r="K71" s="171"/>
      <c r="L71" s="171"/>
      <c r="M71" s="171"/>
      <c r="N71" s="171"/>
      <c r="O71" s="171"/>
      <c r="P71" s="171"/>
      <c r="Q71" s="172"/>
    </row>
    <row r="72" spans="1:17" x14ac:dyDescent="0.25">
      <c r="A72" s="131"/>
      <c r="B72" s="131"/>
      <c r="C72" s="131"/>
      <c r="D72" s="131"/>
      <c r="E72" s="131"/>
      <c r="F72" s="131"/>
      <c r="G72" s="131"/>
      <c r="H72" s="131"/>
      <c r="I72" s="131"/>
      <c r="J72" s="131"/>
      <c r="K72" s="131"/>
      <c r="L72" s="131"/>
      <c r="M72" s="131"/>
      <c r="N72" s="131"/>
      <c r="O72" s="131"/>
      <c r="P72" s="131"/>
      <c r="Q72" s="131"/>
    </row>
    <row r="73" spans="1:17" x14ac:dyDescent="0.25">
      <c r="A73" s="131"/>
      <c r="B73" s="131"/>
      <c r="C73" s="131" t="s">
        <v>26</v>
      </c>
      <c r="D73" s="131"/>
      <c r="E73" s="131"/>
      <c r="F73" s="131"/>
      <c r="G73" s="131">
        <f>G69+L69</f>
        <v>809</v>
      </c>
      <c r="H73" s="131"/>
      <c r="I73" s="131"/>
      <c r="J73" s="131"/>
      <c r="K73" s="131"/>
      <c r="L73" s="131"/>
      <c r="M73" s="131"/>
      <c r="N73" s="131"/>
      <c r="O73" s="131"/>
      <c r="P73" s="131"/>
      <c r="Q73" s="174"/>
    </row>
    <row r="74" spans="1:17" x14ac:dyDescent="0.25">
      <c r="A74" s="131"/>
      <c r="B74" s="131"/>
      <c r="C74" s="131" t="s">
        <v>27</v>
      </c>
      <c r="D74" s="131"/>
      <c r="E74" s="131"/>
      <c r="F74" s="131"/>
      <c r="G74" s="175">
        <f>I69+N69</f>
        <v>5445.3897395833328</v>
      </c>
      <c r="H74" s="131"/>
      <c r="I74" s="131"/>
      <c r="J74" s="131"/>
      <c r="K74" s="131"/>
      <c r="L74" s="131"/>
      <c r="M74" s="131"/>
      <c r="N74" s="131"/>
      <c r="O74" s="131"/>
      <c r="P74" s="131"/>
      <c r="Q74" s="131"/>
    </row>
    <row r="75" spans="1:17" x14ac:dyDescent="0.25">
      <c r="A75" s="131"/>
      <c r="B75" s="131"/>
      <c r="C75" s="131" t="s">
        <v>28</v>
      </c>
      <c r="D75" s="131"/>
      <c r="E75" s="131"/>
      <c r="F75" s="131"/>
      <c r="G75" s="174">
        <f>K69+P69</f>
        <v>433.14196480208341</v>
      </c>
      <c r="H75" s="131"/>
      <c r="I75" s="131"/>
      <c r="J75" s="131"/>
      <c r="K75" s="131"/>
      <c r="L75" s="131"/>
      <c r="M75" s="131"/>
      <c r="N75" s="131"/>
      <c r="O75" s="131"/>
      <c r="P75" s="131"/>
      <c r="Q75" s="131"/>
    </row>
    <row r="76" spans="1:17" x14ac:dyDescent="0.25">
      <c r="A76" s="131"/>
      <c r="B76" s="131"/>
      <c r="C76" s="131" t="s">
        <v>29</v>
      </c>
      <c r="D76" s="131"/>
      <c r="E76" s="131"/>
      <c r="F76" s="131"/>
      <c r="G76" s="174">
        <f>(I69+N69)/(G69+L69)</f>
        <v>6.7310132751339093</v>
      </c>
      <c r="H76" s="131"/>
      <c r="I76" s="131"/>
      <c r="J76" s="131"/>
      <c r="K76" s="131"/>
      <c r="L76" s="131"/>
      <c r="M76" s="131"/>
      <c r="N76" s="131"/>
      <c r="O76" s="131"/>
      <c r="P76" s="131"/>
      <c r="Q76" s="131"/>
    </row>
    <row r="77" spans="1:17" x14ac:dyDescent="0.25">
      <c r="A77" s="131"/>
      <c r="B77" s="131"/>
      <c r="C77" s="131" t="s">
        <v>30</v>
      </c>
      <c r="D77" s="131"/>
      <c r="E77" s="131"/>
      <c r="F77" s="131"/>
      <c r="G77" s="174">
        <f>(K69+P69)/(I69+N69)</f>
        <v>7.9542876729926465E-2</v>
      </c>
      <c r="H77" s="131"/>
      <c r="I77" s="131"/>
      <c r="J77" s="131"/>
      <c r="K77" s="131"/>
      <c r="L77" s="131"/>
      <c r="M77" s="131"/>
      <c r="N77" s="131"/>
      <c r="O77" s="131"/>
      <c r="P77" s="131"/>
      <c r="Q77" s="131"/>
    </row>
    <row r="78" spans="1:17" x14ac:dyDescent="0.25">
      <c r="A78" s="131"/>
      <c r="B78" s="131"/>
      <c r="C78" s="131"/>
      <c r="D78" s="131"/>
      <c r="E78" s="131"/>
      <c r="F78" s="131"/>
      <c r="G78" s="131"/>
      <c r="H78" s="131"/>
      <c r="I78" s="131"/>
      <c r="J78" s="131"/>
      <c r="K78" s="131"/>
      <c r="L78" s="131"/>
      <c r="M78" s="131"/>
      <c r="N78" s="131"/>
      <c r="O78" s="131"/>
      <c r="P78" s="131"/>
      <c r="Q78" s="131"/>
    </row>
    <row r="79" spans="1:17" x14ac:dyDescent="0.25">
      <c r="A79" s="131"/>
      <c r="B79" s="131"/>
      <c r="C79" s="131"/>
      <c r="D79" s="131"/>
      <c r="E79" s="131"/>
      <c r="F79" s="131"/>
      <c r="G79" s="131"/>
      <c r="H79" s="131"/>
      <c r="I79" s="131"/>
      <c r="J79" s="131"/>
      <c r="K79" s="131"/>
      <c r="L79" s="131"/>
      <c r="M79" s="131"/>
      <c r="N79" s="131"/>
      <c r="O79" s="131"/>
      <c r="P79" s="131"/>
      <c r="Q79" s="131"/>
    </row>
    <row r="80" spans="1:17" x14ac:dyDescent="0.25">
      <c r="A80" s="131"/>
      <c r="B80" s="131"/>
      <c r="C80" s="131"/>
      <c r="D80" s="131"/>
      <c r="E80" s="131"/>
      <c r="F80" s="131"/>
      <c r="G80" s="131"/>
      <c r="H80" s="131"/>
      <c r="I80" s="131"/>
      <c r="J80" s="131"/>
      <c r="K80" s="131"/>
      <c r="L80" s="131"/>
      <c r="M80" s="131"/>
      <c r="N80" s="176"/>
      <c r="O80" s="177"/>
      <c r="P80" s="176"/>
      <c r="Q80" s="131"/>
    </row>
    <row r="81" spans="1:17" x14ac:dyDescent="0.25">
      <c r="A81" s="131"/>
      <c r="C81" s="178" t="s">
        <v>39</v>
      </c>
      <c r="D81" s="178" t="s">
        <v>40</v>
      </c>
      <c r="E81" s="178" t="s">
        <v>41</v>
      </c>
      <c r="F81" s="178">
        <v>0.05</v>
      </c>
      <c r="G81" s="131"/>
      <c r="H81" s="131"/>
      <c r="I81" s="131"/>
      <c r="J81" s="131"/>
      <c r="K81" s="131"/>
      <c r="L81" s="131"/>
      <c r="M81" s="131"/>
      <c r="N81" s="176"/>
      <c r="O81" s="177"/>
      <c r="P81" s="176"/>
      <c r="Q81" s="131"/>
    </row>
    <row r="82" spans="1:17" x14ac:dyDescent="0.25">
      <c r="A82" s="131"/>
      <c r="C82" s="178"/>
      <c r="D82" s="178" t="s">
        <v>42</v>
      </c>
      <c r="E82" s="178" t="s">
        <v>43</v>
      </c>
      <c r="F82" s="178">
        <v>0.02</v>
      </c>
      <c r="G82" s="131"/>
      <c r="H82" s="131"/>
      <c r="I82" s="131"/>
      <c r="J82" s="131"/>
      <c r="K82" s="131"/>
      <c r="L82" s="131"/>
      <c r="M82" s="131"/>
      <c r="N82" s="176"/>
      <c r="O82" s="177"/>
      <c r="P82" s="176"/>
      <c r="Q82" s="131"/>
    </row>
    <row r="83" spans="1:17" x14ac:dyDescent="0.25">
      <c r="C83" s="178"/>
      <c r="D83" s="178" t="s">
        <v>44</v>
      </c>
      <c r="E83" s="178" t="s">
        <v>53</v>
      </c>
      <c r="F83" s="178">
        <v>7.0000000000000007E-2</v>
      </c>
    </row>
    <row r="84" spans="1:17" x14ac:dyDescent="0.25">
      <c r="C84" s="178"/>
      <c r="D84" s="178" t="s">
        <v>45</v>
      </c>
      <c r="E84" s="178" t="s">
        <v>43</v>
      </c>
      <c r="F84" s="178">
        <v>0.02</v>
      </c>
    </row>
    <row r="85" spans="1:17" x14ac:dyDescent="0.25">
      <c r="C85" s="178"/>
      <c r="D85" s="178" t="s">
        <v>46</v>
      </c>
      <c r="E85" s="178" t="s">
        <v>43</v>
      </c>
      <c r="F85" s="178">
        <v>0.02</v>
      </c>
    </row>
    <row r="86" spans="1:17" x14ac:dyDescent="0.25">
      <c r="C86" s="178"/>
      <c r="D86" s="178" t="s">
        <v>47</v>
      </c>
      <c r="E86" s="178" t="s">
        <v>43</v>
      </c>
      <c r="F86" s="178">
        <v>0.02</v>
      </c>
    </row>
    <row r="87" spans="1:17" x14ac:dyDescent="0.25">
      <c r="C87" s="178"/>
      <c r="D87" s="179" t="s">
        <v>48</v>
      </c>
      <c r="E87" s="178" t="s">
        <v>43</v>
      </c>
      <c r="F87" s="178">
        <v>0.02</v>
      </c>
    </row>
    <row r="88" spans="1:17" x14ac:dyDescent="0.25">
      <c r="C88" s="178"/>
      <c r="D88" s="179" t="s">
        <v>49</v>
      </c>
      <c r="E88" s="178" t="s">
        <v>50</v>
      </c>
      <c r="F88" s="178">
        <v>0.03</v>
      </c>
    </row>
    <row r="89" spans="1:17" x14ac:dyDescent="0.25">
      <c r="C89" s="178"/>
      <c r="D89" s="179" t="s">
        <v>51</v>
      </c>
      <c r="E89" s="178" t="s">
        <v>41</v>
      </c>
      <c r="F89" s="178">
        <v>0.05</v>
      </c>
    </row>
    <row r="90" spans="1:17" x14ac:dyDescent="0.25">
      <c r="C90" s="178"/>
      <c r="D90" s="179" t="s">
        <v>52</v>
      </c>
      <c r="E90" s="178" t="s">
        <v>79</v>
      </c>
      <c r="F90" s="178">
        <v>0.04</v>
      </c>
    </row>
  </sheetData>
  <mergeCells count="35">
    <mergeCell ref="B71:Q71"/>
    <mergeCell ref="B69:F69"/>
    <mergeCell ref="B46:F46"/>
    <mergeCell ref="B47:Q47"/>
    <mergeCell ref="B68:F68"/>
    <mergeCell ref="C59:C67"/>
    <mergeCell ref="E61:E63"/>
    <mergeCell ref="E50:E52"/>
    <mergeCell ref="C48:C56"/>
    <mergeCell ref="B58:Q58"/>
    <mergeCell ref="B48:B56"/>
    <mergeCell ref="B57:F57"/>
    <mergeCell ref="B59:B67"/>
    <mergeCell ref="C37:C45"/>
    <mergeCell ref="B37:B45"/>
    <mergeCell ref="E39:E41"/>
    <mergeCell ref="B5:B34"/>
    <mergeCell ref="C27:C34"/>
    <mergeCell ref="E29:E31"/>
    <mergeCell ref="C6:C26"/>
    <mergeCell ref="B70:Q70"/>
    <mergeCell ref="Q2:Q3"/>
    <mergeCell ref="B4:Q4"/>
    <mergeCell ref="B35:F35"/>
    <mergeCell ref="B36:Q36"/>
    <mergeCell ref="B2:B3"/>
    <mergeCell ref="C2:C3"/>
    <mergeCell ref="D2:D3"/>
    <mergeCell ref="F2:F3"/>
    <mergeCell ref="G2:K2"/>
    <mergeCell ref="L2:P2"/>
    <mergeCell ref="E17:E19"/>
    <mergeCell ref="E11:E14"/>
    <mergeCell ref="E2:E3"/>
    <mergeCell ref="E9:E10"/>
  </mergeCells>
  <pageMargins left="0.7" right="0.7" top="0.75" bottom="0.75" header="0.3" footer="0.3"/>
  <pageSetup scale="60" fitToHeight="0" orientation="portrait" horizontalDpi="4294967295" verticalDpi="4294967295" r:id="rId1"/>
  <ignoredErrors>
    <ignoredError sqref="K27"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Sodium Burden Table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Amy Wieczorek, MPH</dc:creator>
  <cp:lastModifiedBy>Amy Wieczorek, MPH</cp:lastModifiedBy>
  <cp:lastPrinted>2016-10-20T19:55:16Z</cp:lastPrinted>
  <dcterms:created xsi:type="dcterms:W3CDTF">2016-03-28T20:53:35Z</dcterms:created>
  <dcterms:modified xsi:type="dcterms:W3CDTF">2016-10-24T16:49:48Z</dcterms:modified>
</cp:coreProperties>
</file>