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0490" windowHeight="7455"/>
  </bookViews>
  <sheets>
    <sheet name="Feasibility Burden Table" sheetId="1" r:id="rId1"/>
    <sheet name=" Pilot Test Burden" sheetId="6" r:id="rId2"/>
    <sheet name="Cost Estimate Old" sheetId="7" state="hidden" r:id="rId3"/>
    <sheet name="Cost Estimate" sheetId="8" r:id="rId4"/>
  </sheets>
  <definedNames>
    <definedName name="_xlnm.Print_Area" localSheetId="1">' Pilot Test Burden'!$A$1:$R$42</definedName>
    <definedName name="_xlnm.Print_Area" localSheetId="0">'Feasibility Burden Table'!$A$1:$S$51</definedName>
    <definedName name="_xlnm.Print_Titles" localSheetId="1">' Pilot Test Burden'!$2:$3</definedName>
    <definedName name="_xlnm.Print_Titles" localSheetId="0">'Feasibility Burden Table'!$2:$3</definedName>
  </definedNames>
  <calcPr calcId="145621"/>
</workbook>
</file>

<file path=xl/calcChain.xml><?xml version="1.0" encoding="utf-8"?>
<calcChain xmlns="http://schemas.openxmlformats.org/spreadsheetml/2006/main">
  <c r="L31" i="6" l="1"/>
  <c r="I7" i="6" l="1"/>
  <c r="I22" i="6"/>
  <c r="J31" i="6"/>
  <c r="I31" i="6"/>
  <c r="G31" i="6"/>
  <c r="G22" i="6"/>
  <c r="G7" i="6"/>
  <c r="O7" i="6"/>
  <c r="M7" i="6"/>
  <c r="H31" i="6"/>
  <c r="J22" i="6"/>
  <c r="H22" i="6"/>
  <c r="J7" i="6"/>
  <c r="H7" i="6"/>
  <c r="L9" i="1" l="1"/>
  <c r="M38" i="8" l="1"/>
  <c r="L38" i="8"/>
  <c r="G38" i="8"/>
  <c r="O37" i="8"/>
  <c r="P37" i="8" s="1"/>
  <c r="N37" i="8"/>
  <c r="J37" i="8"/>
  <c r="I37" i="8"/>
  <c r="K37" i="8" s="1"/>
  <c r="F37" i="8"/>
  <c r="O36" i="8"/>
  <c r="N36" i="8"/>
  <c r="P36" i="8" s="1"/>
  <c r="J36" i="8"/>
  <c r="I36" i="8"/>
  <c r="F36" i="8"/>
  <c r="O35" i="8"/>
  <c r="N35" i="8"/>
  <c r="P35" i="8" s="1"/>
  <c r="J35" i="8"/>
  <c r="I35" i="8"/>
  <c r="F35" i="8"/>
  <c r="N34" i="8"/>
  <c r="J34" i="8"/>
  <c r="O34" i="8" s="1"/>
  <c r="I34" i="8"/>
  <c r="F34" i="8"/>
  <c r="N33" i="8"/>
  <c r="J33" i="8"/>
  <c r="O33" i="8" s="1"/>
  <c r="P33" i="8" s="1"/>
  <c r="I33" i="8"/>
  <c r="F33" i="8"/>
  <c r="N32" i="8"/>
  <c r="J32" i="8"/>
  <c r="O32" i="8" s="1"/>
  <c r="P32" i="8" s="1"/>
  <c r="I32" i="8"/>
  <c r="F32" i="8"/>
  <c r="N31" i="8"/>
  <c r="K31" i="8"/>
  <c r="J31" i="8"/>
  <c r="O31" i="8" s="1"/>
  <c r="I31" i="8"/>
  <c r="F31" i="8"/>
  <c r="N29" i="8"/>
  <c r="G29" i="8"/>
  <c r="N28" i="8"/>
  <c r="J28" i="8"/>
  <c r="O28" i="8" s="1"/>
  <c r="P28" i="8" s="1"/>
  <c r="I28" i="8"/>
  <c r="F28" i="8"/>
  <c r="N27" i="8"/>
  <c r="J27" i="8"/>
  <c r="O27" i="8" s="1"/>
  <c r="P27" i="8" s="1"/>
  <c r="I27" i="8"/>
  <c r="F27" i="8"/>
  <c r="O26" i="8"/>
  <c r="N26" i="8"/>
  <c r="P26" i="8" s="1"/>
  <c r="I26" i="8"/>
  <c r="K26" i="8" s="1"/>
  <c r="F26" i="8"/>
  <c r="O25" i="8"/>
  <c r="N25" i="8"/>
  <c r="I25" i="8"/>
  <c r="K25" i="8" s="1"/>
  <c r="F25" i="8"/>
  <c r="N24" i="8"/>
  <c r="J24" i="8"/>
  <c r="O24" i="8" s="1"/>
  <c r="I24" i="8"/>
  <c r="F24" i="8"/>
  <c r="N23" i="8"/>
  <c r="J23" i="8"/>
  <c r="O23" i="8" s="1"/>
  <c r="I23" i="8"/>
  <c r="F23" i="8"/>
  <c r="N22" i="8"/>
  <c r="J22" i="8"/>
  <c r="O22" i="8" s="1"/>
  <c r="I22" i="8"/>
  <c r="F22" i="8"/>
  <c r="M21" i="8"/>
  <c r="N21" i="8" s="1"/>
  <c r="J21" i="8"/>
  <c r="O21" i="8" s="1"/>
  <c r="I21" i="8"/>
  <c r="F21" i="8"/>
  <c r="M20" i="8"/>
  <c r="N20" i="8" s="1"/>
  <c r="J20" i="8"/>
  <c r="O20" i="8" s="1"/>
  <c r="I20" i="8"/>
  <c r="F20" i="8"/>
  <c r="M19" i="8"/>
  <c r="N19" i="8" s="1"/>
  <c r="K19" i="8"/>
  <c r="J19" i="8"/>
  <c r="O19" i="8" s="1"/>
  <c r="I19" i="8"/>
  <c r="F19" i="8"/>
  <c r="O18" i="8"/>
  <c r="N18" i="8"/>
  <c r="I18" i="8"/>
  <c r="K18" i="8" s="1"/>
  <c r="F18" i="8"/>
  <c r="O17" i="8"/>
  <c r="N17" i="8"/>
  <c r="I17" i="8"/>
  <c r="K17" i="8" s="1"/>
  <c r="F17" i="8"/>
  <c r="O16" i="8"/>
  <c r="N16" i="8"/>
  <c r="I16" i="8"/>
  <c r="K16" i="8" s="1"/>
  <c r="F16" i="8"/>
  <c r="O15" i="8"/>
  <c r="N15" i="8"/>
  <c r="I15" i="8"/>
  <c r="K15" i="8" s="1"/>
  <c r="F15" i="8"/>
  <c r="O14" i="8"/>
  <c r="N14" i="8"/>
  <c r="I14" i="8"/>
  <c r="K14" i="8" s="1"/>
  <c r="F14" i="8"/>
  <c r="O13" i="8"/>
  <c r="N13" i="8"/>
  <c r="I13" i="8"/>
  <c r="K13" i="8" s="1"/>
  <c r="F13" i="8"/>
  <c r="O12" i="8"/>
  <c r="N12" i="8"/>
  <c r="J12" i="8"/>
  <c r="K12" i="8" s="1"/>
  <c r="F12" i="8"/>
  <c r="O11" i="8"/>
  <c r="N11" i="8"/>
  <c r="J11" i="8"/>
  <c r="I11" i="8"/>
  <c r="K11" i="8" s="1"/>
  <c r="F11" i="8"/>
  <c r="L9" i="8"/>
  <c r="G9" i="8"/>
  <c r="O8" i="8"/>
  <c r="N8" i="8"/>
  <c r="P8" i="8" s="1"/>
  <c r="J8" i="8"/>
  <c r="I8" i="8"/>
  <c r="F8" i="8"/>
  <c r="O7" i="8"/>
  <c r="P7" i="8" s="1"/>
  <c r="N7" i="8"/>
  <c r="I7" i="8"/>
  <c r="K7" i="8" s="1"/>
  <c r="F7" i="8"/>
  <c r="O6" i="8"/>
  <c r="M6" i="8"/>
  <c r="N6" i="8" s="1"/>
  <c r="J6" i="8"/>
  <c r="I6" i="8"/>
  <c r="F6" i="8"/>
  <c r="M5" i="8"/>
  <c r="N5" i="8" s="1"/>
  <c r="J5" i="8"/>
  <c r="O5" i="8" s="1"/>
  <c r="I5" i="8"/>
  <c r="K5" i="8" s="1"/>
  <c r="F5" i="8"/>
  <c r="N35" i="1"/>
  <c r="N22" i="1"/>
  <c r="N23" i="1"/>
  <c r="N24" i="1"/>
  <c r="N25" i="1"/>
  <c r="N26" i="1"/>
  <c r="N27" i="1"/>
  <c r="N28" i="1"/>
  <c r="N12" i="1"/>
  <c r="N13" i="1"/>
  <c r="N14" i="1"/>
  <c r="N15" i="1"/>
  <c r="N16" i="1"/>
  <c r="N17" i="1"/>
  <c r="N11" i="1"/>
  <c r="N7" i="1"/>
  <c r="N8" i="1"/>
  <c r="F36" i="1"/>
  <c r="F37" i="1"/>
  <c r="F35" i="1"/>
  <c r="F6" i="1"/>
  <c r="F7" i="1"/>
  <c r="F8" i="1"/>
  <c r="F5" i="1"/>
  <c r="F12" i="1"/>
  <c r="F13" i="1"/>
  <c r="F14" i="1"/>
  <c r="F15" i="1"/>
  <c r="F16" i="1"/>
  <c r="F17" i="1"/>
  <c r="F18" i="1"/>
  <c r="F11" i="1"/>
  <c r="F32" i="1"/>
  <c r="F33" i="1"/>
  <c r="F34" i="1"/>
  <c r="F31" i="1"/>
  <c r="F28" i="1"/>
  <c r="F20" i="1"/>
  <c r="F21" i="1"/>
  <c r="F22" i="1"/>
  <c r="F23" i="1"/>
  <c r="F24" i="1"/>
  <c r="F25" i="1"/>
  <c r="F26" i="1"/>
  <c r="F27" i="1"/>
  <c r="F19" i="1"/>
  <c r="M18" i="6"/>
  <c r="M15" i="6"/>
  <c r="M14" i="6"/>
  <c r="M12" i="6"/>
  <c r="M13" i="6"/>
  <c r="M11" i="6"/>
  <c r="M10" i="6"/>
  <c r="M9" i="6"/>
  <c r="M27" i="6"/>
  <c r="M28" i="6"/>
  <c r="M29" i="6"/>
  <c r="M30" i="6"/>
  <c r="M26" i="6"/>
  <c r="M25" i="6"/>
  <c r="M24" i="6"/>
  <c r="K31" i="6"/>
  <c r="H27" i="6"/>
  <c r="H28" i="6"/>
  <c r="H29" i="6"/>
  <c r="H30" i="6"/>
  <c r="H26" i="6"/>
  <c r="H11" i="6"/>
  <c r="H10" i="6"/>
  <c r="H9" i="6"/>
  <c r="H5" i="6"/>
  <c r="J5" i="6" s="1"/>
  <c r="E17" i="6"/>
  <c r="M19" i="6"/>
  <c r="M20" i="6"/>
  <c r="L17" i="6"/>
  <c r="M17" i="6" s="1"/>
  <c r="N5" i="6"/>
  <c r="M5" i="6"/>
  <c r="O5" i="6" s="1"/>
  <c r="L6" i="6"/>
  <c r="L5" i="6"/>
  <c r="H15" i="6"/>
  <c r="H14" i="6"/>
  <c r="E25" i="6"/>
  <c r="E24" i="6"/>
  <c r="F22" i="6"/>
  <c r="E18" i="6"/>
  <c r="F31" i="6"/>
  <c r="N32" i="1"/>
  <c r="N33" i="1"/>
  <c r="I32" i="1"/>
  <c r="I33" i="1"/>
  <c r="I31" i="1"/>
  <c r="M31" i="6" l="1"/>
  <c r="P5" i="6"/>
  <c r="K8" i="8"/>
  <c r="P21" i="8"/>
  <c r="K36" i="8"/>
  <c r="K21" i="8"/>
  <c r="K22" i="8"/>
  <c r="K34" i="8"/>
  <c r="K35" i="8"/>
  <c r="P20" i="8"/>
  <c r="P22" i="8"/>
  <c r="Q22" i="8" s="1"/>
  <c r="S22" i="8" s="1"/>
  <c r="K6" i="8"/>
  <c r="K24" i="8"/>
  <c r="Q24" i="8" s="1"/>
  <c r="S24" i="8" s="1"/>
  <c r="I38" i="8"/>
  <c r="H38" i="8" s="1"/>
  <c r="P34" i="8"/>
  <c r="L40" i="8"/>
  <c r="Q36" i="8"/>
  <c r="S36" i="8" s="1"/>
  <c r="P23" i="8"/>
  <c r="N38" i="8"/>
  <c r="I9" i="8"/>
  <c r="H9" i="8" s="1"/>
  <c r="P11" i="8"/>
  <c r="Q11" i="8" s="1"/>
  <c r="S11" i="8" s="1"/>
  <c r="P12" i="8"/>
  <c r="P13" i="8"/>
  <c r="P14" i="8"/>
  <c r="Q14" i="8" s="1"/>
  <c r="S14" i="8" s="1"/>
  <c r="P15" i="8"/>
  <c r="Q15" i="8" s="1"/>
  <c r="S15" i="8" s="1"/>
  <c r="P16" i="8"/>
  <c r="P17" i="8"/>
  <c r="P18" i="8"/>
  <c r="Q18" i="8" s="1"/>
  <c r="S18" i="8" s="1"/>
  <c r="K20" i="8"/>
  <c r="Q20" i="8" s="1"/>
  <c r="S20" i="8" s="1"/>
  <c r="K23" i="8"/>
  <c r="Q23" i="8" s="1"/>
  <c r="S23" i="8" s="1"/>
  <c r="P24" i="8"/>
  <c r="P25" i="8"/>
  <c r="Q25" i="8" s="1"/>
  <c r="S25" i="8" s="1"/>
  <c r="K28" i="8"/>
  <c r="Q28" i="8" s="1"/>
  <c r="S28" i="8" s="1"/>
  <c r="G40" i="8"/>
  <c r="K33" i="8"/>
  <c r="P5" i="8"/>
  <c r="Q5" i="8" s="1"/>
  <c r="S5" i="8" s="1"/>
  <c r="Q7" i="8"/>
  <c r="S7" i="8" s="1"/>
  <c r="Q8" i="8"/>
  <c r="S8" i="8" s="1"/>
  <c r="P19" i="8"/>
  <c r="Q19" i="8" s="1"/>
  <c r="S19" i="8" s="1"/>
  <c r="Q37" i="8"/>
  <c r="S37" i="8" s="1"/>
  <c r="P6" i="8"/>
  <c r="Q12" i="8"/>
  <c r="S12" i="8" s="1"/>
  <c r="Q13" i="8"/>
  <c r="S13" i="8" s="1"/>
  <c r="Q16" i="8"/>
  <c r="S16" i="8" s="1"/>
  <c r="Q17" i="8"/>
  <c r="S17" i="8" s="1"/>
  <c r="N9" i="8"/>
  <c r="N40" i="8" s="1"/>
  <c r="Q21" i="8"/>
  <c r="S21" i="8" s="1"/>
  <c r="Q26" i="8"/>
  <c r="S26" i="8" s="1"/>
  <c r="O38" i="8"/>
  <c r="Q33" i="8"/>
  <c r="S33" i="8" s="1"/>
  <c r="Q35" i="8"/>
  <c r="S35" i="8" s="1"/>
  <c r="K32" i="8"/>
  <c r="Q32" i="8" s="1"/>
  <c r="S32" i="8" s="1"/>
  <c r="I29" i="8"/>
  <c r="H29" i="8" s="1"/>
  <c r="K27" i="8"/>
  <c r="Q27" i="8" s="1"/>
  <c r="S27" i="8" s="1"/>
  <c r="P31" i="8"/>
  <c r="J33" i="1"/>
  <c r="O33" i="1" s="1"/>
  <c r="P33" i="1" s="1"/>
  <c r="J32" i="1"/>
  <c r="J31" i="1"/>
  <c r="O31" i="1" s="1"/>
  <c r="M20" i="1"/>
  <c r="N20" i="1" s="1"/>
  <c r="M21" i="1"/>
  <c r="N21" i="1" s="1"/>
  <c r="I21" i="1"/>
  <c r="I20" i="1"/>
  <c r="I19" i="1"/>
  <c r="J21" i="1"/>
  <c r="O21" i="1" s="1"/>
  <c r="J20" i="1"/>
  <c r="O20" i="1" s="1"/>
  <c r="J19" i="1"/>
  <c r="J12" i="1"/>
  <c r="O12" i="1" s="1"/>
  <c r="P12" i="1" s="1"/>
  <c r="J11" i="1"/>
  <c r="Q6" i="8" l="1"/>
  <c r="S6" i="8" s="1"/>
  <c r="R5" i="6"/>
  <c r="P9" i="8"/>
  <c r="O9" i="8" s="1"/>
  <c r="M40" i="8"/>
  <c r="K38" i="8"/>
  <c r="Q34" i="8"/>
  <c r="S34" i="8" s="1"/>
  <c r="P29" i="8"/>
  <c r="P40" i="8" s="1"/>
  <c r="O40" i="8" s="1"/>
  <c r="K9" i="8"/>
  <c r="P38" i="8"/>
  <c r="K12" i="1"/>
  <c r="Q12" i="1" s="1"/>
  <c r="S12" i="1" s="1"/>
  <c r="K20" i="1"/>
  <c r="P20" i="1"/>
  <c r="K21" i="1"/>
  <c r="O32" i="1"/>
  <c r="P32" i="1" s="1"/>
  <c r="K32" i="1"/>
  <c r="K33" i="1"/>
  <c r="Q33" i="1" s="1"/>
  <c r="S33" i="1" s="1"/>
  <c r="S29" i="8"/>
  <c r="J38" i="8"/>
  <c r="Q38" i="8"/>
  <c r="J9" i="8"/>
  <c r="K29" i="8"/>
  <c r="Q31" i="8"/>
  <c r="S31" i="8" s="1"/>
  <c r="S38" i="8" s="1"/>
  <c r="Q9" i="8"/>
  <c r="I40" i="8"/>
  <c r="H40" i="8" s="1"/>
  <c r="S9" i="8"/>
  <c r="P21" i="1"/>
  <c r="Q21" i="1" l="1"/>
  <c r="S21" i="1" s="1"/>
  <c r="S40" i="8"/>
  <c r="Q20" i="1"/>
  <c r="S20" i="1" s="1"/>
  <c r="Q32" i="1"/>
  <c r="S32" i="1" s="1"/>
  <c r="Q29" i="8"/>
  <c r="Q40" i="8" s="1"/>
  <c r="J29" i="8"/>
  <c r="K40" i="8"/>
  <c r="J40" i="8" s="1"/>
  <c r="L5" i="7"/>
  <c r="M5" i="7" s="1"/>
  <c r="I5" i="7"/>
  <c r="J5" i="7" s="1"/>
  <c r="H5" i="7"/>
  <c r="G9" i="1"/>
  <c r="I30" i="6"/>
  <c r="N30" i="6" s="1"/>
  <c r="I21" i="6"/>
  <c r="N21" i="6" s="1"/>
  <c r="K22" i="6"/>
  <c r="H21" i="6"/>
  <c r="J21" i="6" s="1"/>
  <c r="P21" i="6" s="1"/>
  <c r="R21" i="6" s="1"/>
  <c r="N5" i="7" l="1"/>
  <c r="O5" i="7" s="1"/>
  <c r="G38" i="1"/>
  <c r="I34" i="1"/>
  <c r="I37" i="1"/>
  <c r="I35" i="1"/>
  <c r="P5" i="7" l="1"/>
  <c r="R5" i="7" s="1"/>
  <c r="M46" i="7"/>
  <c r="M47" i="7" s="1"/>
  <c r="M48" i="7" s="1"/>
  <c r="M49" i="7" s="1"/>
  <c r="K34" i="7"/>
  <c r="K35" i="7" s="1"/>
  <c r="F34" i="7"/>
  <c r="N33" i="7"/>
  <c r="M33" i="7"/>
  <c r="O33" i="7" s="1"/>
  <c r="I33" i="7"/>
  <c r="H33" i="7"/>
  <c r="N32" i="7"/>
  <c r="M32" i="7"/>
  <c r="I32" i="7"/>
  <c r="H32" i="7"/>
  <c r="N31" i="7"/>
  <c r="M31" i="7"/>
  <c r="I31" i="7"/>
  <c r="H31" i="7"/>
  <c r="J31" i="7" s="1"/>
  <c r="E31" i="7"/>
  <c r="E32" i="7" s="1"/>
  <c r="E33" i="7" s="1"/>
  <c r="L30" i="7"/>
  <c r="L34" i="7" s="1"/>
  <c r="I30" i="7"/>
  <c r="N30" i="7" s="1"/>
  <c r="H30" i="7"/>
  <c r="N29" i="7"/>
  <c r="M29" i="7"/>
  <c r="I29" i="7"/>
  <c r="H29" i="7"/>
  <c r="M27" i="7"/>
  <c r="F27" i="7"/>
  <c r="M26" i="7"/>
  <c r="I26" i="7"/>
  <c r="N26" i="7" s="1"/>
  <c r="H26" i="7"/>
  <c r="J26" i="7" s="1"/>
  <c r="M25" i="7"/>
  <c r="I25" i="7"/>
  <c r="N25" i="7" s="1"/>
  <c r="O25" i="7" s="1"/>
  <c r="H25" i="7"/>
  <c r="N24" i="7"/>
  <c r="M24" i="7"/>
  <c r="O24" i="7" s="1"/>
  <c r="H24" i="7"/>
  <c r="J24" i="7" s="1"/>
  <c r="N23" i="7"/>
  <c r="M23" i="7"/>
  <c r="H23" i="7"/>
  <c r="J23" i="7" s="1"/>
  <c r="M22" i="7"/>
  <c r="I22" i="7"/>
  <c r="N22" i="7" s="1"/>
  <c r="H22" i="7"/>
  <c r="M21" i="7"/>
  <c r="I21" i="7"/>
  <c r="N21" i="7" s="1"/>
  <c r="H21" i="7"/>
  <c r="L20" i="7"/>
  <c r="M20" i="7" s="1"/>
  <c r="I20" i="7"/>
  <c r="N20" i="7" s="1"/>
  <c r="H20" i="7"/>
  <c r="L19" i="7"/>
  <c r="M19" i="7" s="1"/>
  <c r="I19" i="7"/>
  <c r="N19" i="7" s="1"/>
  <c r="H19" i="7"/>
  <c r="N18" i="7"/>
  <c r="M18" i="7"/>
  <c r="O18" i="7" s="1"/>
  <c r="H18" i="7"/>
  <c r="J18" i="7" s="1"/>
  <c r="N17" i="7"/>
  <c r="M17" i="7"/>
  <c r="H17" i="7"/>
  <c r="J17" i="7" s="1"/>
  <c r="N16" i="7"/>
  <c r="M16" i="7"/>
  <c r="H16" i="7"/>
  <c r="J16" i="7" s="1"/>
  <c r="N15" i="7"/>
  <c r="M15" i="7"/>
  <c r="O15" i="7" s="1"/>
  <c r="H15" i="7"/>
  <c r="J15" i="7" s="1"/>
  <c r="N14" i="7"/>
  <c r="M14" i="7"/>
  <c r="O14" i="7" s="1"/>
  <c r="H14" i="7"/>
  <c r="J14" i="7" s="1"/>
  <c r="N13" i="7"/>
  <c r="L13" i="7"/>
  <c r="K13" i="7"/>
  <c r="M13" i="7" s="1"/>
  <c r="O13" i="7" s="1"/>
  <c r="H13" i="7"/>
  <c r="J13" i="7" s="1"/>
  <c r="N12" i="7"/>
  <c r="M12" i="7"/>
  <c r="O12" i="7" s="1"/>
  <c r="H12" i="7"/>
  <c r="M10" i="7"/>
  <c r="F10" i="7"/>
  <c r="M9" i="7"/>
  <c r="I9" i="7"/>
  <c r="N9" i="7" s="1"/>
  <c r="O9" i="7" s="1"/>
  <c r="H9" i="7"/>
  <c r="J9" i="7" s="1"/>
  <c r="N8" i="7"/>
  <c r="M8" i="7"/>
  <c r="H8" i="7"/>
  <c r="J8" i="7" s="1"/>
  <c r="L7" i="7"/>
  <c r="I7" i="7"/>
  <c r="N7" i="7" s="1"/>
  <c r="O7" i="7" s="1"/>
  <c r="H7" i="7"/>
  <c r="L6" i="7"/>
  <c r="M6" i="7" s="1"/>
  <c r="I6" i="7"/>
  <c r="N6" i="7" s="1"/>
  <c r="H6" i="7"/>
  <c r="F35" i="7" l="1"/>
  <c r="N34" i="7"/>
  <c r="J30" i="7"/>
  <c r="J30" i="6"/>
  <c r="P30" i="6" s="1"/>
  <c r="R30" i="6" s="1"/>
  <c r="O8" i="7"/>
  <c r="H10" i="7"/>
  <c r="G10" i="7" s="1"/>
  <c r="J6" i="7"/>
  <c r="J21" i="7"/>
  <c r="O29" i="7"/>
  <c r="J32" i="7"/>
  <c r="J19" i="7"/>
  <c r="J20" i="7"/>
  <c r="O26" i="7"/>
  <c r="H34" i="7"/>
  <c r="G34" i="7" s="1"/>
  <c r="M30" i="7"/>
  <c r="O30" i="7" s="1"/>
  <c r="O32" i="7"/>
  <c r="J33" i="7"/>
  <c r="H27" i="7"/>
  <c r="G27" i="7" s="1"/>
  <c r="O6" i="7"/>
  <c r="E36" i="7"/>
  <c r="O16" i="7"/>
  <c r="O17" i="7"/>
  <c r="J22" i="7"/>
  <c r="O23" i="7"/>
  <c r="O31" i="7"/>
  <c r="O19" i="7"/>
  <c r="O20" i="7"/>
  <c r="O21" i="7"/>
  <c r="O22" i="7"/>
  <c r="J7" i="7"/>
  <c r="J12" i="7"/>
  <c r="J25" i="7"/>
  <c r="J29" i="7"/>
  <c r="H35" i="7"/>
  <c r="N34" i="1"/>
  <c r="J34" i="1"/>
  <c r="O34" i="1" s="1"/>
  <c r="J8" i="1"/>
  <c r="O8" i="1" s="1"/>
  <c r="J6" i="1"/>
  <c r="J5" i="1"/>
  <c r="O5" i="1" s="1"/>
  <c r="I8" i="1"/>
  <c r="I6" i="1"/>
  <c r="I7" i="1"/>
  <c r="I22" i="1"/>
  <c r="J22" i="1"/>
  <c r="O22" i="1" s="1"/>
  <c r="O14" i="1"/>
  <c r="O15" i="1"/>
  <c r="O16" i="1"/>
  <c r="O17" i="1"/>
  <c r="O18" i="1"/>
  <c r="O26" i="1"/>
  <c r="O25" i="1"/>
  <c r="M19" i="1"/>
  <c r="N19" i="1" s="1"/>
  <c r="O13" i="1"/>
  <c r="M5" i="1"/>
  <c r="N5" i="1" s="1"/>
  <c r="M6" i="1"/>
  <c r="N6" i="1" s="1"/>
  <c r="N18" i="1"/>
  <c r="N29" i="1" s="1"/>
  <c r="O11" i="1"/>
  <c r="O6" i="1"/>
  <c r="O7" i="1"/>
  <c r="M29" i="1" l="1"/>
  <c r="O34" i="7"/>
  <c r="K34" i="1"/>
  <c r="P6" i="1"/>
  <c r="N9" i="1"/>
  <c r="M9" i="1" s="1"/>
  <c r="P34" i="1"/>
  <c r="K8" i="1"/>
  <c r="P8" i="1"/>
  <c r="M34" i="7"/>
  <c r="M35" i="7" s="1"/>
  <c r="L35" i="7" s="1"/>
  <c r="G35" i="7"/>
  <c r="J34" i="7"/>
  <c r="J27" i="7"/>
  <c r="J10" i="7"/>
  <c r="P25" i="1"/>
  <c r="P15" i="1"/>
  <c r="P22" i="1"/>
  <c r="K22" i="1"/>
  <c r="P7" i="1"/>
  <c r="P17" i="1"/>
  <c r="K7" i="6"/>
  <c r="K32" i="6" s="1"/>
  <c r="N17" i="6"/>
  <c r="O17" i="6" s="1"/>
  <c r="P17" i="6" s="1"/>
  <c r="R17" i="6" s="1"/>
  <c r="N16" i="6"/>
  <c r="M16" i="6"/>
  <c r="O15" i="6"/>
  <c r="N13" i="6"/>
  <c r="N12" i="6"/>
  <c r="O12" i="6" s="1"/>
  <c r="N11" i="6"/>
  <c r="N10" i="6"/>
  <c r="O10" i="6" s="1"/>
  <c r="P10" i="6" s="1"/>
  <c r="R10" i="6" s="1"/>
  <c r="N26" i="6"/>
  <c r="O26" i="6" s="1"/>
  <c r="J26" i="6"/>
  <c r="I25" i="6"/>
  <c r="N25" i="6" s="1"/>
  <c r="O25" i="6" s="1"/>
  <c r="H25" i="6"/>
  <c r="H24" i="6"/>
  <c r="H17" i="6"/>
  <c r="J17" i="6" s="1"/>
  <c r="H20" i="6"/>
  <c r="H19" i="6"/>
  <c r="H18" i="6"/>
  <c r="E36" i="6" s="1"/>
  <c r="H16" i="6"/>
  <c r="J16" i="6" s="1"/>
  <c r="J11" i="6"/>
  <c r="H13" i="6"/>
  <c r="J13" i="6" s="1"/>
  <c r="H12" i="6"/>
  <c r="J10" i="6"/>
  <c r="J9" i="6"/>
  <c r="N9" i="6"/>
  <c r="O9" i="6" s="1"/>
  <c r="I6" i="6"/>
  <c r="N6" i="6" s="1"/>
  <c r="O6" i="6" s="1"/>
  <c r="I29" i="6"/>
  <c r="N29" i="6" s="1"/>
  <c r="N28" i="6"/>
  <c r="I28" i="6"/>
  <c r="J28" i="6" s="1"/>
  <c r="N27" i="6"/>
  <c r="I27" i="6"/>
  <c r="E29" i="6"/>
  <c r="N24" i="6"/>
  <c r="I24" i="6"/>
  <c r="I20" i="6"/>
  <c r="N20" i="6" s="1"/>
  <c r="I19" i="6"/>
  <c r="N19" i="6" s="1"/>
  <c r="N18" i="6"/>
  <c r="I15" i="6"/>
  <c r="N15" i="6" s="1"/>
  <c r="I14" i="6"/>
  <c r="N14" i="6" s="1"/>
  <c r="O14" i="6" s="1"/>
  <c r="O13" i="6"/>
  <c r="F7" i="6"/>
  <c r="F32" i="6" s="1"/>
  <c r="E33" i="6" s="1"/>
  <c r="H6" i="6"/>
  <c r="J6" i="6" s="1"/>
  <c r="O36" i="1"/>
  <c r="O35" i="1"/>
  <c r="N36" i="1"/>
  <c r="N31" i="1"/>
  <c r="J37" i="1"/>
  <c r="O37" i="1" s="1"/>
  <c r="J35" i="1"/>
  <c r="J27" i="1"/>
  <c r="O27" i="1" s="1"/>
  <c r="P27" i="1" s="1"/>
  <c r="J24" i="1"/>
  <c r="O24" i="1" s="1"/>
  <c r="P24" i="1" s="1"/>
  <c r="J23" i="1"/>
  <c r="O23" i="1" s="1"/>
  <c r="P23" i="1" s="1"/>
  <c r="O19" i="1"/>
  <c r="I36" i="1"/>
  <c r="I38" i="1" s="1"/>
  <c r="H38" i="1" s="1"/>
  <c r="I28" i="1"/>
  <c r="I27" i="1"/>
  <c r="I25" i="1"/>
  <c r="K25" i="1" s="1"/>
  <c r="I24" i="1"/>
  <c r="I23" i="1"/>
  <c r="I17" i="1"/>
  <c r="K17" i="1" s="1"/>
  <c r="I15" i="1"/>
  <c r="K15" i="1" s="1"/>
  <c r="I13" i="1"/>
  <c r="K13" i="1" s="1"/>
  <c r="K6" i="1"/>
  <c r="I5" i="1"/>
  <c r="M22" i="6" l="1"/>
  <c r="L22" i="6" s="1"/>
  <c r="P9" i="6"/>
  <c r="P6" i="6"/>
  <c r="J12" i="6"/>
  <c r="I9" i="1"/>
  <c r="H9" i="1" s="1"/>
  <c r="Q6" i="1"/>
  <c r="S6" i="1" s="1"/>
  <c r="Q34" i="1"/>
  <c r="P30" i="7" s="1"/>
  <c r="R30" i="7" s="1"/>
  <c r="Q8" i="1"/>
  <c r="S8" i="1" s="1"/>
  <c r="P13" i="1"/>
  <c r="Q13" i="1" s="1"/>
  <c r="Q15" i="1"/>
  <c r="O18" i="6"/>
  <c r="J27" i="6"/>
  <c r="P26" i="6"/>
  <c r="R26" i="6" s="1"/>
  <c r="Q25" i="1"/>
  <c r="J25" i="6"/>
  <c r="P25" i="6" s="1"/>
  <c r="R25" i="6" s="1"/>
  <c r="Q22" i="1"/>
  <c r="O27" i="6"/>
  <c r="J29" i="6"/>
  <c r="I27" i="7"/>
  <c r="I34" i="7"/>
  <c r="J35" i="7"/>
  <c r="I10" i="7"/>
  <c r="N10" i="7" s="1"/>
  <c r="O10" i="7" s="1"/>
  <c r="O35" i="7" s="1"/>
  <c r="N35" i="7" s="1"/>
  <c r="O19" i="6"/>
  <c r="Q17" i="1"/>
  <c r="P36" i="1"/>
  <c r="K27" i="1"/>
  <c r="Q27" i="1" s="1"/>
  <c r="K24" i="1"/>
  <c r="Q24" i="1" s="1"/>
  <c r="O20" i="6"/>
  <c r="K23" i="1"/>
  <c r="Q23" i="1" s="1"/>
  <c r="O11" i="6"/>
  <c r="P35" i="1"/>
  <c r="O29" i="6"/>
  <c r="O16" i="6"/>
  <c r="P16" i="6" s="1"/>
  <c r="R16" i="6" s="1"/>
  <c r="P12" i="6"/>
  <c r="R12" i="6" s="1"/>
  <c r="J15" i="6"/>
  <c r="P15" i="6" s="1"/>
  <c r="R15" i="6" s="1"/>
  <c r="J20" i="6"/>
  <c r="P13" i="6"/>
  <c r="R13" i="6" s="1"/>
  <c r="J14" i="6"/>
  <c r="J19" i="6"/>
  <c r="J24" i="6"/>
  <c r="O28" i="6"/>
  <c r="J18" i="6"/>
  <c r="P18" i="6" s="1"/>
  <c r="R18" i="6" s="1"/>
  <c r="H32" i="6"/>
  <c r="G32" i="6" s="1"/>
  <c r="O24" i="6"/>
  <c r="K35" i="1"/>
  <c r="O31" i="6" l="1"/>
  <c r="N31" i="6" s="1"/>
  <c r="O22" i="6"/>
  <c r="N22" i="6" s="1"/>
  <c r="R6" i="6"/>
  <c r="R7" i="6" s="1"/>
  <c r="P7" i="6"/>
  <c r="J32" i="6"/>
  <c r="I32" i="6" s="1"/>
  <c r="R9" i="6"/>
  <c r="P7" i="7"/>
  <c r="R7" i="7" s="1"/>
  <c r="S34" i="1"/>
  <c r="P9" i="7"/>
  <c r="R9" i="7" s="1"/>
  <c r="P11" i="6"/>
  <c r="P27" i="6"/>
  <c r="R27" i="6" s="1"/>
  <c r="M32" i="6"/>
  <c r="P29" i="6"/>
  <c r="R29" i="6" s="1"/>
  <c r="P19" i="6"/>
  <c r="R19" i="6" s="1"/>
  <c r="S22" i="1"/>
  <c r="P20" i="7"/>
  <c r="R20" i="7" s="1"/>
  <c r="S25" i="1"/>
  <c r="P23" i="7"/>
  <c r="R23" i="7" s="1"/>
  <c r="S17" i="1"/>
  <c r="P17" i="7"/>
  <c r="R17" i="7" s="1"/>
  <c r="S24" i="1"/>
  <c r="P22" i="7"/>
  <c r="R22" i="7" s="1"/>
  <c r="S13" i="1"/>
  <c r="P13" i="7"/>
  <c r="R13" i="7" s="1"/>
  <c r="S23" i="1"/>
  <c r="P21" i="7"/>
  <c r="R21" i="7" s="1"/>
  <c r="S27" i="1"/>
  <c r="P25" i="7"/>
  <c r="R25" i="7" s="1"/>
  <c r="S15" i="1"/>
  <c r="P15" i="7"/>
  <c r="R15" i="7" s="1"/>
  <c r="I35" i="7"/>
  <c r="P20" i="6"/>
  <c r="R20" i="6" s="1"/>
  <c r="P14" i="6"/>
  <c r="R14" i="6" s="1"/>
  <c r="Q35" i="1"/>
  <c r="P28" i="6"/>
  <c r="R28" i="6" s="1"/>
  <c r="P24" i="6"/>
  <c r="R24" i="6" s="1"/>
  <c r="J36" i="1"/>
  <c r="K36" i="1" s="1"/>
  <c r="Q36" i="1" s="1"/>
  <c r="R11" i="6" l="1"/>
  <c r="P22" i="6"/>
  <c r="R31" i="6"/>
  <c r="E34" i="6"/>
  <c r="E37" i="6" s="1"/>
  <c r="L32" i="6"/>
  <c r="P31" i="6"/>
  <c r="R22" i="6"/>
  <c r="S36" i="1"/>
  <c r="P32" i="7"/>
  <c r="R32" i="7" s="1"/>
  <c r="S35" i="1"/>
  <c r="P31" i="7"/>
  <c r="R31" i="7" s="1"/>
  <c r="K37" i="1"/>
  <c r="J28" i="1"/>
  <c r="O28" i="1" s="1"/>
  <c r="I26" i="1"/>
  <c r="G29" i="1"/>
  <c r="G40" i="1" s="1"/>
  <c r="P32" i="6" l="1"/>
  <c r="R32" i="6"/>
  <c r="K26" i="1"/>
  <c r="F45" i="1"/>
  <c r="N37" i="1"/>
  <c r="N38" i="1" s="1"/>
  <c r="N40" i="1" l="1"/>
  <c r="K31" i="1"/>
  <c r="K38" i="1" s="1"/>
  <c r="J38" i="1" s="1"/>
  <c r="P31" i="1"/>
  <c r="L38" i="1"/>
  <c r="L40" i="1" s="1"/>
  <c r="F41" i="1" s="1"/>
  <c r="P37" i="1"/>
  <c r="M38" i="1" l="1"/>
  <c r="P38" i="1"/>
  <c r="O38" i="1" s="1"/>
  <c r="Q31" i="1"/>
  <c r="Q37" i="1"/>
  <c r="P33" i="7" s="1"/>
  <c r="R33" i="7" s="1"/>
  <c r="M40" i="1"/>
  <c r="S31" i="1" l="1"/>
  <c r="P29" i="7"/>
  <c r="Q38" i="1"/>
  <c r="P34" i="7" l="1"/>
  <c r="R29" i="7"/>
  <c r="R34" i="7" s="1"/>
  <c r="P28" i="1"/>
  <c r="K28" i="1"/>
  <c r="P26" i="1"/>
  <c r="Q26" i="1" s="1"/>
  <c r="P19" i="1"/>
  <c r="K19" i="1"/>
  <c r="P18" i="1"/>
  <c r="I18" i="1"/>
  <c r="K18" i="1" s="1"/>
  <c r="P16" i="1"/>
  <c r="I16" i="1"/>
  <c r="K16" i="1" s="1"/>
  <c r="P14" i="1"/>
  <c r="I14" i="1"/>
  <c r="K14" i="1" s="1"/>
  <c r="P11" i="1"/>
  <c r="I11" i="1"/>
  <c r="I29" i="1" l="1"/>
  <c r="H29" i="1" s="1"/>
  <c r="P29" i="1"/>
  <c r="O29" i="1" s="1"/>
  <c r="S26" i="1"/>
  <c r="P24" i="7"/>
  <c r="R24" i="7" s="1"/>
  <c r="I40" i="1"/>
  <c r="F42" i="1" s="1"/>
  <c r="F43" i="1" s="1"/>
  <c r="Q14" i="1"/>
  <c r="Q18" i="1"/>
  <c r="Q16" i="1"/>
  <c r="Q19" i="1"/>
  <c r="K11" i="1"/>
  <c r="K29" i="1" s="1"/>
  <c r="J29" i="1" s="1"/>
  <c r="K7" i="1"/>
  <c r="F46" i="1" l="1"/>
  <c r="H40" i="1"/>
  <c r="S18" i="1"/>
  <c r="P18" i="7"/>
  <c r="R18" i="7" s="1"/>
  <c r="S19" i="1"/>
  <c r="P19" i="7"/>
  <c r="R19" i="7" s="1"/>
  <c r="S14" i="1"/>
  <c r="P14" i="7"/>
  <c r="R14" i="7" s="1"/>
  <c r="S16" i="1"/>
  <c r="P16" i="7"/>
  <c r="R16" i="7" s="1"/>
  <c r="Q29" i="1"/>
  <c r="Q11" i="1"/>
  <c r="Q7" i="1"/>
  <c r="S7" i="1" l="1"/>
  <c r="P8" i="7"/>
  <c r="R8" i="7" s="1"/>
  <c r="S11" i="1"/>
  <c r="P12" i="7"/>
  <c r="S37" i="1"/>
  <c r="P5" i="1"/>
  <c r="P9" i="1" s="1"/>
  <c r="K5" i="1"/>
  <c r="K9" i="1" s="1"/>
  <c r="P40" i="1" l="1"/>
  <c r="O40" i="1" s="1"/>
  <c r="O9" i="1"/>
  <c r="K40" i="1"/>
  <c r="J40" i="1" s="1"/>
  <c r="J9" i="1"/>
  <c r="R12" i="7"/>
  <c r="Q5" i="1"/>
  <c r="Q9" i="1" s="1"/>
  <c r="Q40" i="1" s="1"/>
  <c r="F44" i="1" l="1"/>
  <c r="P6" i="7"/>
  <c r="S38" i="1"/>
  <c r="S5" i="1"/>
  <c r="S9" i="1" s="1"/>
  <c r="P10" i="7" l="1"/>
  <c r="R6" i="7"/>
  <c r="R10" i="7" s="1"/>
  <c r="Q28" i="1"/>
  <c r="S28" i="1" l="1"/>
  <c r="S29" i="1" s="1"/>
  <c r="S40" i="1" s="1"/>
  <c r="P26" i="7"/>
  <c r="R26" i="7" l="1"/>
  <c r="R27" i="7" s="1"/>
  <c r="R35" i="7" s="1"/>
  <c r="P27" i="7"/>
  <c r="P35" i="7" s="1"/>
  <c r="O32" i="6"/>
  <c r="E35" i="6" l="1"/>
  <c r="N32" i="6"/>
</calcChain>
</file>

<file path=xl/comments1.xml><?xml version="1.0" encoding="utf-8"?>
<comments xmlns="http://schemas.openxmlformats.org/spreadsheetml/2006/main">
  <authors>
    <author>Ying Zhang</author>
  </authors>
  <commentList>
    <comment ref="L11" authorId="0">
      <text>
        <r>
          <rPr>
            <b/>
            <sz val="9"/>
            <color indexed="81"/>
            <rFont val="Tahoma"/>
            <family val="2"/>
          </rPr>
          <t>Ying Zhang:</t>
        </r>
        <r>
          <rPr>
            <sz val="9"/>
            <color indexed="81"/>
            <rFont val="Tahoma"/>
            <family val="2"/>
          </rPr>
          <t xml:space="preserve">
This assumes 25% of non-response from sponsors. The pilot test has 50% of sponsors reject to participate in the study, but the feasible study assume HHFKA. </t>
        </r>
      </text>
    </comment>
  </commentList>
</comments>
</file>

<file path=xl/comments2.xml><?xml version="1.0" encoding="utf-8"?>
<comments xmlns="http://schemas.openxmlformats.org/spreadsheetml/2006/main">
  <authors>
    <author>Ying Zhang</author>
  </authors>
  <commentList>
    <comment ref="L11" authorId="0">
      <text>
        <r>
          <rPr>
            <b/>
            <sz val="9"/>
            <color indexed="81"/>
            <rFont val="Tahoma"/>
            <family val="2"/>
          </rPr>
          <t>Ying Zhang:</t>
        </r>
        <r>
          <rPr>
            <sz val="9"/>
            <color indexed="81"/>
            <rFont val="Tahoma"/>
            <family val="2"/>
          </rPr>
          <t xml:space="preserve">
This assumes 25% of non-response from sponsors. The pilot test has 50% of sponsors reject to participate in the study, but the feasible study assume HHFKA. </t>
        </r>
      </text>
    </comment>
  </commentList>
</comments>
</file>

<file path=xl/sharedStrings.xml><?xml version="1.0" encoding="utf-8"?>
<sst xmlns="http://schemas.openxmlformats.org/spreadsheetml/2006/main" count="416" uniqueCount="136">
  <si>
    <t>Affected public</t>
  </si>
  <si>
    <t>Grand total</t>
  </si>
  <si>
    <t>RESPONDENTS</t>
  </si>
  <si>
    <t>NON-RESPONDENTS</t>
  </si>
  <si>
    <t>State, local, and Tribal government</t>
  </si>
  <si>
    <t>Estimate Total Annual Cost to Respondents</t>
  </si>
  <si>
    <t>Business for-not-for profit</t>
  </si>
  <si>
    <t>Instrument</t>
  </si>
  <si>
    <t>State Agency</t>
  </si>
  <si>
    <t>Provide Sponsor Data</t>
  </si>
  <si>
    <t>Sponsor</t>
  </si>
  <si>
    <t>Facilitate the Recruitment of Providers</t>
  </si>
  <si>
    <t>Provider</t>
  </si>
  <si>
    <t>Facilitate the Recruitment of Parents</t>
  </si>
  <si>
    <t>Individual/Households</t>
  </si>
  <si>
    <t>Parent</t>
  </si>
  <si>
    <t>Total Estimated Annual Burden (Hours)</t>
  </si>
  <si>
    <t>Average Time Per Response (Hours)</t>
  </si>
  <si>
    <t>Total Responses</t>
  </si>
  <si>
    <t>Frequency of Response</t>
  </si>
  <si>
    <t>Estimated Number of Non-Respondents</t>
  </si>
  <si>
    <t>Total  Responses</t>
  </si>
  <si>
    <t>Estimated Number of Respondents</t>
  </si>
  <si>
    <t>Sample Size</t>
  </si>
  <si>
    <t>Respondents Type</t>
  </si>
  <si>
    <t>Grand Total Burden Estimate (Hours)</t>
  </si>
  <si>
    <t>Total # of respondents (including participants and non-respondents)</t>
  </si>
  <si>
    <t>Total annual burden estimates (including participants and non-respondents)</t>
  </si>
  <si>
    <t>Notes:</t>
  </si>
  <si>
    <t>Subtotal of State, Local, and Tribal Government</t>
  </si>
  <si>
    <t>Subtotal of Individual/Households</t>
  </si>
  <si>
    <t>Subtotal of For-Profit/Non-Profit Business Sector</t>
  </si>
  <si>
    <t>(a) State agencies, sponsors and day care home providers receive federal funding and, therefore, are required to support this study per Section 305 of the Healthy Hunger Free Kids Act of 2010.</t>
  </si>
  <si>
    <t>State/Local Government (a)</t>
  </si>
  <si>
    <t>For-Profit/Non-Profit Business (a)</t>
  </si>
  <si>
    <t>Review Study Materials and Decide to Participate in the Study (b)</t>
  </si>
  <si>
    <t>Total # of annual responses (including participants and non-respondents)</t>
  </si>
  <si>
    <t>Hourly Wage rate</t>
  </si>
  <si>
    <t>Data Collection Mode</t>
  </si>
  <si>
    <t>Review Study Materials</t>
  </si>
  <si>
    <t xml:space="preserve">Review Study Materials </t>
  </si>
  <si>
    <t>Participate in Follow-Up Calls  Regarding Data Request</t>
  </si>
  <si>
    <t>Provide Provider Data</t>
  </si>
  <si>
    <t>Respond to Follow-Up Calls</t>
  </si>
  <si>
    <t xml:space="preserve">Provide Meal Claim Data </t>
  </si>
  <si>
    <t>Provide Enrollment Data</t>
  </si>
  <si>
    <t>Answer Follow-Up Calls</t>
  </si>
  <si>
    <t>Report Meal Service During the Study Month</t>
  </si>
  <si>
    <t>Contacting Helpdesk and Answering Following-Up Calls</t>
  </si>
  <si>
    <t xml:space="preserve"> Reviewing User Guide</t>
  </si>
  <si>
    <t>Report Child Attendance Time During the Study Month</t>
  </si>
  <si>
    <t>Contacting Help Desk and Answering Following-Up Calls ©</t>
  </si>
  <si>
    <t>Review Study Materials (a)</t>
  </si>
  <si>
    <t>Phone call</t>
  </si>
  <si>
    <t>Mail</t>
  </si>
  <si>
    <t>Face-to-face</t>
  </si>
  <si>
    <t>Email</t>
  </si>
  <si>
    <t>Cognitive Interviews</t>
  </si>
  <si>
    <t>Review User Guide</t>
  </si>
  <si>
    <t>Contacting Help Desk and Answering Following-Up Calls (c)</t>
  </si>
  <si>
    <t xml:space="preserve">(b) Including parents contacted for cognitive interviews or the pilot test </t>
  </si>
  <si>
    <t>Digital data collection</t>
  </si>
  <si>
    <t>Record collation and submission</t>
  </si>
  <si>
    <t>(c) We assume participants remain eligible and enrolled at the same providers' day care homes at the time of the study.</t>
  </si>
  <si>
    <t>(b) Based on our experience with similar populations and the results from the pilot test, we assume 80% of parents will agree to participate in the study.</t>
  </si>
  <si>
    <t xml:space="preserve">Facilitate the Recruitment of Providers </t>
  </si>
  <si>
    <t>Digital data transfer</t>
  </si>
  <si>
    <t>(c) All participants remained eligible and enrolled at the same providers' day care homes during the pilot study.</t>
  </si>
  <si>
    <t>Number of Non-Respondents</t>
  </si>
  <si>
    <t xml:space="preserve"> Number of Respondents</t>
  </si>
  <si>
    <t>Instructional materials</t>
  </si>
  <si>
    <t>Face-to-face between providers and sponsors</t>
  </si>
  <si>
    <t>Face-to-face between providers and parents</t>
  </si>
  <si>
    <t>Appendix A-11. Estimated Burden of the CACFP Meal Claim Feasibility Study</t>
  </si>
  <si>
    <t>Contact Help Desk and Answer Following-Up Calls</t>
  </si>
  <si>
    <t>Facilitate Recruitment of Parents</t>
  </si>
  <si>
    <t>Contact Help Desk and Answer Follow-Up Calls (c)</t>
  </si>
  <si>
    <t>Grand Total</t>
  </si>
  <si>
    <t>(b) Based on our experience with similar populations and the results from the pilot test, we assume 80 percent of parents will agree to participate in the study.</t>
  </si>
  <si>
    <t>Appendix A-11. Burden of a Pilot Study Conducted for the CACFP Meal Claim Feasibility Study in June and September 2015</t>
  </si>
  <si>
    <t>Exit Interviews</t>
  </si>
  <si>
    <t>Appendix #</t>
  </si>
  <si>
    <t>Appendix B-1-2</t>
  </si>
  <si>
    <t xml:space="preserve">Participate in Follow-Up Calls </t>
  </si>
  <si>
    <t>Appendix B-2-1</t>
  </si>
  <si>
    <t xml:space="preserve">Participate in Follow-Up Calls  About Data Request </t>
  </si>
  <si>
    <t>Appendix B-2-2</t>
  </si>
  <si>
    <t xml:space="preserve">Respond to Follow-Up Calls About Provider Data </t>
  </si>
  <si>
    <t>Appendix B-2-3</t>
  </si>
  <si>
    <t xml:space="preserve">Respond to Follow-Up Calls About Meal Claim Data </t>
  </si>
  <si>
    <t>Appendix B-2-4</t>
  </si>
  <si>
    <t xml:space="preserve">Participate in Follow-Up Calls About Data Request </t>
  </si>
  <si>
    <t>Appendix B-2-5</t>
  </si>
  <si>
    <t xml:space="preserve">Review User Guide </t>
  </si>
  <si>
    <t>Appendix A-7 or A-9</t>
  </si>
  <si>
    <t xml:space="preserve">Report Meal Service During the Study Month </t>
  </si>
  <si>
    <t xml:space="preserve">Answer Follow-Up Calls </t>
  </si>
  <si>
    <t>Appendix B-2-6</t>
  </si>
  <si>
    <t>Appendix A-8 or A-10</t>
  </si>
  <si>
    <t xml:space="preserve">Report Child Attendance Time During Study Month, e.g., respond to text reminders </t>
  </si>
  <si>
    <t>Regional Office</t>
  </si>
  <si>
    <t>(a) State agencies, sponsors and day care home providers receive federal funding and, therefore, are strongly encouraged to support this study per Section 305 of the Healthy Hunger Free Kids Act of 2010.</t>
  </si>
  <si>
    <t># of annual responses per respondent</t>
  </si>
  <si>
    <t xml:space="preserve">Review Study Materials  </t>
  </si>
  <si>
    <t>Respond to Follow-Up Calls Regarding Provider Data</t>
  </si>
  <si>
    <t>Respond to Follow-Up Calls Regarding Meal Claim Data</t>
  </si>
  <si>
    <t xml:space="preserve">Review Study Materials and decide to participate in the study </t>
  </si>
  <si>
    <t xml:space="preserve">Participate in Follow-Up Calls Regarding Data Request </t>
  </si>
  <si>
    <t xml:space="preserve">Reviewing User Guide </t>
  </si>
  <si>
    <t xml:space="preserve">Review Study Materials and Decide to Participate in the Study (b) </t>
  </si>
  <si>
    <t xml:space="preserve"> Reviewing User Guide </t>
  </si>
  <si>
    <t xml:space="preserve">Report Child Attendance Time During the Study Month </t>
  </si>
  <si>
    <t>Total # of electronic responses</t>
  </si>
  <si>
    <t>Percentage of total responses collected electronically</t>
  </si>
  <si>
    <t>Pilot Test</t>
  </si>
  <si>
    <t>Review Study Materials - Recruitment Letter</t>
  </si>
  <si>
    <t>Review Study Materials - Glossy Fact Sheet</t>
  </si>
  <si>
    <t>Appendix B-3-1</t>
  </si>
  <si>
    <t xml:space="preserve">Mail </t>
  </si>
  <si>
    <t xml:space="preserve">Review Study Materials - Consent Letter (b) </t>
  </si>
  <si>
    <t>Appendix B-4-2 or B-4-4</t>
  </si>
  <si>
    <t>Review Materials in the Study Package - Recruitment Letter</t>
  </si>
  <si>
    <t>Review Materials in the Study Package - Glossy Fact Sheet</t>
  </si>
  <si>
    <t>Review Materials in the Study Package - Consent Form</t>
  </si>
  <si>
    <t xml:space="preserve">Appendix B-1-3 </t>
  </si>
  <si>
    <t>Appendix B-4-1 or B-4-3</t>
  </si>
  <si>
    <t>Appendix B-1-4 or B-1-6</t>
  </si>
  <si>
    <t>Appendix B-3-1 or B-3-3</t>
  </si>
  <si>
    <t>Appendix B-1-5 or B-1-7</t>
  </si>
  <si>
    <t>Appendix B-3-2 or B-3-4</t>
  </si>
  <si>
    <t>Email, Fax or Mail</t>
  </si>
  <si>
    <t>Phone call (d)</t>
  </si>
  <si>
    <t>(d) Phone calls in this study are not for the purpose of CATI data collection.</t>
  </si>
  <si>
    <t>Instruction Materials</t>
  </si>
  <si>
    <t>Review Recruitment Letter</t>
  </si>
  <si>
    <t>Email, fax or mail</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</si>
</sst>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7" formatCode="&quot;$&quot;#,##0.00_);\(&quot;$&quot;#,##0.00\)"/>
    <numFmt numFmtId="8" formatCode="&quot;$&quot;#,##0.00_);[Red]\(&quot;$&quot;#,##0.00\)"/>
    <numFmt numFmtId="41" formatCode="_(* #,##0_);_(* \(#,##0\);_(* &quot;-&quot;_);_(@_)"/>
    <numFmt numFmtId="44" formatCode="_(&quot;$&quot;* #,##0.00_);_(&quot;$&quot;* \(#,##0.00\);_(&quot;$&quot;* &quot;-&quot;??_);_(@_)"/>
    <numFmt numFmtId="43" formatCode="_(* #,##0.00_);_(* \(#,##0.00\);_(* &quot;-&quot;??_);_(@_)"/>
    <numFmt numFmtId="164" formatCode="_(* #,##0_);_(* \(#,##0\);_(* &quot;-&quot;??_);_(@_)"/>
    <numFmt numFmtId="165" formatCode="0.00;[Red]0.00"/>
    <numFmt numFmtId="166" formatCode="0;[Red]0"/>
    <numFmt numFmtId="167" formatCode="0.000"/>
    <numFmt numFmtId="168" formatCode="&quot;$&quot;#,##0.00"/>
  </numFmts>
  <fonts count="14" x14ac:knownFonts="1">
    <font>
      <sz val="11"/>
      <color theme="1"/>
      <name val="Calibri"/>
      <family val="2"/>
      <scheme val="minor"/>
    </font>
    <font>
      <sz val="9"/>
      <color theme="1"/>
      <name val="Times New Roman"/>
      <family val="1"/>
    </font>
    <font>
      <b/>
      <sz val="9"/>
      <color theme="1"/>
      <name val="Times New Roman"/>
      <family val="1"/>
    </font>
    <font>
      <sz val="9"/>
      <color rgb="FFFF0000"/>
      <name val="Times New Roman"/>
      <family val="1"/>
    </font>
    <font>
      <sz val="11"/>
      <color theme="1"/>
      <name val="Calibri"/>
      <family val="2"/>
      <scheme val="minor"/>
    </font>
    <font>
      <b/>
      <sz val="9"/>
      <name val="Times New Roman"/>
      <family val="1"/>
    </font>
    <font>
      <sz val="9"/>
      <name val="Times New Roman"/>
      <family val="1"/>
    </font>
    <font>
      <b/>
      <sz val="8"/>
      <name val="Times New Roman"/>
      <family val="1"/>
    </font>
    <font>
      <b/>
      <sz val="12"/>
      <color rgb="FF000000"/>
      <name val="Times New Roman"/>
      <family val="1"/>
    </font>
    <font>
      <sz val="9"/>
      <color indexed="81"/>
      <name val="Tahoma"/>
      <family val="2"/>
    </font>
    <font>
      <b/>
      <sz val="9"/>
      <color indexed="81"/>
      <name val="Tahoma"/>
      <family val="2"/>
    </font>
    <font>
      <sz val="14"/>
      <color theme="1"/>
      <name val="Times New Roman"/>
      <family val="1"/>
    </font>
    <font>
      <b/>
      <sz val="14"/>
      <color theme="1"/>
      <name val="Times New Roman"/>
      <family val="1"/>
    </font>
    <font>
      <sz val="14"/>
      <color rgb="FFFF0000"/>
      <name val="Times New Roman"/>
      <family val="1"/>
    </font>
  </fonts>
  <fills count="9">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rgb="FF92D050"/>
        <bgColor indexed="64"/>
      </patternFill>
    </fill>
    <fill>
      <patternFill patternType="solid">
        <fgColor rgb="FFFFC000"/>
        <bgColor indexed="64"/>
      </patternFill>
    </fill>
    <fill>
      <patternFill patternType="solid">
        <fgColor rgb="FF00B0F0"/>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s>
  <cellStyleXfs count="3">
    <xf numFmtId="0" fontId="0" fillId="0" borderId="0"/>
    <xf numFmtId="43" fontId="4" fillId="0" borderId="0" applyFont="0" applyFill="0" applyBorder="0" applyAlignment="0" applyProtection="0"/>
    <xf numFmtId="44" fontId="4" fillId="0" borderId="0" applyFont="0" applyFill="0" applyBorder="0" applyAlignment="0" applyProtection="0"/>
  </cellStyleXfs>
  <cellXfs count="279">
    <xf numFmtId="0" fontId="0" fillId="0" borderId="0" xfId="0"/>
    <xf numFmtId="0" fontId="1" fillId="0" borderId="0" xfId="0" applyFont="1"/>
    <xf numFmtId="0" fontId="2" fillId="0" borderId="0" xfId="0" applyFont="1"/>
    <xf numFmtId="0" fontId="3" fillId="0" borderId="0" xfId="0" applyFont="1" applyAlignment="1">
      <alignment vertical="top"/>
    </xf>
    <xf numFmtId="0" fontId="1" fillId="0" borderId="9" xfId="0" applyFont="1" applyBorder="1" applyAlignment="1">
      <alignment horizontal="left"/>
    </xf>
    <xf numFmtId="0" fontId="1" fillId="0" borderId="0" xfId="0" applyFont="1" applyAlignment="1">
      <alignment horizontal="left"/>
    </xf>
    <xf numFmtId="0" fontId="1" fillId="0" borderId="4" xfId="0" applyFont="1" applyBorder="1" applyAlignment="1">
      <alignment vertical="top" wrapText="1"/>
    </xf>
    <xf numFmtId="0" fontId="6" fillId="0" borderId="4" xfId="0" applyFont="1" applyBorder="1" applyAlignment="1">
      <alignment vertical="top" wrapText="1"/>
    </xf>
    <xf numFmtId="0" fontId="2" fillId="0" borderId="8" xfId="0" applyFont="1" applyFill="1" applyBorder="1" applyAlignment="1"/>
    <xf numFmtId="0" fontId="2" fillId="0" borderId="1" xfId="0" applyFont="1" applyBorder="1" applyAlignment="1">
      <alignment horizontal="left"/>
    </xf>
    <xf numFmtId="0" fontId="2" fillId="0" borderId="2" xfId="0" applyFont="1" applyBorder="1" applyAlignment="1">
      <alignment horizontal="center"/>
    </xf>
    <xf numFmtId="0" fontId="2" fillId="0" borderId="2" xfId="0" applyFont="1" applyBorder="1" applyAlignment="1">
      <alignment horizontal="center" wrapText="1"/>
    </xf>
    <xf numFmtId="0" fontId="2" fillId="0" borderId="8" xfId="0" applyFont="1" applyBorder="1" applyAlignment="1">
      <alignment horizontal="center" wrapText="1"/>
    </xf>
    <xf numFmtId="0" fontId="5" fillId="0" borderId="1" xfId="0" applyFont="1" applyFill="1" applyBorder="1" applyAlignment="1">
      <alignment horizontal="center" wrapText="1"/>
    </xf>
    <xf numFmtId="0" fontId="2" fillId="0" borderId="9" xfId="0" applyFont="1" applyBorder="1" applyAlignment="1">
      <alignment horizontal="center" wrapText="1"/>
    </xf>
    <xf numFmtId="1" fontId="2" fillId="0" borderId="1" xfId="1" applyNumberFormat="1" applyFont="1" applyFill="1" applyBorder="1" applyAlignment="1">
      <alignment vertical="top"/>
    </xf>
    <xf numFmtId="4" fontId="2" fillId="0" borderId="9" xfId="0" applyNumberFormat="1" applyFont="1" applyFill="1" applyBorder="1" applyAlignment="1">
      <alignment vertical="top"/>
    </xf>
    <xf numFmtId="0" fontId="2" fillId="0" borderId="0" xfId="0" applyFont="1" applyFill="1"/>
    <xf numFmtId="8" fontId="1" fillId="0" borderId="1" xfId="0" applyNumberFormat="1" applyFont="1" applyBorder="1" applyAlignment="1">
      <alignment vertical="top"/>
    </xf>
    <xf numFmtId="0" fontId="1" fillId="0" borderId="8" xfId="0" applyFont="1" applyBorder="1" applyAlignment="1">
      <alignment horizontal="left"/>
    </xf>
    <xf numFmtId="0" fontId="1" fillId="0" borderId="10" xfId="0" applyFont="1" applyBorder="1" applyAlignment="1">
      <alignment vertical="top"/>
    </xf>
    <xf numFmtId="0" fontId="1" fillId="2" borderId="11" xfId="0" applyFont="1" applyFill="1" applyBorder="1"/>
    <xf numFmtId="0" fontId="2" fillId="0" borderId="14" xfId="0" applyFont="1" applyBorder="1"/>
    <xf numFmtId="164" fontId="5" fillId="2" borderId="15" xfId="1" applyNumberFormat="1" applyFont="1" applyFill="1" applyBorder="1" applyAlignment="1">
      <alignment horizontal="center" vertical="center"/>
    </xf>
    <xf numFmtId="0" fontId="2" fillId="0" borderId="1" xfId="0" applyFont="1" applyBorder="1" applyAlignment="1">
      <alignment wrapText="1"/>
    </xf>
    <xf numFmtId="0" fontId="0" fillId="0" borderId="8" xfId="0" applyBorder="1" applyAlignment="1"/>
    <xf numFmtId="0" fontId="0" fillId="0" borderId="2" xfId="0" applyBorder="1" applyAlignment="1"/>
    <xf numFmtId="41" fontId="6" fillId="0" borderId="1" xfId="1" applyNumberFormat="1" applyFont="1" applyBorder="1" applyAlignment="1">
      <alignment horizontal="right" vertical="top"/>
    </xf>
    <xf numFmtId="0" fontId="5" fillId="0" borderId="2" xfId="0" applyFont="1" applyBorder="1" applyAlignment="1">
      <alignment horizontal="center" wrapText="1"/>
    </xf>
    <xf numFmtId="0" fontId="1" fillId="0" borderId="0" xfId="0" applyFont="1" applyAlignment="1">
      <alignment horizontal="center" vertical="center"/>
    </xf>
    <xf numFmtId="0" fontId="2" fillId="0" borderId="2" xfId="0" applyFont="1" applyBorder="1" applyAlignment="1">
      <alignment horizontal="center" vertical="center" wrapText="1"/>
    </xf>
    <xf numFmtId="164" fontId="2" fillId="0" borderId="4" xfId="1" applyNumberFormat="1" applyFont="1" applyFill="1" applyBorder="1" applyAlignment="1">
      <alignment horizontal="center" vertical="center"/>
    </xf>
    <xf numFmtId="164" fontId="2" fillId="0" borderId="1" xfId="1" applyNumberFormat="1" applyFont="1" applyFill="1" applyBorder="1" applyAlignment="1">
      <alignment horizontal="center" vertical="center"/>
    </xf>
    <xf numFmtId="1" fontId="2" fillId="0" borderId="2" xfId="0" applyNumberFormat="1" applyFont="1" applyBorder="1" applyAlignment="1">
      <alignment horizontal="center" vertical="center" wrapText="1"/>
    </xf>
    <xf numFmtId="0" fontId="2" fillId="0" borderId="8" xfId="0" applyFont="1" applyBorder="1" applyAlignment="1">
      <alignment horizontal="center" vertical="center" wrapText="1"/>
    </xf>
    <xf numFmtId="1" fontId="2" fillId="0" borderId="4" xfId="0" applyNumberFormat="1" applyFont="1" applyFill="1" applyBorder="1" applyAlignment="1">
      <alignment horizontal="right" vertical="center"/>
    </xf>
    <xf numFmtId="2" fontId="2" fillId="0" borderId="4" xfId="0" applyNumberFormat="1" applyFont="1" applyFill="1" applyBorder="1" applyAlignment="1">
      <alignment horizontal="right" vertical="center"/>
    </xf>
    <xf numFmtId="1" fontId="2" fillId="2" borderId="13" xfId="0" applyNumberFormat="1" applyFont="1" applyFill="1" applyBorder="1" applyAlignment="1">
      <alignment horizontal="right" vertical="center"/>
    </xf>
    <xf numFmtId="3" fontId="2" fillId="2" borderId="13" xfId="0" applyNumberFormat="1" applyFont="1" applyFill="1" applyBorder="1" applyAlignment="1">
      <alignment horizontal="right" vertical="center"/>
    </xf>
    <xf numFmtId="2" fontId="2" fillId="2" borderId="13" xfId="0" applyNumberFormat="1" applyFont="1" applyFill="1" applyBorder="1" applyAlignment="1">
      <alignment horizontal="right" vertical="center"/>
    </xf>
    <xf numFmtId="4" fontId="2" fillId="2" borderId="14" xfId="0" applyNumberFormat="1" applyFont="1" applyFill="1" applyBorder="1" applyAlignment="1">
      <alignment horizontal="right" vertical="center"/>
    </xf>
    <xf numFmtId="1" fontId="1" fillId="0" borderId="0" xfId="0" applyNumberFormat="1" applyFont="1" applyAlignment="1">
      <alignment horizontal="center" vertical="center"/>
    </xf>
    <xf numFmtId="1" fontId="6" fillId="0" borderId="4" xfId="0" applyNumberFormat="1" applyFont="1" applyBorder="1" applyAlignment="1">
      <alignment horizontal="center" vertical="center"/>
    </xf>
    <xf numFmtId="3" fontId="6" fillId="0" borderId="4" xfId="0" applyNumberFormat="1" applyFont="1" applyBorder="1" applyAlignment="1">
      <alignment horizontal="center" vertical="center"/>
    </xf>
    <xf numFmtId="2" fontId="6" fillId="0" borderId="4" xfId="0" applyNumberFormat="1" applyFont="1" applyBorder="1" applyAlignment="1">
      <alignment horizontal="center" vertical="center"/>
    </xf>
    <xf numFmtId="39" fontId="6" fillId="0" borderId="5" xfId="1" applyNumberFormat="1" applyFont="1" applyBorder="1" applyAlignment="1">
      <alignment horizontal="center" vertical="center"/>
    </xf>
    <xf numFmtId="164" fontId="2" fillId="0" borderId="4" xfId="1" applyNumberFormat="1" applyFont="1" applyFill="1" applyBorder="1" applyAlignment="1">
      <alignment horizontal="right" vertical="center"/>
    </xf>
    <xf numFmtId="3" fontId="2" fillId="0" borderId="4"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3" fontId="6" fillId="0" borderId="6" xfId="1" applyNumberFormat="1" applyFont="1" applyBorder="1" applyAlignment="1">
      <alignment horizontal="center" vertical="center"/>
    </xf>
    <xf numFmtId="3" fontId="6" fillId="0" borderId="3" xfId="1" applyNumberFormat="1" applyFont="1" applyBorder="1" applyAlignment="1">
      <alignment horizontal="center" vertical="center"/>
    </xf>
    <xf numFmtId="3" fontId="6" fillId="0" borderId="1" xfId="1" applyNumberFormat="1" applyFont="1" applyBorder="1" applyAlignment="1">
      <alignment horizontal="center" vertical="center"/>
    </xf>
    <xf numFmtId="0" fontId="6" fillId="0" borderId="4" xfId="0" applyFont="1" applyBorder="1" applyAlignment="1">
      <alignment horizontal="center" vertical="center"/>
    </xf>
    <xf numFmtId="3" fontId="6" fillId="0" borderId="4" xfId="1" applyNumberFormat="1" applyFont="1" applyBorder="1" applyAlignment="1">
      <alignment horizontal="center" vertical="center"/>
    </xf>
    <xf numFmtId="165" fontId="1" fillId="0" borderId="0" xfId="0" applyNumberFormat="1" applyFont="1" applyAlignment="1">
      <alignment horizontal="center" vertical="center"/>
    </xf>
    <xf numFmtId="166" fontId="1" fillId="0" borderId="0" xfId="0" applyNumberFormat="1" applyFont="1" applyAlignment="1">
      <alignment horizontal="center" vertical="center"/>
    </xf>
    <xf numFmtId="0" fontId="6" fillId="0" borderId="3" xfId="0" applyNumberFormat="1" applyFont="1" applyBorder="1" applyAlignment="1">
      <alignment horizontal="center" vertical="center"/>
    </xf>
    <xf numFmtId="2" fontId="6" fillId="0" borderId="3" xfId="0" applyNumberFormat="1" applyFont="1" applyBorder="1" applyAlignment="1">
      <alignment horizontal="center" vertical="center"/>
    </xf>
    <xf numFmtId="4" fontId="6" fillId="0" borderId="10" xfId="1" applyNumberFormat="1" applyFont="1" applyBorder="1" applyAlignment="1">
      <alignment horizontal="center" vertical="center"/>
    </xf>
    <xf numFmtId="0" fontId="6" fillId="0" borderId="1" xfId="0" applyNumberFormat="1" applyFont="1" applyBorder="1" applyAlignment="1">
      <alignment horizontal="center" vertical="center"/>
    </xf>
    <xf numFmtId="2" fontId="6" fillId="0" borderId="1" xfId="0" applyNumberFormat="1" applyFont="1" applyBorder="1" applyAlignment="1">
      <alignment horizontal="center" vertical="center"/>
    </xf>
    <xf numFmtId="4" fontId="6" fillId="0" borderId="9" xfId="1" applyNumberFormat="1" applyFont="1" applyBorder="1" applyAlignment="1">
      <alignment horizontal="center" vertical="center"/>
    </xf>
    <xf numFmtId="0" fontId="2" fillId="0" borderId="4" xfId="0" applyFont="1" applyFill="1" applyBorder="1" applyAlignment="1">
      <alignment horizontal="right" vertical="center"/>
    </xf>
    <xf numFmtId="3" fontId="2" fillId="0" borderId="1" xfId="1" applyNumberFormat="1" applyFont="1" applyFill="1" applyBorder="1" applyAlignment="1">
      <alignment horizontal="right" vertical="center"/>
    </xf>
    <xf numFmtId="4" fontId="2" fillId="0" borderId="9" xfId="0" applyNumberFormat="1" applyFont="1" applyFill="1" applyBorder="1" applyAlignment="1">
      <alignment horizontal="right" vertical="center"/>
    </xf>
    <xf numFmtId="164" fontId="5" fillId="2" borderId="15" xfId="1" applyNumberFormat="1" applyFont="1" applyFill="1" applyBorder="1" applyAlignment="1">
      <alignment horizontal="right" vertical="center"/>
    </xf>
    <xf numFmtId="43" fontId="5" fillId="2" borderId="15" xfId="0" applyNumberFormat="1" applyFont="1" applyFill="1" applyBorder="1" applyAlignment="1">
      <alignment horizontal="right" vertical="center"/>
    </xf>
    <xf numFmtId="4" fontId="5" fillId="2" borderId="15" xfId="0" applyNumberFormat="1" applyFont="1" applyFill="1" applyBorder="1" applyAlignment="1">
      <alignment horizontal="right" vertical="center"/>
    </xf>
    <xf numFmtId="4" fontId="5" fillId="2" borderId="11" xfId="0" applyNumberFormat="1" applyFont="1" applyFill="1" applyBorder="1" applyAlignment="1">
      <alignment horizontal="right" vertical="center"/>
    </xf>
    <xf numFmtId="8" fontId="2" fillId="0" borderId="4" xfId="2" applyNumberFormat="1" applyFont="1" applyFill="1" applyBorder="1" applyAlignment="1">
      <alignment vertical="top"/>
    </xf>
    <xf numFmtId="39" fontId="2" fillId="0" borderId="1" xfId="1" applyNumberFormat="1" applyFont="1" applyFill="1" applyBorder="1" applyAlignment="1">
      <alignment vertical="top"/>
    </xf>
    <xf numFmtId="7" fontId="5" fillId="2" borderId="15" xfId="2" applyNumberFormat="1" applyFont="1" applyFill="1" applyBorder="1" applyAlignment="1">
      <alignment horizontal="right" vertical="top"/>
    </xf>
    <xf numFmtId="0" fontId="1" fillId="0" borderId="1" xfId="0" applyFont="1" applyBorder="1" applyAlignment="1">
      <alignment horizontal="center" vertical="center"/>
    </xf>
    <xf numFmtId="0" fontId="1" fillId="0" borderId="1" xfId="0" applyFont="1" applyBorder="1" applyAlignment="1">
      <alignment vertical="top"/>
    </xf>
    <xf numFmtId="2" fontId="2" fillId="0" borderId="5" xfId="0" applyNumberFormat="1" applyFont="1" applyFill="1" applyBorder="1" applyAlignment="1">
      <alignment horizontal="right" vertical="center"/>
    </xf>
    <xf numFmtId="39" fontId="6" fillId="0" borderId="1" xfId="1" applyNumberFormat="1" applyFont="1" applyBorder="1" applyAlignment="1">
      <alignment horizontal="right" vertical="top"/>
    </xf>
    <xf numFmtId="1" fontId="6" fillId="0" borderId="3" xfId="0" applyNumberFormat="1" applyFont="1" applyBorder="1" applyAlignment="1">
      <alignment horizontal="center" vertical="center"/>
    </xf>
    <xf numFmtId="1" fontId="6" fillId="0" borderId="6" xfId="0" applyNumberFormat="1" applyFont="1" applyBorder="1" applyAlignment="1">
      <alignment horizontal="center" vertical="center"/>
    </xf>
    <xf numFmtId="1" fontId="6" fillId="0" borderId="3" xfId="0" applyNumberFormat="1" applyFont="1" applyBorder="1" applyAlignment="1">
      <alignment horizontal="center" vertical="center"/>
    </xf>
    <xf numFmtId="0" fontId="6" fillId="0" borderId="4" xfId="0" applyFont="1" applyFill="1" applyBorder="1" applyAlignment="1">
      <alignment vertical="top" wrapText="1"/>
    </xf>
    <xf numFmtId="2" fontId="6" fillId="0" borderId="4"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3" fillId="0" borderId="0" xfId="0" applyFont="1" applyFill="1" applyAlignment="1">
      <alignment vertical="top"/>
    </xf>
    <xf numFmtId="0" fontId="1" fillId="0" borderId="0" xfId="0" applyFont="1" applyFill="1"/>
    <xf numFmtId="0" fontId="1" fillId="0" borderId="0" xfId="0" applyFont="1" applyFill="1" applyAlignment="1">
      <alignment horizontal="center" vertical="center"/>
    </xf>
    <xf numFmtId="2" fontId="6" fillId="0" borderId="1" xfId="1" applyNumberFormat="1" applyFont="1" applyBorder="1" applyAlignment="1">
      <alignment horizontal="right" vertical="top"/>
    </xf>
    <xf numFmtId="0" fontId="2" fillId="0" borderId="1" xfId="0" applyFont="1" applyBorder="1" applyAlignment="1">
      <alignment horizontal="center"/>
    </xf>
    <xf numFmtId="1" fontId="2" fillId="0" borderId="2" xfId="0" applyNumberFormat="1" applyFont="1" applyBorder="1" applyAlignment="1">
      <alignment horizontal="center" wrapText="1"/>
    </xf>
    <xf numFmtId="0" fontId="2" fillId="0" borderId="2" xfId="0" applyFont="1" applyFill="1" applyBorder="1" applyAlignment="1">
      <alignment horizontal="center" wrapText="1"/>
    </xf>
    <xf numFmtId="0" fontId="2" fillId="0" borderId="0" xfId="0" applyFont="1" applyAlignment="1">
      <alignment horizontal="center"/>
    </xf>
    <xf numFmtId="41" fontId="6" fillId="0" borderId="3" xfId="1" applyNumberFormat="1" applyFont="1" applyBorder="1" applyAlignment="1">
      <alignment horizontal="right" vertical="top"/>
    </xf>
    <xf numFmtId="39" fontId="6" fillId="0" borderId="3" xfId="1" applyNumberFormat="1" applyFont="1" applyBorder="1" applyAlignment="1">
      <alignment horizontal="right" vertical="top"/>
    </xf>
    <xf numFmtId="39" fontId="2" fillId="0" borderId="3" xfId="1" applyNumberFormat="1" applyFont="1" applyFill="1" applyBorder="1" applyAlignment="1">
      <alignment horizontal="right" vertical="center"/>
    </xf>
    <xf numFmtId="8" fontId="1" fillId="0" borderId="10" xfId="0" applyNumberFormat="1" applyFont="1" applyBorder="1" applyAlignment="1">
      <alignment vertical="top"/>
    </xf>
    <xf numFmtId="7" fontId="2" fillId="0" borderId="3" xfId="1" applyNumberFormat="1" applyFont="1" applyFill="1" applyBorder="1" applyAlignment="1">
      <alignment horizontal="right" vertical="center"/>
    </xf>
    <xf numFmtId="0" fontId="1" fillId="0" borderId="1" xfId="0" applyFont="1" applyBorder="1"/>
    <xf numFmtId="0" fontId="12" fillId="0" borderId="0" xfId="0" applyFont="1" applyAlignment="1">
      <alignment horizontal="left"/>
    </xf>
    <xf numFmtId="0" fontId="11" fillId="0" borderId="0" xfId="0" applyFont="1"/>
    <xf numFmtId="0" fontId="11" fillId="0" borderId="0" xfId="0" applyFont="1" applyAlignment="1">
      <alignment horizontal="center" vertical="center"/>
    </xf>
    <xf numFmtId="1" fontId="11" fillId="0" borderId="0" xfId="0" applyNumberFormat="1" applyFont="1" applyAlignment="1">
      <alignment horizontal="center" vertical="center"/>
    </xf>
    <xf numFmtId="0" fontId="11" fillId="0" borderId="0" xfId="0" applyFont="1" applyFill="1" applyAlignment="1">
      <alignment horizontal="center" vertical="center"/>
    </xf>
    <xf numFmtId="0" fontId="13" fillId="0" borderId="0" xfId="0" applyFont="1" applyAlignment="1">
      <alignment vertical="top"/>
    </xf>
    <xf numFmtId="0" fontId="11" fillId="0" borderId="0" xfId="0" applyFont="1" applyAlignment="1">
      <alignment horizontal="left"/>
    </xf>
    <xf numFmtId="0" fontId="1" fillId="0" borderId="18" xfId="0" applyFont="1" applyFill="1" applyBorder="1" applyAlignment="1">
      <alignment horizontal="center" vertical="top" wrapText="1"/>
    </xf>
    <xf numFmtId="0" fontId="1" fillId="0" borderId="4" xfId="0" applyFont="1" applyBorder="1" applyAlignment="1">
      <alignment horizontal="center" vertical="center"/>
    </xf>
    <xf numFmtId="2" fontId="6" fillId="0" borderId="5" xfId="0" applyNumberFormat="1" applyFont="1" applyBorder="1" applyAlignment="1">
      <alignment horizontal="center" vertical="center"/>
    </xf>
    <xf numFmtId="1" fontId="6" fillId="0" borderId="4" xfId="0" applyNumberFormat="1" applyFont="1" applyFill="1" applyBorder="1" applyAlignment="1">
      <alignment horizontal="center" vertical="center"/>
    </xf>
    <xf numFmtId="3" fontId="6" fillId="0" borderId="4" xfId="0" applyNumberFormat="1" applyFont="1" applyFill="1" applyBorder="1" applyAlignment="1">
      <alignment horizontal="center" vertical="center"/>
    </xf>
    <xf numFmtId="0" fontId="6" fillId="0" borderId="5" xfId="0" applyFont="1" applyFill="1" applyBorder="1" applyAlignment="1">
      <alignment vertical="top" wrapText="1"/>
    </xf>
    <xf numFmtId="0" fontId="6" fillId="0" borderId="1" xfId="0" applyFont="1" applyBorder="1" applyAlignment="1">
      <alignment vertical="top" wrapText="1"/>
    </xf>
    <xf numFmtId="3" fontId="6" fillId="0" borderId="2" xfId="0" applyNumberFormat="1" applyFont="1" applyBorder="1" applyAlignment="1">
      <alignment horizontal="center" vertical="center"/>
    </xf>
    <xf numFmtId="0" fontId="6" fillId="0" borderId="9" xfId="0" applyFont="1" applyFill="1" applyBorder="1" applyAlignment="1">
      <alignment vertical="top" wrapText="1"/>
    </xf>
    <xf numFmtId="39" fontId="6" fillId="0" borderId="1" xfId="1" applyNumberFormat="1" applyFont="1" applyBorder="1" applyAlignment="1">
      <alignment horizontal="center" vertical="top"/>
    </xf>
    <xf numFmtId="4" fontId="6" fillId="0" borderId="10" xfId="1" applyNumberFormat="1" applyFont="1" applyBorder="1" applyAlignment="1">
      <alignment horizontal="center" vertical="top"/>
    </xf>
    <xf numFmtId="4" fontId="6" fillId="0" borderId="9" xfId="1" applyNumberFormat="1" applyFont="1" applyBorder="1" applyAlignment="1">
      <alignment horizontal="center" vertical="top"/>
    </xf>
    <xf numFmtId="39" fontId="2" fillId="0" borderId="1" xfId="1" applyNumberFormat="1" applyFont="1" applyFill="1" applyBorder="1" applyAlignment="1">
      <alignment horizontal="center" vertical="center"/>
    </xf>
    <xf numFmtId="39" fontId="2" fillId="0" borderId="3" xfId="1" applyNumberFormat="1" applyFont="1" applyFill="1" applyBorder="1" applyAlignment="1">
      <alignment horizontal="center" vertical="center"/>
    </xf>
    <xf numFmtId="2" fontId="6" fillId="0" borderId="1" xfId="1" applyNumberFormat="1" applyFont="1" applyBorder="1" applyAlignment="1">
      <alignment horizontal="center" vertical="center"/>
    </xf>
    <xf numFmtId="39" fontId="6" fillId="0" borderId="1" xfId="1" applyNumberFormat="1" applyFont="1" applyBorder="1" applyAlignment="1">
      <alignment horizontal="center" vertical="center"/>
    </xf>
    <xf numFmtId="8" fontId="1" fillId="0" borderId="9" xfId="0" applyNumberFormat="1" applyFont="1" applyBorder="1" applyAlignment="1">
      <alignment horizontal="center" vertical="center"/>
    </xf>
    <xf numFmtId="8" fontId="1" fillId="0" borderId="1" xfId="0" applyNumberFormat="1" applyFont="1" applyBorder="1" applyAlignment="1">
      <alignment vertical="center"/>
    </xf>
    <xf numFmtId="4" fontId="2" fillId="0" borderId="9" xfId="0" applyNumberFormat="1" applyFont="1" applyFill="1" applyBorder="1" applyAlignment="1">
      <alignment horizontal="center" vertical="center"/>
    </xf>
    <xf numFmtId="8" fontId="1" fillId="0" borderId="1" xfId="0" applyNumberFormat="1" applyFont="1" applyBorder="1" applyAlignment="1">
      <alignment horizontal="right" vertical="center"/>
    </xf>
    <xf numFmtId="39" fontId="6" fillId="0" borderId="3" xfId="1" applyNumberFormat="1" applyFont="1" applyBorder="1" applyAlignment="1">
      <alignment horizontal="center" vertical="center"/>
    </xf>
    <xf numFmtId="8" fontId="1" fillId="0" borderId="10" xfId="0" applyNumberFormat="1" applyFont="1" applyBorder="1" applyAlignment="1">
      <alignment horizontal="center" vertical="center"/>
    </xf>
    <xf numFmtId="0" fontId="2" fillId="5" borderId="19" xfId="0" applyFont="1" applyFill="1" applyBorder="1" applyAlignment="1">
      <alignment horizontal="center"/>
    </xf>
    <xf numFmtId="0" fontId="1" fillId="0" borderId="1" xfId="0" applyFont="1" applyFill="1" applyBorder="1" applyAlignment="1">
      <alignment horizontal="center" vertical="top"/>
    </xf>
    <xf numFmtId="3" fontId="1" fillId="0" borderId="0" xfId="0" applyNumberFormat="1" applyFont="1"/>
    <xf numFmtId="10" fontId="1" fillId="0" borderId="0" xfId="0" applyNumberFormat="1" applyFont="1"/>
    <xf numFmtId="1" fontId="6" fillId="0" borderId="3" xfId="0" applyNumberFormat="1" applyFont="1" applyBorder="1" applyAlignment="1">
      <alignment horizontal="center" vertical="center"/>
    </xf>
    <xf numFmtId="167" fontId="6" fillId="0" borderId="4" xfId="0" applyNumberFormat="1" applyFont="1" applyFill="1" applyBorder="1" applyAlignment="1">
      <alignment horizontal="center" vertical="center"/>
    </xf>
    <xf numFmtId="167" fontId="6" fillId="0" borderId="1" xfId="1" applyNumberFormat="1" applyFont="1" applyBorder="1" applyAlignment="1">
      <alignment horizontal="center" vertical="center"/>
    </xf>
    <xf numFmtId="4" fontId="1" fillId="0" borderId="0" xfId="0" applyNumberFormat="1" applyFont="1"/>
    <xf numFmtId="1" fontId="2" fillId="0" borderId="4" xfId="0" applyNumberFormat="1" applyFont="1" applyFill="1" applyBorder="1" applyAlignment="1">
      <alignment horizontal="center" vertical="center"/>
    </xf>
    <xf numFmtId="2" fontId="2" fillId="0" borderId="4" xfId="0" applyNumberFormat="1" applyFont="1" applyFill="1" applyBorder="1" applyAlignment="1">
      <alignment horizontal="center" vertical="center"/>
    </xf>
    <xf numFmtId="37" fontId="2" fillId="0" borderId="4" xfId="1" applyNumberFormat="1" applyFont="1" applyFill="1" applyBorder="1" applyAlignment="1">
      <alignment horizontal="center" vertical="center"/>
    </xf>
    <xf numFmtId="1" fontId="5" fillId="0" borderId="4" xfId="0" applyNumberFormat="1" applyFont="1" applyBorder="1" applyAlignment="1">
      <alignment horizontal="center" vertical="center"/>
    </xf>
    <xf numFmtId="3" fontId="5" fillId="0" borderId="6" xfId="1" applyNumberFormat="1" applyFont="1" applyBorder="1" applyAlignment="1">
      <alignment horizontal="center" vertical="center"/>
    </xf>
    <xf numFmtId="2" fontId="5" fillId="0" borderId="4" xfId="0" applyNumberFormat="1" applyFont="1" applyBorder="1" applyAlignment="1">
      <alignment horizontal="center" vertical="center"/>
    </xf>
    <xf numFmtId="8" fontId="2" fillId="0" borderId="9" xfId="0" applyNumberFormat="1" applyFont="1" applyBorder="1" applyAlignment="1">
      <alignment horizontal="center" vertical="top"/>
    </xf>
    <xf numFmtId="0" fontId="1" fillId="0" borderId="10" xfId="0" applyFont="1" applyBorder="1" applyAlignment="1">
      <alignment horizontal="center" vertical="center"/>
    </xf>
    <xf numFmtId="3" fontId="2" fillId="0" borderId="4" xfId="0" applyNumberFormat="1" applyFont="1" applyFill="1" applyBorder="1" applyAlignment="1">
      <alignment horizontal="center" vertical="center"/>
    </xf>
    <xf numFmtId="4" fontId="2" fillId="0" borderId="1" xfId="0" applyNumberFormat="1" applyFont="1" applyFill="1" applyBorder="1" applyAlignment="1">
      <alignment horizontal="center" vertical="center"/>
    </xf>
    <xf numFmtId="1" fontId="2" fillId="0" borderId="1" xfId="1" applyNumberFormat="1" applyFont="1" applyFill="1" applyBorder="1" applyAlignment="1">
      <alignment horizontal="center" vertical="center"/>
    </xf>
    <xf numFmtId="0" fontId="2" fillId="0" borderId="4" xfId="0" applyFont="1" applyFill="1" applyBorder="1" applyAlignment="1">
      <alignment horizontal="center" vertical="center"/>
    </xf>
    <xf numFmtId="3" fontId="2" fillId="0" borderId="1" xfId="1" applyNumberFormat="1" applyFont="1" applyFill="1" applyBorder="1" applyAlignment="1">
      <alignment horizontal="center" vertical="center"/>
    </xf>
    <xf numFmtId="2" fontId="2" fillId="0" borderId="5" xfId="0" applyNumberFormat="1" applyFont="1" applyFill="1" applyBorder="1" applyAlignment="1">
      <alignment horizontal="center" vertical="center"/>
    </xf>
    <xf numFmtId="3" fontId="2" fillId="2" borderId="13" xfId="0" applyNumberFormat="1" applyFont="1" applyFill="1" applyBorder="1" applyAlignment="1">
      <alignment horizontal="center" vertical="center"/>
    </xf>
    <xf numFmtId="1" fontId="2" fillId="2" borderId="13" xfId="0" applyNumberFormat="1" applyFont="1" applyFill="1" applyBorder="1" applyAlignment="1">
      <alignment horizontal="center" vertical="center"/>
    </xf>
    <xf numFmtId="2" fontId="2" fillId="2" borderId="13" xfId="0" applyNumberFormat="1" applyFont="1" applyFill="1" applyBorder="1" applyAlignment="1">
      <alignment horizontal="center" vertical="center"/>
    </xf>
    <xf numFmtId="4" fontId="2" fillId="2" borderId="14" xfId="0" applyNumberFormat="1" applyFont="1" applyFill="1" applyBorder="1" applyAlignment="1">
      <alignment horizontal="center" vertical="center"/>
    </xf>
    <xf numFmtId="43" fontId="5" fillId="2" borderId="15" xfId="0" applyNumberFormat="1" applyFont="1" applyFill="1" applyBorder="1" applyAlignment="1">
      <alignment horizontal="center" vertical="center"/>
    </xf>
    <xf numFmtId="0" fontId="1" fillId="2" borderId="11" xfId="0" applyFont="1" applyFill="1" applyBorder="1" applyAlignment="1">
      <alignment horizontal="center" vertical="center"/>
    </xf>
    <xf numFmtId="7" fontId="5" fillId="2" borderId="15" xfId="2" applyNumberFormat="1" applyFont="1" applyFill="1" applyBorder="1" applyAlignment="1">
      <alignment horizontal="center" vertical="center"/>
    </xf>
    <xf numFmtId="37" fontId="5" fillId="2" borderId="15" xfId="1" applyNumberFormat="1" applyFont="1" applyFill="1" applyBorder="1" applyAlignment="1">
      <alignment horizontal="center" vertical="center"/>
    </xf>
    <xf numFmtId="8" fontId="2" fillId="0" borderId="4" xfId="2" applyNumberFormat="1" applyFont="1" applyFill="1" applyBorder="1" applyAlignment="1">
      <alignment horizontal="center" vertical="center"/>
    </xf>
    <xf numFmtId="37" fontId="2" fillId="0" borderId="1" xfId="1" applyNumberFormat="1" applyFont="1" applyFill="1" applyBorder="1" applyAlignment="1">
      <alignment horizontal="center" vertical="center"/>
    </xf>
    <xf numFmtId="2" fontId="2" fillId="0" borderId="4" xfId="1" applyNumberFormat="1" applyFont="1" applyFill="1" applyBorder="1" applyAlignment="1">
      <alignment horizontal="center" vertical="center"/>
    </xf>
    <xf numFmtId="4" fontId="1" fillId="0" borderId="10" xfId="0" applyNumberFormat="1" applyFont="1" applyBorder="1" applyAlignment="1">
      <alignment horizontal="center" vertical="center"/>
    </xf>
    <xf numFmtId="168" fontId="1" fillId="0" borderId="10" xfId="0" applyNumberFormat="1" applyFont="1" applyBorder="1" applyAlignment="1">
      <alignment horizontal="center" vertical="center"/>
    </xf>
    <xf numFmtId="168" fontId="1" fillId="0" borderId="10" xfId="0" applyNumberFormat="1" applyFont="1" applyBorder="1" applyAlignment="1">
      <alignment horizontal="center" vertical="top"/>
    </xf>
    <xf numFmtId="168" fontId="1" fillId="0" borderId="1" xfId="0" applyNumberFormat="1" applyFont="1" applyBorder="1" applyAlignment="1">
      <alignment horizontal="center" vertical="top"/>
    </xf>
    <xf numFmtId="168" fontId="6" fillId="0" borderId="3" xfId="1" applyNumberFormat="1" applyFont="1" applyBorder="1" applyAlignment="1">
      <alignment horizontal="center" vertical="center"/>
    </xf>
    <xf numFmtId="7" fontId="2" fillId="0" borderId="1" xfId="1" applyNumberFormat="1" applyFont="1" applyFill="1" applyBorder="1" applyAlignment="1">
      <alignment horizontal="center" vertical="center"/>
    </xf>
    <xf numFmtId="37" fontId="5" fillId="0" borderId="1" xfId="1" applyNumberFormat="1" applyFont="1" applyBorder="1" applyAlignment="1">
      <alignment horizontal="center" vertical="center"/>
    </xf>
    <xf numFmtId="39" fontId="2" fillId="0" borderId="4" xfId="1" applyNumberFormat="1" applyFont="1" applyFill="1" applyBorder="1" applyAlignment="1">
      <alignment horizontal="center" vertical="center"/>
    </xf>
    <xf numFmtId="7" fontId="2" fillId="0" borderId="3" xfId="1" applyNumberFormat="1" applyFont="1" applyFill="1" applyBorder="1" applyAlignment="1">
      <alignment horizontal="center" vertical="center"/>
    </xf>
    <xf numFmtId="0" fontId="2" fillId="0" borderId="0" xfId="0" applyFont="1" applyAlignment="1">
      <alignment horizontal="center" vertical="center"/>
    </xf>
    <xf numFmtId="0" fontId="5" fillId="0" borderId="1" xfId="0" applyNumberFormat="1" applyFont="1" applyBorder="1" applyAlignment="1">
      <alignment horizontal="center" vertical="center"/>
    </xf>
    <xf numFmtId="2" fontId="5" fillId="0" borderId="1" xfId="1" applyNumberFormat="1" applyFont="1" applyBorder="1" applyAlignment="1">
      <alignment horizontal="center" vertical="center"/>
    </xf>
    <xf numFmtId="39" fontId="5" fillId="0" borderId="1" xfId="1" applyNumberFormat="1" applyFont="1" applyBorder="1" applyAlignment="1">
      <alignment horizontal="center" vertical="center"/>
    </xf>
    <xf numFmtId="0" fontId="2" fillId="0" borderId="1" xfId="0" applyFont="1" applyBorder="1" applyAlignment="1">
      <alignment horizontal="center" vertical="center"/>
    </xf>
    <xf numFmtId="37" fontId="5" fillId="0" borderId="1" xfId="1" applyNumberFormat="1" applyFont="1" applyFill="1" applyBorder="1" applyAlignment="1">
      <alignment horizontal="center" vertical="center"/>
    </xf>
    <xf numFmtId="1" fontId="2" fillId="0" borderId="1" xfId="0" applyNumberFormat="1" applyFont="1" applyFill="1" applyBorder="1" applyAlignment="1">
      <alignment horizontal="center" vertical="center"/>
    </xf>
    <xf numFmtId="3" fontId="2" fillId="0" borderId="1"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 fontId="2" fillId="0" borderId="6" xfId="1" applyNumberFormat="1" applyFont="1" applyFill="1" applyBorder="1" applyAlignment="1">
      <alignment horizontal="center" vertical="center"/>
    </xf>
    <xf numFmtId="3" fontId="2" fillId="0" borderId="6" xfId="1" applyNumberFormat="1" applyFont="1" applyFill="1" applyBorder="1" applyAlignment="1">
      <alignment horizontal="center" vertical="center"/>
    </xf>
    <xf numFmtId="2" fontId="2" fillId="0" borderId="0" xfId="0" applyNumberFormat="1" applyFont="1" applyFill="1" applyBorder="1" applyAlignment="1">
      <alignment horizontal="center" vertical="center"/>
    </xf>
    <xf numFmtId="4" fontId="2" fillId="0" borderId="6" xfId="0" applyNumberFormat="1" applyFont="1" applyFill="1" applyBorder="1" applyAlignment="1">
      <alignment horizontal="center" vertical="center"/>
    </xf>
    <xf numFmtId="4" fontId="2" fillId="0" borderId="17" xfId="0" applyNumberFormat="1" applyFont="1" applyFill="1" applyBorder="1" applyAlignment="1">
      <alignment horizontal="center" vertical="center"/>
    </xf>
    <xf numFmtId="0" fontId="1" fillId="0" borderId="18" xfId="0" applyFont="1" applyBorder="1" applyAlignment="1">
      <alignment horizontal="center" vertical="center"/>
    </xf>
    <xf numFmtId="3" fontId="2" fillId="2" borderId="2" xfId="0" applyNumberFormat="1" applyFont="1" applyFill="1" applyBorder="1" applyAlignment="1">
      <alignment horizontal="center" vertical="center"/>
    </xf>
    <xf numFmtId="1" fontId="2" fillId="2" borderId="2" xfId="0" applyNumberFormat="1" applyFont="1" applyFill="1" applyBorder="1" applyAlignment="1">
      <alignment horizontal="center" vertical="center"/>
    </xf>
    <xf numFmtId="2" fontId="2" fillId="2" borderId="2" xfId="0" applyNumberFormat="1" applyFont="1" applyFill="1" applyBorder="1" applyAlignment="1">
      <alignment horizontal="center" vertical="center"/>
    </xf>
    <xf numFmtId="4" fontId="2" fillId="2" borderId="8" xfId="0" applyNumberFormat="1" applyFont="1" applyFill="1" applyBorder="1" applyAlignment="1">
      <alignment horizontal="center" vertical="center"/>
    </xf>
    <xf numFmtId="4" fontId="5" fillId="2" borderId="1" xfId="0" applyNumberFormat="1" applyFont="1" applyFill="1" applyBorder="1" applyAlignment="1">
      <alignment horizontal="center" vertical="center"/>
    </xf>
    <xf numFmtId="4" fontId="5" fillId="2" borderId="9" xfId="0" applyNumberFormat="1" applyFont="1" applyFill="1" applyBorder="1" applyAlignment="1">
      <alignment horizontal="center" vertical="center"/>
    </xf>
    <xf numFmtId="0" fontId="1" fillId="2" borderId="9" xfId="0" applyFont="1" applyFill="1" applyBorder="1" applyAlignment="1">
      <alignment horizontal="center" vertical="center"/>
    </xf>
    <xf numFmtId="7" fontId="5" fillId="2" borderId="1" xfId="2" applyNumberFormat="1" applyFont="1" applyFill="1" applyBorder="1" applyAlignment="1">
      <alignment horizontal="center" vertical="center"/>
    </xf>
    <xf numFmtId="37" fontId="5" fillId="2" borderId="1" xfId="1" applyNumberFormat="1" applyFont="1" applyFill="1" applyBorder="1" applyAlignment="1">
      <alignment horizontal="center" vertical="center"/>
    </xf>
    <xf numFmtId="39" fontId="5" fillId="2" borderId="1" xfId="0" applyNumberFormat="1" applyFont="1" applyFill="1" applyBorder="1" applyAlignment="1">
      <alignment horizontal="center" vertical="center"/>
    </xf>
    <xf numFmtId="7" fontId="2" fillId="0" borderId="6" xfId="1" applyNumberFormat="1" applyFont="1" applyFill="1" applyBorder="1" applyAlignment="1">
      <alignment horizontal="center" vertical="center"/>
    </xf>
    <xf numFmtId="1" fontId="5" fillId="0" borderId="1" xfId="1" applyNumberFormat="1" applyFont="1" applyBorder="1" applyAlignment="1">
      <alignment horizontal="center" vertical="center"/>
    </xf>
    <xf numFmtId="3" fontId="5" fillId="0" borderId="1" xfId="1" applyNumberFormat="1" applyFont="1" applyBorder="1" applyAlignment="1">
      <alignment horizontal="center" vertical="center"/>
    </xf>
    <xf numFmtId="39" fontId="5" fillId="0" borderId="3" xfId="1" applyNumberFormat="1" applyFont="1" applyBorder="1" applyAlignment="1">
      <alignment horizontal="center" vertical="center"/>
    </xf>
    <xf numFmtId="2" fontId="5" fillId="0" borderId="1" xfId="0" applyNumberFormat="1" applyFont="1" applyBorder="1" applyAlignment="1">
      <alignment horizontal="center" vertical="center"/>
    </xf>
    <xf numFmtId="4" fontId="5" fillId="2" borderId="15" xfId="0" applyNumberFormat="1" applyFont="1" applyFill="1" applyBorder="1" applyAlignment="1">
      <alignment horizontal="center" vertical="center"/>
    </xf>
    <xf numFmtId="4" fontId="5" fillId="2" borderId="11" xfId="0" applyNumberFormat="1" applyFont="1" applyFill="1" applyBorder="1" applyAlignment="1">
      <alignment horizontal="center" vertical="center"/>
    </xf>
    <xf numFmtId="2" fontId="6" fillId="0" borderId="1" xfId="1" applyNumberFormat="1" applyFont="1" applyFill="1" applyBorder="1" applyAlignment="1">
      <alignment horizontal="center" vertical="center"/>
    </xf>
    <xf numFmtId="2" fontId="6" fillId="0" borderId="3" xfId="0" applyNumberFormat="1" applyFont="1" applyFill="1" applyBorder="1" applyAlignment="1">
      <alignment horizontal="center" vertical="center"/>
    </xf>
    <xf numFmtId="0" fontId="6" fillId="0" borderId="3"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39" fontId="5" fillId="0" borderId="1" xfId="1" applyNumberFormat="1" applyFont="1" applyFill="1" applyBorder="1" applyAlignment="1">
      <alignment horizontal="center" vertical="center"/>
    </xf>
    <xf numFmtId="3" fontId="6" fillId="0" borderId="1" xfId="1" applyNumberFormat="1" applyFont="1" applyFill="1" applyBorder="1" applyAlignment="1">
      <alignment horizontal="center" vertical="center"/>
    </xf>
    <xf numFmtId="0" fontId="2" fillId="2" borderId="9" xfId="0" applyFont="1" applyFill="1" applyBorder="1" applyAlignment="1">
      <alignment horizontal="center" vertical="top"/>
    </xf>
    <xf numFmtId="0" fontId="2" fillId="2" borderId="8" xfId="0" applyFont="1" applyFill="1" applyBorder="1" applyAlignment="1">
      <alignment horizontal="center" vertical="top"/>
    </xf>
    <xf numFmtId="0" fontId="2" fillId="2" borderId="2" xfId="0" applyFont="1" applyFill="1" applyBorder="1" applyAlignment="1">
      <alignment horizontal="center" vertical="top"/>
    </xf>
    <xf numFmtId="0" fontId="6" fillId="0" borderId="6" xfId="0" applyFont="1" applyBorder="1" applyAlignment="1">
      <alignment horizontal="center" vertical="top" wrapText="1"/>
    </xf>
    <xf numFmtId="0" fontId="6" fillId="0" borderId="7" xfId="0" applyFont="1" applyBorder="1" applyAlignment="1">
      <alignment horizontal="center" vertical="top" wrapText="1"/>
    </xf>
    <xf numFmtId="0" fontId="6" fillId="0" borderId="3" xfId="0" applyFont="1" applyBorder="1" applyAlignment="1">
      <alignment horizontal="center" vertical="top" wrapText="1"/>
    </xf>
    <xf numFmtId="0" fontId="1" fillId="0" borderId="6" xfId="0" applyFont="1" applyFill="1" applyBorder="1" applyAlignment="1">
      <alignment horizontal="center" vertical="top" wrapText="1"/>
    </xf>
    <xf numFmtId="0" fontId="1" fillId="0" borderId="7" xfId="0" applyFont="1" applyFill="1" applyBorder="1" applyAlignment="1">
      <alignment horizontal="center" vertical="top"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0" fillId="0" borderId="7" xfId="0" applyBorder="1" applyAlignment="1">
      <alignment horizontal="center" vertical="center"/>
    </xf>
    <xf numFmtId="0" fontId="2" fillId="8" borderId="9" xfId="0" applyFont="1" applyFill="1" applyBorder="1" applyAlignment="1">
      <alignment horizontal="center" vertical="center"/>
    </xf>
    <xf numFmtId="0" fontId="2" fillId="8" borderId="8" xfId="0" applyFont="1" applyFill="1" applyBorder="1" applyAlignment="1">
      <alignment horizontal="center" vertical="center"/>
    </xf>
    <xf numFmtId="0" fontId="2" fillId="8" borderId="2" xfId="0" applyFont="1" applyFill="1" applyBorder="1" applyAlignment="1">
      <alignment horizontal="center" vertical="center"/>
    </xf>
    <xf numFmtId="0" fontId="2" fillId="8" borderId="9" xfId="0" applyFont="1" applyFill="1" applyBorder="1" applyAlignment="1">
      <alignment horizontal="center" vertical="top"/>
    </xf>
    <xf numFmtId="0" fontId="2" fillId="8" borderId="8" xfId="0" applyFont="1" applyFill="1" applyBorder="1" applyAlignment="1">
      <alignment horizontal="center" vertical="top"/>
    </xf>
    <xf numFmtId="0" fontId="2" fillId="8" borderId="2" xfId="0" applyFont="1" applyFill="1" applyBorder="1" applyAlignment="1">
      <alignment horizontal="center" vertical="top"/>
    </xf>
    <xf numFmtId="0" fontId="0" fillId="0" borderId="3" xfId="0" applyBorder="1" applyAlignment="1">
      <alignment horizontal="center" vertical="center"/>
    </xf>
    <xf numFmtId="0" fontId="2" fillId="6" borderId="9" xfId="0" applyFont="1" applyFill="1" applyBorder="1" applyAlignment="1">
      <alignment horizontal="center"/>
    </xf>
    <xf numFmtId="0" fontId="2" fillId="6" borderId="8" xfId="0" applyFont="1" applyFill="1" applyBorder="1" applyAlignment="1">
      <alignment horizontal="center"/>
    </xf>
    <xf numFmtId="0" fontId="2" fillId="6" borderId="2" xfId="0" applyFont="1" applyFill="1" applyBorder="1" applyAlignment="1">
      <alignment horizontal="center"/>
    </xf>
    <xf numFmtId="0" fontId="2" fillId="7" borderId="9" xfId="0" applyFont="1" applyFill="1" applyBorder="1" applyAlignment="1">
      <alignment horizontal="center"/>
    </xf>
    <xf numFmtId="0" fontId="2" fillId="7" borderId="8" xfId="0" applyFont="1" applyFill="1" applyBorder="1" applyAlignment="1">
      <alignment horizontal="center"/>
    </xf>
    <xf numFmtId="0" fontId="2" fillId="7" borderId="2" xfId="0" applyFont="1" applyFill="1" applyBorder="1" applyAlignment="1">
      <alignment horizontal="center"/>
    </xf>
    <xf numFmtId="0" fontId="2" fillId="0" borderId="9" xfId="0" applyFont="1" applyFill="1" applyBorder="1" applyAlignment="1">
      <alignment horizontal="center" vertical="top"/>
    </xf>
    <xf numFmtId="0" fontId="2" fillId="0" borderId="8" xfId="0" applyFont="1" applyFill="1" applyBorder="1" applyAlignment="1">
      <alignment horizontal="center" vertical="top"/>
    </xf>
    <xf numFmtId="0" fontId="2" fillId="0" borderId="2" xfId="0" applyFont="1" applyFill="1" applyBorder="1" applyAlignment="1">
      <alignment horizontal="center" vertical="top"/>
    </xf>
    <xf numFmtId="0" fontId="6" fillId="0" borderId="6" xfId="0" applyNumberFormat="1" applyFont="1" applyBorder="1" applyAlignment="1">
      <alignment horizontal="center" vertical="center"/>
    </xf>
    <xf numFmtId="0" fontId="6" fillId="0" borderId="7" xfId="0" applyNumberFormat="1" applyFont="1" applyBorder="1" applyAlignment="1">
      <alignment horizontal="center" vertical="center"/>
    </xf>
    <xf numFmtId="0" fontId="6" fillId="0" borderId="3" xfId="0" applyNumberFormat="1" applyFont="1" applyBorder="1" applyAlignment="1">
      <alignment horizontal="center" vertical="center"/>
    </xf>
    <xf numFmtId="0" fontId="2" fillId="3" borderId="9" xfId="0" applyFont="1" applyFill="1" applyBorder="1" applyAlignment="1">
      <alignment horizontal="center"/>
    </xf>
    <xf numFmtId="0" fontId="2" fillId="3" borderId="8" xfId="0" applyFont="1" applyFill="1" applyBorder="1" applyAlignment="1">
      <alignment horizontal="center"/>
    </xf>
    <xf numFmtId="0" fontId="2" fillId="3" borderId="2" xfId="0" applyFont="1" applyFill="1" applyBorder="1" applyAlignment="1">
      <alignment horizontal="center"/>
    </xf>
    <xf numFmtId="1" fontId="6" fillId="0" borderId="6" xfId="0" applyNumberFormat="1" applyFont="1" applyFill="1" applyBorder="1" applyAlignment="1">
      <alignment horizontal="center" vertical="center"/>
    </xf>
    <xf numFmtId="1" fontId="6" fillId="0" borderId="7" xfId="0" applyNumberFormat="1" applyFont="1" applyFill="1" applyBorder="1" applyAlignment="1">
      <alignment horizontal="center" vertical="center"/>
    </xf>
    <xf numFmtId="1" fontId="6" fillId="0" borderId="3" xfId="0" applyNumberFormat="1" applyFont="1" applyFill="1" applyBorder="1" applyAlignment="1">
      <alignment horizontal="center" vertical="center"/>
    </xf>
    <xf numFmtId="0" fontId="2" fillId="0" borderId="17" xfId="0" applyFont="1" applyBorder="1" applyAlignment="1">
      <alignment horizontal="center" wrapText="1"/>
    </xf>
    <xf numFmtId="0" fontId="2" fillId="0" borderId="10" xfId="0" applyFont="1" applyBorder="1" applyAlignment="1">
      <alignment horizontal="center" wrapText="1"/>
    </xf>
    <xf numFmtId="0" fontId="2" fillId="0" borderId="6" xfId="0" applyFont="1" applyBorder="1" applyAlignment="1">
      <alignment horizontal="center" wrapText="1"/>
    </xf>
    <xf numFmtId="0" fontId="2" fillId="0" borderId="3" xfId="0" applyFont="1" applyBorder="1" applyAlignment="1">
      <alignment horizontal="center" wrapText="1"/>
    </xf>
    <xf numFmtId="0" fontId="8" fillId="0" borderId="5" xfId="0" applyFont="1" applyBorder="1" applyAlignment="1">
      <alignment horizontal="left" vertical="top" wrapText="1"/>
    </xf>
    <xf numFmtId="0" fontId="1" fillId="0" borderId="6" xfId="0" applyFont="1" applyBorder="1" applyAlignment="1">
      <alignment horizontal="center" vertical="top"/>
    </xf>
    <xf numFmtId="0" fontId="1" fillId="0" borderId="7" xfId="0" applyFont="1" applyBorder="1" applyAlignment="1">
      <alignment horizontal="center" vertical="top"/>
    </xf>
    <xf numFmtId="0" fontId="1" fillId="0" borderId="3" xfId="0" applyFont="1" applyBorder="1" applyAlignment="1">
      <alignment horizontal="center" vertical="top"/>
    </xf>
    <xf numFmtId="0" fontId="7" fillId="0" borderId="6" xfId="0" applyFont="1" applyFill="1" applyBorder="1" applyAlignment="1">
      <alignment horizontal="center" wrapText="1"/>
    </xf>
    <xf numFmtId="0" fontId="7" fillId="0" borderId="3" xfId="0" applyFont="1" applyFill="1" applyBorder="1" applyAlignment="1">
      <alignment horizontal="center" wrapText="1"/>
    </xf>
    <xf numFmtId="0" fontId="5" fillId="4" borderId="9"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2" xfId="0" applyFont="1" applyFill="1" applyBorder="1" applyAlignment="1">
      <alignment horizontal="center" vertical="center"/>
    </xf>
    <xf numFmtId="0" fontId="2" fillId="5" borderId="9" xfId="0" applyFont="1" applyFill="1" applyBorder="1" applyAlignment="1">
      <alignment horizontal="center"/>
    </xf>
    <xf numFmtId="0" fontId="2" fillId="5" borderId="8" xfId="0" applyFont="1" applyFill="1" applyBorder="1" applyAlignment="1">
      <alignment horizontal="center"/>
    </xf>
    <xf numFmtId="0" fontId="2" fillId="5" borderId="2" xfId="0" applyFont="1" applyFill="1" applyBorder="1" applyAlignment="1">
      <alignment horizontal="center"/>
    </xf>
    <xf numFmtId="3" fontId="6" fillId="0" borderId="6" xfId="0" applyNumberFormat="1" applyFont="1" applyBorder="1" applyAlignment="1">
      <alignment horizontal="center" vertical="center"/>
    </xf>
    <xf numFmtId="3" fontId="6" fillId="0" borderId="7" xfId="0" applyNumberFormat="1" applyFont="1" applyBorder="1" applyAlignment="1">
      <alignment horizontal="center" vertical="center"/>
    </xf>
    <xf numFmtId="3" fontId="6" fillId="0" borderId="3" xfId="0" applyNumberFormat="1" applyFont="1" applyBorder="1" applyAlignment="1">
      <alignment horizontal="center" vertical="center"/>
    </xf>
    <xf numFmtId="0" fontId="1" fillId="0" borderId="7" xfId="0" applyFont="1" applyBorder="1" applyAlignment="1">
      <alignment horizontal="center" vertical="top" wrapText="1"/>
    </xf>
    <xf numFmtId="0" fontId="1" fillId="0" borderId="3" xfId="0" applyFont="1" applyBorder="1" applyAlignment="1">
      <alignment horizontal="center" vertical="top" wrapText="1"/>
    </xf>
    <xf numFmtId="3" fontId="6" fillId="0" borderId="6" xfId="1" applyNumberFormat="1" applyFont="1" applyBorder="1" applyAlignment="1">
      <alignment horizontal="center" vertical="center"/>
    </xf>
    <xf numFmtId="3" fontId="6" fillId="0" borderId="7" xfId="1" applyNumberFormat="1" applyFont="1" applyBorder="1" applyAlignment="1">
      <alignment horizontal="center" vertical="center"/>
    </xf>
    <xf numFmtId="3" fontId="6" fillId="0" borderId="3" xfId="1" applyNumberFormat="1" applyFont="1" applyBorder="1" applyAlignment="1">
      <alignment horizontal="center" vertical="center"/>
    </xf>
    <xf numFmtId="0" fontId="1" fillId="0" borderId="6" xfId="0" applyFont="1" applyBorder="1" applyAlignment="1">
      <alignment horizontal="center" vertical="top" wrapText="1"/>
    </xf>
    <xf numFmtId="0" fontId="1" fillId="0" borderId="17" xfId="0" applyFont="1" applyFill="1" applyBorder="1" applyAlignment="1">
      <alignment horizontal="center" vertical="top" wrapText="1"/>
    </xf>
    <xf numFmtId="0" fontId="1" fillId="0" borderId="18" xfId="0" applyFont="1" applyFill="1" applyBorder="1" applyAlignment="1">
      <alignment horizontal="center" vertical="top" wrapText="1"/>
    </xf>
    <xf numFmtId="0" fontId="6" fillId="0" borderId="3" xfId="0" applyFont="1" applyBorder="1" applyAlignment="1">
      <alignment horizontal="center" vertical="center"/>
    </xf>
    <xf numFmtId="0" fontId="2" fillId="2" borderId="11" xfId="0" applyFont="1" applyFill="1" applyBorder="1" applyAlignment="1">
      <alignment horizontal="center" vertical="top"/>
    </xf>
    <xf numFmtId="0" fontId="2" fillId="2" borderId="16" xfId="0" applyFont="1" applyFill="1" applyBorder="1" applyAlignment="1">
      <alignment horizontal="center" vertical="top"/>
    </xf>
    <xf numFmtId="0" fontId="2" fillId="2" borderId="12" xfId="0" applyFont="1" applyFill="1" applyBorder="1" applyAlignment="1">
      <alignment horizontal="center" vertical="top"/>
    </xf>
    <xf numFmtId="1" fontId="6" fillId="0" borderId="6" xfId="0" applyNumberFormat="1" applyFont="1" applyBorder="1" applyAlignment="1">
      <alignment horizontal="center" vertical="center"/>
    </xf>
    <xf numFmtId="1" fontId="6" fillId="0" borderId="7" xfId="0" applyNumberFormat="1" applyFont="1" applyBorder="1" applyAlignment="1">
      <alignment horizontal="center" vertical="center"/>
    </xf>
    <xf numFmtId="1" fontId="6" fillId="0" borderId="3" xfId="0" applyNumberFormat="1" applyFont="1" applyBorder="1" applyAlignment="1">
      <alignment horizontal="center" vertical="center"/>
    </xf>
    <xf numFmtId="0" fontId="2" fillId="0" borderId="6" xfId="0" applyFont="1" applyBorder="1" applyAlignment="1">
      <alignment horizontal="center"/>
    </xf>
    <xf numFmtId="0" fontId="2" fillId="0" borderId="3" xfId="0" applyFont="1" applyBorder="1" applyAlignment="1">
      <alignment horizontal="center"/>
    </xf>
    <xf numFmtId="0" fontId="2" fillId="0" borderId="19" xfId="0" applyFont="1" applyBorder="1" applyAlignment="1">
      <alignment horizontal="center" wrapText="1"/>
    </xf>
    <xf numFmtId="0" fontId="2" fillId="0" borderId="5" xfId="0" applyFont="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74"/>
  <sheetViews>
    <sheetView showGridLines="0" tabSelected="1" zoomScale="90" zoomScaleNormal="90" zoomScaleSheetLayoutView="120" workbookViewId="0">
      <pane xSplit="6" ySplit="4" topLeftCell="G5" activePane="bottomRight" state="frozen"/>
      <selection pane="topRight" activeCell="G1" sqref="G1"/>
      <selection pane="bottomLeft" activeCell="A5" sqref="A5"/>
      <selection pane="bottomRight" activeCell="A66" sqref="A66:XFD70"/>
    </sheetView>
  </sheetViews>
  <sheetFormatPr defaultColWidth="9.140625" defaultRowHeight="12" x14ac:dyDescent="0.2"/>
  <cols>
    <col min="1" max="1" width="19.5703125" style="5" customWidth="1"/>
    <col min="2" max="2" width="14.85546875" style="5" customWidth="1"/>
    <col min="3" max="3" width="29" style="1" customWidth="1"/>
    <col min="4" max="4" width="18.85546875" style="1" customWidth="1"/>
    <col min="5" max="5" width="17.5703125" style="1" customWidth="1"/>
    <col min="6" max="6" width="8.85546875" style="1" customWidth="1"/>
    <col min="7" max="7" width="14.7109375" style="29" customWidth="1"/>
    <col min="8" max="8" width="12.28515625" style="41" customWidth="1"/>
    <col min="9" max="9" width="13" style="29" customWidth="1"/>
    <col min="10" max="10" width="14" style="84" customWidth="1"/>
    <col min="11" max="11" width="12.5703125" style="29" customWidth="1"/>
    <col min="12" max="12" width="16" style="3" customWidth="1"/>
    <col min="13" max="13" width="13" style="3" customWidth="1"/>
    <col min="14" max="14" width="13.7109375" style="3" customWidth="1"/>
    <col min="15" max="15" width="11.85546875" style="3" customWidth="1"/>
    <col min="16" max="16" width="14.5703125" style="3" customWidth="1"/>
    <col min="17" max="17" width="14.140625" style="3" customWidth="1"/>
    <col min="18" max="18" width="9.140625" style="1" customWidth="1"/>
    <col min="19" max="19" width="16.42578125" style="1" customWidth="1"/>
    <col min="20" max="16384" width="9.140625" style="1"/>
  </cols>
  <sheetData>
    <row r="1" spans="1:19" ht="27.75" customHeight="1" thickBot="1" x14ac:dyDescent="0.3">
      <c r="A1" s="245" t="s">
        <v>73</v>
      </c>
      <c r="B1" s="245"/>
      <c r="C1" s="245"/>
      <c r="D1" s="245"/>
      <c r="E1" s="245"/>
      <c r="F1" s="245"/>
      <c r="G1" s="245"/>
      <c r="H1" s="245"/>
      <c r="I1" s="245"/>
      <c r="J1" s="245"/>
      <c r="K1" s="245"/>
      <c r="L1" s="245"/>
      <c r="M1" s="245"/>
      <c r="N1" s="245"/>
      <c r="O1" s="245"/>
      <c r="P1" s="245"/>
      <c r="Q1" s="245"/>
    </row>
    <row r="2" spans="1:19" ht="15.75" customHeight="1" thickBot="1" x14ac:dyDescent="0.25">
      <c r="A2" s="86" t="s">
        <v>0</v>
      </c>
      <c r="B2" s="19"/>
      <c r="C2" s="8"/>
      <c r="D2" s="8"/>
      <c r="E2" s="8"/>
      <c r="G2" s="235" t="s">
        <v>2</v>
      </c>
      <c r="H2" s="236"/>
      <c r="I2" s="236"/>
      <c r="J2" s="236"/>
      <c r="K2" s="237"/>
      <c r="L2" s="251" t="s">
        <v>3</v>
      </c>
      <c r="M2" s="252"/>
      <c r="N2" s="252"/>
      <c r="O2" s="252"/>
      <c r="P2" s="253"/>
      <c r="Q2" s="249" t="s">
        <v>25</v>
      </c>
      <c r="R2" s="241" t="s">
        <v>37</v>
      </c>
      <c r="S2" s="243" t="s">
        <v>5</v>
      </c>
    </row>
    <row r="3" spans="1:19" s="89" customFormat="1" ht="78" customHeight="1" thickBot="1" x14ac:dyDescent="0.25">
      <c r="B3" s="11" t="s">
        <v>24</v>
      </c>
      <c r="C3" s="10" t="s">
        <v>7</v>
      </c>
      <c r="D3" s="10" t="s">
        <v>81</v>
      </c>
      <c r="E3" s="11" t="s">
        <v>38</v>
      </c>
      <c r="F3" s="28" t="s">
        <v>23</v>
      </c>
      <c r="G3" s="11" t="s">
        <v>22</v>
      </c>
      <c r="H3" s="87" t="s">
        <v>19</v>
      </c>
      <c r="I3" s="11" t="s">
        <v>21</v>
      </c>
      <c r="J3" s="88" t="s">
        <v>17</v>
      </c>
      <c r="K3" s="12" t="s">
        <v>16</v>
      </c>
      <c r="L3" s="13" t="s">
        <v>20</v>
      </c>
      <c r="M3" s="13" t="s">
        <v>19</v>
      </c>
      <c r="N3" s="13" t="s">
        <v>18</v>
      </c>
      <c r="O3" s="13" t="s">
        <v>17</v>
      </c>
      <c r="P3" s="12" t="s">
        <v>16</v>
      </c>
      <c r="Q3" s="250"/>
      <c r="R3" s="242"/>
      <c r="S3" s="244"/>
    </row>
    <row r="4" spans="1:19" s="2" customFormat="1" ht="23.25" customHeight="1" thickBot="1" x14ac:dyDescent="0.3">
      <c r="A4" s="254" t="s">
        <v>4</v>
      </c>
      <c r="B4" s="255"/>
      <c r="C4" s="255"/>
      <c r="D4" s="255"/>
      <c r="E4" s="255"/>
      <c r="F4" s="255"/>
      <c r="G4" s="255"/>
      <c r="H4" s="255"/>
      <c r="I4" s="255"/>
      <c r="J4" s="255"/>
      <c r="K4" s="255"/>
      <c r="L4" s="255"/>
      <c r="M4" s="255"/>
      <c r="N4" s="255"/>
      <c r="O4" s="255"/>
      <c r="P4" s="255"/>
      <c r="Q4" s="255"/>
      <c r="R4" s="255"/>
      <c r="S4" s="256"/>
    </row>
    <row r="5" spans="1:19" ht="32.25" customHeight="1" thickBot="1" x14ac:dyDescent="0.25">
      <c r="A5" s="260"/>
      <c r="B5" s="246" t="s">
        <v>8</v>
      </c>
      <c r="C5" s="6" t="s">
        <v>134</v>
      </c>
      <c r="D5" s="6" t="s">
        <v>82</v>
      </c>
      <c r="E5" s="6" t="s">
        <v>54</v>
      </c>
      <c r="F5" s="53">
        <f>$G$5+$L$5</f>
        <v>3</v>
      </c>
      <c r="G5" s="257">
        <v>2</v>
      </c>
      <c r="H5" s="42">
        <v>1</v>
      </c>
      <c r="I5" s="43">
        <f>SUM(G5*H5)</f>
        <v>2</v>
      </c>
      <c r="J5" s="80">
        <f>15/60</f>
        <v>0.25</v>
      </c>
      <c r="K5" s="45">
        <f>SUM(I5*J5)</f>
        <v>0.5</v>
      </c>
      <c r="L5" s="232">
        <v>1</v>
      </c>
      <c r="M5" s="59">
        <f>H5</f>
        <v>1</v>
      </c>
      <c r="N5" s="59">
        <f>SUM($L$5*M5)</f>
        <v>1</v>
      </c>
      <c r="O5" s="118">
        <f t="shared" ref="O5:O8" si="0">J5</f>
        <v>0.25</v>
      </c>
      <c r="P5" s="118">
        <f t="shared" ref="P5:P8" si="1">SUM(N5*O5)</f>
        <v>0.25</v>
      </c>
      <c r="Q5" s="61">
        <f>SUM(K5+P5)</f>
        <v>0.75</v>
      </c>
      <c r="R5" s="119">
        <v>25.37</v>
      </c>
      <c r="S5" s="122">
        <f>R5*Q5</f>
        <v>19.0275</v>
      </c>
    </row>
    <row r="6" spans="1:19" ht="32.25" customHeight="1" thickBot="1" x14ac:dyDescent="0.25">
      <c r="A6" s="260"/>
      <c r="B6" s="247"/>
      <c r="C6" s="6" t="s">
        <v>83</v>
      </c>
      <c r="D6" s="6" t="s">
        <v>84</v>
      </c>
      <c r="E6" s="6" t="s">
        <v>131</v>
      </c>
      <c r="F6" s="53">
        <f t="shared" ref="F6:F8" si="2">$G$5+$L$5</f>
        <v>3</v>
      </c>
      <c r="G6" s="258"/>
      <c r="H6" s="42">
        <v>2</v>
      </c>
      <c r="I6" s="43">
        <f>G5*H6</f>
        <v>4</v>
      </c>
      <c r="J6" s="80">
        <f>45/60</f>
        <v>0.75</v>
      </c>
      <c r="K6" s="45">
        <f>J6*I6</f>
        <v>3</v>
      </c>
      <c r="L6" s="233"/>
      <c r="M6" s="59">
        <f>H6</f>
        <v>2</v>
      </c>
      <c r="N6" s="59">
        <f t="shared" ref="N6:N8" si="3">SUM($L$5*M6)</f>
        <v>2</v>
      </c>
      <c r="O6" s="118">
        <f t="shared" si="0"/>
        <v>0.75</v>
      </c>
      <c r="P6" s="118">
        <f t="shared" si="1"/>
        <v>1.5</v>
      </c>
      <c r="Q6" s="61">
        <f>SUM(K6+P6)</f>
        <v>4.5</v>
      </c>
      <c r="R6" s="119">
        <v>25.37</v>
      </c>
      <c r="S6" s="122">
        <f>R6*Q6</f>
        <v>114.16500000000001</v>
      </c>
    </row>
    <row r="7" spans="1:19" ht="32.25" customHeight="1" thickBot="1" x14ac:dyDescent="0.25">
      <c r="A7" s="260"/>
      <c r="B7" s="247"/>
      <c r="C7" s="6" t="s">
        <v>9</v>
      </c>
      <c r="D7" s="6"/>
      <c r="E7" s="6" t="s">
        <v>130</v>
      </c>
      <c r="F7" s="53">
        <f t="shared" si="2"/>
        <v>3</v>
      </c>
      <c r="G7" s="258"/>
      <c r="H7" s="42">
        <v>1</v>
      </c>
      <c r="I7" s="43">
        <f>SUM(G5*H7)</f>
        <v>2</v>
      </c>
      <c r="J7" s="80">
        <v>2</v>
      </c>
      <c r="K7" s="45">
        <f>SUM(I7*J7)</f>
        <v>4</v>
      </c>
      <c r="L7" s="233"/>
      <c r="M7" s="59">
        <v>0</v>
      </c>
      <c r="N7" s="59">
        <f t="shared" si="3"/>
        <v>0</v>
      </c>
      <c r="O7" s="118">
        <f t="shared" si="0"/>
        <v>2</v>
      </c>
      <c r="P7" s="118">
        <f t="shared" si="1"/>
        <v>0</v>
      </c>
      <c r="Q7" s="61">
        <f>SUM(K7+P7)</f>
        <v>4</v>
      </c>
      <c r="R7" s="119">
        <v>25.37</v>
      </c>
      <c r="S7" s="122">
        <f>R7*Q7</f>
        <v>101.48</v>
      </c>
    </row>
    <row r="8" spans="1:19" ht="24.75" customHeight="1" thickBot="1" x14ac:dyDescent="0.25">
      <c r="A8" s="261"/>
      <c r="B8" s="248"/>
      <c r="C8" s="6" t="s">
        <v>46</v>
      </c>
      <c r="D8" s="95"/>
      <c r="E8" s="6" t="s">
        <v>131</v>
      </c>
      <c r="F8" s="53">
        <f t="shared" si="2"/>
        <v>3</v>
      </c>
      <c r="G8" s="259"/>
      <c r="H8" s="42">
        <v>1</v>
      </c>
      <c r="I8" s="43">
        <f>SUM(G5*H8)</f>
        <v>2</v>
      </c>
      <c r="J8" s="80">
        <f>15/60</f>
        <v>0.25</v>
      </c>
      <c r="K8" s="45">
        <f>SUM(I8*J8)</f>
        <v>0.5</v>
      </c>
      <c r="L8" s="234"/>
      <c r="M8" s="59">
        <v>0</v>
      </c>
      <c r="N8" s="59">
        <f t="shared" si="3"/>
        <v>0</v>
      </c>
      <c r="O8" s="118">
        <f t="shared" si="0"/>
        <v>0.25</v>
      </c>
      <c r="P8" s="118">
        <f t="shared" si="1"/>
        <v>0</v>
      </c>
      <c r="Q8" s="61">
        <f>SUM(K8+P8)</f>
        <v>0.5</v>
      </c>
      <c r="R8" s="119">
        <v>25.37</v>
      </c>
      <c r="S8" s="122">
        <f>R8*Q8</f>
        <v>12.685</v>
      </c>
    </row>
    <row r="9" spans="1:19" s="167" customFormat="1" ht="18.75" customHeight="1" thickBot="1" x14ac:dyDescent="0.4">
      <c r="A9" s="216" t="s">
        <v>29</v>
      </c>
      <c r="B9" s="217"/>
      <c r="C9" s="217"/>
      <c r="D9" s="217"/>
      <c r="E9" s="217"/>
      <c r="F9" s="218"/>
      <c r="G9" s="135">
        <f>SUM(G5:G8)</f>
        <v>2</v>
      </c>
      <c r="H9" s="133">
        <f>SUM(I9/G9)</f>
        <v>5</v>
      </c>
      <c r="I9" s="135">
        <f>SUM(I5:I8)</f>
        <v>10</v>
      </c>
      <c r="J9" s="134">
        <f>SUM(K9/I9)</f>
        <v>0.8</v>
      </c>
      <c r="K9" s="165">
        <f>SUM(K5:K8)</f>
        <v>8</v>
      </c>
      <c r="L9" s="168">
        <f>L5</f>
        <v>1</v>
      </c>
      <c r="M9" s="168">
        <f>N9/L9</f>
        <v>3</v>
      </c>
      <c r="N9" s="168">
        <f>SUM(N5:N8)</f>
        <v>3</v>
      </c>
      <c r="O9" s="195">
        <f>P9/N9</f>
        <v>0.58333333333333337</v>
      </c>
      <c r="P9" s="195">
        <f>SUM(P5:P8)</f>
        <v>1.75</v>
      </c>
      <c r="Q9" s="116">
        <f>SUM(Q5:Q8)</f>
        <v>9.75</v>
      </c>
      <c r="R9" s="124"/>
      <c r="S9" s="166">
        <f>SUM(S5:S8)</f>
        <v>247.35750000000002</v>
      </c>
    </row>
    <row r="10" spans="1:19" s="17" customFormat="1" ht="25.5" customHeight="1" thickBot="1" x14ac:dyDescent="0.3">
      <c r="A10" s="226" t="s">
        <v>6</v>
      </c>
      <c r="B10" s="227"/>
      <c r="C10" s="227"/>
      <c r="D10" s="227"/>
      <c r="E10" s="227"/>
      <c r="F10" s="227"/>
      <c r="G10" s="227"/>
      <c r="H10" s="227"/>
      <c r="I10" s="227"/>
      <c r="J10" s="227"/>
      <c r="K10" s="227"/>
      <c r="L10" s="227"/>
      <c r="M10" s="227"/>
      <c r="N10" s="227"/>
      <c r="O10" s="227"/>
      <c r="P10" s="227"/>
      <c r="Q10" s="227"/>
      <c r="R10" s="227"/>
      <c r="S10" s="228"/>
    </row>
    <row r="11" spans="1:19" ht="43.5" customHeight="1" thickBot="1" x14ac:dyDescent="0.25">
      <c r="A11" s="211" t="s">
        <v>34</v>
      </c>
      <c r="B11" s="208" t="s">
        <v>10</v>
      </c>
      <c r="C11" s="7" t="s">
        <v>121</v>
      </c>
      <c r="D11" s="7" t="s">
        <v>124</v>
      </c>
      <c r="E11" s="7" t="s">
        <v>54</v>
      </c>
      <c r="F11" s="53">
        <f>$G$11+$L$11</f>
        <v>20</v>
      </c>
      <c r="G11" s="213">
        <v>15</v>
      </c>
      <c r="H11" s="42">
        <v>1</v>
      </c>
      <c r="I11" s="43">
        <f>SUM(G11*H11)</f>
        <v>15</v>
      </c>
      <c r="J11" s="80">
        <f>15/60</f>
        <v>0.25</v>
      </c>
      <c r="K11" s="45">
        <f>SUM(I11*J11)</f>
        <v>3.75</v>
      </c>
      <c r="L11" s="232">
        <v>5</v>
      </c>
      <c r="M11" s="59">
        <v>1</v>
      </c>
      <c r="N11" s="59">
        <f>SUM($L$11*M11)</f>
        <v>5</v>
      </c>
      <c r="O11" s="117">
        <f t="shared" ref="O11:O28" si="4">J11</f>
        <v>0.25</v>
      </c>
      <c r="P11" s="118">
        <f>SUM(N11*O11)</f>
        <v>1.25</v>
      </c>
      <c r="Q11" s="58">
        <f t="shared" ref="Q11:Q28" si="5">SUM(K11+P11)</f>
        <v>5</v>
      </c>
      <c r="R11" s="119">
        <v>33.380000000000003</v>
      </c>
      <c r="S11" s="120">
        <f t="shared" ref="S11:S28" si="6">R11*Q11</f>
        <v>166.9</v>
      </c>
    </row>
    <row r="12" spans="1:19" ht="43.5" customHeight="1" thickBot="1" x14ac:dyDescent="0.25">
      <c r="A12" s="212"/>
      <c r="B12" s="209"/>
      <c r="C12" s="7" t="s">
        <v>122</v>
      </c>
      <c r="D12" s="7" t="s">
        <v>117</v>
      </c>
      <c r="E12" s="7" t="s">
        <v>54</v>
      </c>
      <c r="F12" s="53">
        <f t="shared" ref="F12:F18" si="7">$G$11+$L$11</f>
        <v>20</v>
      </c>
      <c r="G12" s="214"/>
      <c r="H12" s="42">
        <v>1</v>
      </c>
      <c r="I12" s="43">
        <v>15</v>
      </c>
      <c r="J12" s="80">
        <f>15/60</f>
        <v>0.25</v>
      </c>
      <c r="K12" s="45">
        <f>SUM(I12*J12)</f>
        <v>3.75</v>
      </c>
      <c r="L12" s="233"/>
      <c r="M12" s="59">
        <v>1</v>
      </c>
      <c r="N12" s="59">
        <f t="shared" ref="N12:N17" si="8">SUM($L$11*M12)</f>
        <v>5</v>
      </c>
      <c r="O12" s="117">
        <f t="shared" si="4"/>
        <v>0.25</v>
      </c>
      <c r="P12" s="118">
        <f>SUM(N12*O12)</f>
        <v>1.25</v>
      </c>
      <c r="Q12" s="58">
        <f t="shared" si="5"/>
        <v>5</v>
      </c>
      <c r="R12" s="119">
        <v>33.380000000000003</v>
      </c>
      <c r="S12" s="120">
        <f t="shared" si="6"/>
        <v>166.9</v>
      </c>
    </row>
    <row r="13" spans="1:19" ht="43.5" customHeight="1" thickBot="1" x14ac:dyDescent="0.25">
      <c r="A13" s="212"/>
      <c r="B13" s="209"/>
      <c r="C13" s="7" t="s">
        <v>85</v>
      </c>
      <c r="D13" s="7" t="s">
        <v>86</v>
      </c>
      <c r="E13" s="6" t="s">
        <v>131</v>
      </c>
      <c r="F13" s="53">
        <f t="shared" si="7"/>
        <v>20</v>
      </c>
      <c r="G13" s="214"/>
      <c r="H13" s="42">
        <v>2</v>
      </c>
      <c r="I13" s="43">
        <f>G11*H13</f>
        <v>30</v>
      </c>
      <c r="J13" s="80">
        <v>0.25</v>
      </c>
      <c r="K13" s="45">
        <f>J13*I13</f>
        <v>7.5</v>
      </c>
      <c r="L13" s="233"/>
      <c r="M13" s="59">
        <v>0</v>
      </c>
      <c r="N13" s="59">
        <f t="shared" si="8"/>
        <v>0</v>
      </c>
      <c r="O13" s="117">
        <f t="shared" si="4"/>
        <v>0.25</v>
      </c>
      <c r="P13" s="118">
        <f>SUM(N13*O13)</f>
        <v>0</v>
      </c>
      <c r="Q13" s="58">
        <f t="shared" si="5"/>
        <v>7.5</v>
      </c>
      <c r="R13" s="119">
        <v>33.380000000000003</v>
      </c>
      <c r="S13" s="120">
        <f>Q13*R13</f>
        <v>250.35000000000002</v>
      </c>
    </row>
    <row r="14" spans="1:19" ht="24" customHeight="1" thickBot="1" x14ac:dyDescent="0.25">
      <c r="A14" s="212"/>
      <c r="B14" s="209"/>
      <c r="C14" s="7" t="s">
        <v>42</v>
      </c>
      <c r="D14" s="7"/>
      <c r="E14" s="7" t="s">
        <v>135</v>
      </c>
      <c r="F14" s="53">
        <f t="shared" si="7"/>
        <v>20</v>
      </c>
      <c r="G14" s="215"/>
      <c r="H14" s="42">
        <v>1</v>
      </c>
      <c r="I14" s="43">
        <f>SUM(G11*H14)</f>
        <v>15</v>
      </c>
      <c r="J14" s="80">
        <v>0.5</v>
      </c>
      <c r="K14" s="45">
        <f>SUM(I14*J14)</f>
        <v>7.5</v>
      </c>
      <c r="L14" s="233"/>
      <c r="M14" s="59">
        <v>0</v>
      </c>
      <c r="N14" s="59">
        <f t="shared" si="8"/>
        <v>0</v>
      </c>
      <c r="O14" s="117">
        <f t="shared" si="4"/>
        <v>0.5</v>
      </c>
      <c r="P14" s="118">
        <f t="shared" ref="P14:P28" si="9">SUM(N14*O14)</f>
        <v>0</v>
      </c>
      <c r="Q14" s="61">
        <f t="shared" si="5"/>
        <v>7.5</v>
      </c>
      <c r="R14" s="119">
        <v>33.380000000000003</v>
      </c>
      <c r="S14" s="120">
        <f>Q14*R14</f>
        <v>250.35000000000002</v>
      </c>
    </row>
    <row r="15" spans="1:19" ht="41.25" customHeight="1" thickBot="1" x14ac:dyDescent="0.25">
      <c r="A15" s="212"/>
      <c r="B15" s="209"/>
      <c r="C15" s="7" t="s">
        <v>87</v>
      </c>
      <c r="D15" s="7" t="s">
        <v>88</v>
      </c>
      <c r="E15" s="6" t="s">
        <v>131</v>
      </c>
      <c r="F15" s="53">
        <f t="shared" si="7"/>
        <v>20</v>
      </c>
      <c r="G15" s="215"/>
      <c r="H15" s="42">
        <v>1</v>
      </c>
      <c r="I15" s="43">
        <f>G11*H15</f>
        <v>15</v>
      </c>
      <c r="J15" s="80">
        <v>0.5</v>
      </c>
      <c r="K15" s="45">
        <f>J15*I15</f>
        <v>7.5</v>
      </c>
      <c r="L15" s="233"/>
      <c r="M15" s="59">
        <v>0</v>
      </c>
      <c r="N15" s="59">
        <f t="shared" si="8"/>
        <v>0</v>
      </c>
      <c r="O15" s="117">
        <f t="shared" si="4"/>
        <v>0.5</v>
      </c>
      <c r="P15" s="118">
        <f t="shared" si="9"/>
        <v>0</v>
      </c>
      <c r="Q15" s="61">
        <f t="shared" si="5"/>
        <v>7.5</v>
      </c>
      <c r="R15" s="119">
        <v>33.380000000000003</v>
      </c>
      <c r="S15" s="120">
        <f>Q15*R15</f>
        <v>250.35000000000002</v>
      </c>
    </row>
    <row r="16" spans="1:19" ht="24" customHeight="1" thickBot="1" x14ac:dyDescent="0.25">
      <c r="A16" s="212"/>
      <c r="B16" s="209"/>
      <c r="C16" s="7" t="s">
        <v>44</v>
      </c>
      <c r="D16" s="7"/>
      <c r="E16" s="7" t="s">
        <v>135</v>
      </c>
      <c r="F16" s="53">
        <f t="shared" si="7"/>
        <v>20</v>
      </c>
      <c r="G16" s="215"/>
      <c r="H16" s="42">
        <v>3</v>
      </c>
      <c r="I16" s="43">
        <f>SUM(G11*H16)</f>
        <v>45</v>
      </c>
      <c r="J16" s="80">
        <v>0.75</v>
      </c>
      <c r="K16" s="45">
        <f>SUM(I16*J16)</f>
        <v>33.75</v>
      </c>
      <c r="L16" s="233"/>
      <c r="M16" s="59">
        <v>0</v>
      </c>
      <c r="N16" s="59">
        <f t="shared" si="8"/>
        <v>0</v>
      </c>
      <c r="O16" s="117">
        <f t="shared" si="4"/>
        <v>0.75</v>
      </c>
      <c r="P16" s="118">
        <f t="shared" si="9"/>
        <v>0</v>
      </c>
      <c r="Q16" s="61">
        <f t="shared" si="5"/>
        <v>33.75</v>
      </c>
      <c r="R16" s="119">
        <v>33.380000000000003</v>
      </c>
      <c r="S16" s="120">
        <f>Q16*R16</f>
        <v>1126.575</v>
      </c>
    </row>
    <row r="17" spans="1:19" ht="42" customHeight="1" thickBot="1" x14ac:dyDescent="0.25">
      <c r="A17" s="212"/>
      <c r="B17" s="209"/>
      <c r="C17" s="7" t="s">
        <v>89</v>
      </c>
      <c r="D17" s="7" t="s">
        <v>90</v>
      </c>
      <c r="E17" s="6" t="s">
        <v>131</v>
      </c>
      <c r="F17" s="53">
        <f t="shared" si="7"/>
        <v>20</v>
      </c>
      <c r="G17" s="215"/>
      <c r="H17" s="42">
        <v>2</v>
      </c>
      <c r="I17" s="43">
        <f>G11*H17</f>
        <v>30</v>
      </c>
      <c r="J17" s="80">
        <v>0.25</v>
      </c>
      <c r="K17" s="45">
        <f>J17*I17</f>
        <v>7.5</v>
      </c>
      <c r="L17" s="233"/>
      <c r="M17" s="59">
        <v>0</v>
      </c>
      <c r="N17" s="59">
        <f t="shared" si="8"/>
        <v>0</v>
      </c>
      <c r="O17" s="117">
        <f t="shared" si="4"/>
        <v>0.25</v>
      </c>
      <c r="P17" s="118">
        <f t="shared" si="9"/>
        <v>0</v>
      </c>
      <c r="Q17" s="61">
        <f t="shared" si="5"/>
        <v>7.5</v>
      </c>
      <c r="R17" s="119">
        <v>33.380000000000003</v>
      </c>
      <c r="S17" s="120">
        <f>Q17*R17</f>
        <v>250.35000000000002</v>
      </c>
    </row>
    <row r="18" spans="1:19" ht="24" customHeight="1" thickBot="1" x14ac:dyDescent="0.25">
      <c r="A18" s="212"/>
      <c r="B18" s="210"/>
      <c r="C18" s="7" t="s">
        <v>65</v>
      </c>
      <c r="D18" s="7"/>
      <c r="E18" s="7" t="s">
        <v>71</v>
      </c>
      <c r="F18" s="53">
        <f t="shared" si="7"/>
        <v>20</v>
      </c>
      <c r="G18" s="222"/>
      <c r="H18" s="42">
        <v>1</v>
      </c>
      <c r="I18" s="43">
        <f>SUM(G11*H18)</f>
        <v>15</v>
      </c>
      <c r="J18" s="80">
        <v>1</v>
      </c>
      <c r="K18" s="45">
        <f>SUM(I18*J18)</f>
        <v>15</v>
      </c>
      <c r="L18" s="234"/>
      <c r="M18" s="59">
        <v>0</v>
      </c>
      <c r="N18" s="59">
        <f t="shared" ref="N18" si="10">SUM(L18*M18)</f>
        <v>0</v>
      </c>
      <c r="O18" s="117">
        <f t="shared" si="4"/>
        <v>1</v>
      </c>
      <c r="P18" s="118">
        <f t="shared" si="9"/>
        <v>0</v>
      </c>
      <c r="Q18" s="61">
        <f t="shared" si="5"/>
        <v>15</v>
      </c>
      <c r="R18" s="119">
        <v>33.380000000000003</v>
      </c>
      <c r="S18" s="120">
        <f t="shared" si="6"/>
        <v>500.70000000000005</v>
      </c>
    </row>
    <row r="19" spans="1:19" ht="43.5" customHeight="1" thickBot="1" x14ac:dyDescent="0.25">
      <c r="A19" s="211" t="s">
        <v>34</v>
      </c>
      <c r="B19" s="208" t="s">
        <v>12</v>
      </c>
      <c r="C19" s="7" t="s">
        <v>121</v>
      </c>
      <c r="D19" s="7" t="s">
        <v>126</v>
      </c>
      <c r="E19" s="7" t="s">
        <v>54</v>
      </c>
      <c r="F19" s="53">
        <f>$G$19+$L$19</f>
        <v>180</v>
      </c>
      <c r="G19" s="213">
        <v>150</v>
      </c>
      <c r="H19" s="42">
        <v>1</v>
      </c>
      <c r="I19" s="43">
        <f>SUM($G$19*H19)</f>
        <v>150</v>
      </c>
      <c r="J19" s="80">
        <f>12/60</f>
        <v>0.2</v>
      </c>
      <c r="K19" s="45">
        <f>SUM(I19*J19)</f>
        <v>30</v>
      </c>
      <c r="L19" s="232">
        <v>30</v>
      </c>
      <c r="M19" s="59">
        <f>H19</f>
        <v>1</v>
      </c>
      <c r="N19" s="59">
        <f>$L$19*M19</f>
        <v>30</v>
      </c>
      <c r="O19" s="117">
        <f t="shared" si="4"/>
        <v>0.2</v>
      </c>
      <c r="P19" s="118">
        <f t="shared" si="9"/>
        <v>6</v>
      </c>
      <c r="Q19" s="58">
        <f t="shared" si="5"/>
        <v>36</v>
      </c>
      <c r="R19" s="119">
        <v>10.72</v>
      </c>
      <c r="S19" s="120">
        <f t="shared" si="6"/>
        <v>385.92</v>
      </c>
    </row>
    <row r="20" spans="1:19" ht="43.5" customHeight="1" thickBot="1" x14ac:dyDescent="0.25">
      <c r="A20" s="212"/>
      <c r="B20" s="209"/>
      <c r="C20" s="7" t="s">
        <v>122</v>
      </c>
      <c r="D20" s="7" t="s">
        <v>127</v>
      </c>
      <c r="E20" s="7" t="s">
        <v>118</v>
      </c>
      <c r="F20" s="53">
        <f t="shared" ref="F20:F27" si="11">$G$19+$L$19</f>
        <v>180</v>
      </c>
      <c r="G20" s="214"/>
      <c r="H20" s="42">
        <v>1</v>
      </c>
      <c r="I20" s="43">
        <f>SUM($G$19*H20)</f>
        <v>150</v>
      </c>
      <c r="J20" s="80">
        <f>15/60</f>
        <v>0.25</v>
      </c>
      <c r="K20" s="45">
        <f>SUM(I20*J20)</f>
        <v>37.5</v>
      </c>
      <c r="L20" s="233"/>
      <c r="M20" s="59">
        <f t="shared" ref="M20:M21" si="12">H20</f>
        <v>1</v>
      </c>
      <c r="N20" s="59">
        <f t="shared" ref="N20:N28" si="13">$L$19*M20</f>
        <v>30</v>
      </c>
      <c r="O20" s="117">
        <f t="shared" si="4"/>
        <v>0.25</v>
      </c>
      <c r="P20" s="118">
        <f t="shared" si="9"/>
        <v>7.5</v>
      </c>
      <c r="Q20" s="58">
        <f t="shared" si="5"/>
        <v>45</v>
      </c>
      <c r="R20" s="119">
        <v>10.72</v>
      </c>
      <c r="S20" s="120">
        <f t="shared" si="6"/>
        <v>482.40000000000003</v>
      </c>
    </row>
    <row r="21" spans="1:19" ht="43.5" customHeight="1" thickBot="1" x14ac:dyDescent="0.25">
      <c r="A21" s="212"/>
      <c r="B21" s="209"/>
      <c r="C21" s="7" t="s">
        <v>123</v>
      </c>
      <c r="D21" s="7" t="s">
        <v>125</v>
      </c>
      <c r="E21" s="7" t="s">
        <v>118</v>
      </c>
      <c r="F21" s="53">
        <f t="shared" si="11"/>
        <v>180</v>
      </c>
      <c r="G21" s="214"/>
      <c r="H21" s="42">
        <v>1</v>
      </c>
      <c r="I21" s="43">
        <f>SUM($G$19*H21)</f>
        <v>150</v>
      </c>
      <c r="J21" s="130">
        <f>5/60</f>
        <v>8.3333333333333329E-2</v>
      </c>
      <c r="K21" s="45">
        <f>SUM(I21*J21)</f>
        <v>12.5</v>
      </c>
      <c r="L21" s="233"/>
      <c r="M21" s="59">
        <f t="shared" si="12"/>
        <v>1</v>
      </c>
      <c r="N21" s="59">
        <f t="shared" si="13"/>
        <v>30</v>
      </c>
      <c r="O21" s="131">
        <f t="shared" si="4"/>
        <v>8.3333333333333329E-2</v>
      </c>
      <c r="P21" s="118">
        <f t="shared" si="9"/>
        <v>2.5</v>
      </c>
      <c r="Q21" s="58">
        <f t="shared" si="5"/>
        <v>15</v>
      </c>
      <c r="R21" s="119">
        <v>10.72</v>
      </c>
      <c r="S21" s="120">
        <f t="shared" si="6"/>
        <v>160.80000000000001</v>
      </c>
    </row>
    <row r="22" spans="1:19" ht="43.5" customHeight="1" thickBot="1" x14ac:dyDescent="0.25">
      <c r="A22" s="212"/>
      <c r="B22" s="209"/>
      <c r="C22" s="7" t="s">
        <v>91</v>
      </c>
      <c r="D22" s="7" t="s">
        <v>92</v>
      </c>
      <c r="E22" s="6" t="s">
        <v>131</v>
      </c>
      <c r="F22" s="53">
        <f t="shared" si="11"/>
        <v>180</v>
      </c>
      <c r="G22" s="214"/>
      <c r="H22" s="42">
        <v>1</v>
      </c>
      <c r="I22" s="43">
        <f>G19*H22</f>
        <v>150</v>
      </c>
      <c r="J22" s="80">
        <f>15/60</f>
        <v>0.25</v>
      </c>
      <c r="K22" s="45">
        <f>SUM(I22*J22)</f>
        <v>37.5</v>
      </c>
      <c r="L22" s="233"/>
      <c r="M22" s="59">
        <v>0</v>
      </c>
      <c r="N22" s="59">
        <f t="shared" si="13"/>
        <v>0</v>
      </c>
      <c r="O22" s="199">
        <f t="shared" si="4"/>
        <v>0.25</v>
      </c>
      <c r="P22" s="118">
        <f t="shared" si="9"/>
        <v>0</v>
      </c>
      <c r="Q22" s="58">
        <f t="shared" si="5"/>
        <v>37.5</v>
      </c>
      <c r="R22" s="119">
        <v>10.72</v>
      </c>
      <c r="S22" s="120">
        <f t="shared" si="6"/>
        <v>402</v>
      </c>
    </row>
    <row r="23" spans="1:19" ht="43.5" customHeight="1" thickBot="1" x14ac:dyDescent="0.25">
      <c r="A23" s="212"/>
      <c r="B23" s="209"/>
      <c r="C23" s="7" t="s">
        <v>45</v>
      </c>
      <c r="D23" s="7"/>
      <c r="E23" s="7" t="s">
        <v>135</v>
      </c>
      <c r="F23" s="53">
        <f t="shared" si="11"/>
        <v>180</v>
      </c>
      <c r="G23" s="214"/>
      <c r="H23" s="42">
        <v>1</v>
      </c>
      <c r="I23" s="43">
        <f>G19*H23</f>
        <v>150</v>
      </c>
      <c r="J23" s="80">
        <f>30/60</f>
        <v>0.5</v>
      </c>
      <c r="K23" s="45">
        <f>I23*J23</f>
        <v>75</v>
      </c>
      <c r="L23" s="233"/>
      <c r="M23" s="59">
        <v>0</v>
      </c>
      <c r="N23" s="59">
        <f t="shared" si="13"/>
        <v>0</v>
      </c>
      <c r="O23" s="199">
        <f t="shared" si="4"/>
        <v>0.5</v>
      </c>
      <c r="P23" s="118">
        <f t="shared" si="9"/>
        <v>0</v>
      </c>
      <c r="Q23" s="58">
        <f t="shared" si="5"/>
        <v>75</v>
      </c>
      <c r="R23" s="119">
        <v>10.72</v>
      </c>
      <c r="S23" s="120">
        <f t="shared" si="6"/>
        <v>804</v>
      </c>
    </row>
    <row r="24" spans="1:19" ht="43.5" customHeight="1" thickBot="1" x14ac:dyDescent="0.25">
      <c r="A24" s="212"/>
      <c r="B24" s="209"/>
      <c r="C24" s="7" t="s">
        <v>46</v>
      </c>
      <c r="D24" s="7"/>
      <c r="E24" s="6" t="s">
        <v>131</v>
      </c>
      <c r="F24" s="53">
        <f t="shared" si="11"/>
        <v>180</v>
      </c>
      <c r="G24" s="214"/>
      <c r="H24" s="42">
        <v>2</v>
      </c>
      <c r="I24" s="43">
        <f>G19*H24</f>
        <v>300</v>
      </c>
      <c r="J24" s="80">
        <f>15/60</f>
        <v>0.25</v>
      </c>
      <c r="K24" s="45">
        <f>J24*I24</f>
        <v>75</v>
      </c>
      <c r="L24" s="233"/>
      <c r="M24" s="59">
        <v>0</v>
      </c>
      <c r="N24" s="59">
        <f t="shared" si="13"/>
        <v>0</v>
      </c>
      <c r="O24" s="199">
        <f t="shared" si="4"/>
        <v>0.25</v>
      </c>
      <c r="P24" s="118">
        <f t="shared" si="9"/>
        <v>0</v>
      </c>
      <c r="Q24" s="58">
        <f t="shared" si="5"/>
        <v>75</v>
      </c>
      <c r="R24" s="119">
        <v>10.72</v>
      </c>
      <c r="S24" s="120">
        <f t="shared" si="6"/>
        <v>804</v>
      </c>
    </row>
    <row r="25" spans="1:19" ht="43.5" customHeight="1" thickBot="1" x14ac:dyDescent="0.25">
      <c r="A25" s="212"/>
      <c r="B25" s="209"/>
      <c r="C25" s="7" t="s">
        <v>93</v>
      </c>
      <c r="D25" s="7" t="s">
        <v>94</v>
      </c>
      <c r="E25" s="7" t="s">
        <v>70</v>
      </c>
      <c r="F25" s="53">
        <f t="shared" si="11"/>
        <v>180</v>
      </c>
      <c r="G25" s="214"/>
      <c r="H25" s="42">
        <v>1</v>
      </c>
      <c r="I25" s="43">
        <f>G19*H25</f>
        <v>150</v>
      </c>
      <c r="J25" s="80">
        <v>0.25</v>
      </c>
      <c r="K25" s="45">
        <f>J25*I25</f>
        <v>37.5</v>
      </c>
      <c r="L25" s="233"/>
      <c r="M25" s="59">
        <v>0</v>
      </c>
      <c r="N25" s="59">
        <f t="shared" si="13"/>
        <v>0</v>
      </c>
      <c r="O25" s="199">
        <f t="shared" si="4"/>
        <v>0.25</v>
      </c>
      <c r="P25" s="118">
        <f t="shared" si="9"/>
        <v>0</v>
      </c>
      <c r="Q25" s="58">
        <f t="shared" si="5"/>
        <v>37.5</v>
      </c>
      <c r="R25" s="119">
        <v>10.72</v>
      </c>
      <c r="S25" s="120">
        <f t="shared" si="6"/>
        <v>402</v>
      </c>
    </row>
    <row r="26" spans="1:19" ht="43.5" customHeight="1" thickBot="1" x14ac:dyDescent="0.25">
      <c r="A26" s="212"/>
      <c r="B26" s="209"/>
      <c r="C26" s="7" t="s">
        <v>95</v>
      </c>
      <c r="D26" s="7"/>
      <c r="E26" s="7" t="s">
        <v>61</v>
      </c>
      <c r="F26" s="53">
        <f t="shared" si="11"/>
        <v>180</v>
      </c>
      <c r="G26" s="215"/>
      <c r="H26" s="42">
        <v>22</v>
      </c>
      <c r="I26" s="43">
        <f>SUM(G19*H26)</f>
        <v>3300</v>
      </c>
      <c r="J26" s="80">
        <v>0.25</v>
      </c>
      <c r="K26" s="45">
        <f>J26*I26</f>
        <v>825</v>
      </c>
      <c r="L26" s="233"/>
      <c r="M26" s="59">
        <v>0</v>
      </c>
      <c r="N26" s="59">
        <f t="shared" si="13"/>
        <v>0</v>
      </c>
      <c r="O26" s="199">
        <f t="shared" si="4"/>
        <v>0.25</v>
      </c>
      <c r="P26" s="118">
        <f t="shared" si="9"/>
        <v>0</v>
      </c>
      <c r="Q26" s="61">
        <f>SUM(K26+P26)</f>
        <v>825</v>
      </c>
      <c r="R26" s="119">
        <v>10.72</v>
      </c>
      <c r="S26" s="120">
        <f t="shared" si="6"/>
        <v>8844</v>
      </c>
    </row>
    <row r="27" spans="1:19" ht="43.5" customHeight="1" thickBot="1" x14ac:dyDescent="0.25">
      <c r="A27" s="212"/>
      <c r="B27" s="209"/>
      <c r="C27" s="7" t="s">
        <v>74</v>
      </c>
      <c r="D27" s="7"/>
      <c r="E27" s="6" t="s">
        <v>131</v>
      </c>
      <c r="F27" s="53">
        <f t="shared" si="11"/>
        <v>180</v>
      </c>
      <c r="G27" s="215"/>
      <c r="H27" s="42">
        <v>2</v>
      </c>
      <c r="I27" s="43">
        <f>G19*H27</f>
        <v>300</v>
      </c>
      <c r="J27" s="80">
        <f>15/60</f>
        <v>0.25</v>
      </c>
      <c r="K27" s="45">
        <f>J27*I27</f>
        <v>75</v>
      </c>
      <c r="L27" s="233"/>
      <c r="M27" s="59">
        <v>0</v>
      </c>
      <c r="N27" s="59">
        <f t="shared" si="13"/>
        <v>0</v>
      </c>
      <c r="O27" s="199">
        <f t="shared" si="4"/>
        <v>0.25</v>
      </c>
      <c r="P27" s="118">
        <f t="shared" si="9"/>
        <v>0</v>
      </c>
      <c r="Q27" s="61">
        <f>SUM(K27+P27)</f>
        <v>75</v>
      </c>
      <c r="R27" s="119">
        <v>10.72</v>
      </c>
      <c r="S27" s="120">
        <f t="shared" si="6"/>
        <v>804</v>
      </c>
    </row>
    <row r="28" spans="1:19" ht="24" customHeight="1" thickBot="1" x14ac:dyDescent="0.25">
      <c r="A28" s="212"/>
      <c r="B28" s="210"/>
      <c r="C28" s="7" t="s">
        <v>75</v>
      </c>
      <c r="D28" s="7"/>
      <c r="E28" s="7" t="s">
        <v>72</v>
      </c>
      <c r="F28" s="53">
        <f>$G$19+L19</f>
        <v>180</v>
      </c>
      <c r="G28" s="215"/>
      <c r="H28" s="42">
        <v>1</v>
      </c>
      <c r="I28" s="43">
        <f>SUM(G19*H28)</f>
        <v>150</v>
      </c>
      <c r="J28" s="80">
        <f>30/60</f>
        <v>0.5</v>
      </c>
      <c r="K28" s="45">
        <f>SUM(I28*J28)</f>
        <v>75</v>
      </c>
      <c r="L28" s="234"/>
      <c r="M28" s="59">
        <v>0</v>
      </c>
      <c r="N28" s="59">
        <f t="shared" si="13"/>
        <v>0</v>
      </c>
      <c r="O28" s="199">
        <f t="shared" si="4"/>
        <v>0.5</v>
      </c>
      <c r="P28" s="118">
        <f t="shared" si="9"/>
        <v>0</v>
      </c>
      <c r="Q28" s="61">
        <f t="shared" si="5"/>
        <v>75</v>
      </c>
      <c r="R28" s="119">
        <v>10.72</v>
      </c>
      <c r="S28" s="120">
        <f t="shared" si="6"/>
        <v>804</v>
      </c>
    </row>
    <row r="29" spans="1:19" s="2" customFormat="1" ht="18.75" customHeight="1" thickBot="1" x14ac:dyDescent="0.3">
      <c r="A29" s="219" t="s">
        <v>31</v>
      </c>
      <c r="B29" s="220"/>
      <c r="C29" s="220"/>
      <c r="D29" s="220"/>
      <c r="E29" s="220"/>
      <c r="F29" s="221"/>
      <c r="G29" s="32">
        <f>G11+G19</f>
        <v>165</v>
      </c>
      <c r="H29" s="133">
        <f>SUM(I29/G29)</f>
        <v>31.09090909090909</v>
      </c>
      <c r="I29" s="135">
        <f>SUM(I11:I28)</f>
        <v>5130</v>
      </c>
      <c r="J29" s="134">
        <f>SUM(K29/I29)</f>
        <v>0.26632553606237819</v>
      </c>
      <c r="K29" s="31">
        <f>SUM(K11:K28)</f>
        <v>1366.25</v>
      </c>
      <c r="L29" s="172">
        <v>35</v>
      </c>
      <c r="M29" s="196">
        <f>N29/L29</f>
        <v>2.8571428571428572</v>
      </c>
      <c r="N29" s="168">
        <f>SUM(N11:N28)</f>
        <v>100</v>
      </c>
      <c r="O29" s="169">
        <f>P29/N29</f>
        <v>0.185</v>
      </c>
      <c r="P29" s="170">
        <f>SUM(P11:P28)</f>
        <v>18.5</v>
      </c>
      <c r="Q29" s="121">
        <f>SUM(K29+P29)</f>
        <v>1384.75</v>
      </c>
      <c r="R29" s="171"/>
      <c r="S29" s="155">
        <f>SUM(S11:S28)</f>
        <v>16855.595000000001</v>
      </c>
    </row>
    <row r="30" spans="1:19" s="2" customFormat="1" ht="24.75" customHeight="1" thickBot="1" x14ac:dyDescent="0.3">
      <c r="A30" s="223" t="s">
        <v>14</v>
      </c>
      <c r="B30" s="224"/>
      <c r="C30" s="224"/>
      <c r="D30" s="224"/>
      <c r="E30" s="224"/>
      <c r="F30" s="224"/>
      <c r="G30" s="224"/>
      <c r="H30" s="224"/>
      <c r="I30" s="224"/>
      <c r="J30" s="224"/>
      <c r="K30" s="224"/>
      <c r="L30" s="224"/>
      <c r="M30" s="224"/>
      <c r="N30" s="224"/>
      <c r="O30" s="224"/>
      <c r="P30" s="224"/>
      <c r="Q30" s="224"/>
      <c r="R30" s="224"/>
      <c r="S30" s="225"/>
    </row>
    <row r="31" spans="1:19" ht="41.25" customHeight="1" thickBot="1" x14ac:dyDescent="0.25">
      <c r="A31" s="211" t="s">
        <v>14</v>
      </c>
      <c r="B31" s="208" t="s">
        <v>15</v>
      </c>
      <c r="C31" s="79" t="s">
        <v>115</v>
      </c>
      <c r="D31" s="79" t="s">
        <v>128</v>
      </c>
      <c r="E31" s="79" t="s">
        <v>54</v>
      </c>
      <c r="F31" s="106">
        <f>$G$31+$L$31</f>
        <v>750</v>
      </c>
      <c r="G31" s="238">
        <v>600</v>
      </c>
      <c r="H31" s="106">
        <v>1</v>
      </c>
      <c r="I31" s="107">
        <f>SUM($G$31*H31)</f>
        <v>600</v>
      </c>
      <c r="J31" s="80">
        <f>6/60</f>
        <v>0.1</v>
      </c>
      <c r="K31" s="45">
        <f>SUM(I31*J31)</f>
        <v>60</v>
      </c>
      <c r="L31" s="262">
        <v>150</v>
      </c>
      <c r="M31" s="56">
        <v>1</v>
      </c>
      <c r="N31" s="50">
        <f>SUM(L31*M31)</f>
        <v>150</v>
      </c>
      <c r="O31" s="57">
        <f>J31</f>
        <v>0.1</v>
      </c>
      <c r="P31" s="57">
        <f>N31*O31</f>
        <v>15</v>
      </c>
      <c r="Q31" s="58">
        <f>SUM(K31+P31)</f>
        <v>75</v>
      </c>
      <c r="R31" s="119">
        <v>14.5</v>
      </c>
      <c r="S31" s="120">
        <f>R31*Q31</f>
        <v>1087.5</v>
      </c>
    </row>
    <row r="32" spans="1:19" ht="41.25" customHeight="1" thickBot="1" x14ac:dyDescent="0.25">
      <c r="A32" s="212"/>
      <c r="B32" s="209"/>
      <c r="C32" s="79" t="s">
        <v>116</v>
      </c>
      <c r="D32" s="79" t="s">
        <v>129</v>
      </c>
      <c r="E32" s="79" t="s">
        <v>54</v>
      </c>
      <c r="F32" s="106">
        <f t="shared" ref="F32:F34" si="14">$G$31+$L$31</f>
        <v>750</v>
      </c>
      <c r="G32" s="239"/>
      <c r="H32" s="106">
        <v>1</v>
      </c>
      <c r="I32" s="107">
        <f t="shared" ref="I32:I33" si="15">SUM($G$31*H32)</f>
        <v>600</v>
      </c>
      <c r="J32" s="80">
        <f>6/60</f>
        <v>0.1</v>
      </c>
      <c r="K32" s="45">
        <f t="shared" ref="K32:K33" si="16">SUM(I32*J32)</f>
        <v>60</v>
      </c>
      <c r="L32" s="263"/>
      <c r="M32" s="201">
        <v>0</v>
      </c>
      <c r="N32" s="50">
        <f t="shared" ref="N32:N33" si="17">SUM(L32*M32)</f>
        <v>0</v>
      </c>
      <c r="O32" s="200">
        <f t="shared" ref="O32:O33" si="18">J32</f>
        <v>0.1</v>
      </c>
      <c r="P32" s="57">
        <f>O32*N32</f>
        <v>0</v>
      </c>
      <c r="Q32" s="58">
        <f t="shared" ref="Q32:Q33" si="19">SUM(K32+P32)</f>
        <v>60</v>
      </c>
      <c r="R32" s="119">
        <v>14.5</v>
      </c>
      <c r="S32" s="120">
        <f t="shared" ref="S32:S33" si="20">R32*Q32</f>
        <v>870</v>
      </c>
    </row>
    <row r="33" spans="1:19" ht="41.25" customHeight="1" thickBot="1" x14ac:dyDescent="0.25">
      <c r="A33" s="212"/>
      <c r="B33" s="209"/>
      <c r="C33" s="79" t="s">
        <v>119</v>
      </c>
      <c r="D33" s="79" t="s">
        <v>120</v>
      </c>
      <c r="E33" s="79" t="s">
        <v>54</v>
      </c>
      <c r="F33" s="106">
        <f t="shared" si="14"/>
        <v>750</v>
      </c>
      <c r="G33" s="239"/>
      <c r="H33" s="106">
        <v>1</v>
      </c>
      <c r="I33" s="107">
        <f t="shared" si="15"/>
        <v>600</v>
      </c>
      <c r="J33" s="80">
        <f>6/60</f>
        <v>0.1</v>
      </c>
      <c r="K33" s="45">
        <f t="shared" si="16"/>
        <v>60</v>
      </c>
      <c r="L33" s="263"/>
      <c r="M33" s="201">
        <v>0</v>
      </c>
      <c r="N33" s="50">
        <f t="shared" si="17"/>
        <v>0</v>
      </c>
      <c r="O33" s="200">
        <f t="shared" si="18"/>
        <v>0.1</v>
      </c>
      <c r="P33" s="57">
        <f>O33*N33</f>
        <v>0</v>
      </c>
      <c r="Q33" s="58">
        <f t="shared" si="19"/>
        <v>60</v>
      </c>
      <c r="R33" s="119">
        <v>14.5</v>
      </c>
      <c r="S33" s="120">
        <f t="shared" si="20"/>
        <v>870</v>
      </c>
    </row>
    <row r="34" spans="1:19" ht="41.25" customHeight="1" thickBot="1" x14ac:dyDescent="0.25">
      <c r="A34" s="212"/>
      <c r="B34" s="209"/>
      <c r="C34" s="79" t="s">
        <v>96</v>
      </c>
      <c r="D34" s="79" t="s">
        <v>97</v>
      </c>
      <c r="E34" s="6" t="s">
        <v>131</v>
      </c>
      <c r="F34" s="106">
        <f t="shared" si="14"/>
        <v>750</v>
      </c>
      <c r="G34" s="239"/>
      <c r="H34" s="106">
        <v>1</v>
      </c>
      <c r="I34" s="107">
        <f>SUM(G31*H34)</f>
        <v>600</v>
      </c>
      <c r="J34" s="80">
        <f>6/60</f>
        <v>0.1</v>
      </c>
      <c r="K34" s="45">
        <f>SUM(I34*J34)</f>
        <v>60</v>
      </c>
      <c r="L34" s="264"/>
      <c r="M34" s="76">
        <v>0</v>
      </c>
      <c r="N34" s="50">
        <f>SUM(L34*M34)</f>
        <v>0</v>
      </c>
      <c r="O34" s="80">
        <f>J34</f>
        <v>0.1</v>
      </c>
      <c r="P34" s="57">
        <f>N34*O34</f>
        <v>0</v>
      </c>
      <c r="Q34" s="58">
        <f t="shared" ref="Q34:Q38" si="21">SUM(K34+P34)</f>
        <v>60</v>
      </c>
      <c r="R34" s="119">
        <v>14.5</v>
      </c>
      <c r="S34" s="120">
        <f>R34*Q34</f>
        <v>870</v>
      </c>
    </row>
    <row r="35" spans="1:19" ht="41.25" customHeight="1" thickBot="1" x14ac:dyDescent="0.25">
      <c r="A35" s="212"/>
      <c r="B35" s="209"/>
      <c r="C35" s="79" t="s">
        <v>93</v>
      </c>
      <c r="D35" s="79" t="s">
        <v>98</v>
      </c>
      <c r="E35" s="79" t="s">
        <v>70</v>
      </c>
      <c r="F35" s="106">
        <f>$G$31+$L$35</f>
        <v>600</v>
      </c>
      <c r="G35" s="239"/>
      <c r="H35" s="106">
        <v>1</v>
      </c>
      <c r="I35" s="107">
        <f>G31*H35</f>
        <v>600</v>
      </c>
      <c r="J35" s="80">
        <f>15/60</f>
        <v>0.25</v>
      </c>
      <c r="K35" s="45">
        <f>I35*J35</f>
        <v>150</v>
      </c>
      <c r="L35" s="262">
        <v>0</v>
      </c>
      <c r="M35" s="201">
        <v>0</v>
      </c>
      <c r="N35" s="50">
        <f>L35*M35</f>
        <v>0</v>
      </c>
      <c r="O35" s="80">
        <f>15/60</f>
        <v>0.25</v>
      </c>
      <c r="P35" s="57">
        <f>N35*O35</f>
        <v>0</v>
      </c>
      <c r="Q35" s="58">
        <f t="shared" si="21"/>
        <v>150</v>
      </c>
      <c r="R35" s="119">
        <v>14.5</v>
      </c>
      <c r="S35" s="120">
        <f>R35*Q35</f>
        <v>2175</v>
      </c>
    </row>
    <row r="36" spans="1:19" ht="41.25" customHeight="1" thickBot="1" x14ac:dyDescent="0.25">
      <c r="A36" s="212"/>
      <c r="B36" s="209"/>
      <c r="C36" s="79" t="s">
        <v>99</v>
      </c>
      <c r="D36" s="79"/>
      <c r="E36" s="79" t="s">
        <v>61</v>
      </c>
      <c r="F36" s="106">
        <f t="shared" ref="F36:F37" si="22">$G$31+$L$35</f>
        <v>600</v>
      </c>
      <c r="G36" s="239"/>
      <c r="H36" s="106">
        <v>22</v>
      </c>
      <c r="I36" s="107">
        <f>G31*H36</f>
        <v>13200</v>
      </c>
      <c r="J36" s="80">
        <f>ROUND(5/60,2)</f>
        <v>0.08</v>
      </c>
      <c r="K36" s="45">
        <f>I36*J36</f>
        <v>1056</v>
      </c>
      <c r="L36" s="263"/>
      <c r="M36" s="56">
        <v>0</v>
      </c>
      <c r="N36" s="50">
        <f>SUM(L36*M36)</f>
        <v>0</v>
      </c>
      <c r="O36" s="80">
        <f>5/60</f>
        <v>8.3333333333333329E-2</v>
      </c>
      <c r="P36" s="57">
        <f>N36*O36</f>
        <v>0</v>
      </c>
      <c r="Q36" s="58">
        <f t="shared" si="21"/>
        <v>1056</v>
      </c>
      <c r="R36" s="119">
        <v>14.5</v>
      </c>
      <c r="S36" s="120">
        <f>R36*Q36</f>
        <v>15312</v>
      </c>
    </row>
    <row r="37" spans="1:19" ht="38.25" customHeight="1" thickBot="1" x14ac:dyDescent="0.25">
      <c r="A37" s="212"/>
      <c r="B37" s="210"/>
      <c r="C37" s="79" t="s">
        <v>76</v>
      </c>
      <c r="D37" s="79"/>
      <c r="E37" s="6" t="s">
        <v>131</v>
      </c>
      <c r="F37" s="106">
        <f t="shared" si="22"/>
        <v>600</v>
      </c>
      <c r="G37" s="240"/>
      <c r="H37" s="106">
        <v>2</v>
      </c>
      <c r="I37" s="107">
        <f>SUM(G31*H37)</f>
        <v>1200</v>
      </c>
      <c r="J37" s="81">
        <f>15/60</f>
        <v>0.25</v>
      </c>
      <c r="K37" s="45">
        <f>I37*J37</f>
        <v>300</v>
      </c>
      <c r="L37" s="264"/>
      <c r="M37" s="59">
        <v>0</v>
      </c>
      <c r="N37" s="51">
        <f>SUM(L35*M37)</f>
        <v>0</v>
      </c>
      <c r="O37" s="80">
        <f>J37</f>
        <v>0.25</v>
      </c>
      <c r="P37" s="60">
        <f>SUM(N37*O37)</f>
        <v>0</v>
      </c>
      <c r="Q37" s="61">
        <f>SUM(K37+P37)</f>
        <v>300</v>
      </c>
      <c r="R37" s="119">
        <v>14.5</v>
      </c>
      <c r="S37" s="120">
        <f>R37*Q37</f>
        <v>4350</v>
      </c>
    </row>
    <row r="38" spans="1:19" s="2" customFormat="1" ht="20.25" customHeight="1" thickBot="1" x14ac:dyDescent="0.25">
      <c r="A38" s="219" t="s">
        <v>30</v>
      </c>
      <c r="B38" s="220"/>
      <c r="C38" s="220"/>
      <c r="D38" s="220"/>
      <c r="E38" s="220"/>
      <c r="F38" s="221"/>
      <c r="G38" s="156">
        <f>G31</f>
        <v>600</v>
      </c>
      <c r="H38" s="133">
        <f>I38/G38</f>
        <v>29</v>
      </c>
      <c r="I38" s="141">
        <f>SUM(I31:I37)</f>
        <v>17400</v>
      </c>
      <c r="J38" s="134">
        <f>SUM(K38/I38)</f>
        <v>0.1003448275862069</v>
      </c>
      <c r="K38" s="142">
        <f>SUM(K31:K37)</f>
        <v>1746</v>
      </c>
      <c r="L38" s="143">
        <f>SUM(L31:L36)</f>
        <v>150</v>
      </c>
      <c r="M38" s="144">
        <f>N38/L38</f>
        <v>1</v>
      </c>
      <c r="N38" s="145">
        <f t="shared" ref="N38" si="23">SUM(N31:N37)</f>
        <v>150</v>
      </c>
      <c r="O38" s="146">
        <f>P38/N38</f>
        <v>0.1</v>
      </c>
      <c r="P38" s="142">
        <f>SUM(P31:P37)</f>
        <v>15</v>
      </c>
      <c r="Q38" s="121">
        <f t="shared" si="21"/>
        <v>1761</v>
      </c>
      <c r="R38" s="140"/>
      <c r="S38" s="163">
        <f>SUM(S31:S37)</f>
        <v>25534.5</v>
      </c>
    </row>
    <row r="39" spans="1:19" s="2" customFormat="1" ht="20.25" customHeight="1" thickBot="1" x14ac:dyDescent="0.25">
      <c r="A39" s="229" t="s">
        <v>114</v>
      </c>
      <c r="B39" s="230"/>
      <c r="C39" s="230"/>
      <c r="D39" s="230"/>
      <c r="E39" s="230"/>
      <c r="F39" s="231"/>
      <c r="G39" s="156">
        <v>20</v>
      </c>
      <c r="H39" s="173">
        <v>20.399999999999999</v>
      </c>
      <c r="I39" s="174">
        <v>408</v>
      </c>
      <c r="J39" s="175">
        <v>0.21455882352941175</v>
      </c>
      <c r="K39" s="142">
        <v>87.539999999999992</v>
      </c>
      <c r="L39" s="176">
        <v>65</v>
      </c>
      <c r="M39" s="175">
        <v>2.7538461538461538</v>
      </c>
      <c r="N39" s="177">
        <v>179</v>
      </c>
      <c r="O39" s="178">
        <v>0.23</v>
      </c>
      <c r="P39" s="179">
        <v>41.55</v>
      </c>
      <c r="Q39" s="180">
        <v>129.09</v>
      </c>
      <c r="R39" s="181"/>
      <c r="S39" s="192">
        <v>1899.6179999999999</v>
      </c>
    </row>
    <row r="40" spans="1:19" s="22" customFormat="1" ht="21" customHeight="1" thickBot="1" x14ac:dyDescent="0.25">
      <c r="A40" s="205" t="s">
        <v>77</v>
      </c>
      <c r="B40" s="206"/>
      <c r="C40" s="206"/>
      <c r="D40" s="206"/>
      <c r="E40" s="206"/>
      <c r="F40" s="207"/>
      <c r="G40" s="182">
        <f>SUM(G9+G29+G38+G39)</f>
        <v>787</v>
      </c>
      <c r="H40" s="183">
        <f>SUM(I40/G40)</f>
        <v>29.158831003811944</v>
      </c>
      <c r="I40" s="182">
        <f>SUM(I9+I29+I38+I39)</f>
        <v>22948</v>
      </c>
      <c r="J40" s="184">
        <f>SUM(K40/I40)</f>
        <v>0.13978516646330835</v>
      </c>
      <c r="K40" s="185">
        <f>SUM(K9+K29+K38+K39)</f>
        <v>3207.79</v>
      </c>
      <c r="L40" s="190">
        <f>SUM(L9+L29+L38+L39)</f>
        <v>251</v>
      </c>
      <c r="M40" s="184">
        <f>L40/N40</f>
        <v>0.58101851851851849</v>
      </c>
      <c r="N40" s="190">
        <f>SUM(N9+N29+N38+N39)</f>
        <v>432</v>
      </c>
      <c r="O40" s="191">
        <f>SUM(P40/N40)</f>
        <v>0.17777777777777778</v>
      </c>
      <c r="P40" s="186">
        <f>SUM(P9+P29+P38+P39)</f>
        <v>76.8</v>
      </c>
      <c r="Q40" s="187">
        <f>SUM(Q9+Q29+Q38+Q39)</f>
        <v>3284.59</v>
      </c>
      <c r="R40" s="188"/>
      <c r="S40" s="189">
        <f>SUM(S9+S29+S38+S39)</f>
        <v>44537.070500000002</v>
      </c>
    </row>
    <row r="41" spans="1:19" x14ac:dyDescent="0.2">
      <c r="A41" s="1" t="s">
        <v>26</v>
      </c>
      <c r="B41" s="29"/>
      <c r="C41" s="41"/>
      <c r="D41" s="41"/>
      <c r="E41" s="41"/>
      <c r="F41" s="55">
        <f>G40+L40</f>
        <v>1038</v>
      </c>
      <c r="H41" s="1"/>
      <c r="I41" s="3"/>
      <c r="J41" s="82"/>
      <c r="K41" s="3"/>
      <c r="O41" s="1"/>
      <c r="P41" s="1"/>
      <c r="Q41" s="1"/>
    </row>
    <row r="42" spans="1:19" x14ac:dyDescent="0.2">
      <c r="A42" s="1" t="s">
        <v>36</v>
      </c>
      <c r="B42" s="29"/>
      <c r="C42" s="41"/>
      <c r="D42" s="41"/>
      <c r="E42" s="41"/>
      <c r="F42" s="55">
        <f>SUM(I40+N40)</f>
        <v>23380</v>
      </c>
      <c r="H42" s="1"/>
      <c r="I42" s="3"/>
      <c r="J42" s="82"/>
      <c r="K42" s="3"/>
      <c r="O42" s="1"/>
      <c r="P42" s="1"/>
      <c r="Q42" s="1"/>
    </row>
    <row r="43" spans="1:19" x14ac:dyDescent="0.2">
      <c r="A43" s="1" t="s">
        <v>102</v>
      </c>
      <c r="B43" s="29"/>
      <c r="C43" s="41"/>
      <c r="D43" s="41"/>
      <c r="E43" s="41"/>
      <c r="F43" s="55">
        <f>F42/F41</f>
        <v>22.52408477842004</v>
      </c>
      <c r="H43" s="1"/>
      <c r="I43" s="3"/>
      <c r="J43" s="82"/>
      <c r="K43" s="3"/>
      <c r="O43" s="1"/>
      <c r="P43" s="1"/>
      <c r="Q43" s="1"/>
    </row>
    <row r="44" spans="1:19" x14ac:dyDescent="0.2">
      <c r="A44" s="1" t="s">
        <v>27</v>
      </c>
      <c r="B44" s="29"/>
      <c r="C44" s="41"/>
      <c r="D44" s="41"/>
      <c r="E44" s="41"/>
      <c r="F44" s="54">
        <f>SUM(K40+P40)</f>
        <v>3284.59</v>
      </c>
      <c r="H44" s="1"/>
      <c r="I44" s="3"/>
      <c r="J44" s="82"/>
      <c r="K44" s="3"/>
      <c r="O44" s="1"/>
      <c r="P44" s="1"/>
      <c r="Q44" s="1"/>
    </row>
    <row r="45" spans="1:19" x14ac:dyDescent="0.2">
      <c r="A45" s="5" t="s">
        <v>112</v>
      </c>
      <c r="F45" s="127">
        <f>SUM(I26,I36,N26,N36, ' Pilot Test Burden'!E36)</f>
        <v>16786</v>
      </c>
      <c r="G45" s="1"/>
      <c r="H45" s="1"/>
      <c r="I45" s="1"/>
      <c r="J45" s="83"/>
      <c r="K45" s="1"/>
    </row>
    <row r="46" spans="1:19" x14ac:dyDescent="0.2">
      <c r="A46" s="5" t="s">
        <v>113</v>
      </c>
      <c r="F46" s="128">
        <f>F45/F42</f>
        <v>0.71796407185628741</v>
      </c>
      <c r="G46" s="1"/>
      <c r="H46" s="1"/>
      <c r="I46" s="1"/>
      <c r="J46" s="83"/>
      <c r="K46" s="1"/>
    </row>
    <row r="47" spans="1:19" x14ac:dyDescent="0.2">
      <c r="F47" s="127"/>
      <c r="G47" s="1"/>
      <c r="H47" s="1"/>
      <c r="I47" s="1"/>
      <c r="J47" s="83"/>
      <c r="K47" s="1"/>
    </row>
    <row r="48" spans="1:19" x14ac:dyDescent="0.2">
      <c r="A48" s="5" t="s">
        <v>28</v>
      </c>
      <c r="G48" s="1"/>
      <c r="H48" s="1"/>
      <c r="I48" s="1"/>
      <c r="J48" s="83"/>
      <c r="K48" s="1"/>
    </row>
    <row r="49" spans="1:20" x14ac:dyDescent="0.2">
      <c r="A49" s="5" t="s">
        <v>101</v>
      </c>
      <c r="G49" s="1"/>
      <c r="H49" s="1"/>
      <c r="I49" s="1"/>
      <c r="J49" s="83"/>
      <c r="K49" s="1"/>
    </row>
    <row r="50" spans="1:20" x14ac:dyDescent="0.2">
      <c r="A50" s="1" t="s">
        <v>78</v>
      </c>
      <c r="F50" s="5"/>
      <c r="G50" s="1"/>
      <c r="H50" s="1"/>
      <c r="I50" s="1"/>
      <c r="J50" s="83"/>
      <c r="K50" s="1"/>
    </row>
    <row r="51" spans="1:20" x14ac:dyDescent="0.2">
      <c r="A51" s="1" t="s">
        <v>63</v>
      </c>
      <c r="F51" s="5"/>
    </row>
    <row r="52" spans="1:20" x14ac:dyDescent="0.2">
      <c r="A52" s="5" t="s">
        <v>132</v>
      </c>
      <c r="B52" s="1"/>
    </row>
    <row r="53" spans="1:20" x14ac:dyDescent="0.2">
      <c r="B53" s="1"/>
    </row>
    <row r="54" spans="1:20" x14ac:dyDescent="0.2">
      <c r="B54" s="1"/>
    </row>
    <row r="55" spans="1:20" x14ac:dyDescent="0.2">
      <c r="B55" s="1"/>
    </row>
    <row r="56" spans="1:20" x14ac:dyDescent="0.2">
      <c r="B56" s="1"/>
    </row>
    <row r="57" spans="1:20" x14ac:dyDescent="0.2">
      <c r="B57" s="1"/>
    </row>
    <row r="58" spans="1:20" x14ac:dyDescent="0.2">
      <c r="B58" s="1"/>
    </row>
    <row r="59" spans="1:20" x14ac:dyDescent="0.2">
      <c r="B59" s="1"/>
    </row>
    <row r="60" spans="1:20" x14ac:dyDescent="0.2">
      <c r="B60" s="1"/>
    </row>
    <row r="61" spans="1:20" x14ac:dyDescent="0.2">
      <c r="B61" s="1"/>
    </row>
    <row r="62" spans="1:20" x14ac:dyDescent="0.2">
      <c r="B62" s="1"/>
    </row>
    <row r="63" spans="1:20" x14ac:dyDescent="0.2">
      <c r="B63" s="1"/>
    </row>
    <row r="64" spans="1:20" ht="15.75" customHeight="1" x14ac:dyDescent="0.3">
      <c r="A64" s="96"/>
      <c r="B64" s="97"/>
      <c r="C64" s="97"/>
      <c r="D64" s="97"/>
      <c r="E64" s="97"/>
      <c r="F64" s="97"/>
      <c r="G64" s="98"/>
      <c r="H64" s="99"/>
      <c r="I64" s="98"/>
      <c r="J64" s="100"/>
      <c r="K64" s="98"/>
      <c r="L64" s="101"/>
      <c r="M64" s="101"/>
      <c r="N64" s="101"/>
      <c r="O64" s="101"/>
      <c r="P64" s="101"/>
      <c r="Q64" s="101"/>
      <c r="R64" s="97"/>
      <c r="S64" s="97"/>
      <c r="T64" s="97"/>
    </row>
    <row r="65" spans="1:20" ht="20.25" customHeight="1" x14ac:dyDescent="0.3">
      <c r="A65" s="96"/>
      <c r="B65" s="97"/>
      <c r="C65" s="97"/>
      <c r="D65" s="97"/>
      <c r="E65" s="97"/>
      <c r="F65" s="97"/>
      <c r="G65" s="98"/>
      <c r="H65" s="99"/>
      <c r="I65" s="98"/>
      <c r="J65" s="100"/>
      <c r="K65" s="98"/>
      <c r="L65" s="101"/>
      <c r="M65" s="101"/>
      <c r="N65" s="101"/>
      <c r="O65" s="101"/>
      <c r="P65" s="101"/>
      <c r="Q65" s="101"/>
      <c r="R65" s="97"/>
      <c r="S65" s="97"/>
      <c r="T65" s="97"/>
    </row>
    <row r="66" spans="1:20" ht="17.25" customHeight="1" x14ac:dyDescent="0.3">
      <c r="A66" s="102"/>
      <c r="B66" s="102"/>
      <c r="C66" s="97"/>
      <c r="D66" s="97"/>
      <c r="E66" s="97"/>
      <c r="F66" s="97"/>
      <c r="G66" s="98"/>
      <c r="H66" s="99"/>
      <c r="I66" s="98"/>
      <c r="J66" s="100"/>
      <c r="K66" s="98"/>
      <c r="L66" s="101"/>
      <c r="M66" s="101"/>
      <c r="N66" s="101"/>
      <c r="O66" s="101"/>
      <c r="P66" s="101"/>
      <c r="Q66" s="101"/>
      <c r="R66" s="97"/>
      <c r="S66" s="97"/>
      <c r="T66" s="97"/>
    </row>
    <row r="67" spans="1:20" ht="17.25" customHeight="1" x14ac:dyDescent="0.3">
      <c r="A67" s="102"/>
      <c r="B67" s="102"/>
      <c r="C67" s="97"/>
      <c r="D67" s="97"/>
      <c r="E67" s="97"/>
      <c r="F67" s="97"/>
      <c r="G67" s="98"/>
      <c r="H67" s="99"/>
      <c r="I67" s="98"/>
      <c r="J67" s="100"/>
      <c r="K67" s="98"/>
      <c r="L67" s="101"/>
      <c r="M67" s="101"/>
      <c r="N67" s="101"/>
      <c r="O67" s="101"/>
      <c r="P67" s="101"/>
      <c r="Q67" s="101"/>
      <c r="R67" s="97"/>
      <c r="S67" s="97"/>
      <c r="T67" s="97"/>
    </row>
    <row r="68" spans="1:20" ht="17.25" customHeight="1" x14ac:dyDescent="0.3">
      <c r="A68" s="102"/>
      <c r="B68" s="102"/>
      <c r="C68" s="97"/>
      <c r="D68" s="97"/>
      <c r="E68" s="97"/>
      <c r="F68" s="97"/>
      <c r="G68" s="98"/>
      <c r="H68" s="99"/>
      <c r="I68" s="98"/>
      <c r="J68" s="100"/>
      <c r="K68" s="98"/>
      <c r="L68" s="101"/>
      <c r="M68" s="101"/>
      <c r="N68" s="101"/>
      <c r="O68" s="101"/>
      <c r="P68" s="101"/>
      <c r="Q68" s="101"/>
      <c r="R68" s="97"/>
      <c r="S68" s="97"/>
      <c r="T68" s="97"/>
    </row>
    <row r="69" spans="1:20" ht="17.25" customHeight="1" x14ac:dyDescent="0.3">
      <c r="A69" s="102"/>
      <c r="B69" s="102"/>
      <c r="C69" s="97"/>
      <c r="D69" s="97"/>
      <c r="E69" s="97"/>
      <c r="F69" s="97"/>
      <c r="G69" s="98"/>
      <c r="H69" s="99"/>
      <c r="I69" s="98"/>
      <c r="J69" s="100"/>
      <c r="K69" s="98"/>
      <c r="L69" s="101"/>
      <c r="M69" s="101"/>
      <c r="N69" s="101"/>
      <c r="O69" s="101"/>
      <c r="P69" s="101"/>
      <c r="Q69" s="101"/>
      <c r="R69" s="97"/>
      <c r="S69" s="97"/>
      <c r="T69" s="97"/>
    </row>
    <row r="70" spans="1:20" ht="17.25" customHeight="1" x14ac:dyDescent="0.3">
      <c r="A70" s="102"/>
      <c r="B70" s="102"/>
      <c r="C70" s="97"/>
      <c r="D70" s="97"/>
      <c r="E70" s="97"/>
      <c r="F70" s="97"/>
      <c r="G70" s="98"/>
      <c r="H70" s="99"/>
      <c r="I70" s="98"/>
      <c r="J70" s="100"/>
      <c r="K70" s="98"/>
      <c r="L70" s="101"/>
      <c r="M70" s="101"/>
      <c r="N70" s="101"/>
      <c r="O70" s="101"/>
      <c r="P70" s="101"/>
      <c r="Q70" s="101"/>
      <c r="R70" s="97"/>
      <c r="S70" s="97"/>
      <c r="T70" s="97"/>
    </row>
    <row r="71" spans="1:20" ht="18.75" x14ac:dyDescent="0.3">
      <c r="A71" s="102"/>
      <c r="B71" s="102"/>
      <c r="C71" s="97"/>
      <c r="D71" s="97"/>
      <c r="E71" s="97"/>
      <c r="F71" s="97"/>
      <c r="G71" s="98"/>
      <c r="H71" s="99"/>
      <c r="I71" s="98"/>
      <c r="J71" s="100"/>
      <c r="K71" s="98"/>
      <c r="L71" s="101"/>
      <c r="M71" s="101"/>
      <c r="N71" s="101"/>
      <c r="O71" s="101"/>
      <c r="P71" s="101"/>
      <c r="Q71" s="101"/>
      <c r="R71" s="97"/>
      <c r="S71" s="97"/>
      <c r="T71" s="97"/>
    </row>
    <row r="72" spans="1:20" ht="18.75" x14ac:dyDescent="0.3">
      <c r="A72" s="102"/>
      <c r="B72" s="102"/>
      <c r="C72" s="97"/>
      <c r="D72" s="97"/>
      <c r="E72" s="97"/>
      <c r="F72" s="97"/>
      <c r="G72" s="98"/>
      <c r="H72" s="99"/>
      <c r="I72" s="98"/>
      <c r="J72" s="100"/>
      <c r="K72" s="98"/>
      <c r="L72" s="101"/>
      <c r="M72" s="101"/>
      <c r="N72" s="101"/>
      <c r="O72" s="101"/>
      <c r="P72" s="101"/>
      <c r="Q72" s="101"/>
      <c r="R72" s="97"/>
      <c r="S72" s="97"/>
      <c r="T72" s="97"/>
    </row>
    <row r="73" spans="1:20" ht="18.75" x14ac:dyDescent="0.3">
      <c r="A73" s="102"/>
      <c r="B73" s="102"/>
      <c r="C73" s="97"/>
      <c r="D73" s="97"/>
      <c r="E73" s="97"/>
      <c r="F73" s="97"/>
      <c r="G73" s="98"/>
      <c r="H73" s="99"/>
      <c r="I73" s="98"/>
      <c r="J73" s="100"/>
      <c r="K73" s="98"/>
      <c r="L73" s="101"/>
      <c r="M73" s="101"/>
      <c r="N73" s="101"/>
      <c r="O73" s="101"/>
      <c r="P73" s="101"/>
      <c r="Q73" s="101"/>
      <c r="R73" s="97"/>
      <c r="S73" s="97"/>
      <c r="T73" s="97"/>
    </row>
    <row r="74" spans="1:20" ht="18.75" x14ac:dyDescent="0.3">
      <c r="A74" s="102"/>
      <c r="B74" s="102"/>
      <c r="C74" s="97"/>
      <c r="D74" s="97"/>
      <c r="E74" s="97"/>
      <c r="F74" s="97"/>
      <c r="G74" s="98"/>
      <c r="H74" s="99"/>
      <c r="I74" s="98"/>
      <c r="J74" s="100"/>
      <c r="K74" s="98"/>
      <c r="L74" s="101"/>
      <c r="M74" s="101"/>
      <c r="N74" s="101"/>
      <c r="O74" s="101"/>
      <c r="P74" s="101"/>
      <c r="Q74" s="101"/>
      <c r="R74" s="97"/>
      <c r="S74" s="97"/>
      <c r="T74" s="97"/>
    </row>
  </sheetData>
  <mergeCells count="31">
    <mergeCell ref="G2:K2"/>
    <mergeCell ref="G31:G37"/>
    <mergeCell ref="R2:R3"/>
    <mergeCell ref="S2:S3"/>
    <mergeCell ref="A1:Q1"/>
    <mergeCell ref="B5:B8"/>
    <mergeCell ref="Q2:Q3"/>
    <mergeCell ref="L2:P2"/>
    <mergeCell ref="A4:S4"/>
    <mergeCell ref="G5:G8"/>
    <mergeCell ref="A5:A8"/>
    <mergeCell ref="L5:L8"/>
    <mergeCell ref="L19:L28"/>
    <mergeCell ref="L31:L34"/>
    <mergeCell ref="L35:L37"/>
    <mergeCell ref="A40:F40"/>
    <mergeCell ref="B31:B37"/>
    <mergeCell ref="A19:A28"/>
    <mergeCell ref="G19:G28"/>
    <mergeCell ref="A9:F9"/>
    <mergeCell ref="A29:F29"/>
    <mergeCell ref="A38:F38"/>
    <mergeCell ref="B19:B28"/>
    <mergeCell ref="B11:B18"/>
    <mergeCell ref="A11:A18"/>
    <mergeCell ref="G11:G18"/>
    <mergeCell ref="A30:S30"/>
    <mergeCell ref="A10:S10"/>
    <mergeCell ref="A31:A37"/>
    <mergeCell ref="A39:F39"/>
    <mergeCell ref="L11:L18"/>
  </mergeCells>
  <pageMargins left="0.25" right="0.25" top="0.75" bottom="0.75" header="0.3" footer="0.3"/>
  <pageSetup scale="47"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5"/>
  <sheetViews>
    <sheetView showGridLines="0" zoomScale="82" zoomScaleNormal="82" zoomScaleSheetLayoutView="120" workbookViewId="0">
      <pane xSplit="2" ySplit="4" topLeftCell="C5" activePane="bottomRight" state="frozen"/>
      <selection pane="topRight" activeCell="C1" sqref="C1"/>
      <selection pane="bottomLeft" activeCell="A5" sqref="A5"/>
      <selection pane="bottomRight" activeCell="L16" sqref="L16"/>
    </sheetView>
  </sheetViews>
  <sheetFormatPr defaultColWidth="9.140625" defaultRowHeight="12" x14ac:dyDescent="0.2"/>
  <cols>
    <col min="1" max="1" width="19.5703125" style="5" customWidth="1"/>
    <col min="2" max="2" width="14.85546875" style="5" customWidth="1"/>
    <col min="3" max="3" width="26.85546875" style="1" customWidth="1"/>
    <col min="4" max="4" width="18.7109375" style="1" customWidth="1"/>
    <col min="5" max="5" width="8.85546875" style="1" customWidth="1"/>
    <col min="6" max="6" width="14.7109375" style="29" customWidth="1"/>
    <col min="7" max="7" width="12.28515625" style="41" customWidth="1"/>
    <col min="8" max="8" width="13" style="29" customWidth="1"/>
    <col min="9" max="9" width="14" style="29" customWidth="1"/>
    <col min="10" max="10" width="12.5703125" style="29" customWidth="1"/>
    <col min="11" max="11" width="16" style="3" customWidth="1"/>
    <col min="12" max="12" width="13" style="3" customWidth="1"/>
    <col min="13" max="13" width="13.7109375" style="3" customWidth="1"/>
    <col min="14" max="14" width="11.85546875" style="3" customWidth="1"/>
    <col min="15" max="15" width="14.5703125" style="3" customWidth="1"/>
    <col min="16" max="16" width="14.140625" style="3" customWidth="1"/>
    <col min="17" max="17" width="9.140625" style="1"/>
    <col min="18" max="18" width="16.42578125" style="1" customWidth="1"/>
    <col min="19" max="16384" width="9.140625" style="1"/>
  </cols>
  <sheetData>
    <row r="1" spans="1:18" ht="27.75" customHeight="1" thickBot="1" x14ac:dyDescent="0.3">
      <c r="A1" s="245" t="s">
        <v>79</v>
      </c>
      <c r="B1" s="245"/>
      <c r="C1" s="245"/>
      <c r="D1" s="245"/>
      <c r="E1" s="245"/>
      <c r="F1" s="245"/>
      <c r="G1" s="245"/>
      <c r="H1" s="245"/>
      <c r="I1" s="245"/>
      <c r="J1" s="245"/>
      <c r="K1" s="245"/>
      <c r="L1" s="245"/>
      <c r="M1" s="245"/>
      <c r="N1" s="245"/>
      <c r="O1" s="245"/>
      <c r="P1" s="245"/>
    </row>
    <row r="2" spans="1:18" ht="15.75" customHeight="1" thickBot="1" x14ac:dyDescent="0.3">
      <c r="A2" s="4"/>
      <c r="B2" s="19"/>
      <c r="C2" s="8"/>
      <c r="D2" s="8"/>
      <c r="F2" s="235" t="s">
        <v>2</v>
      </c>
      <c r="G2" s="236"/>
      <c r="H2" s="236"/>
      <c r="I2" s="236"/>
      <c r="J2" s="237"/>
      <c r="K2" s="251" t="s">
        <v>3</v>
      </c>
      <c r="L2" s="252"/>
      <c r="M2" s="252"/>
      <c r="N2" s="252"/>
      <c r="O2" s="253"/>
      <c r="P2" s="249" t="s">
        <v>25</v>
      </c>
      <c r="Q2" s="25"/>
      <c r="R2" s="26"/>
    </row>
    <row r="3" spans="1:18" s="2" customFormat="1" ht="78" customHeight="1" thickBot="1" x14ac:dyDescent="0.25">
      <c r="A3" s="9" t="s">
        <v>0</v>
      </c>
      <c r="B3" s="11" t="s">
        <v>24</v>
      </c>
      <c r="C3" s="10" t="s">
        <v>7</v>
      </c>
      <c r="D3" s="10" t="s">
        <v>38</v>
      </c>
      <c r="E3" s="28" t="s">
        <v>23</v>
      </c>
      <c r="F3" s="11" t="s">
        <v>69</v>
      </c>
      <c r="G3" s="33" t="s">
        <v>19</v>
      </c>
      <c r="H3" s="30" t="s">
        <v>21</v>
      </c>
      <c r="I3" s="30" t="s">
        <v>17</v>
      </c>
      <c r="J3" s="34" t="s">
        <v>16</v>
      </c>
      <c r="K3" s="13" t="s">
        <v>68</v>
      </c>
      <c r="L3" s="13" t="s">
        <v>19</v>
      </c>
      <c r="M3" s="13" t="s">
        <v>18</v>
      </c>
      <c r="N3" s="13" t="s">
        <v>17</v>
      </c>
      <c r="O3" s="12" t="s">
        <v>16</v>
      </c>
      <c r="P3" s="250"/>
      <c r="Q3" s="14" t="s">
        <v>37</v>
      </c>
      <c r="R3" s="24" t="s">
        <v>5</v>
      </c>
    </row>
    <row r="4" spans="1:18" s="2" customFormat="1" ht="23.25" customHeight="1" thickBot="1" x14ac:dyDescent="0.3">
      <c r="A4" s="254" t="s">
        <v>4</v>
      </c>
      <c r="B4" s="255"/>
      <c r="C4" s="255"/>
      <c r="D4" s="255"/>
      <c r="E4" s="255"/>
      <c r="F4" s="255"/>
      <c r="G4" s="255"/>
      <c r="H4" s="255"/>
      <c r="I4" s="255"/>
      <c r="J4" s="255"/>
      <c r="K4" s="255"/>
      <c r="L4" s="255"/>
      <c r="M4" s="255"/>
      <c r="N4" s="255"/>
      <c r="O4" s="255"/>
      <c r="P4" s="255"/>
      <c r="Q4" s="255"/>
      <c r="R4" s="256"/>
    </row>
    <row r="5" spans="1:18" ht="32.25" customHeight="1" thickBot="1" x14ac:dyDescent="0.25">
      <c r="A5" s="265" t="s">
        <v>33</v>
      </c>
      <c r="B5" s="246" t="s">
        <v>8</v>
      </c>
      <c r="C5" s="6" t="s">
        <v>39</v>
      </c>
      <c r="D5" s="6" t="s">
        <v>56</v>
      </c>
      <c r="E5" s="53">
        <v>2</v>
      </c>
      <c r="F5" s="257">
        <v>2</v>
      </c>
      <c r="G5" s="42">
        <v>1</v>
      </c>
      <c r="H5" s="43">
        <f>SUM(F5*G5)</f>
        <v>2</v>
      </c>
      <c r="I5" s="44">
        <v>0.25</v>
      </c>
      <c r="J5" s="45">
        <f>SUM(H5*I5)</f>
        <v>0.5</v>
      </c>
      <c r="K5" s="262">
        <v>0</v>
      </c>
      <c r="L5" s="42">
        <f>G5</f>
        <v>1</v>
      </c>
      <c r="M5" s="42">
        <f>$K$5*L5</f>
        <v>0</v>
      </c>
      <c r="N5" s="44">
        <f>I5</f>
        <v>0.25</v>
      </c>
      <c r="O5" s="42">
        <f>M5*N5</f>
        <v>0</v>
      </c>
      <c r="P5" s="44">
        <f>SUM(J5+O5)</f>
        <v>0.5</v>
      </c>
      <c r="Q5" s="119">
        <v>25.37</v>
      </c>
      <c r="R5" s="18">
        <f>Q5*P5</f>
        <v>12.685</v>
      </c>
    </row>
    <row r="6" spans="1:18" ht="24.75" customHeight="1" thickBot="1" x14ac:dyDescent="0.25">
      <c r="A6" s="260"/>
      <c r="B6" s="248"/>
      <c r="C6" s="6" t="s">
        <v>9</v>
      </c>
      <c r="D6" s="6" t="s">
        <v>56</v>
      </c>
      <c r="E6" s="53">
        <v>2</v>
      </c>
      <c r="F6" s="259"/>
      <c r="G6" s="42">
        <v>1</v>
      </c>
      <c r="H6" s="43">
        <f>SUM(F5*G6)</f>
        <v>2</v>
      </c>
      <c r="I6" s="44">
        <f>30/60</f>
        <v>0.5</v>
      </c>
      <c r="J6" s="45">
        <f>SUM(H6*I6)</f>
        <v>1</v>
      </c>
      <c r="K6" s="264"/>
      <c r="L6" s="42">
        <f>G6</f>
        <v>1</v>
      </c>
      <c r="M6" s="42">
        <v>0</v>
      </c>
      <c r="N6" s="44">
        <f>I6</f>
        <v>0.5</v>
      </c>
      <c r="O6" s="42">
        <f t="shared" ref="O6" si="0">M6*N6</f>
        <v>0</v>
      </c>
      <c r="P6" s="44">
        <f>SUM(J6+O6)</f>
        <v>1</v>
      </c>
      <c r="Q6" s="119">
        <v>25.37</v>
      </c>
      <c r="R6" s="18">
        <f>Q6*P6</f>
        <v>25.37</v>
      </c>
    </row>
    <row r="7" spans="1:18" s="2" customFormat="1" ht="18.75" customHeight="1" thickBot="1" x14ac:dyDescent="0.3">
      <c r="A7" s="219" t="s">
        <v>29</v>
      </c>
      <c r="B7" s="220"/>
      <c r="C7" s="220"/>
      <c r="D7" s="220"/>
      <c r="E7" s="221"/>
      <c r="F7" s="135">
        <f>F5</f>
        <v>2</v>
      </c>
      <c r="G7" s="133">
        <f>SUM(H7/F7)</f>
        <v>2</v>
      </c>
      <c r="H7" s="135">
        <f>SUM(H5:H6)</f>
        <v>4</v>
      </c>
      <c r="I7" s="134">
        <f>SUM(J7/H7)</f>
        <v>0.375</v>
      </c>
      <c r="J7" s="115">
        <f>SUM(J5:J6)</f>
        <v>1.5</v>
      </c>
      <c r="K7" s="164">
        <f>SUM(K5:K5)</f>
        <v>0</v>
      </c>
      <c r="L7" s="136">
        <v>0</v>
      </c>
      <c r="M7" s="137">
        <f>SUM(M5:M6)</f>
        <v>0</v>
      </c>
      <c r="N7" s="138"/>
      <c r="O7" s="136">
        <f>M7*N7</f>
        <v>0</v>
      </c>
      <c r="P7" s="115">
        <f>SUM(P5:P6)</f>
        <v>1.5</v>
      </c>
      <c r="Q7" s="139"/>
      <c r="R7" s="163">
        <f>SUM(R5:R6)</f>
        <v>38.055</v>
      </c>
    </row>
    <row r="8" spans="1:18" s="17" customFormat="1" ht="25.5" customHeight="1" thickBot="1" x14ac:dyDescent="0.3">
      <c r="A8" s="226" t="s">
        <v>6</v>
      </c>
      <c r="B8" s="227"/>
      <c r="C8" s="227"/>
      <c r="D8" s="227"/>
      <c r="E8" s="227"/>
      <c r="F8" s="227"/>
      <c r="G8" s="227"/>
      <c r="H8" s="227"/>
      <c r="I8" s="227"/>
      <c r="J8" s="227"/>
      <c r="K8" s="227"/>
      <c r="L8" s="227"/>
      <c r="M8" s="227"/>
      <c r="N8" s="227"/>
      <c r="O8" s="227"/>
      <c r="P8" s="227"/>
      <c r="Q8" s="227"/>
      <c r="R8" s="228"/>
    </row>
    <row r="9" spans="1:18" ht="43.5" customHeight="1" thickBot="1" x14ac:dyDescent="0.25">
      <c r="A9" s="211" t="s">
        <v>34</v>
      </c>
      <c r="B9" s="208" t="s">
        <v>10</v>
      </c>
      <c r="C9" s="7" t="s">
        <v>40</v>
      </c>
      <c r="D9" s="7" t="s">
        <v>56</v>
      </c>
      <c r="E9" s="52">
        <v>6</v>
      </c>
      <c r="F9" s="213">
        <v>3</v>
      </c>
      <c r="G9" s="42">
        <v>1</v>
      </c>
      <c r="H9" s="43">
        <f>F9*G9</f>
        <v>3</v>
      </c>
      <c r="I9" s="44">
        <v>0.25</v>
      </c>
      <c r="J9" s="45">
        <f>SUM(H9*I9)</f>
        <v>0.75</v>
      </c>
      <c r="K9" s="262">
        <v>3</v>
      </c>
      <c r="L9" s="51">
        <v>1</v>
      </c>
      <c r="M9" s="51">
        <f>L9*K9</f>
        <v>3</v>
      </c>
      <c r="N9" s="44">
        <f>15/60</f>
        <v>0.25</v>
      </c>
      <c r="O9" s="118">
        <f>SUM(M9*N9)</f>
        <v>0.75</v>
      </c>
      <c r="P9" s="58">
        <f>SUM(J9+O9)</f>
        <v>1.5</v>
      </c>
      <c r="Q9" s="159">
        <v>33.380000000000003</v>
      </c>
      <c r="R9" s="120">
        <f>Q9*P9</f>
        <v>50.070000000000007</v>
      </c>
    </row>
    <row r="10" spans="1:18" ht="43.5" customHeight="1" thickBot="1" x14ac:dyDescent="0.25">
      <c r="A10" s="212"/>
      <c r="B10" s="209"/>
      <c r="C10" s="7" t="s">
        <v>41</v>
      </c>
      <c r="D10" s="7" t="s">
        <v>131</v>
      </c>
      <c r="E10" s="52">
        <v>6</v>
      </c>
      <c r="F10" s="214"/>
      <c r="G10" s="42">
        <v>2</v>
      </c>
      <c r="H10" s="43">
        <f>F9*G10</f>
        <v>6</v>
      </c>
      <c r="I10" s="44">
        <v>0.25</v>
      </c>
      <c r="J10" s="45">
        <f>I10*H10</f>
        <v>1.5</v>
      </c>
      <c r="K10" s="264"/>
      <c r="L10" s="51">
        <v>2</v>
      </c>
      <c r="M10" s="51">
        <f>L10*K9</f>
        <v>6</v>
      </c>
      <c r="N10" s="44">
        <f t="shared" ref="N10:N15" si="1">I10</f>
        <v>0.25</v>
      </c>
      <c r="O10" s="118">
        <f>SUM(M10*N10)</f>
        <v>1.5</v>
      </c>
      <c r="P10" s="58">
        <f>SUM(J10+O10)</f>
        <v>3</v>
      </c>
      <c r="Q10" s="159">
        <v>33.380000000000003</v>
      </c>
      <c r="R10" s="120">
        <f>P10*Q10</f>
        <v>100.14000000000001</v>
      </c>
    </row>
    <row r="11" spans="1:18" ht="24" customHeight="1" thickBot="1" x14ac:dyDescent="0.25">
      <c r="A11" s="212"/>
      <c r="B11" s="209"/>
      <c r="C11" s="7" t="s">
        <v>42</v>
      </c>
      <c r="D11" s="7" t="s">
        <v>130</v>
      </c>
      <c r="E11" s="52">
        <v>3</v>
      </c>
      <c r="F11" s="214"/>
      <c r="G11" s="42">
        <v>1</v>
      </c>
      <c r="H11" s="43">
        <f>F9*G11</f>
        <v>3</v>
      </c>
      <c r="I11" s="44">
        <v>0.5</v>
      </c>
      <c r="J11" s="45">
        <f>SUM(H11*I11)</f>
        <v>1.5</v>
      </c>
      <c r="K11" s="51">
        <v>0</v>
      </c>
      <c r="L11" s="204">
        <v>0</v>
      </c>
      <c r="M11" s="51">
        <f>SUM(K11*L11)</f>
        <v>0</v>
      </c>
      <c r="N11" s="118">
        <f t="shared" si="1"/>
        <v>0.5</v>
      </c>
      <c r="O11" s="118">
        <f t="shared" ref="O11:O20" si="2">SUM(M11*N11)</f>
        <v>0</v>
      </c>
      <c r="P11" s="61">
        <f>SUM(J11+O11)</f>
        <v>1.5</v>
      </c>
      <c r="Q11" s="159">
        <v>33.380000000000003</v>
      </c>
      <c r="R11" s="120">
        <f>P11*Q11</f>
        <v>50.070000000000007</v>
      </c>
    </row>
    <row r="12" spans="1:18" ht="24" customHeight="1" thickBot="1" x14ac:dyDescent="0.25">
      <c r="A12" s="212"/>
      <c r="B12" s="209"/>
      <c r="C12" s="7" t="s">
        <v>43</v>
      </c>
      <c r="D12" s="7" t="s">
        <v>131</v>
      </c>
      <c r="E12" s="52">
        <v>3</v>
      </c>
      <c r="F12" s="214"/>
      <c r="G12" s="42">
        <v>1</v>
      </c>
      <c r="H12" s="43">
        <f>F9*G12</f>
        <v>3</v>
      </c>
      <c r="I12" s="44">
        <v>0.5</v>
      </c>
      <c r="J12" s="45">
        <f>I12*H12</f>
        <v>1.5</v>
      </c>
      <c r="K12" s="51">
        <v>0</v>
      </c>
      <c r="L12" s="204">
        <v>0</v>
      </c>
      <c r="M12" s="51">
        <f t="shared" ref="M12:M13" si="3">SUM(K12*L12)</f>
        <v>0</v>
      </c>
      <c r="N12" s="118">
        <f t="shared" si="1"/>
        <v>0.5</v>
      </c>
      <c r="O12" s="118">
        <f t="shared" si="2"/>
        <v>0</v>
      </c>
      <c r="P12" s="61">
        <f t="shared" ref="P12:P21" si="4">SUM(J12+O12)</f>
        <v>1.5</v>
      </c>
      <c r="Q12" s="159">
        <v>33.380000000000003</v>
      </c>
      <c r="R12" s="120">
        <f>P12*Q12</f>
        <v>50.070000000000007</v>
      </c>
    </row>
    <row r="13" spans="1:18" ht="24" customHeight="1" thickBot="1" x14ac:dyDescent="0.25">
      <c r="A13" s="212"/>
      <c r="B13" s="210"/>
      <c r="C13" s="7" t="s">
        <v>11</v>
      </c>
      <c r="D13" s="7" t="s">
        <v>55</v>
      </c>
      <c r="E13" s="52">
        <v>3</v>
      </c>
      <c r="F13" s="268"/>
      <c r="G13" s="42">
        <v>1</v>
      </c>
      <c r="H13" s="43">
        <f>F9*G13</f>
        <v>3</v>
      </c>
      <c r="I13" s="44">
        <v>1</v>
      </c>
      <c r="J13" s="45">
        <f>SUM(H13*I13)</f>
        <v>3</v>
      </c>
      <c r="K13" s="51">
        <v>0</v>
      </c>
      <c r="L13" s="204">
        <v>0</v>
      </c>
      <c r="M13" s="51">
        <f t="shared" si="3"/>
        <v>0</v>
      </c>
      <c r="N13" s="118">
        <f t="shared" si="1"/>
        <v>1</v>
      </c>
      <c r="O13" s="118">
        <f t="shared" si="2"/>
        <v>0</v>
      </c>
      <c r="P13" s="61">
        <f t="shared" si="4"/>
        <v>3</v>
      </c>
      <c r="Q13" s="159">
        <v>33.380000000000003</v>
      </c>
      <c r="R13" s="120">
        <f t="shared" ref="R13:R19" si="5">Q13*P13</f>
        <v>100.14000000000001</v>
      </c>
    </row>
    <row r="14" spans="1:18" ht="43.5" customHeight="1" thickBot="1" x14ac:dyDescent="0.25">
      <c r="A14" s="266" t="s">
        <v>34</v>
      </c>
      <c r="B14" s="208" t="s">
        <v>12</v>
      </c>
      <c r="C14" s="7" t="s">
        <v>52</v>
      </c>
      <c r="D14" s="7" t="s">
        <v>54</v>
      </c>
      <c r="E14" s="52">
        <v>10</v>
      </c>
      <c r="F14" s="213">
        <v>2</v>
      </c>
      <c r="G14" s="42">
        <v>1</v>
      </c>
      <c r="H14" s="43">
        <f>G14*$F$14</f>
        <v>2</v>
      </c>
      <c r="I14" s="44">
        <f>15/60</f>
        <v>0.25</v>
      </c>
      <c r="J14" s="45">
        <f>SUM(H14*I14)</f>
        <v>0.5</v>
      </c>
      <c r="K14" s="262">
        <v>8</v>
      </c>
      <c r="L14" s="51">
        <v>1</v>
      </c>
      <c r="M14" s="51">
        <f>K14*L14</f>
        <v>8</v>
      </c>
      <c r="N14" s="118">
        <f t="shared" si="1"/>
        <v>0.25</v>
      </c>
      <c r="O14" s="118">
        <f>SUM(M14*N14)</f>
        <v>2</v>
      </c>
      <c r="P14" s="58">
        <f t="shared" si="4"/>
        <v>2.5</v>
      </c>
      <c r="Q14" s="159">
        <v>10.72</v>
      </c>
      <c r="R14" s="122">
        <f>Q14*P14</f>
        <v>26.8</v>
      </c>
    </row>
    <row r="15" spans="1:18" ht="43.5" customHeight="1" thickBot="1" x14ac:dyDescent="0.25">
      <c r="A15" s="267"/>
      <c r="B15" s="209"/>
      <c r="C15" s="7" t="s">
        <v>46</v>
      </c>
      <c r="D15" s="7" t="s">
        <v>131</v>
      </c>
      <c r="E15" s="52">
        <v>10</v>
      </c>
      <c r="F15" s="214"/>
      <c r="G15" s="42">
        <v>2</v>
      </c>
      <c r="H15" s="43">
        <f>G15*$F$14</f>
        <v>4</v>
      </c>
      <c r="I15" s="44">
        <f>15/60</f>
        <v>0.25</v>
      </c>
      <c r="J15" s="45">
        <f>I15*H15</f>
        <v>1</v>
      </c>
      <c r="K15" s="264"/>
      <c r="L15" s="51">
        <v>2</v>
      </c>
      <c r="M15" s="51">
        <f>K14*L15</f>
        <v>16</v>
      </c>
      <c r="N15" s="44">
        <f t="shared" si="1"/>
        <v>0.25</v>
      </c>
      <c r="O15" s="118">
        <f t="shared" si="2"/>
        <v>4</v>
      </c>
      <c r="P15" s="58">
        <f t="shared" si="4"/>
        <v>5</v>
      </c>
      <c r="Q15" s="159">
        <v>10.72</v>
      </c>
      <c r="R15" s="122">
        <f>Q15*P15</f>
        <v>53.6</v>
      </c>
    </row>
    <row r="16" spans="1:18" ht="43.5" customHeight="1" thickBot="1" x14ac:dyDescent="0.25">
      <c r="A16" s="267"/>
      <c r="B16" s="209"/>
      <c r="C16" s="7" t="s">
        <v>57</v>
      </c>
      <c r="D16" s="7" t="s">
        <v>131</v>
      </c>
      <c r="E16" s="52">
        <v>2</v>
      </c>
      <c r="F16" s="268"/>
      <c r="G16" s="42">
        <v>1</v>
      </c>
      <c r="H16" s="43">
        <f>F14*G16</f>
        <v>2</v>
      </c>
      <c r="I16" s="44">
        <v>0.75</v>
      </c>
      <c r="J16" s="45">
        <f>I16*H16</f>
        <v>1.5</v>
      </c>
      <c r="K16" s="51">
        <v>0</v>
      </c>
      <c r="L16" s="204">
        <v>0</v>
      </c>
      <c r="M16" s="51">
        <f t="shared" ref="M16" si="6">SUM(K16*L16)</f>
        <v>0</v>
      </c>
      <c r="N16" s="118">
        <f t="shared" ref="N16:N20" si="7">I16</f>
        <v>0.75</v>
      </c>
      <c r="O16" s="112">
        <f t="shared" si="2"/>
        <v>0</v>
      </c>
      <c r="P16" s="113">
        <f t="shared" si="4"/>
        <v>1.5</v>
      </c>
      <c r="Q16" s="160">
        <v>10.72</v>
      </c>
      <c r="R16" s="18">
        <f>Q16*P16</f>
        <v>16.080000000000002</v>
      </c>
    </row>
    <row r="17" spans="1:18" ht="43.5" customHeight="1" thickBot="1" x14ac:dyDescent="0.25">
      <c r="A17" s="267"/>
      <c r="B17" s="209"/>
      <c r="C17" s="7" t="s">
        <v>58</v>
      </c>
      <c r="D17" s="7" t="s">
        <v>133</v>
      </c>
      <c r="E17" s="43">
        <f>F17+K17</f>
        <v>12</v>
      </c>
      <c r="F17" s="213">
        <v>4</v>
      </c>
      <c r="G17" s="42">
        <v>1</v>
      </c>
      <c r="H17" s="43">
        <f>G17*F17</f>
        <v>4</v>
      </c>
      <c r="I17" s="44">
        <v>1</v>
      </c>
      <c r="J17" s="45">
        <f>I17*H17</f>
        <v>4</v>
      </c>
      <c r="K17" s="262">
        <v>8</v>
      </c>
      <c r="L17" s="51">
        <f>G17</f>
        <v>1</v>
      </c>
      <c r="M17" s="51">
        <f>K17*L17</f>
        <v>8</v>
      </c>
      <c r="N17" s="118">
        <f t="shared" si="7"/>
        <v>1</v>
      </c>
      <c r="O17" s="112">
        <f t="shared" si="2"/>
        <v>8</v>
      </c>
      <c r="P17" s="113">
        <f t="shared" si="4"/>
        <v>12</v>
      </c>
      <c r="Q17" s="160">
        <v>10.72</v>
      </c>
      <c r="R17" s="18">
        <f>Q17*P17</f>
        <v>128.64000000000001</v>
      </c>
    </row>
    <row r="18" spans="1:18" ht="43.5" customHeight="1" thickBot="1" x14ac:dyDescent="0.25">
      <c r="A18" s="267"/>
      <c r="B18" s="209"/>
      <c r="C18" s="7" t="s">
        <v>47</v>
      </c>
      <c r="D18" s="7" t="s">
        <v>66</v>
      </c>
      <c r="E18" s="43">
        <f>$F$17+K17</f>
        <v>12</v>
      </c>
      <c r="F18" s="214"/>
      <c r="G18" s="42">
        <v>22</v>
      </c>
      <c r="H18" s="43">
        <f>SUM(F17*G18)</f>
        <v>88</v>
      </c>
      <c r="I18" s="44">
        <v>0.25</v>
      </c>
      <c r="J18" s="45">
        <f>I18*H18</f>
        <v>22</v>
      </c>
      <c r="K18" s="264"/>
      <c r="L18" s="51">
        <v>0</v>
      </c>
      <c r="M18" s="51">
        <f>K17*L18</f>
        <v>0</v>
      </c>
      <c r="N18" s="118">
        <f t="shared" si="7"/>
        <v>0.25</v>
      </c>
      <c r="O18" s="112">
        <f t="shared" si="2"/>
        <v>0</v>
      </c>
      <c r="P18" s="114">
        <f>SUM(J18+O18)</f>
        <v>22</v>
      </c>
      <c r="Q18" s="160">
        <v>10.72</v>
      </c>
      <c r="R18" s="18">
        <f>Q18*P18</f>
        <v>235.84</v>
      </c>
    </row>
    <row r="19" spans="1:18" ht="43.5" customHeight="1" thickBot="1" x14ac:dyDescent="0.25">
      <c r="A19" s="267"/>
      <c r="B19" s="209"/>
      <c r="C19" s="7" t="s">
        <v>48</v>
      </c>
      <c r="D19" s="7" t="s">
        <v>131</v>
      </c>
      <c r="E19" s="52">
        <v>4</v>
      </c>
      <c r="F19" s="214"/>
      <c r="G19" s="42">
        <v>2</v>
      </c>
      <c r="H19" s="43">
        <f>F17*G19</f>
        <v>8</v>
      </c>
      <c r="I19" s="44">
        <f>15/60</f>
        <v>0.25</v>
      </c>
      <c r="J19" s="45">
        <f>I19*H19</f>
        <v>2</v>
      </c>
      <c r="K19" s="51">
        <v>0</v>
      </c>
      <c r="L19" s="204">
        <v>0</v>
      </c>
      <c r="M19" s="51">
        <f>SUM(K19*L19)</f>
        <v>0</v>
      </c>
      <c r="N19" s="118">
        <f t="shared" si="7"/>
        <v>0.25</v>
      </c>
      <c r="O19" s="112">
        <f t="shared" si="2"/>
        <v>0</v>
      </c>
      <c r="P19" s="114">
        <f>SUM(J19+O19)</f>
        <v>2</v>
      </c>
      <c r="Q19" s="160">
        <v>10.72</v>
      </c>
      <c r="R19" s="18">
        <f t="shared" si="5"/>
        <v>21.44</v>
      </c>
    </row>
    <row r="20" spans="1:18" ht="24" customHeight="1" thickBot="1" x14ac:dyDescent="0.25">
      <c r="A20" s="267"/>
      <c r="B20" s="209"/>
      <c r="C20" s="7" t="s">
        <v>13</v>
      </c>
      <c r="D20" s="7" t="s">
        <v>55</v>
      </c>
      <c r="E20" s="52">
        <v>4</v>
      </c>
      <c r="F20" s="214"/>
      <c r="G20" s="42">
        <v>1</v>
      </c>
      <c r="H20" s="43">
        <f>SUM(F17*G20)</f>
        <v>4</v>
      </c>
      <c r="I20" s="44">
        <f>30/60</f>
        <v>0.5</v>
      </c>
      <c r="J20" s="45">
        <f>SUM(H20*I20)</f>
        <v>2</v>
      </c>
      <c r="K20" s="51">
        <v>0</v>
      </c>
      <c r="L20" s="204">
        <v>0</v>
      </c>
      <c r="M20" s="51">
        <f>SUM(K20*L20)</f>
        <v>0</v>
      </c>
      <c r="N20" s="118">
        <f t="shared" si="7"/>
        <v>0.5</v>
      </c>
      <c r="O20" s="112">
        <f t="shared" si="2"/>
        <v>0</v>
      </c>
      <c r="P20" s="114">
        <f t="shared" si="4"/>
        <v>2</v>
      </c>
      <c r="Q20" s="160">
        <v>10.72</v>
      </c>
      <c r="R20" s="18">
        <f>Q20*P20</f>
        <v>21.44</v>
      </c>
    </row>
    <row r="21" spans="1:18" ht="24" customHeight="1" thickBot="1" x14ac:dyDescent="0.25">
      <c r="A21" s="103"/>
      <c r="B21" s="210"/>
      <c r="C21" s="108" t="s">
        <v>80</v>
      </c>
      <c r="D21" s="109" t="s">
        <v>131</v>
      </c>
      <c r="E21" s="52">
        <v>4</v>
      </c>
      <c r="F21" s="268"/>
      <c r="G21" s="42">
        <v>1</v>
      </c>
      <c r="H21" s="43">
        <f>F17*G21</f>
        <v>4</v>
      </c>
      <c r="I21" s="44">
        <f>36/60</f>
        <v>0.6</v>
      </c>
      <c r="J21" s="45">
        <f>SUM(H21*I21)</f>
        <v>2.4</v>
      </c>
      <c r="K21" s="51">
        <v>0</v>
      </c>
      <c r="L21" s="204">
        <v>0</v>
      </c>
      <c r="M21" s="51">
        <v>0</v>
      </c>
      <c r="N21" s="118">
        <f>I21</f>
        <v>0.6</v>
      </c>
      <c r="O21" s="112">
        <v>0</v>
      </c>
      <c r="P21" s="114">
        <f t="shared" si="4"/>
        <v>2.4</v>
      </c>
      <c r="Q21" s="161">
        <v>10.72</v>
      </c>
      <c r="R21" s="18">
        <f>Q21*P21</f>
        <v>25.728000000000002</v>
      </c>
    </row>
    <row r="22" spans="1:18" s="2" customFormat="1" ht="18.75" customHeight="1" thickBot="1" x14ac:dyDescent="0.3">
      <c r="A22" s="219" t="s">
        <v>31</v>
      </c>
      <c r="B22" s="220"/>
      <c r="C22" s="220"/>
      <c r="D22" s="220"/>
      <c r="E22" s="221"/>
      <c r="F22" s="156">
        <f>F14+F17+F9</f>
        <v>9</v>
      </c>
      <c r="G22" s="133">
        <f>H22/F22</f>
        <v>14.888888888888889</v>
      </c>
      <c r="H22" s="135">
        <f>SUM(H9:H21)</f>
        <v>134</v>
      </c>
      <c r="I22" s="134">
        <f>SUM(J22/H22)</f>
        <v>0.32574626865671641</v>
      </c>
      <c r="J22" s="157">
        <f>SUM(J9:J21)</f>
        <v>43.65</v>
      </c>
      <c r="K22" s="193">
        <f>SUM(K9:K21)</f>
        <v>19</v>
      </c>
      <c r="L22" s="193">
        <f>M22/K22</f>
        <v>2.1578947368421053</v>
      </c>
      <c r="M22" s="194">
        <f>SUM(M9:M21)</f>
        <v>41</v>
      </c>
      <c r="N22" s="170">
        <f>O22/M22</f>
        <v>0.39634146341463417</v>
      </c>
      <c r="O22" s="203">
        <f>SUM(O9:O21)</f>
        <v>16.25</v>
      </c>
      <c r="P22" s="121">
        <f>SUM(P9:P21)</f>
        <v>59.9</v>
      </c>
      <c r="Q22" s="171"/>
      <c r="R22" s="155">
        <f>SUM(R9:R21)</f>
        <v>880.05800000000011</v>
      </c>
    </row>
    <row r="23" spans="1:18" s="2" customFormat="1" ht="24.75" customHeight="1" thickBot="1" x14ac:dyDescent="0.25">
      <c r="A23" s="223" t="s">
        <v>14</v>
      </c>
      <c r="B23" s="224"/>
      <c r="C23" s="224"/>
      <c r="D23" s="224"/>
      <c r="E23" s="224"/>
      <c r="F23" s="224"/>
      <c r="G23" s="224"/>
      <c r="H23" s="224"/>
      <c r="I23" s="224"/>
      <c r="J23" s="224"/>
      <c r="K23" s="224"/>
      <c r="L23" s="224"/>
      <c r="M23" s="224"/>
      <c r="N23" s="224"/>
      <c r="O23" s="224"/>
      <c r="P23" s="224"/>
      <c r="Q23" s="224"/>
      <c r="R23" s="225"/>
    </row>
    <row r="24" spans="1:18" ht="41.25" customHeight="1" thickBot="1" x14ac:dyDescent="0.25">
      <c r="A24" s="266" t="s">
        <v>14</v>
      </c>
      <c r="B24" s="208" t="s">
        <v>15</v>
      </c>
      <c r="C24" s="7" t="s">
        <v>35</v>
      </c>
      <c r="D24" s="7" t="s">
        <v>54</v>
      </c>
      <c r="E24" s="42">
        <f>F24+K24</f>
        <v>55</v>
      </c>
      <c r="F24" s="272">
        <v>9</v>
      </c>
      <c r="G24" s="42">
        <v>1</v>
      </c>
      <c r="H24" s="43">
        <f>SUM(F24*G24)</f>
        <v>9</v>
      </c>
      <c r="I24" s="44">
        <f>30/60</f>
        <v>0.5</v>
      </c>
      <c r="J24" s="45">
        <f>SUM(H24*I24)</f>
        <v>4.5</v>
      </c>
      <c r="K24" s="262">
        <v>46</v>
      </c>
      <c r="L24" s="56">
        <v>1</v>
      </c>
      <c r="M24" s="50">
        <f>K24*L24</f>
        <v>46</v>
      </c>
      <c r="N24" s="57">
        <f>3/60</f>
        <v>0.05</v>
      </c>
      <c r="O24" s="57">
        <f>M24*N24</f>
        <v>2.3000000000000003</v>
      </c>
      <c r="P24" s="58">
        <f>SUM(J24+O24)</f>
        <v>6.8000000000000007</v>
      </c>
      <c r="Q24" s="162">
        <v>14.5</v>
      </c>
      <c r="R24" s="18">
        <f t="shared" ref="R24:R30" si="8">Q24*P24</f>
        <v>98.600000000000009</v>
      </c>
    </row>
    <row r="25" spans="1:18" ht="41.25" customHeight="1" thickBot="1" x14ac:dyDescent="0.25">
      <c r="A25" s="267"/>
      <c r="B25" s="209"/>
      <c r="C25" s="7" t="s">
        <v>46</v>
      </c>
      <c r="D25" s="7" t="s">
        <v>131</v>
      </c>
      <c r="E25" s="42">
        <f>F24+K24</f>
        <v>55</v>
      </c>
      <c r="F25" s="273"/>
      <c r="G25" s="42">
        <v>2</v>
      </c>
      <c r="H25" s="43">
        <f>F24*G25</f>
        <v>18</v>
      </c>
      <c r="I25" s="44">
        <f>15/60</f>
        <v>0.25</v>
      </c>
      <c r="J25" s="45">
        <f>I25*H25</f>
        <v>4.5</v>
      </c>
      <c r="K25" s="264"/>
      <c r="L25" s="56">
        <v>2</v>
      </c>
      <c r="M25" s="50">
        <f>K24*L25</f>
        <v>92</v>
      </c>
      <c r="N25" s="44">
        <f>I25</f>
        <v>0.25</v>
      </c>
      <c r="O25" s="57">
        <f>N25*M25</f>
        <v>23</v>
      </c>
      <c r="P25" s="58">
        <f>J25+O25</f>
        <v>27.5</v>
      </c>
      <c r="Q25" s="162">
        <v>14.5</v>
      </c>
      <c r="R25" s="18">
        <f t="shared" si="8"/>
        <v>398.75</v>
      </c>
    </row>
    <row r="26" spans="1:18" ht="41.25" customHeight="1" thickBot="1" x14ac:dyDescent="0.25">
      <c r="A26" s="267"/>
      <c r="B26" s="209"/>
      <c r="C26" s="7" t="s">
        <v>57</v>
      </c>
      <c r="D26" s="7" t="s">
        <v>131</v>
      </c>
      <c r="E26" s="52">
        <v>9</v>
      </c>
      <c r="F26" s="273"/>
      <c r="G26" s="42">
        <v>1</v>
      </c>
      <c r="H26" s="43">
        <f>$F$24*G26</f>
        <v>9</v>
      </c>
      <c r="I26" s="44">
        <v>0.6</v>
      </c>
      <c r="J26" s="45">
        <f>I26*H26</f>
        <v>5.3999999999999995</v>
      </c>
      <c r="K26" s="49">
        <v>0</v>
      </c>
      <c r="L26" s="201">
        <v>0</v>
      </c>
      <c r="M26" s="50">
        <f>K26*L26</f>
        <v>0</v>
      </c>
      <c r="N26" s="44">
        <f>I26</f>
        <v>0.6</v>
      </c>
      <c r="O26" s="57">
        <f>N26*M26</f>
        <v>0</v>
      </c>
      <c r="P26" s="58">
        <f>J26+O26</f>
        <v>5.3999999999999995</v>
      </c>
      <c r="Q26" s="162">
        <v>14.5</v>
      </c>
      <c r="R26" s="18">
        <f t="shared" si="8"/>
        <v>78.3</v>
      </c>
    </row>
    <row r="27" spans="1:18" ht="41.25" customHeight="1" thickBot="1" x14ac:dyDescent="0.25">
      <c r="A27" s="267"/>
      <c r="B27" s="209"/>
      <c r="C27" s="7" t="s">
        <v>49</v>
      </c>
      <c r="D27" s="7" t="s">
        <v>133</v>
      </c>
      <c r="E27" s="43">
        <v>9</v>
      </c>
      <c r="F27" s="273"/>
      <c r="G27" s="42">
        <v>1</v>
      </c>
      <c r="H27" s="43">
        <f t="shared" ref="H27:H30" si="9">$F$24*G27</f>
        <v>9</v>
      </c>
      <c r="I27" s="44">
        <f>15/60</f>
        <v>0.25</v>
      </c>
      <c r="J27" s="45">
        <f>H27*I27</f>
        <v>2.25</v>
      </c>
      <c r="K27" s="49">
        <v>0</v>
      </c>
      <c r="L27" s="201">
        <v>0</v>
      </c>
      <c r="M27" s="50">
        <f t="shared" ref="M27:M30" si="10">K27*L27</f>
        <v>0</v>
      </c>
      <c r="N27" s="44">
        <f>15/60</f>
        <v>0.25</v>
      </c>
      <c r="O27" s="57">
        <f>M27*N27</f>
        <v>0</v>
      </c>
      <c r="P27" s="58">
        <f>SUM(J27+O27)</f>
        <v>2.25</v>
      </c>
      <c r="Q27" s="162">
        <v>14.5</v>
      </c>
      <c r="R27" s="18">
        <f t="shared" si="8"/>
        <v>32.625</v>
      </c>
    </row>
    <row r="28" spans="1:18" ht="41.25" customHeight="1" thickBot="1" x14ac:dyDescent="0.25">
      <c r="A28" s="267"/>
      <c r="B28" s="209"/>
      <c r="C28" s="7" t="s">
        <v>50</v>
      </c>
      <c r="D28" s="7" t="s">
        <v>66</v>
      </c>
      <c r="E28" s="43">
        <v>9</v>
      </c>
      <c r="F28" s="273"/>
      <c r="G28" s="42">
        <v>22</v>
      </c>
      <c r="H28" s="43">
        <f t="shared" si="9"/>
        <v>198</v>
      </c>
      <c r="I28" s="44">
        <f>ROUND(5/60,2)</f>
        <v>0.08</v>
      </c>
      <c r="J28" s="45">
        <f>H28*I28</f>
        <v>15.84</v>
      </c>
      <c r="K28" s="49">
        <v>0</v>
      </c>
      <c r="L28" s="201">
        <v>0</v>
      </c>
      <c r="M28" s="50">
        <f t="shared" si="10"/>
        <v>0</v>
      </c>
      <c r="N28" s="44">
        <f>5/60</f>
        <v>8.3333333333333329E-2</v>
      </c>
      <c r="O28" s="57">
        <f>M28*N28</f>
        <v>0</v>
      </c>
      <c r="P28" s="58">
        <f>SUM(J28+O28)</f>
        <v>15.84</v>
      </c>
      <c r="Q28" s="162">
        <v>14.5</v>
      </c>
      <c r="R28" s="18">
        <f t="shared" si="8"/>
        <v>229.68</v>
      </c>
    </row>
    <row r="29" spans="1:18" ht="38.25" customHeight="1" thickBot="1" x14ac:dyDescent="0.25">
      <c r="A29" s="267"/>
      <c r="B29" s="209"/>
      <c r="C29" s="7" t="s">
        <v>51</v>
      </c>
      <c r="D29" s="7" t="s">
        <v>131</v>
      </c>
      <c r="E29" s="43">
        <f>E28-K28</f>
        <v>9</v>
      </c>
      <c r="F29" s="273"/>
      <c r="G29" s="42">
        <v>2</v>
      </c>
      <c r="H29" s="43">
        <f t="shared" si="9"/>
        <v>18</v>
      </c>
      <c r="I29" s="72">
        <f>15/60</f>
        <v>0.25</v>
      </c>
      <c r="J29" s="45">
        <f>H29*I29</f>
        <v>4.5</v>
      </c>
      <c r="K29" s="51">
        <v>0</v>
      </c>
      <c r="L29" s="202">
        <v>0</v>
      </c>
      <c r="M29" s="50">
        <f t="shared" si="10"/>
        <v>0</v>
      </c>
      <c r="N29" s="44">
        <f>I29</f>
        <v>0.25</v>
      </c>
      <c r="O29" s="60">
        <f>SUM(M29*N29)</f>
        <v>0</v>
      </c>
      <c r="P29" s="61">
        <f>SUM(J29+O29)</f>
        <v>4.5</v>
      </c>
      <c r="Q29" s="162">
        <v>14.5</v>
      </c>
      <c r="R29" s="18">
        <f t="shared" si="8"/>
        <v>65.25</v>
      </c>
    </row>
    <row r="30" spans="1:18" ht="38.25" customHeight="1" thickBot="1" x14ac:dyDescent="0.25">
      <c r="A30" s="103"/>
      <c r="B30" s="210"/>
      <c r="C30" s="111" t="s">
        <v>80</v>
      </c>
      <c r="D30" s="109" t="s">
        <v>131</v>
      </c>
      <c r="E30" s="110">
        <v>9</v>
      </c>
      <c r="F30" s="274"/>
      <c r="G30" s="42">
        <v>1</v>
      </c>
      <c r="H30" s="43">
        <f t="shared" si="9"/>
        <v>9</v>
      </c>
      <c r="I30" s="104">
        <f>36/60</f>
        <v>0.6</v>
      </c>
      <c r="J30" s="45">
        <f>H30*I30</f>
        <v>5.3999999999999995</v>
      </c>
      <c r="K30" s="51">
        <v>0</v>
      </c>
      <c r="L30" s="106">
        <v>0</v>
      </c>
      <c r="M30" s="50">
        <f t="shared" si="10"/>
        <v>0</v>
      </c>
      <c r="N30" s="105">
        <f>I30</f>
        <v>0.6</v>
      </c>
      <c r="O30" s="60">
        <v>0</v>
      </c>
      <c r="P30" s="61">
        <f>SUM(J30+O30)</f>
        <v>5.3999999999999995</v>
      </c>
      <c r="Q30" s="162">
        <v>14.5</v>
      </c>
      <c r="R30" s="18">
        <f t="shared" si="8"/>
        <v>78.3</v>
      </c>
    </row>
    <row r="31" spans="1:18" s="2" customFormat="1" ht="20.25" customHeight="1" thickBot="1" x14ac:dyDescent="0.25">
      <c r="A31" s="219" t="s">
        <v>30</v>
      </c>
      <c r="B31" s="220"/>
      <c r="C31" s="220"/>
      <c r="D31" s="220"/>
      <c r="E31" s="221"/>
      <c r="F31" s="32">
        <f>F24</f>
        <v>9</v>
      </c>
      <c r="G31" s="133">
        <f>H31/F31</f>
        <v>30</v>
      </c>
      <c r="H31" s="141">
        <f>SUM(H24:H30)</f>
        <v>270</v>
      </c>
      <c r="I31" s="134">
        <f>SUM(J31/H31)</f>
        <v>0.15699999999999997</v>
      </c>
      <c r="J31" s="142">
        <f>SUM(J24:J30)</f>
        <v>42.389999999999993</v>
      </c>
      <c r="K31" s="143">
        <f>SUM(K24:K30)</f>
        <v>46</v>
      </c>
      <c r="L31" s="144">
        <f>M31/K31</f>
        <v>3</v>
      </c>
      <c r="M31" s="145">
        <f>SUM(M24:M30)</f>
        <v>138</v>
      </c>
      <c r="N31" s="146">
        <f>O31/M31</f>
        <v>0.18333333333333335</v>
      </c>
      <c r="O31" s="142">
        <f>SUM(O24:O30)</f>
        <v>25.3</v>
      </c>
      <c r="P31" s="121">
        <f>SUM(J31+O31)</f>
        <v>67.69</v>
      </c>
      <c r="Q31" s="158"/>
      <c r="R31" s="163">
        <f>SUM(R24:R30)</f>
        <v>981.50499999999988</v>
      </c>
    </row>
    <row r="32" spans="1:18" s="22" customFormat="1" ht="21" customHeight="1" x14ac:dyDescent="0.2">
      <c r="A32" s="269" t="s">
        <v>1</v>
      </c>
      <c r="B32" s="270"/>
      <c r="C32" s="270"/>
      <c r="D32" s="270"/>
      <c r="E32" s="271"/>
      <c r="F32" s="147">
        <f>SUM(F7+F22+F31)</f>
        <v>20</v>
      </c>
      <c r="G32" s="148">
        <f>SUM(H32/F32)</f>
        <v>20.399999999999999</v>
      </c>
      <c r="H32" s="147">
        <f>SUM(H7+H22+H31)</f>
        <v>408</v>
      </c>
      <c r="I32" s="149">
        <f>SUM(J32/H32)</f>
        <v>0.21455882352941175</v>
      </c>
      <c r="J32" s="150">
        <f>SUM(J7+J22+J31)</f>
        <v>87.539999999999992</v>
      </c>
      <c r="K32" s="154">
        <f>SUM(K7+K22+K31)</f>
        <v>65</v>
      </c>
      <c r="L32" s="149">
        <f>M32/K32</f>
        <v>2.7538461538461538</v>
      </c>
      <c r="M32" s="154">
        <f>SUM(M7+M22+M31)</f>
        <v>179</v>
      </c>
      <c r="N32" s="151">
        <f>O32/M32</f>
        <v>0.23212290502793295</v>
      </c>
      <c r="O32" s="197">
        <f>SUM(O7+O22+O31)</f>
        <v>41.55</v>
      </c>
      <c r="P32" s="198">
        <f>SUM(P7+P22+P31)</f>
        <v>129.09</v>
      </c>
      <c r="Q32" s="152"/>
      <c r="R32" s="153">
        <f>SUM(R7+R22+R31)</f>
        <v>1899.6179999999999</v>
      </c>
    </row>
    <row r="33" spans="1:17" x14ac:dyDescent="0.2">
      <c r="A33" s="1" t="s">
        <v>26</v>
      </c>
      <c r="B33" s="29"/>
      <c r="C33" s="41"/>
      <c r="D33" s="41"/>
      <c r="E33" s="55">
        <f>F32+K32</f>
        <v>85</v>
      </c>
      <c r="G33" s="1"/>
      <c r="H33" s="3"/>
      <c r="I33" s="3"/>
      <c r="J33" s="3"/>
      <c r="N33" s="1"/>
      <c r="O33" s="1"/>
      <c r="P33" s="1"/>
    </row>
    <row r="34" spans="1:17" x14ac:dyDescent="0.2">
      <c r="A34" s="1" t="s">
        <v>36</v>
      </c>
      <c r="B34" s="29"/>
      <c r="C34" s="41"/>
      <c r="D34" s="41"/>
      <c r="E34" s="55">
        <f>SUM(H32+M32)</f>
        <v>587</v>
      </c>
      <c r="G34" s="1"/>
      <c r="H34" s="3"/>
      <c r="I34" s="3"/>
      <c r="J34" s="3"/>
      <c r="N34" s="1"/>
      <c r="O34" s="1"/>
      <c r="P34" s="1"/>
    </row>
    <row r="35" spans="1:17" x14ac:dyDescent="0.2">
      <c r="A35" s="1" t="s">
        <v>27</v>
      </c>
      <c r="B35" s="29"/>
      <c r="C35" s="41"/>
      <c r="D35" s="41"/>
      <c r="E35" s="54">
        <f>SUM(J32+O32)</f>
        <v>129.08999999999997</v>
      </c>
      <c r="G35" s="1"/>
      <c r="H35" s="3"/>
      <c r="I35" s="3"/>
      <c r="J35" s="3"/>
      <c r="N35" s="1"/>
      <c r="O35" s="1"/>
      <c r="P35" s="1"/>
    </row>
    <row r="36" spans="1:17" x14ac:dyDescent="0.2">
      <c r="A36" s="5" t="s">
        <v>112</v>
      </c>
      <c r="E36" s="132">
        <f>H18+H28+M18+M28</f>
        <v>286</v>
      </c>
      <c r="F36" s="127"/>
      <c r="G36" s="1"/>
      <c r="H36" s="1"/>
      <c r="I36" s="1"/>
      <c r="J36" s="83"/>
      <c r="K36" s="1"/>
      <c r="Q36" s="3"/>
    </row>
    <row r="37" spans="1:17" x14ac:dyDescent="0.2">
      <c r="A37" s="5" t="s">
        <v>113</v>
      </c>
      <c r="E37" s="128">
        <f>E36/E34</f>
        <v>0.48722316865417375</v>
      </c>
      <c r="F37" s="128"/>
      <c r="G37" s="1"/>
      <c r="H37" s="1"/>
      <c r="I37" s="1"/>
      <c r="J37" s="83"/>
      <c r="K37" s="1"/>
      <c r="Q37" s="3"/>
    </row>
    <row r="38" spans="1:17" x14ac:dyDescent="0.2">
      <c r="F38" s="1"/>
      <c r="G38" s="1"/>
      <c r="H38" s="1"/>
      <c r="I38" s="1"/>
      <c r="J38" s="1"/>
    </row>
    <row r="39" spans="1:17" x14ac:dyDescent="0.2">
      <c r="A39" s="5" t="s">
        <v>28</v>
      </c>
      <c r="F39" s="1"/>
      <c r="G39" s="1"/>
      <c r="H39" s="1"/>
      <c r="I39" s="1"/>
      <c r="J39" s="1"/>
    </row>
    <row r="40" spans="1:17" x14ac:dyDescent="0.2">
      <c r="A40" s="5" t="s">
        <v>32</v>
      </c>
      <c r="F40" s="1"/>
      <c r="G40" s="1"/>
      <c r="H40" s="1"/>
      <c r="I40" s="1"/>
      <c r="J40" s="1"/>
    </row>
    <row r="41" spans="1:17" x14ac:dyDescent="0.2">
      <c r="A41" s="1" t="s">
        <v>60</v>
      </c>
      <c r="E41" s="5"/>
      <c r="F41" s="1"/>
      <c r="G41" s="1"/>
      <c r="H41" s="1"/>
      <c r="I41" s="1"/>
      <c r="J41" s="1"/>
    </row>
    <row r="42" spans="1:17" x14ac:dyDescent="0.2">
      <c r="A42" s="1" t="s">
        <v>67</v>
      </c>
      <c r="E42" s="5"/>
    </row>
    <row r="43" spans="1:17" x14ac:dyDescent="0.2">
      <c r="A43" s="5" t="s">
        <v>132</v>
      </c>
      <c r="B43" s="1"/>
    </row>
    <row r="44" spans="1:17" x14ac:dyDescent="0.2">
      <c r="B44" s="1"/>
    </row>
    <row r="45" spans="1:17" x14ac:dyDescent="0.2">
      <c r="B45" s="1"/>
    </row>
    <row r="46" spans="1:17" x14ac:dyDescent="0.2">
      <c r="B46" s="1"/>
    </row>
    <row r="47" spans="1:17" x14ac:dyDescent="0.2">
      <c r="B47" s="1"/>
    </row>
    <row r="48" spans="1:17" x14ac:dyDescent="0.2">
      <c r="B48" s="1"/>
    </row>
    <row r="49" spans="2:2" x14ac:dyDescent="0.2">
      <c r="B49" s="1"/>
    </row>
    <row r="50" spans="2:2" x14ac:dyDescent="0.2">
      <c r="B50" s="1"/>
    </row>
    <row r="51" spans="2:2" x14ac:dyDescent="0.2">
      <c r="B51" s="1"/>
    </row>
    <row r="52" spans="2:2" x14ac:dyDescent="0.2">
      <c r="B52" s="1"/>
    </row>
    <row r="53" spans="2:2" x14ac:dyDescent="0.2">
      <c r="B53" s="1"/>
    </row>
    <row r="54" spans="2:2" x14ac:dyDescent="0.2">
      <c r="B54" s="1"/>
    </row>
    <row r="55" spans="2:2" x14ac:dyDescent="0.2">
      <c r="B55" s="1"/>
    </row>
  </sheetData>
  <mergeCells count="29">
    <mergeCell ref="A32:E32"/>
    <mergeCell ref="A22:E22"/>
    <mergeCell ref="A23:R23"/>
    <mergeCell ref="A24:A29"/>
    <mergeCell ref="A31:E31"/>
    <mergeCell ref="B24:B30"/>
    <mergeCell ref="F24:F30"/>
    <mergeCell ref="K24:K25"/>
    <mergeCell ref="A7:E7"/>
    <mergeCell ref="A8:R8"/>
    <mergeCell ref="A9:A13"/>
    <mergeCell ref="B9:B13"/>
    <mergeCell ref="A14:A20"/>
    <mergeCell ref="F9:F13"/>
    <mergeCell ref="F14:F16"/>
    <mergeCell ref="F17:F21"/>
    <mergeCell ref="K17:K18"/>
    <mergeCell ref="K14:K15"/>
    <mergeCell ref="K9:K10"/>
    <mergeCell ref="B14:B21"/>
    <mergeCell ref="A5:A6"/>
    <mergeCell ref="B5:B6"/>
    <mergeCell ref="F5:F6"/>
    <mergeCell ref="A1:P1"/>
    <mergeCell ref="K2:O2"/>
    <mergeCell ref="P2:P3"/>
    <mergeCell ref="A4:R4"/>
    <mergeCell ref="F2:J2"/>
    <mergeCell ref="K5:K6"/>
  </mergeCells>
  <pageMargins left="0.25" right="0.25" top="0.75" bottom="0.75" header="0.3" footer="0.3"/>
  <pageSetup scale="5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3"/>
  <sheetViews>
    <sheetView workbookViewId="0">
      <selection activeCell="U23" sqref="U23"/>
    </sheetView>
  </sheetViews>
  <sheetFormatPr defaultColWidth="9.140625" defaultRowHeight="12" x14ac:dyDescent="0.2"/>
  <cols>
    <col min="1" max="1" width="19.5703125" style="5" customWidth="1"/>
    <col min="2" max="2" width="14.85546875" style="5" customWidth="1"/>
    <col min="3" max="3" width="29" style="1" customWidth="1"/>
    <col min="4" max="4" width="17.5703125" style="1" hidden="1" customWidth="1"/>
    <col min="5" max="5" width="8.85546875" style="1" hidden="1" customWidth="1"/>
    <col min="6" max="6" width="14.7109375" style="29" hidden="1" customWidth="1"/>
    <col min="7" max="7" width="12.28515625" style="41" hidden="1" customWidth="1"/>
    <col min="8" max="8" width="13" style="29" hidden="1" customWidth="1"/>
    <col min="9" max="9" width="14" style="84" hidden="1" customWidth="1"/>
    <col min="10" max="10" width="12.5703125" style="29" hidden="1" customWidth="1"/>
    <col min="11" max="11" width="16" style="3" hidden="1" customWidth="1"/>
    <col min="12" max="12" width="13" style="3" hidden="1" customWidth="1"/>
    <col min="13" max="13" width="13.7109375" style="3" hidden="1" customWidth="1"/>
    <col min="14" max="14" width="11.85546875" style="3" hidden="1" customWidth="1"/>
    <col min="15" max="15" width="14.5703125" style="3" hidden="1" customWidth="1"/>
    <col min="16" max="16" width="14.140625" style="3" customWidth="1"/>
    <col min="17" max="17" width="9.140625" style="1"/>
    <col min="18" max="18" width="16.42578125" style="1" customWidth="1"/>
    <col min="19" max="16384" width="9.140625" style="1"/>
  </cols>
  <sheetData>
    <row r="1" spans="1:18" ht="27.75" customHeight="1" thickBot="1" x14ac:dyDescent="0.3">
      <c r="A1" s="245" t="s">
        <v>73</v>
      </c>
      <c r="B1" s="245"/>
      <c r="C1" s="245"/>
      <c r="D1" s="245"/>
      <c r="E1" s="245"/>
      <c r="F1" s="245"/>
      <c r="G1" s="245"/>
      <c r="H1" s="245"/>
      <c r="I1" s="245"/>
      <c r="J1" s="245"/>
      <c r="K1" s="245"/>
      <c r="L1" s="245"/>
      <c r="M1" s="245"/>
      <c r="N1" s="245"/>
      <c r="O1" s="245"/>
      <c r="P1" s="245"/>
    </row>
    <row r="2" spans="1:18" ht="15.75" customHeight="1" thickBot="1" x14ac:dyDescent="0.25">
      <c r="A2" s="275" t="s">
        <v>0</v>
      </c>
      <c r="B2" s="277" t="s">
        <v>24</v>
      </c>
      <c r="C2" s="275" t="s">
        <v>7</v>
      </c>
      <c r="D2" s="8"/>
      <c r="E2" s="235" t="s">
        <v>2</v>
      </c>
      <c r="F2" s="236"/>
      <c r="G2" s="236"/>
      <c r="H2" s="236"/>
      <c r="I2" s="236"/>
      <c r="J2" s="237"/>
      <c r="K2" s="251" t="s">
        <v>3</v>
      </c>
      <c r="L2" s="252"/>
      <c r="M2" s="252"/>
      <c r="N2" s="252"/>
      <c r="O2" s="253"/>
      <c r="P2" s="249" t="s">
        <v>25</v>
      </c>
      <c r="Q2" s="241" t="s">
        <v>37</v>
      </c>
      <c r="R2" s="243" t="s">
        <v>5</v>
      </c>
    </row>
    <row r="3" spans="1:18" s="89" customFormat="1" ht="50.45" customHeight="1" thickBot="1" x14ac:dyDescent="0.25">
      <c r="A3" s="276"/>
      <c r="B3" s="278"/>
      <c r="C3" s="276"/>
      <c r="D3" s="11" t="s">
        <v>38</v>
      </c>
      <c r="E3" s="28" t="s">
        <v>23</v>
      </c>
      <c r="F3" s="11" t="s">
        <v>22</v>
      </c>
      <c r="G3" s="87" t="s">
        <v>19</v>
      </c>
      <c r="H3" s="11" t="s">
        <v>21</v>
      </c>
      <c r="I3" s="88" t="s">
        <v>17</v>
      </c>
      <c r="J3" s="12" t="s">
        <v>16</v>
      </c>
      <c r="K3" s="13" t="s">
        <v>20</v>
      </c>
      <c r="L3" s="13" t="s">
        <v>19</v>
      </c>
      <c r="M3" s="13" t="s">
        <v>18</v>
      </c>
      <c r="N3" s="13" t="s">
        <v>17</v>
      </c>
      <c r="O3" s="12" t="s">
        <v>16</v>
      </c>
      <c r="P3" s="250"/>
      <c r="Q3" s="242"/>
      <c r="R3" s="244"/>
    </row>
    <row r="4" spans="1:18" s="2" customFormat="1" ht="23.25" customHeight="1" thickBot="1" x14ac:dyDescent="0.3">
      <c r="A4" s="254" t="s">
        <v>4</v>
      </c>
      <c r="B4" s="255"/>
      <c r="C4" s="255"/>
      <c r="D4" s="255"/>
      <c r="E4" s="255"/>
      <c r="F4" s="255"/>
      <c r="G4" s="255"/>
      <c r="H4" s="255"/>
      <c r="I4" s="255"/>
      <c r="J4" s="255"/>
      <c r="K4" s="255"/>
      <c r="L4" s="255"/>
      <c r="M4" s="255"/>
      <c r="N4" s="255"/>
      <c r="O4" s="255"/>
      <c r="P4" s="255"/>
      <c r="Q4" s="255"/>
      <c r="R4" s="256"/>
    </row>
    <row r="5" spans="1:18" ht="32.25" customHeight="1" thickBot="1" x14ac:dyDescent="0.25">
      <c r="A5" s="265" t="s">
        <v>33</v>
      </c>
      <c r="B5" s="126" t="s">
        <v>100</v>
      </c>
      <c r="C5" s="6" t="s">
        <v>103</v>
      </c>
      <c r="D5" s="6" t="s">
        <v>54</v>
      </c>
      <c r="E5" s="53">
        <v>2</v>
      </c>
      <c r="F5" s="125"/>
      <c r="G5" s="42">
        <v>1</v>
      </c>
      <c r="H5" s="43">
        <f>SUM(F5*G5)</f>
        <v>0</v>
      </c>
      <c r="I5" s="80">
        <f>15/60</f>
        <v>0.25</v>
      </c>
      <c r="J5" s="45">
        <f>SUM(H5*I5)</f>
        <v>0</v>
      </c>
      <c r="K5" s="27">
        <v>1</v>
      </c>
      <c r="L5" s="27">
        <f>G5</f>
        <v>1</v>
      </c>
      <c r="M5" s="27">
        <f>SUM(K5*L5)</f>
        <v>1</v>
      </c>
      <c r="N5" s="75">
        <f t="shared" ref="N5:N10" si="0">I5</f>
        <v>0.25</v>
      </c>
      <c r="O5" s="75">
        <f t="shared" ref="O5:O10" si="1">SUM(M5*N5)</f>
        <v>0.25</v>
      </c>
      <c r="P5" s="61" t="e">
        <f>'Feasibility Burden Table'!#REF!</f>
        <v>#REF!</v>
      </c>
      <c r="Q5" s="119">
        <v>25.37</v>
      </c>
      <c r="R5" s="122" t="e">
        <f>Q5*P5</f>
        <v>#REF!</v>
      </c>
    </row>
    <row r="6" spans="1:18" ht="32.25" customHeight="1" thickBot="1" x14ac:dyDescent="0.25">
      <c r="A6" s="260"/>
      <c r="B6" s="246" t="s">
        <v>8</v>
      </c>
      <c r="C6" s="6" t="s">
        <v>40</v>
      </c>
      <c r="D6" s="6" t="s">
        <v>54</v>
      </c>
      <c r="E6" s="53">
        <v>2</v>
      </c>
      <c r="F6" s="257">
        <v>2</v>
      </c>
      <c r="G6" s="42">
        <v>1</v>
      </c>
      <c r="H6" s="43">
        <f>SUM(F6*G6)</f>
        <v>2</v>
      </c>
      <c r="I6" s="80">
        <f>15/60</f>
        <v>0.25</v>
      </c>
      <c r="J6" s="45">
        <f>SUM(H6*I6)</f>
        <v>0.5</v>
      </c>
      <c r="K6" s="27">
        <v>1</v>
      </c>
      <c r="L6" s="27">
        <f>G6</f>
        <v>1</v>
      </c>
      <c r="M6" s="27">
        <f>SUM(K6*L6)</f>
        <v>1</v>
      </c>
      <c r="N6" s="75">
        <f t="shared" si="0"/>
        <v>0.25</v>
      </c>
      <c r="O6" s="75">
        <f t="shared" si="1"/>
        <v>0.25</v>
      </c>
      <c r="P6" s="61">
        <f>'Feasibility Burden Table'!Q5</f>
        <v>0.75</v>
      </c>
      <c r="Q6" s="119">
        <v>25.37</v>
      </c>
      <c r="R6" s="122">
        <f>Q6*P6</f>
        <v>19.0275</v>
      </c>
    </row>
    <row r="7" spans="1:18" ht="32.25" customHeight="1" thickBot="1" x14ac:dyDescent="0.25">
      <c r="A7" s="260"/>
      <c r="B7" s="247"/>
      <c r="C7" s="6" t="s">
        <v>83</v>
      </c>
      <c r="D7" s="6" t="s">
        <v>53</v>
      </c>
      <c r="E7" s="53">
        <v>2</v>
      </c>
      <c r="F7" s="258"/>
      <c r="G7" s="42">
        <v>2</v>
      </c>
      <c r="H7" s="43">
        <f>F6*G7</f>
        <v>4</v>
      </c>
      <c r="I7" s="80">
        <f>45/60</f>
        <v>0.75</v>
      </c>
      <c r="J7" s="45">
        <f>I7*H7</f>
        <v>3</v>
      </c>
      <c r="K7" s="27">
        <v>1</v>
      </c>
      <c r="L7" s="27">
        <f>G7</f>
        <v>2</v>
      </c>
      <c r="M7" s="27">
        <v>1</v>
      </c>
      <c r="N7" s="75">
        <f t="shared" si="0"/>
        <v>0.75</v>
      </c>
      <c r="O7" s="75">
        <f t="shared" si="1"/>
        <v>0.75</v>
      </c>
      <c r="P7" s="61">
        <f>'Feasibility Burden Table'!Q6</f>
        <v>4.5</v>
      </c>
      <c r="Q7" s="119">
        <v>25.37</v>
      </c>
      <c r="R7" s="122">
        <f>Q7*P7</f>
        <v>114.16500000000001</v>
      </c>
    </row>
    <row r="8" spans="1:18" ht="32.25" customHeight="1" thickBot="1" x14ac:dyDescent="0.25">
      <c r="A8" s="260"/>
      <c r="B8" s="247"/>
      <c r="C8" s="6" t="s">
        <v>9</v>
      </c>
      <c r="D8" s="6" t="s">
        <v>66</v>
      </c>
      <c r="E8" s="53">
        <v>2</v>
      </c>
      <c r="F8" s="258"/>
      <c r="G8" s="42">
        <v>1</v>
      </c>
      <c r="H8" s="43">
        <f>SUM(F6*G8)</f>
        <v>2</v>
      </c>
      <c r="I8" s="80">
        <v>2</v>
      </c>
      <c r="J8" s="45">
        <f>SUM(H8*I8)</f>
        <v>4</v>
      </c>
      <c r="K8" s="27">
        <v>1</v>
      </c>
      <c r="L8" s="27">
        <v>0</v>
      </c>
      <c r="M8" s="27">
        <f>SUM(K8*L8)</f>
        <v>0</v>
      </c>
      <c r="N8" s="75">
        <f t="shared" si="0"/>
        <v>2</v>
      </c>
      <c r="O8" s="75">
        <f t="shared" si="1"/>
        <v>0</v>
      </c>
      <c r="P8" s="61">
        <f>'Feasibility Burden Table'!Q7</f>
        <v>4</v>
      </c>
      <c r="Q8" s="119">
        <v>25.37</v>
      </c>
      <c r="R8" s="122">
        <f>Q8*P8</f>
        <v>101.48</v>
      </c>
    </row>
    <row r="9" spans="1:18" ht="24.75" customHeight="1" thickBot="1" x14ac:dyDescent="0.25">
      <c r="A9" s="261"/>
      <c r="B9" s="248"/>
      <c r="C9" s="95" t="s">
        <v>46</v>
      </c>
      <c r="D9" s="95" t="s">
        <v>53</v>
      </c>
      <c r="E9" s="53">
        <v>2</v>
      </c>
      <c r="F9" s="259"/>
      <c r="G9" s="42">
        <v>1</v>
      </c>
      <c r="H9" s="43">
        <f>SUM(F6*G9)</f>
        <v>2</v>
      </c>
      <c r="I9" s="80">
        <f>15/60</f>
        <v>0.25</v>
      </c>
      <c r="J9" s="45">
        <f>SUM(H9*I9)</f>
        <v>0.5</v>
      </c>
      <c r="K9" s="95">
        <v>1</v>
      </c>
      <c r="L9" s="27">
        <v>0</v>
      </c>
      <c r="M9" s="27">
        <f>SUM(K9*L9)</f>
        <v>0</v>
      </c>
      <c r="N9" s="75">
        <f t="shared" si="0"/>
        <v>0.25</v>
      </c>
      <c r="O9" s="75">
        <f t="shared" si="1"/>
        <v>0</v>
      </c>
      <c r="P9" s="61">
        <f>'Feasibility Burden Table'!Q8</f>
        <v>0.5</v>
      </c>
      <c r="Q9" s="119">
        <v>25.37</v>
      </c>
      <c r="R9" s="122">
        <f>Q9*P9</f>
        <v>12.685</v>
      </c>
    </row>
    <row r="10" spans="1:18" s="2" customFormat="1" ht="18.75" customHeight="1" thickBot="1" x14ac:dyDescent="0.3">
      <c r="A10" s="219" t="s">
        <v>29</v>
      </c>
      <c r="B10" s="220"/>
      <c r="C10" s="220"/>
      <c r="D10" s="220"/>
      <c r="E10" s="221"/>
      <c r="F10" s="31">
        <f>F6</f>
        <v>2</v>
      </c>
      <c r="G10" s="35">
        <f>SUM(H10/F10)</f>
        <v>4</v>
      </c>
      <c r="H10" s="46">
        <f>SUM(H6:H8)</f>
        <v>8</v>
      </c>
      <c r="I10" s="36">
        <f>SUM(J10/H10)</f>
        <v>0.9375</v>
      </c>
      <c r="J10" s="46">
        <f>SUM(J6:J8)</f>
        <v>7.5</v>
      </c>
      <c r="K10" s="90">
        <v>1</v>
      </c>
      <c r="L10" s="90">
        <v>0</v>
      </c>
      <c r="M10" s="90">
        <f>SUM(K10*L10)</f>
        <v>0</v>
      </c>
      <c r="N10" s="91">
        <f t="shared" si="0"/>
        <v>0.9375</v>
      </c>
      <c r="O10" s="91">
        <f t="shared" si="1"/>
        <v>0</v>
      </c>
      <c r="P10" s="92" t="e">
        <f>SUM(P5:P9)</f>
        <v>#REF!</v>
      </c>
      <c r="Q10" s="93"/>
      <c r="R10" s="94">
        <f>SUM(R6:R9)</f>
        <v>247.35750000000002</v>
      </c>
    </row>
    <row r="11" spans="1:18" s="17" customFormat="1" ht="25.5" customHeight="1" thickBot="1" x14ac:dyDescent="0.3">
      <c r="A11" s="226" t="s">
        <v>6</v>
      </c>
      <c r="B11" s="227"/>
      <c r="C11" s="227"/>
      <c r="D11" s="227"/>
      <c r="E11" s="227"/>
      <c r="F11" s="227"/>
      <c r="G11" s="227"/>
      <c r="H11" s="227"/>
      <c r="I11" s="227"/>
      <c r="J11" s="227"/>
      <c r="K11" s="227"/>
      <c r="L11" s="227"/>
      <c r="M11" s="227"/>
      <c r="N11" s="227"/>
      <c r="O11" s="227"/>
      <c r="P11" s="227"/>
      <c r="Q11" s="227"/>
      <c r="R11" s="228"/>
    </row>
    <row r="12" spans="1:18" ht="43.5" customHeight="1" thickBot="1" x14ac:dyDescent="0.25">
      <c r="A12" s="211" t="s">
        <v>34</v>
      </c>
      <c r="B12" s="208" t="s">
        <v>10</v>
      </c>
      <c r="C12" s="7" t="s">
        <v>40</v>
      </c>
      <c r="D12" s="7" t="s">
        <v>54</v>
      </c>
      <c r="E12" s="52">
        <v>15</v>
      </c>
      <c r="F12" s="213">
        <v>15</v>
      </c>
      <c r="G12" s="42">
        <v>1</v>
      </c>
      <c r="H12" s="43">
        <f>SUM(F12*G12)</f>
        <v>15</v>
      </c>
      <c r="I12" s="80">
        <v>0.25</v>
      </c>
      <c r="J12" s="45">
        <f>SUM(H12*I12)</f>
        <v>3.75</v>
      </c>
      <c r="K12" s="27">
        <v>5</v>
      </c>
      <c r="L12" s="27">
        <v>1</v>
      </c>
      <c r="M12" s="27">
        <f t="shared" ref="M12:M27" si="2">SUM(K12*L12)</f>
        <v>5</v>
      </c>
      <c r="N12" s="85">
        <f t="shared" ref="N12:N26" si="3">I12</f>
        <v>0.25</v>
      </c>
      <c r="O12" s="75">
        <f t="shared" ref="O12:O26" si="4">SUM(M12*N12)</f>
        <v>1.25</v>
      </c>
      <c r="P12" s="58">
        <f>'Feasibility Burden Table'!Q11</f>
        <v>5</v>
      </c>
      <c r="Q12" s="119">
        <v>33.380000000000003</v>
      </c>
      <c r="R12" s="122">
        <f t="shared" ref="R12:R26" si="5">Q12*P12</f>
        <v>166.9</v>
      </c>
    </row>
    <row r="13" spans="1:18" ht="43.5" customHeight="1" thickBot="1" x14ac:dyDescent="0.25">
      <c r="A13" s="212"/>
      <c r="B13" s="209"/>
      <c r="C13" s="7" t="s">
        <v>41</v>
      </c>
      <c r="D13" s="7" t="s">
        <v>53</v>
      </c>
      <c r="E13" s="52">
        <v>15</v>
      </c>
      <c r="F13" s="214"/>
      <c r="G13" s="42">
        <v>2</v>
      </c>
      <c r="H13" s="43">
        <f>F12*G13</f>
        <v>30</v>
      </c>
      <c r="I13" s="80">
        <v>0.25</v>
      </c>
      <c r="J13" s="45">
        <f>I13*H13</f>
        <v>7.5</v>
      </c>
      <c r="K13" s="27">
        <f>5</f>
        <v>5</v>
      </c>
      <c r="L13" s="27">
        <f>2</f>
        <v>2</v>
      </c>
      <c r="M13" s="27">
        <f t="shared" si="2"/>
        <v>10</v>
      </c>
      <c r="N13" s="85">
        <f t="shared" si="3"/>
        <v>0.25</v>
      </c>
      <c r="O13" s="75">
        <f>SUM(M13*N13)</f>
        <v>2.5</v>
      </c>
      <c r="P13" s="58">
        <f>'Feasibility Burden Table'!Q13</f>
        <v>7.5</v>
      </c>
      <c r="Q13" s="119">
        <v>33.380000000000003</v>
      </c>
      <c r="R13" s="122">
        <f>P13*Q13</f>
        <v>250.35000000000002</v>
      </c>
    </row>
    <row r="14" spans="1:18" ht="24" customHeight="1" thickBot="1" x14ac:dyDescent="0.25">
      <c r="A14" s="212"/>
      <c r="B14" s="209"/>
      <c r="C14" s="7" t="s">
        <v>42</v>
      </c>
      <c r="D14" s="7" t="s">
        <v>66</v>
      </c>
      <c r="E14" s="52">
        <v>15</v>
      </c>
      <c r="F14" s="215"/>
      <c r="G14" s="42">
        <v>1</v>
      </c>
      <c r="H14" s="43">
        <f>SUM(F12*G14)</f>
        <v>15</v>
      </c>
      <c r="I14" s="80">
        <v>0.5</v>
      </c>
      <c r="J14" s="45">
        <f>SUM(H14*I14)</f>
        <v>7.5</v>
      </c>
      <c r="K14" s="27">
        <v>5</v>
      </c>
      <c r="L14" s="27">
        <v>0</v>
      </c>
      <c r="M14" s="27">
        <f t="shared" si="2"/>
        <v>0</v>
      </c>
      <c r="N14" s="85">
        <f t="shared" si="3"/>
        <v>0.5</v>
      </c>
      <c r="O14" s="75">
        <f t="shared" si="4"/>
        <v>0</v>
      </c>
      <c r="P14" s="58">
        <f>'Feasibility Burden Table'!Q14</f>
        <v>7.5</v>
      </c>
      <c r="Q14" s="119">
        <v>33.380000000000003</v>
      </c>
      <c r="R14" s="122">
        <f>P14*Q14</f>
        <v>250.35000000000002</v>
      </c>
    </row>
    <row r="15" spans="1:18" ht="41.25" customHeight="1" thickBot="1" x14ac:dyDescent="0.25">
      <c r="A15" s="212"/>
      <c r="B15" s="209"/>
      <c r="C15" s="7" t="s">
        <v>104</v>
      </c>
      <c r="D15" s="7" t="s">
        <v>53</v>
      </c>
      <c r="E15" s="52">
        <v>15</v>
      </c>
      <c r="F15" s="215"/>
      <c r="G15" s="42">
        <v>1</v>
      </c>
      <c r="H15" s="43">
        <f>F12*G15</f>
        <v>15</v>
      </c>
      <c r="I15" s="80">
        <v>0.5</v>
      </c>
      <c r="J15" s="45">
        <f>I15*H15</f>
        <v>7.5</v>
      </c>
      <c r="K15" s="27">
        <v>5</v>
      </c>
      <c r="L15" s="27">
        <v>0</v>
      </c>
      <c r="M15" s="27">
        <f t="shared" si="2"/>
        <v>0</v>
      </c>
      <c r="N15" s="85">
        <f t="shared" si="3"/>
        <v>0.5</v>
      </c>
      <c r="O15" s="75">
        <f t="shared" si="4"/>
        <v>0</v>
      </c>
      <c r="P15" s="58">
        <f>'Feasibility Burden Table'!Q15</f>
        <v>7.5</v>
      </c>
      <c r="Q15" s="119">
        <v>33.380000000000003</v>
      </c>
      <c r="R15" s="122">
        <f>P15*Q15</f>
        <v>250.35000000000002</v>
      </c>
    </row>
    <row r="16" spans="1:18" ht="24" customHeight="1" thickBot="1" x14ac:dyDescent="0.25">
      <c r="A16" s="212"/>
      <c r="B16" s="209"/>
      <c r="C16" s="7" t="s">
        <v>44</v>
      </c>
      <c r="D16" s="7" t="s">
        <v>66</v>
      </c>
      <c r="E16" s="52">
        <v>15</v>
      </c>
      <c r="F16" s="215"/>
      <c r="G16" s="42">
        <v>3</v>
      </c>
      <c r="H16" s="43">
        <f>SUM(F12*G16)</f>
        <v>45</v>
      </c>
      <c r="I16" s="80">
        <v>0.75</v>
      </c>
      <c r="J16" s="45">
        <f>SUM(H16*I16)</f>
        <v>33.75</v>
      </c>
      <c r="K16" s="27">
        <v>5</v>
      </c>
      <c r="L16" s="27">
        <v>0</v>
      </c>
      <c r="M16" s="27">
        <f t="shared" si="2"/>
        <v>0</v>
      </c>
      <c r="N16" s="85">
        <f t="shared" si="3"/>
        <v>0.75</v>
      </c>
      <c r="O16" s="75">
        <f t="shared" si="4"/>
        <v>0</v>
      </c>
      <c r="P16" s="58">
        <f>'Feasibility Burden Table'!Q16</f>
        <v>33.75</v>
      </c>
      <c r="Q16" s="119">
        <v>33.380000000000003</v>
      </c>
      <c r="R16" s="122">
        <f>P16*Q16</f>
        <v>1126.575</v>
      </c>
    </row>
    <row r="17" spans="1:18" ht="42" customHeight="1" thickBot="1" x14ac:dyDescent="0.25">
      <c r="A17" s="212"/>
      <c r="B17" s="209"/>
      <c r="C17" s="7" t="s">
        <v>105</v>
      </c>
      <c r="D17" s="7" t="s">
        <v>53</v>
      </c>
      <c r="E17" s="52">
        <v>15</v>
      </c>
      <c r="F17" s="215"/>
      <c r="G17" s="42">
        <v>2</v>
      </c>
      <c r="H17" s="43">
        <f>F12*G17</f>
        <v>30</v>
      </c>
      <c r="I17" s="80">
        <v>0.25</v>
      </c>
      <c r="J17" s="45">
        <f>I17*H17</f>
        <v>7.5</v>
      </c>
      <c r="K17" s="27">
        <v>5</v>
      </c>
      <c r="L17" s="27">
        <v>0</v>
      </c>
      <c r="M17" s="27">
        <f t="shared" si="2"/>
        <v>0</v>
      </c>
      <c r="N17" s="85">
        <f t="shared" si="3"/>
        <v>0.25</v>
      </c>
      <c r="O17" s="75">
        <f t="shared" si="4"/>
        <v>0</v>
      </c>
      <c r="P17" s="58">
        <f>'Feasibility Burden Table'!Q17</f>
        <v>7.5</v>
      </c>
      <c r="Q17" s="119">
        <v>33.380000000000003</v>
      </c>
      <c r="R17" s="122">
        <f>P17*Q17</f>
        <v>250.35000000000002</v>
      </c>
    </row>
    <row r="18" spans="1:18" ht="24" customHeight="1" thickBot="1" x14ac:dyDescent="0.25">
      <c r="A18" s="212"/>
      <c r="B18" s="210"/>
      <c r="C18" s="7" t="s">
        <v>65</v>
      </c>
      <c r="D18" s="7" t="s">
        <v>55</v>
      </c>
      <c r="E18" s="52">
        <v>15</v>
      </c>
      <c r="F18" s="222"/>
      <c r="G18" s="42">
        <v>1</v>
      </c>
      <c r="H18" s="43">
        <f>SUM(F12*G18)</f>
        <v>15</v>
      </c>
      <c r="I18" s="80">
        <v>1</v>
      </c>
      <c r="J18" s="45">
        <f>SUM(H18*I18)</f>
        <v>15</v>
      </c>
      <c r="K18" s="27">
        <v>5</v>
      </c>
      <c r="L18" s="27">
        <v>0</v>
      </c>
      <c r="M18" s="27">
        <f t="shared" si="2"/>
        <v>0</v>
      </c>
      <c r="N18" s="85">
        <f t="shared" si="3"/>
        <v>1</v>
      </c>
      <c r="O18" s="75">
        <f t="shared" si="4"/>
        <v>0</v>
      </c>
      <c r="P18" s="58">
        <f>'Feasibility Burden Table'!Q18</f>
        <v>15</v>
      </c>
      <c r="Q18" s="119">
        <v>33.380000000000003</v>
      </c>
      <c r="R18" s="122">
        <f t="shared" si="5"/>
        <v>500.70000000000005</v>
      </c>
    </row>
    <row r="19" spans="1:18" ht="43.5" customHeight="1" thickBot="1" x14ac:dyDescent="0.25">
      <c r="A19" s="211" t="s">
        <v>34</v>
      </c>
      <c r="B19" s="208" t="s">
        <v>12</v>
      </c>
      <c r="C19" s="7" t="s">
        <v>106</v>
      </c>
      <c r="D19" s="7" t="s">
        <v>54</v>
      </c>
      <c r="E19" s="52">
        <v>150</v>
      </c>
      <c r="F19" s="213">
        <v>150</v>
      </c>
      <c r="G19" s="42">
        <v>1</v>
      </c>
      <c r="H19" s="43">
        <f>SUM(F19*G19)</f>
        <v>150</v>
      </c>
      <c r="I19" s="80">
        <f>15/60</f>
        <v>0.25</v>
      </c>
      <c r="J19" s="45">
        <f>SUM(H19*I19)</f>
        <v>37.5</v>
      </c>
      <c r="K19" s="27">
        <v>30</v>
      </c>
      <c r="L19" s="27">
        <f>G19</f>
        <v>1</v>
      </c>
      <c r="M19" s="27">
        <f t="shared" si="2"/>
        <v>30</v>
      </c>
      <c r="N19" s="85">
        <f t="shared" si="3"/>
        <v>0.25</v>
      </c>
      <c r="O19" s="75">
        <f t="shared" si="4"/>
        <v>7.5</v>
      </c>
      <c r="P19" s="58">
        <f>'Feasibility Burden Table'!Q19</f>
        <v>36</v>
      </c>
      <c r="Q19" s="119">
        <v>10.72</v>
      </c>
      <c r="R19" s="122">
        <f t="shared" si="5"/>
        <v>385.92</v>
      </c>
    </row>
    <row r="20" spans="1:18" ht="43.5" customHeight="1" thickBot="1" x14ac:dyDescent="0.25">
      <c r="A20" s="212"/>
      <c r="B20" s="209"/>
      <c r="C20" s="7" t="s">
        <v>107</v>
      </c>
      <c r="D20" s="7" t="s">
        <v>53</v>
      </c>
      <c r="E20" s="52">
        <v>150</v>
      </c>
      <c r="F20" s="214"/>
      <c r="G20" s="42">
        <v>1</v>
      </c>
      <c r="H20" s="43">
        <f>F19*G20</f>
        <v>150</v>
      </c>
      <c r="I20" s="80">
        <f>15/60</f>
        <v>0.25</v>
      </c>
      <c r="J20" s="45">
        <f>SUM(H20*I20)</f>
        <v>37.5</v>
      </c>
      <c r="K20" s="27">
        <v>30</v>
      </c>
      <c r="L20" s="27">
        <f>G20</f>
        <v>1</v>
      </c>
      <c r="M20" s="27">
        <f t="shared" si="2"/>
        <v>30</v>
      </c>
      <c r="N20" s="85">
        <f t="shared" si="3"/>
        <v>0.25</v>
      </c>
      <c r="O20" s="75">
        <f t="shared" si="4"/>
        <v>7.5</v>
      </c>
      <c r="P20" s="58">
        <f>'Feasibility Burden Table'!Q22</f>
        <v>37.5</v>
      </c>
      <c r="Q20" s="119">
        <v>10.72</v>
      </c>
      <c r="R20" s="122">
        <f t="shared" si="5"/>
        <v>402</v>
      </c>
    </row>
    <row r="21" spans="1:18" ht="43.5" customHeight="1" thickBot="1" x14ac:dyDescent="0.25">
      <c r="A21" s="212"/>
      <c r="B21" s="209"/>
      <c r="C21" s="7" t="s">
        <v>45</v>
      </c>
      <c r="D21" s="79" t="s">
        <v>62</v>
      </c>
      <c r="E21" s="52">
        <v>150</v>
      </c>
      <c r="F21" s="214"/>
      <c r="G21" s="42">
        <v>1</v>
      </c>
      <c r="H21" s="43">
        <f>F19*G21</f>
        <v>150</v>
      </c>
      <c r="I21" s="80">
        <f>30/60</f>
        <v>0.5</v>
      </c>
      <c r="J21" s="45">
        <f>H21*I21</f>
        <v>75</v>
      </c>
      <c r="K21" s="27">
        <v>30</v>
      </c>
      <c r="L21" s="27">
        <v>0</v>
      </c>
      <c r="M21" s="27">
        <f t="shared" si="2"/>
        <v>0</v>
      </c>
      <c r="N21" s="85">
        <f t="shared" si="3"/>
        <v>0.5</v>
      </c>
      <c r="O21" s="75">
        <f t="shared" si="4"/>
        <v>0</v>
      </c>
      <c r="P21" s="58">
        <f>'Feasibility Burden Table'!Q23</f>
        <v>75</v>
      </c>
      <c r="Q21" s="119">
        <v>10.72</v>
      </c>
      <c r="R21" s="122">
        <f t="shared" si="5"/>
        <v>804</v>
      </c>
    </row>
    <row r="22" spans="1:18" ht="43.5" customHeight="1" thickBot="1" x14ac:dyDescent="0.25">
      <c r="A22" s="212"/>
      <c r="B22" s="209"/>
      <c r="C22" s="7" t="s">
        <v>46</v>
      </c>
      <c r="D22" s="7" t="s">
        <v>53</v>
      </c>
      <c r="E22" s="52">
        <v>150</v>
      </c>
      <c r="F22" s="214"/>
      <c r="G22" s="42">
        <v>2</v>
      </c>
      <c r="H22" s="43">
        <f>F19*G22</f>
        <v>300</v>
      </c>
      <c r="I22" s="80">
        <f>15/60</f>
        <v>0.25</v>
      </c>
      <c r="J22" s="45">
        <f>I22*H22</f>
        <v>75</v>
      </c>
      <c r="K22" s="27">
        <v>30</v>
      </c>
      <c r="L22" s="27">
        <v>0</v>
      </c>
      <c r="M22" s="27">
        <f t="shared" si="2"/>
        <v>0</v>
      </c>
      <c r="N22" s="85">
        <f t="shared" si="3"/>
        <v>0.25</v>
      </c>
      <c r="O22" s="75">
        <f t="shared" si="4"/>
        <v>0</v>
      </c>
      <c r="P22" s="58">
        <f>'Feasibility Burden Table'!Q24</f>
        <v>75</v>
      </c>
      <c r="Q22" s="119">
        <v>10.72</v>
      </c>
      <c r="R22" s="122">
        <f t="shared" si="5"/>
        <v>804</v>
      </c>
    </row>
    <row r="23" spans="1:18" ht="43.5" customHeight="1" thickBot="1" x14ac:dyDescent="0.25">
      <c r="A23" s="212"/>
      <c r="B23" s="209"/>
      <c r="C23" s="7" t="s">
        <v>108</v>
      </c>
      <c r="D23" s="7" t="s">
        <v>53</v>
      </c>
      <c r="E23" s="52">
        <v>150</v>
      </c>
      <c r="F23" s="214"/>
      <c r="G23" s="42">
        <v>1</v>
      </c>
      <c r="H23" s="43">
        <f>F19*G23</f>
        <v>150</v>
      </c>
      <c r="I23" s="80">
        <v>0.25</v>
      </c>
      <c r="J23" s="45">
        <f>I23*H23</f>
        <v>37.5</v>
      </c>
      <c r="K23" s="27">
        <v>30</v>
      </c>
      <c r="L23" s="27">
        <v>0</v>
      </c>
      <c r="M23" s="27">
        <f t="shared" si="2"/>
        <v>0</v>
      </c>
      <c r="N23" s="85">
        <f t="shared" si="3"/>
        <v>0.25</v>
      </c>
      <c r="O23" s="75">
        <f t="shared" si="4"/>
        <v>0</v>
      </c>
      <c r="P23" s="58">
        <f>'Feasibility Burden Table'!Q25</f>
        <v>37.5</v>
      </c>
      <c r="Q23" s="119">
        <v>10.72</v>
      </c>
      <c r="R23" s="122">
        <f t="shared" si="5"/>
        <v>402</v>
      </c>
    </row>
    <row r="24" spans="1:18" ht="43.5" customHeight="1" thickBot="1" x14ac:dyDescent="0.25">
      <c r="A24" s="212"/>
      <c r="B24" s="209"/>
      <c r="C24" s="7" t="s">
        <v>95</v>
      </c>
      <c r="D24" s="7" t="s">
        <v>61</v>
      </c>
      <c r="E24" s="52">
        <v>150</v>
      </c>
      <c r="F24" s="215"/>
      <c r="G24" s="42">
        <v>22</v>
      </c>
      <c r="H24" s="43">
        <f>SUM(F19*G24)</f>
        <v>3300</v>
      </c>
      <c r="I24" s="80">
        <v>0.25</v>
      </c>
      <c r="J24" s="45">
        <f>I24*H24</f>
        <v>825</v>
      </c>
      <c r="K24" s="27">
        <v>30</v>
      </c>
      <c r="L24" s="27">
        <v>0</v>
      </c>
      <c r="M24" s="27">
        <f t="shared" si="2"/>
        <v>0</v>
      </c>
      <c r="N24" s="85">
        <f t="shared" si="3"/>
        <v>0.25</v>
      </c>
      <c r="O24" s="75">
        <f t="shared" si="4"/>
        <v>0</v>
      </c>
      <c r="P24" s="58">
        <f>'Feasibility Burden Table'!Q26</f>
        <v>825</v>
      </c>
      <c r="Q24" s="119">
        <v>10.72</v>
      </c>
      <c r="R24" s="122">
        <f t="shared" si="5"/>
        <v>8844</v>
      </c>
    </row>
    <row r="25" spans="1:18" ht="43.5" customHeight="1" thickBot="1" x14ac:dyDescent="0.25">
      <c r="A25" s="212"/>
      <c r="B25" s="209"/>
      <c r="C25" s="7" t="s">
        <v>48</v>
      </c>
      <c r="D25" s="7" t="s">
        <v>53</v>
      </c>
      <c r="E25" s="52">
        <v>150</v>
      </c>
      <c r="F25" s="215"/>
      <c r="G25" s="42">
        <v>2</v>
      </c>
      <c r="H25" s="43">
        <f>F19*G25</f>
        <v>300</v>
      </c>
      <c r="I25" s="80">
        <f>15/60</f>
        <v>0.25</v>
      </c>
      <c r="J25" s="45">
        <f>I25*H25</f>
        <v>75</v>
      </c>
      <c r="K25" s="27">
        <v>30</v>
      </c>
      <c r="L25" s="27">
        <v>0</v>
      </c>
      <c r="M25" s="27">
        <f t="shared" si="2"/>
        <v>0</v>
      </c>
      <c r="N25" s="85">
        <f t="shared" si="3"/>
        <v>0.25</v>
      </c>
      <c r="O25" s="75">
        <f t="shared" si="4"/>
        <v>0</v>
      </c>
      <c r="P25" s="58">
        <f>'Feasibility Burden Table'!Q27</f>
        <v>75</v>
      </c>
      <c r="Q25" s="119">
        <v>10.72</v>
      </c>
      <c r="R25" s="122">
        <f t="shared" si="5"/>
        <v>804</v>
      </c>
    </row>
    <row r="26" spans="1:18" ht="24" customHeight="1" thickBot="1" x14ac:dyDescent="0.25">
      <c r="A26" s="212"/>
      <c r="B26" s="210"/>
      <c r="C26" s="7" t="s">
        <v>13</v>
      </c>
      <c r="D26" s="7" t="s">
        <v>55</v>
      </c>
      <c r="E26" s="52">
        <v>150</v>
      </c>
      <c r="F26" s="215"/>
      <c r="G26" s="42">
        <v>1</v>
      </c>
      <c r="H26" s="43">
        <f>SUM(F19*G26)</f>
        <v>150</v>
      </c>
      <c r="I26" s="80">
        <f>30/60</f>
        <v>0.5</v>
      </c>
      <c r="J26" s="45">
        <f>SUM(H26*I26)</f>
        <v>75</v>
      </c>
      <c r="K26" s="27">
        <v>30</v>
      </c>
      <c r="L26" s="27">
        <v>0</v>
      </c>
      <c r="M26" s="27">
        <f t="shared" si="2"/>
        <v>0</v>
      </c>
      <c r="N26" s="85">
        <f t="shared" si="3"/>
        <v>0.5</v>
      </c>
      <c r="O26" s="75">
        <f t="shared" si="4"/>
        <v>0</v>
      </c>
      <c r="P26" s="58">
        <f>'Feasibility Burden Table'!Q28</f>
        <v>75</v>
      </c>
      <c r="Q26" s="119">
        <v>10.72</v>
      </c>
      <c r="R26" s="122">
        <f t="shared" si="5"/>
        <v>804</v>
      </c>
    </row>
    <row r="27" spans="1:18" s="2" customFormat="1" ht="18.75" customHeight="1" thickBot="1" x14ac:dyDescent="0.25">
      <c r="A27" s="219" t="s">
        <v>31</v>
      </c>
      <c r="B27" s="220"/>
      <c r="C27" s="220"/>
      <c r="D27" s="220"/>
      <c r="E27" s="221"/>
      <c r="F27" s="32">
        <f>F12+F19</f>
        <v>165</v>
      </c>
      <c r="G27" s="35">
        <f>SUM(H27/F27)</f>
        <v>29.181818181818183</v>
      </c>
      <c r="H27" s="46">
        <f>SUM(H12:H26)</f>
        <v>4815</v>
      </c>
      <c r="I27" s="36">
        <f>SUM(J27/H27)</f>
        <v>0.27414330218068533</v>
      </c>
      <c r="J27" s="46">
        <f>SUM(J12:J26)</f>
        <v>1320</v>
      </c>
      <c r="K27" s="27">
        <v>30</v>
      </c>
      <c r="L27" s="27">
        <v>0</v>
      </c>
      <c r="M27" s="27">
        <f t="shared" si="2"/>
        <v>0</v>
      </c>
      <c r="N27" s="85">
        <v>0</v>
      </c>
      <c r="O27" s="75">
        <v>0</v>
      </c>
      <c r="P27" s="16">
        <f>SUM(P12:P26)</f>
        <v>1319.75</v>
      </c>
      <c r="Q27" s="73"/>
      <c r="R27" s="69">
        <f>SUM(R12:R26)</f>
        <v>16045.494999999999</v>
      </c>
    </row>
    <row r="28" spans="1:18" s="2" customFormat="1" ht="24.75" customHeight="1" thickBot="1" x14ac:dyDescent="0.25">
      <c r="A28" s="223" t="s">
        <v>14</v>
      </c>
      <c r="B28" s="224"/>
      <c r="C28" s="224"/>
      <c r="D28" s="224"/>
      <c r="E28" s="224"/>
      <c r="F28" s="224"/>
      <c r="G28" s="224"/>
      <c r="H28" s="224"/>
      <c r="I28" s="224"/>
      <c r="J28" s="224"/>
      <c r="K28" s="224"/>
      <c r="L28" s="224"/>
      <c r="M28" s="224"/>
      <c r="N28" s="224"/>
      <c r="O28" s="224"/>
      <c r="P28" s="224"/>
      <c r="Q28" s="224"/>
      <c r="R28" s="225"/>
    </row>
    <row r="29" spans="1:18" ht="41.25" customHeight="1" thickBot="1" x14ac:dyDescent="0.25">
      <c r="A29" s="211" t="s">
        <v>14</v>
      </c>
      <c r="B29" s="208" t="s">
        <v>15</v>
      </c>
      <c r="C29" s="7" t="s">
        <v>109</v>
      </c>
      <c r="D29" s="7" t="s">
        <v>54</v>
      </c>
      <c r="E29" s="52">
        <v>750</v>
      </c>
      <c r="F29" s="272">
        <v>750</v>
      </c>
      <c r="G29" s="42">
        <v>1</v>
      </c>
      <c r="H29" s="43">
        <f>SUM(F29*G29)</f>
        <v>750</v>
      </c>
      <c r="I29" s="80">
        <f>15/60</f>
        <v>0.25</v>
      </c>
      <c r="J29" s="45">
        <f>SUM(H29*I29)</f>
        <v>187.5</v>
      </c>
      <c r="K29" s="49">
        <v>150</v>
      </c>
      <c r="L29" s="56">
        <v>1</v>
      </c>
      <c r="M29" s="50">
        <f>SUM(K29*L29)</f>
        <v>150</v>
      </c>
      <c r="N29" s="57">
        <f>3/60</f>
        <v>0.05</v>
      </c>
      <c r="O29" s="57">
        <f>M29*N29</f>
        <v>7.5</v>
      </c>
      <c r="P29" s="58">
        <f>'Feasibility Burden Table'!Q31</f>
        <v>75</v>
      </c>
      <c r="Q29" s="119">
        <v>14.5</v>
      </c>
      <c r="R29" s="122">
        <f>Q29*P29</f>
        <v>1087.5</v>
      </c>
    </row>
    <row r="30" spans="1:18" ht="41.25" customHeight="1" thickBot="1" x14ac:dyDescent="0.25">
      <c r="A30" s="212"/>
      <c r="B30" s="209"/>
      <c r="C30" s="7" t="s">
        <v>96</v>
      </c>
      <c r="D30" s="7" t="s">
        <v>53</v>
      </c>
      <c r="E30" s="52">
        <v>750</v>
      </c>
      <c r="F30" s="273"/>
      <c r="G30" s="42">
        <v>1</v>
      </c>
      <c r="H30" s="43">
        <f>SUM(F29*G30)</f>
        <v>750</v>
      </c>
      <c r="I30" s="80">
        <f>6/60</f>
        <v>0.1</v>
      </c>
      <c r="J30" s="45">
        <f>SUM(H30*I30)</f>
        <v>75</v>
      </c>
      <c r="K30" s="49">
        <v>150</v>
      </c>
      <c r="L30" s="78">
        <f>G30</f>
        <v>1</v>
      </c>
      <c r="M30" s="50">
        <f>SUM(K30*L30)</f>
        <v>150</v>
      </c>
      <c r="N30" s="44">
        <f>I30</f>
        <v>0.1</v>
      </c>
      <c r="O30" s="57">
        <f>M30*N30</f>
        <v>15</v>
      </c>
      <c r="P30" s="58">
        <f>'Feasibility Burden Table'!Q34</f>
        <v>60</v>
      </c>
      <c r="Q30" s="119">
        <v>14.5</v>
      </c>
      <c r="R30" s="122">
        <f>Q30*P30</f>
        <v>870</v>
      </c>
    </row>
    <row r="31" spans="1:18" ht="41.25" customHeight="1" thickBot="1" x14ac:dyDescent="0.25">
      <c r="A31" s="212"/>
      <c r="B31" s="209"/>
      <c r="C31" s="7" t="s">
        <v>110</v>
      </c>
      <c r="D31" s="7" t="s">
        <v>53</v>
      </c>
      <c r="E31" s="43">
        <f>E29-K29</f>
        <v>600</v>
      </c>
      <c r="F31" s="273"/>
      <c r="G31" s="42">
        <v>1</v>
      </c>
      <c r="H31" s="43">
        <f>F29*G31</f>
        <v>750</v>
      </c>
      <c r="I31" s="80">
        <f>15/60</f>
        <v>0.25</v>
      </c>
      <c r="J31" s="45">
        <f>H31*I31</f>
        <v>187.5</v>
      </c>
      <c r="K31" s="49">
        <v>0</v>
      </c>
      <c r="L31" s="56">
        <v>1</v>
      </c>
      <c r="M31" s="50">
        <f>SUM(K31*L31)</f>
        <v>0</v>
      </c>
      <c r="N31" s="44">
        <f>15/60</f>
        <v>0.25</v>
      </c>
      <c r="O31" s="57">
        <f>M31*N31</f>
        <v>0</v>
      </c>
      <c r="P31" s="58">
        <f>'Feasibility Burden Table'!Q35</f>
        <v>150</v>
      </c>
      <c r="Q31" s="119">
        <v>14.5</v>
      </c>
      <c r="R31" s="122">
        <f>Q31*P31</f>
        <v>2175</v>
      </c>
    </row>
    <row r="32" spans="1:18" ht="41.25" customHeight="1" thickBot="1" x14ac:dyDescent="0.25">
      <c r="A32" s="212"/>
      <c r="B32" s="209"/>
      <c r="C32" s="7" t="s">
        <v>111</v>
      </c>
      <c r="D32" s="7" t="s">
        <v>61</v>
      </c>
      <c r="E32" s="43">
        <f>E31-K31</f>
        <v>600</v>
      </c>
      <c r="F32" s="274"/>
      <c r="G32" s="42">
        <v>22</v>
      </c>
      <c r="H32" s="43">
        <f>F33*G32</f>
        <v>13200</v>
      </c>
      <c r="I32" s="80">
        <f>ROUND(5/60,2)</f>
        <v>0.08</v>
      </c>
      <c r="J32" s="45">
        <f>H32*I32</f>
        <v>1056</v>
      </c>
      <c r="K32" s="49">
        <v>0</v>
      </c>
      <c r="L32" s="56">
        <v>22</v>
      </c>
      <c r="M32" s="50">
        <f>SUM(K32*L32)</f>
        <v>0</v>
      </c>
      <c r="N32" s="44">
        <f>5/60</f>
        <v>8.3333333333333329E-2</v>
      </c>
      <c r="O32" s="57">
        <f>M32*N32</f>
        <v>0</v>
      </c>
      <c r="P32" s="58">
        <f>'Feasibility Burden Table'!Q36</f>
        <v>1056</v>
      </c>
      <c r="Q32" s="119">
        <v>14.5</v>
      </c>
      <c r="R32" s="122">
        <f>Q32*P32</f>
        <v>15312</v>
      </c>
    </row>
    <row r="33" spans="1:18" ht="38.25" customHeight="1" thickBot="1" x14ac:dyDescent="0.25">
      <c r="A33" s="212"/>
      <c r="B33" s="210"/>
      <c r="C33" s="7" t="s">
        <v>59</v>
      </c>
      <c r="D33" s="7" t="s">
        <v>53</v>
      </c>
      <c r="E33" s="43">
        <f>E32-K32</f>
        <v>600</v>
      </c>
      <c r="F33" s="77">
        <v>600</v>
      </c>
      <c r="G33" s="42">
        <v>2</v>
      </c>
      <c r="H33" s="43">
        <f>SUM(F29*G33)</f>
        <v>1500</v>
      </c>
      <c r="I33" s="81">
        <f>15/60</f>
        <v>0.25</v>
      </c>
      <c r="J33" s="45">
        <f>H33*I33</f>
        <v>375</v>
      </c>
      <c r="K33" s="51">
        <v>0</v>
      </c>
      <c r="L33" s="59">
        <v>2</v>
      </c>
      <c r="M33" s="51">
        <f>SUM(K33*L33)</f>
        <v>0</v>
      </c>
      <c r="N33" s="44">
        <f>5/60</f>
        <v>8.3333333333333329E-2</v>
      </c>
      <c r="O33" s="60">
        <f>SUM(M33*N33)</f>
        <v>0</v>
      </c>
      <c r="P33" s="58">
        <f>'Feasibility Burden Table'!Q37</f>
        <v>300</v>
      </c>
      <c r="Q33" s="119">
        <v>14.5</v>
      </c>
      <c r="R33" s="122">
        <f>Q33*P33</f>
        <v>4350</v>
      </c>
    </row>
    <row r="34" spans="1:18" s="2" customFormat="1" ht="20.25" customHeight="1" thickBot="1" x14ac:dyDescent="0.25">
      <c r="A34" s="219" t="s">
        <v>30</v>
      </c>
      <c r="B34" s="220"/>
      <c r="C34" s="220"/>
      <c r="D34" s="220"/>
      <c r="E34" s="221"/>
      <c r="F34" s="32">
        <f>F29</f>
        <v>750</v>
      </c>
      <c r="G34" s="35">
        <f>H34/F34</f>
        <v>22.6</v>
      </c>
      <c r="H34" s="47">
        <f>SUM(H29:H33)</f>
        <v>16950</v>
      </c>
      <c r="I34" s="36">
        <f>SUM(J34/H34)</f>
        <v>0.11097345132743362</v>
      </c>
      <c r="J34" s="48">
        <f t="shared" ref="J34:O34" si="6">SUM(J29:J33)</f>
        <v>1881</v>
      </c>
      <c r="K34" s="15">
        <f t="shared" si="6"/>
        <v>300</v>
      </c>
      <c r="L34" s="62">
        <f t="shared" si="6"/>
        <v>27</v>
      </c>
      <c r="M34" s="63">
        <f t="shared" si="6"/>
        <v>300</v>
      </c>
      <c r="N34" s="74">
        <f t="shared" si="6"/>
        <v>0.56666666666666665</v>
      </c>
      <c r="O34" s="48">
        <f t="shared" si="6"/>
        <v>22.5</v>
      </c>
      <c r="P34" s="64">
        <f>SUM(P29:P33)</f>
        <v>1641</v>
      </c>
      <c r="Q34" s="20"/>
      <c r="R34" s="70">
        <f>SUM(R29:R33)</f>
        <v>23794.5</v>
      </c>
    </row>
    <row r="35" spans="1:18" s="22" customFormat="1" ht="21" customHeight="1" x14ac:dyDescent="0.2">
      <c r="A35" s="269" t="s">
        <v>1</v>
      </c>
      <c r="B35" s="270"/>
      <c r="C35" s="270"/>
      <c r="D35" s="270"/>
      <c r="E35" s="271"/>
      <c r="F35" s="38">
        <f>SUM(F10+F27+F34)</f>
        <v>917</v>
      </c>
      <c r="G35" s="37">
        <f>SUM(H35/F35)</f>
        <v>23.743729552889857</v>
      </c>
      <c r="H35" s="38">
        <f>SUM(H10+H27+H34)</f>
        <v>21773</v>
      </c>
      <c r="I35" s="39">
        <f>SUM(J35/H35)</f>
        <v>0.14736141092178387</v>
      </c>
      <c r="J35" s="40">
        <f>SUM(J10+J27+J34)</f>
        <v>3208.5</v>
      </c>
      <c r="K35" s="23">
        <f>SUM(K10+K34)</f>
        <v>301</v>
      </c>
      <c r="L35" s="39">
        <f>K35/M35</f>
        <v>1.0033333333333334</v>
      </c>
      <c r="M35" s="65">
        <f>SUM(M10+M34)</f>
        <v>300</v>
      </c>
      <c r="N35" s="66">
        <f>SUM(O35/M35)</f>
        <v>7.4999999999999997E-2</v>
      </c>
      <c r="O35" s="67">
        <f>SUM(O10+O27+O34)</f>
        <v>22.5</v>
      </c>
      <c r="P35" s="68" t="e">
        <f>SUM(P10+P27+P34)</f>
        <v>#REF!</v>
      </c>
      <c r="Q35" s="21"/>
      <c r="R35" s="71">
        <f>SUM(R10+R27+R34)</f>
        <v>40087.352500000001</v>
      </c>
    </row>
    <row r="36" spans="1:18" x14ac:dyDescent="0.2">
      <c r="A36" s="1"/>
      <c r="B36" s="29"/>
      <c r="C36" s="41"/>
      <c r="D36" s="41"/>
      <c r="E36" s="55">
        <f>F35+K35</f>
        <v>1218</v>
      </c>
      <c r="G36" s="1"/>
      <c r="H36" s="3"/>
      <c r="I36" s="82"/>
      <c r="J36" s="3"/>
      <c r="N36" s="1"/>
      <c r="O36" s="1"/>
      <c r="P36" s="1"/>
    </row>
    <row r="37" spans="1:18" x14ac:dyDescent="0.2">
      <c r="A37" s="5" t="s">
        <v>28</v>
      </c>
      <c r="F37" s="1"/>
      <c r="G37" s="1"/>
      <c r="H37" s="1"/>
      <c r="I37" s="83"/>
      <c r="J37" s="1"/>
    </row>
    <row r="38" spans="1:18" x14ac:dyDescent="0.2">
      <c r="A38" s="5" t="s">
        <v>101</v>
      </c>
      <c r="F38" s="1"/>
      <c r="G38" s="1"/>
      <c r="H38" s="1"/>
      <c r="I38" s="83"/>
      <c r="J38" s="1"/>
    </row>
    <row r="39" spans="1:18" x14ac:dyDescent="0.2">
      <c r="A39" s="1" t="s">
        <v>64</v>
      </c>
      <c r="E39" s="5"/>
      <c r="F39" s="1"/>
      <c r="G39" s="1"/>
      <c r="H39" s="1"/>
      <c r="I39" s="83"/>
      <c r="J39" s="1"/>
    </row>
    <row r="40" spans="1:18" x14ac:dyDescent="0.2">
      <c r="A40" s="1" t="s">
        <v>63</v>
      </c>
      <c r="E40" s="5"/>
    </row>
    <row r="41" spans="1:18" x14ac:dyDescent="0.2">
      <c r="B41" s="1"/>
    </row>
    <row r="42" spans="1:18" x14ac:dyDescent="0.2">
      <c r="B42" s="1"/>
    </row>
    <row r="43" spans="1:18" x14ac:dyDescent="0.2">
      <c r="B43" s="1"/>
    </row>
    <row r="44" spans="1:18" x14ac:dyDescent="0.2">
      <c r="B44" s="1"/>
    </row>
    <row r="45" spans="1:18" x14ac:dyDescent="0.2">
      <c r="B45" s="1"/>
    </row>
    <row r="46" spans="1:18" x14ac:dyDescent="0.2">
      <c r="B46" s="1"/>
      <c r="M46" s="3">
        <f>75550.8/48.43</f>
        <v>1560</v>
      </c>
    </row>
    <row r="47" spans="1:18" x14ac:dyDescent="0.2">
      <c r="B47" s="1"/>
      <c r="M47" s="3">
        <f>48.27*M46</f>
        <v>75301.200000000012</v>
      </c>
    </row>
    <row r="48" spans="1:18" x14ac:dyDescent="0.2">
      <c r="B48" s="1"/>
      <c r="M48" s="3">
        <f>M47/3</f>
        <v>25100.400000000005</v>
      </c>
    </row>
    <row r="49" spans="2:13" x14ac:dyDescent="0.2">
      <c r="B49" s="1"/>
      <c r="M49" s="3">
        <f>M48+361636.17</f>
        <v>386736.57</v>
      </c>
    </row>
    <row r="50" spans="2:13" x14ac:dyDescent="0.2">
      <c r="B50" s="1"/>
    </row>
    <row r="51" spans="2:13" x14ac:dyDescent="0.2">
      <c r="B51" s="1"/>
    </row>
    <row r="52" spans="2:13" x14ac:dyDescent="0.2">
      <c r="B52" s="1"/>
    </row>
    <row r="53" spans="2:13" x14ac:dyDescent="0.2">
      <c r="B53" s="1"/>
    </row>
  </sheetData>
  <mergeCells count="28">
    <mergeCell ref="A11:R11"/>
    <mergeCell ref="A1:P1"/>
    <mergeCell ref="E2:J2"/>
    <mergeCell ref="K2:O2"/>
    <mergeCell ref="P2:P3"/>
    <mergeCell ref="Q2:Q3"/>
    <mergeCell ref="R2:R3"/>
    <mergeCell ref="A4:R4"/>
    <mergeCell ref="B6:B9"/>
    <mergeCell ref="F6:F9"/>
    <mergeCell ref="A10:E10"/>
    <mergeCell ref="A5:A9"/>
    <mergeCell ref="A2:A3"/>
    <mergeCell ref="B2:B3"/>
    <mergeCell ref="C2:C3"/>
    <mergeCell ref="A12:A18"/>
    <mergeCell ref="B12:B18"/>
    <mergeCell ref="F12:F18"/>
    <mergeCell ref="A19:A26"/>
    <mergeCell ref="B19:B26"/>
    <mergeCell ref="F19:F26"/>
    <mergeCell ref="A35:E35"/>
    <mergeCell ref="A27:E27"/>
    <mergeCell ref="A28:R28"/>
    <mergeCell ref="A29:A33"/>
    <mergeCell ref="B29:B33"/>
    <mergeCell ref="F29:F32"/>
    <mergeCell ref="A34:E3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40"/>
  <sheetViews>
    <sheetView topLeftCell="A20" workbookViewId="0">
      <selection activeCell="S21" sqref="S21"/>
    </sheetView>
  </sheetViews>
  <sheetFormatPr defaultColWidth="9.140625" defaultRowHeight="12" x14ac:dyDescent="0.2"/>
  <cols>
    <col min="1" max="2" width="9.140625" style="5"/>
    <col min="3" max="6" width="9.140625" style="1"/>
    <col min="7" max="7" width="0" style="29" hidden="1" customWidth="1"/>
    <col min="8" max="8" width="0" style="41" hidden="1" customWidth="1"/>
    <col min="9" max="9" width="0" style="29" hidden="1" customWidth="1"/>
    <col min="10" max="10" width="0" style="84" hidden="1" customWidth="1"/>
    <col min="11" max="11" width="0" style="29" hidden="1" customWidth="1"/>
    <col min="12" max="16" width="0" style="3" hidden="1" customWidth="1"/>
    <col min="17" max="17" width="9.140625" style="3"/>
    <col min="18" max="16384" width="9.140625" style="1"/>
  </cols>
  <sheetData>
    <row r="1" spans="1:19" ht="27.75" customHeight="1" thickBot="1" x14ac:dyDescent="0.3">
      <c r="A1" s="245" t="s">
        <v>73</v>
      </c>
      <c r="B1" s="245"/>
      <c r="C1" s="245"/>
      <c r="D1" s="245"/>
      <c r="E1" s="245"/>
      <c r="F1" s="245"/>
      <c r="G1" s="245"/>
      <c r="H1" s="245"/>
      <c r="I1" s="245"/>
      <c r="J1" s="245"/>
      <c r="K1" s="245"/>
      <c r="L1" s="245"/>
      <c r="M1" s="245"/>
      <c r="N1" s="245"/>
      <c r="O1" s="245"/>
      <c r="P1" s="245"/>
      <c r="Q1" s="245"/>
    </row>
    <row r="2" spans="1:19" ht="15.75" customHeight="1" thickBot="1" x14ac:dyDescent="0.25">
      <c r="A2" s="4"/>
      <c r="B2" s="19"/>
      <c r="C2" s="8"/>
      <c r="D2" s="8"/>
      <c r="E2" s="8"/>
      <c r="G2" s="235" t="s">
        <v>2</v>
      </c>
      <c r="H2" s="236"/>
      <c r="I2" s="236"/>
      <c r="J2" s="236"/>
      <c r="K2" s="237"/>
      <c r="L2" s="251" t="s">
        <v>3</v>
      </c>
      <c r="M2" s="252"/>
      <c r="N2" s="252"/>
      <c r="O2" s="252"/>
      <c r="P2" s="253"/>
      <c r="Q2" s="249" t="s">
        <v>25</v>
      </c>
      <c r="R2" s="241" t="s">
        <v>37</v>
      </c>
      <c r="S2" s="243" t="s">
        <v>5</v>
      </c>
    </row>
    <row r="3" spans="1:19" s="89" customFormat="1" ht="78" customHeight="1" thickBot="1" x14ac:dyDescent="0.25">
      <c r="A3" s="86" t="s">
        <v>0</v>
      </c>
      <c r="B3" s="11" t="s">
        <v>24</v>
      </c>
      <c r="C3" s="10" t="s">
        <v>7</v>
      </c>
      <c r="D3" s="10" t="s">
        <v>81</v>
      </c>
      <c r="E3" s="11" t="s">
        <v>38</v>
      </c>
      <c r="F3" s="28" t="s">
        <v>23</v>
      </c>
      <c r="G3" s="11" t="s">
        <v>22</v>
      </c>
      <c r="H3" s="87" t="s">
        <v>19</v>
      </c>
      <c r="I3" s="11" t="s">
        <v>21</v>
      </c>
      <c r="J3" s="88" t="s">
        <v>17</v>
      </c>
      <c r="K3" s="12" t="s">
        <v>16</v>
      </c>
      <c r="L3" s="13" t="s">
        <v>20</v>
      </c>
      <c r="M3" s="13" t="s">
        <v>19</v>
      </c>
      <c r="N3" s="13" t="s">
        <v>18</v>
      </c>
      <c r="O3" s="13" t="s">
        <v>17</v>
      </c>
      <c r="P3" s="12" t="s">
        <v>16</v>
      </c>
      <c r="Q3" s="250"/>
      <c r="R3" s="242"/>
      <c r="S3" s="244"/>
    </row>
    <row r="4" spans="1:19" s="2" customFormat="1" ht="23.25" customHeight="1" thickBot="1" x14ac:dyDescent="0.3">
      <c r="A4" s="254" t="s">
        <v>4</v>
      </c>
      <c r="B4" s="255"/>
      <c r="C4" s="255"/>
      <c r="D4" s="255"/>
      <c r="E4" s="255"/>
      <c r="F4" s="255"/>
      <c r="G4" s="255"/>
      <c r="H4" s="255"/>
      <c r="I4" s="255"/>
      <c r="J4" s="255"/>
      <c r="K4" s="255"/>
      <c r="L4" s="255"/>
      <c r="M4" s="255"/>
      <c r="N4" s="255"/>
      <c r="O4" s="255"/>
      <c r="P4" s="255"/>
      <c r="Q4" s="255"/>
      <c r="R4" s="255"/>
      <c r="S4" s="256"/>
    </row>
    <row r="5" spans="1:19" ht="42" customHeight="1" thickBot="1" x14ac:dyDescent="0.25">
      <c r="A5" s="260"/>
      <c r="B5" s="246" t="s">
        <v>8</v>
      </c>
      <c r="C5" s="6" t="s">
        <v>134</v>
      </c>
      <c r="D5" s="6" t="s">
        <v>82</v>
      </c>
      <c r="E5" s="6" t="s">
        <v>54</v>
      </c>
      <c r="F5" s="53">
        <f>$G$5+$L$5</f>
        <v>3</v>
      </c>
      <c r="G5" s="257">
        <v>2</v>
      </c>
      <c r="H5" s="42">
        <v>1</v>
      </c>
      <c r="I5" s="43">
        <f>SUM(G5*H5)</f>
        <v>2</v>
      </c>
      <c r="J5" s="80">
        <f>15/60</f>
        <v>0.25</v>
      </c>
      <c r="K5" s="45">
        <f>SUM(I5*J5)</f>
        <v>0.5</v>
      </c>
      <c r="L5" s="232">
        <v>1</v>
      </c>
      <c r="M5" s="59">
        <f>H5</f>
        <v>1</v>
      </c>
      <c r="N5" s="59">
        <f>SUM($L$5*M5)</f>
        <v>1</v>
      </c>
      <c r="O5" s="118">
        <f t="shared" ref="O5:O8" si="0">J5</f>
        <v>0.25</v>
      </c>
      <c r="P5" s="118">
        <f t="shared" ref="P5:P8" si="1">SUM(N5*O5)</f>
        <v>0.25</v>
      </c>
      <c r="Q5" s="61">
        <f>SUM(K5+P5)</f>
        <v>0.75</v>
      </c>
      <c r="R5" s="119">
        <v>25.37</v>
      </c>
      <c r="S5" s="122">
        <f>R5*Q5</f>
        <v>19.0275</v>
      </c>
    </row>
    <row r="6" spans="1:19" ht="45" customHeight="1" thickBot="1" x14ac:dyDescent="0.25">
      <c r="A6" s="260"/>
      <c r="B6" s="247"/>
      <c r="C6" s="6" t="s">
        <v>83</v>
      </c>
      <c r="D6" s="6" t="s">
        <v>84</v>
      </c>
      <c r="E6" s="6" t="s">
        <v>131</v>
      </c>
      <c r="F6" s="53">
        <f t="shared" ref="F6:F8" si="2">$G$5+$L$5</f>
        <v>3</v>
      </c>
      <c r="G6" s="258"/>
      <c r="H6" s="42">
        <v>2</v>
      </c>
      <c r="I6" s="43">
        <f>G5*H6</f>
        <v>4</v>
      </c>
      <c r="J6" s="80">
        <f>45/60</f>
        <v>0.75</v>
      </c>
      <c r="K6" s="45">
        <f>J6*I6</f>
        <v>3</v>
      </c>
      <c r="L6" s="233"/>
      <c r="M6" s="59">
        <f>H6</f>
        <v>2</v>
      </c>
      <c r="N6" s="59">
        <f t="shared" ref="N6:N8" si="3">SUM($L$5*M6)</f>
        <v>2</v>
      </c>
      <c r="O6" s="118">
        <f t="shared" si="0"/>
        <v>0.75</v>
      </c>
      <c r="P6" s="118">
        <f t="shared" si="1"/>
        <v>1.5</v>
      </c>
      <c r="Q6" s="61">
        <f>SUM(K6+P6)</f>
        <v>4.5</v>
      </c>
      <c r="R6" s="119">
        <v>25.37</v>
      </c>
      <c r="S6" s="122">
        <f>R6*Q6</f>
        <v>114.16500000000001</v>
      </c>
    </row>
    <row r="7" spans="1:19" ht="42" customHeight="1" thickBot="1" x14ac:dyDescent="0.25">
      <c r="A7" s="260"/>
      <c r="B7" s="247"/>
      <c r="C7" s="6" t="s">
        <v>9</v>
      </c>
      <c r="D7" s="6"/>
      <c r="E7" s="6" t="s">
        <v>130</v>
      </c>
      <c r="F7" s="53">
        <f t="shared" si="2"/>
        <v>3</v>
      </c>
      <c r="G7" s="258"/>
      <c r="H7" s="42">
        <v>1</v>
      </c>
      <c r="I7" s="43">
        <f>SUM(G5*H7)</f>
        <v>2</v>
      </c>
      <c r="J7" s="80">
        <v>2</v>
      </c>
      <c r="K7" s="45">
        <f>SUM(I7*J7)</f>
        <v>4</v>
      </c>
      <c r="L7" s="233"/>
      <c r="M7" s="59">
        <v>0</v>
      </c>
      <c r="N7" s="59">
        <f t="shared" si="3"/>
        <v>0</v>
      </c>
      <c r="O7" s="118">
        <f t="shared" si="0"/>
        <v>2</v>
      </c>
      <c r="P7" s="118">
        <f t="shared" si="1"/>
        <v>0</v>
      </c>
      <c r="Q7" s="61">
        <f>SUM(K7+P7)</f>
        <v>4</v>
      </c>
      <c r="R7" s="119">
        <v>25.37</v>
      </c>
      <c r="S7" s="122">
        <f>R7*Q7</f>
        <v>101.48</v>
      </c>
    </row>
    <row r="8" spans="1:19" ht="42.75" customHeight="1" thickBot="1" x14ac:dyDescent="0.25">
      <c r="A8" s="261"/>
      <c r="B8" s="248"/>
      <c r="C8" s="6" t="s">
        <v>46</v>
      </c>
      <c r="D8" s="95"/>
      <c r="E8" s="6" t="s">
        <v>131</v>
      </c>
      <c r="F8" s="53">
        <f t="shared" si="2"/>
        <v>3</v>
      </c>
      <c r="G8" s="259"/>
      <c r="H8" s="42">
        <v>1</v>
      </c>
      <c r="I8" s="43">
        <f>SUM(G5*H8)</f>
        <v>2</v>
      </c>
      <c r="J8" s="80">
        <f>15/60</f>
        <v>0.25</v>
      </c>
      <c r="K8" s="45">
        <f>SUM(I8*J8)</f>
        <v>0.5</v>
      </c>
      <c r="L8" s="234"/>
      <c r="M8" s="59">
        <v>0</v>
      </c>
      <c r="N8" s="59">
        <f t="shared" si="3"/>
        <v>0</v>
      </c>
      <c r="O8" s="118">
        <f t="shared" si="0"/>
        <v>0.25</v>
      </c>
      <c r="P8" s="118">
        <f t="shared" si="1"/>
        <v>0</v>
      </c>
      <c r="Q8" s="61">
        <f>SUM(K8+P8)</f>
        <v>0.5</v>
      </c>
      <c r="R8" s="119">
        <v>25.37</v>
      </c>
      <c r="S8" s="122">
        <f>R8*Q8</f>
        <v>12.685</v>
      </c>
    </row>
    <row r="9" spans="1:19" s="167" customFormat="1" ht="18.75" customHeight="1" thickBot="1" x14ac:dyDescent="0.4">
      <c r="A9" s="216" t="s">
        <v>29</v>
      </c>
      <c r="B9" s="217"/>
      <c r="C9" s="217"/>
      <c r="D9" s="217"/>
      <c r="E9" s="217"/>
      <c r="F9" s="218"/>
      <c r="G9" s="135">
        <f>SUM(G5:G8)</f>
        <v>2</v>
      </c>
      <c r="H9" s="133">
        <f>SUM(I9/G9)</f>
        <v>4</v>
      </c>
      <c r="I9" s="135">
        <f>SUM(I5:I7)</f>
        <v>8</v>
      </c>
      <c r="J9" s="134">
        <f>SUM(K9/I9)</f>
        <v>1</v>
      </c>
      <c r="K9" s="165">
        <f>SUM(K5:K8)</f>
        <v>8</v>
      </c>
      <c r="L9" s="59" t="e">
        <f>#REF!+L5</f>
        <v>#REF!</v>
      </c>
      <c r="M9" s="59"/>
      <c r="N9" s="59">
        <f>SUM(N5:N8)</f>
        <v>3</v>
      </c>
      <c r="O9" s="123">
        <f>P9/N9</f>
        <v>0.58333333333333337</v>
      </c>
      <c r="P9" s="123">
        <f>SUM(P5:P8)</f>
        <v>1.75</v>
      </c>
      <c r="Q9" s="116">
        <f>SUM(Q5:Q8)</f>
        <v>9.75</v>
      </c>
      <c r="R9" s="124"/>
      <c r="S9" s="166">
        <f>SUM(S5:S8)</f>
        <v>247.35750000000002</v>
      </c>
    </row>
    <row r="10" spans="1:19" s="17" customFormat="1" ht="25.5" customHeight="1" thickBot="1" x14ac:dyDescent="0.3">
      <c r="A10" s="226" t="s">
        <v>6</v>
      </c>
      <c r="B10" s="227"/>
      <c r="C10" s="227"/>
      <c r="D10" s="227"/>
      <c r="E10" s="227"/>
      <c r="F10" s="227"/>
      <c r="G10" s="227"/>
      <c r="H10" s="227"/>
      <c r="I10" s="227"/>
      <c r="J10" s="227"/>
      <c r="K10" s="227"/>
      <c r="L10" s="227"/>
      <c r="M10" s="227"/>
      <c r="N10" s="227"/>
      <c r="O10" s="227"/>
      <c r="P10" s="227"/>
      <c r="Q10" s="227"/>
      <c r="R10" s="227"/>
      <c r="S10" s="228"/>
    </row>
    <row r="11" spans="1:19" ht="75" customHeight="1" thickBot="1" x14ac:dyDescent="0.25">
      <c r="A11" s="211" t="s">
        <v>34</v>
      </c>
      <c r="B11" s="208" t="s">
        <v>10</v>
      </c>
      <c r="C11" s="7" t="s">
        <v>121</v>
      </c>
      <c r="D11" s="7" t="s">
        <v>124</v>
      </c>
      <c r="E11" s="7" t="s">
        <v>54</v>
      </c>
      <c r="F11" s="53">
        <f>$G$11+$L$11</f>
        <v>20</v>
      </c>
      <c r="G11" s="213">
        <v>15</v>
      </c>
      <c r="H11" s="42">
        <v>1</v>
      </c>
      <c r="I11" s="43">
        <f>SUM(G11*H11)</f>
        <v>15</v>
      </c>
      <c r="J11" s="80">
        <f>15/60</f>
        <v>0.25</v>
      </c>
      <c r="K11" s="45">
        <f>SUM(I11*J11)</f>
        <v>3.75</v>
      </c>
      <c r="L11" s="232">
        <v>5</v>
      </c>
      <c r="M11" s="59">
        <v>1</v>
      </c>
      <c r="N11" s="59">
        <f>SUM($L$11*M11)</f>
        <v>5</v>
      </c>
      <c r="O11" s="117">
        <f t="shared" ref="O11:O28" si="4">J11</f>
        <v>0.25</v>
      </c>
      <c r="P11" s="118">
        <f>SUM(N11*O11)</f>
        <v>1.25</v>
      </c>
      <c r="Q11" s="58">
        <f t="shared" ref="Q11:Q28" si="5">SUM(K11+P11)</f>
        <v>5</v>
      </c>
      <c r="R11" s="119">
        <v>33.380000000000003</v>
      </c>
      <c r="S11" s="120">
        <f t="shared" ref="S11:S28" si="6">R11*Q11</f>
        <v>166.9</v>
      </c>
    </row>
    <row r="12" spans="1:19" ht="74.25" customHeight="1" thickBot="1" x14ac:dyDescent="0.25">
      <c r="A12" s="212"/>
      <c r="B12" s="209"/>
      <c r="C12" s="7" t="s">
        <v>122</v>
      </c>
      <c r="D12" s="7" t="s">
        <v>117</v>
      </c>
      <c r="E12" s="7" t="s">
        <v>54</v>
      </c>
      <c r="F12" s="53">
        <f t="shared" ref="F12:F18" si="7">$G$11+$L$11</f>
        <v>20</v>
      </c>
      <c r="G12" s="214"/>
      <c r="H12" s="42">
        <v>1</v>
      </c>
      <c r="I12" s="43">
        <v>15</v>
      </c>
      <c r="J12" s="80">
        <f>15/60</f>
        <v>0.25</v>
      </c>
      <c r="K12" s="45">
        <f>SUM(I12*J12)</f>
        <v>3.75</v>
      </c>
      <c r="L12" s="233"/>
      <c r="M12" s="59">
        <v>1</v>
      </c>
      <c r="N12" s="59">
        <f t="shared" ref="N12:N17" si="8">SUM($L$11*M12)</f>
        <v>5</v>
      </c>
      <c r="O12" s="117">
        <f t="shared" si="4"/>
        <v>0.25</v>
      </c>
      <c r="P12" s="118">
        <f>SUM(N12*O12)</f>
        <v>1.25</v>
      </c>
      <c r="Q12" s="58">
        <f t="shared" si="5"/>
        <v>5</v>
      </c>
      <c r="R12" s="119">
        <v>33.380000000000003</v>
      </c>
      <c r="S12" s="120">
        <f t="shared" si="6"/>
        <v>166.9</v>
      </c>
    </row>
    <row r="13" spans="1:19" ht="68.25" customHeight="1" thickBot="1" x14ac:dyDescent="0.25">
      <c r="A13" s="212"/>
      <c r="B13" s="209"/>
      <c r="C13" s="7" t="s">
        <v>85</v>
      </c>
      <c r="D13" s="7" t="s">
        <v>86</v>
      </c>
      <c r="E13" s="6" t="s">
        <v>131</v>
      </c>
      <c r="F13" s="53">
        <f t="shared" si="7"/>
        <v>20</v>
      </c>
      <c r="G13" s="214"/>
      <c r="H13" s="42">
        <v>2</v>
      </c>
      <c r="I13" s="43">
        <f>G11*H13</f>
        <v>30</v>
      </c>
      <c r="J13" s="80">
        <v>0.25</v>
      </c>
      <c r="K13" s="45">
        <f>J13*I13</f>
        <v>7.5</v>
      </c>
      <c r="L13" s="233"/>
      <c r="M13" s="59">
        <v>0</v>
      </c>
      <c r="N13" s="59">
        <f t="shared" si="8"/>
        <v>0</v>
      </c>
      <c r="O13" s="117">
        <f t="shared" si="4"/>
        <v>0.25</v>
      </c>
      <c r="P13" s="118">
        <f>SUM(N13*O13)</f>
        <v>0</v>
      </c>
      <c r="Q13" s="58">
        <f t="shared" si="5"/>
        <v>7.5</v>
      </c>
      <c r="R13" s="119">
        <v>33.380000000000003</v>
      </c>
      <c r="S13" s="120">
        <f>Q13*R13</f>
        <v>250.35000000000002</v>
      </c>
    </row>
    <row r="14" spans="1:19" ht="24" customHeight="1" thickBot="1" x14ac:dyDescent="0.25">
      <c r="A14" s="212"/>
      <c r="B14" s="209"/>
      <c r="C14" s="7" t="s">
        <v>42</v>
      </c>
      <c r="D14" s="7"/>
      <c r="E14" s="7" t="s">
        <v>135</v>
      </c>
      <c r="F14" s="53">
        <f t="shared" si="7"/>
        <v>20</v>
      </c>
      <c r="G14" s="215"/>
      <c r="H14" s="42">
        <v>1</v>
      </c>
      <c r="I14" s="43">
        <f>SUM(G11*H14)</f>
        <v>15</v>
      </c>
      <c r="J14" s="80">
        <v>0.5</v>
      </c>
      <c r="K14" s="45">
        <f>SUM(I14*J14)</f>
        <v>7.5</v>
      </c>
      <c r="L14" s="233"/>
      <c r="M14" s="59">
        <v>0</v>
      </c>
      <c r="N14" s="59">
        <f t="shared" si="8"/>
        <v>0</v>
      </c>
      <c r="O14" s="117">
        <f t="shared" si="4"/>
        <v>0.5</v>
      </c>
      <c r="P14" s="118">
        <f t="shared" ref="P14:P28" si="9">SUM(N14*O14)</f>
        <v>0</v>
      </c>
      <c r="Q14" s="61">
        <f t="shared" si="5"/>
        <v>7.5</v>
      </c>
      <c r="R14" s="119">
        <v>33.380000000000003</v>
      </c>
      <c r="S14" s="120">
        <f>Q14*R14</f>
        <v>250.35000000000002</v>
      </c>
    </row>
    <row r="15" spans="1:19" ht="67.5" customHeight="1" thickBot="1" x14ac:dyDescent="0.25">
      <c r="A15" s="212"/>
      <c r="B15" s="209"/>
      <c r="C15" s="7" t="s">
        <v>87</v>
      </c>
      <c r="D15" s="7" t="s">
        <v>88</v>
      </c>
      <c r="E15" s="6" t="s">
        <v>131</v>
      </c>
      <c r="F15" s="53">
        <f t="shared" si="7"/>
        <v>20</v>
      </c>
      <c r="G15" s="215"/>
      <c r="H15" s="42">
        <v>1</v>
      </c>
      <c r="I15" s="43">
        <f>G11*H15</f>
        <v>15</v>
      </c>
      <c r="J15" s="80">
        <v>0.5</v>
      </c>
      <c r="K15" s="45">
        <f>J15*I15</f>
        <v>7.5</v>
      </c>
      <c r="L15" s="233"/>
      <c r="M15" s="59">
        <v>0</v>
      </c>
      <c r="N15" s="59">
        <f t="shared" si="8"/>
        <v>0</v>
      </c>
      <c r="O15" s="117">
        <f t="shared" si="4"/>
        <v>0.5</v>
      </c>
      <c r="P15" s="118">
        <f t="shared" si="9"/>
        <v>0</v>
      </c>
      <c r="Q15" s="61">
        <f t="shared" si="5"/>
        <v>7.5</v>
      </c>
      <c r="R15" s="119">
        <v>33.380000000000003</v>
      </c>
      <c r="S15" s="120">
        <f>Q15*R15</f>
        <v>250.35000000000002</v>
      </c>
    </row>
    <row r="16" spans="1:19" ht="42.75" customHeight="1" thickBot="1" x14ac:dyDescent="0.25">
      <c r="A16" s="212"/>
      <c r="B16" s="209"/>
      <c r="C16" s="7" t="s">
        <v>44</v>
      </c>
      <c r="D16" s="7"/>
      <c r="E16" s="7" t="s">
        <v>135</v>
      </c>
      <c r="F16" s="53">
        <f t="shared" si="7"/>
        <v>20</v>
      </c>
      <c r="G16" s="215"/>
      <c r="H16" s="42">
        <v>3</v>
      </c>
      <c r="I16" s="43">
        <f>SUM(G11*H16)</f>
        <v>45</v>
      </c>
      <c r="J16" s="80">
        <v>0.75</v>
      </c>
      <c r="K16" s="45">
        <f>SUM(I16*J16)</f>
        <v>33.75</v>
      </c>
      <c r="L16" s="233"/>
      <c r="M16" s="59">
        <v>0</v>
      </c>
      <c r="N16" s="59">
        <f t="shared" si="8"/>
        <v>0</v>
      </c>
      <c r="O16" s="117">
        <f t="shared" si="4"/>
        <v>0.75</v>
      </c>
      <c r="P16" s="118">
        <f t="shared" si="9"/>
        <v>0</v>
      </c>
      <c r="Q16" s="61">
        <f t="shared" si="5"/>
        <v>33.75</v>
      </c>
      <c r="R16" s="119">
        <v>33.380000000000003</v>
      </c>
      <c r="S16" s="120">
        <f>Q16*R16</f>
        <v>1126.575</v>
      </c>
    </row>
    <row r="17" spans="1:19" ht="66" customHeight="1" thickBot="1" x14ac:dyDescent="0.25">
      <c r="A17" s="212"/>
      <c r="B17" s="209"/>
      <c r="C17" s="7" t="s">
        <v>89</v>
      </c>
      <c r="D17" s="7" t="s">
        <v>90</v>
      </c>
      <c r="E17" s="6" t="s">
        <v>131</v>
      </c>
      <c r="F17" s="53">
        <f t="shared" si="7"/>
        <v>20</v>
      </c>
      <c r="G17" s="215"/>
      <c r="H17" s="42">
        <v>2</v>
      </c>
      <c r="I17" s="43">
        <f>G11*H17</f>
        <v>30</v>
      </c>
      <c r="J17" s="80">
        <v>0.25</v>
      </c>
      <c r="K17" s="45">
        <f>J17*I17</f>
        <v>7.5</v>
      </c>
      <c r="L17" s="233"/>
      <c r="M17" s="59">
        <v>0</v>
      </c>
      <c r="N17" s="59">
        <f t="shared" si="8"/>
        <v>0</v>
      </c>
      <c r="O17" s="117">
        <f t="shared" si="4"/>
        <v>0.25</v>
      </c>
      <c r="P17" s="118">
        <f t="shared" si="9"/>
        <v>0</v>
      </c>
      <c r="Q17" s="61">
        <f t="shared" si="5"/>
        <v>7.5</v>
      </c>
      <c r="R17" s="119">
        <v>33.380000000000003</v>
      </c>
      <c r="S17" s="120">
        <f>Q17*R17</f>
        <v>250.35000000000002</v>
      </c>
    </row>
    <row r="18" spans="1:19" ht="54" customHeight="1" thickBot="1" x14ac:dyDescent="0.25">
      <c r="A18" s="212"/>
      <c r="B18" s="210"/>
      <c r="C18" s="7" t="s">
        <v>65</v>
      </c>
      <c r="D18" s="7"/>
      <c r="E18" s="7" t="s">
        <v>71</v>
      </c>
      <c r="F18" s="53">
        <f t="shared" si="7"/>
        <v>20</v>
      </c>
      <c r="G18" s="222"/>
      <c r="H18" s="42">
        <v>1</v>
      </c>
      <c r="I18" s="43">
        <f>SUM(G11*H18)</f>
        <v>15</v>
      </c>
      <c r="J18" s="80">
        <v>1</v>
      </c>
      <c r="K18" s="45">
        <f>SUM(I18*J18)</f>
        <v>15</v>
      </c>
      <c r="L18" s="234"/>
      <c r="M18" s="59">
        <v>0</v>
      </c>
      <c r="N18" s="59">
        <f t="shared" ref="N18:N29" si="10">SUM(L18*M18)</f>
        <v>0</v>
      </c>
      <c r="O18" s="117">
        <f t="shared" si="4"/>
        <v>1</v>
      </c>
      <c r="P18" s="118">
        <f t="shared" si="9"/>
        <v>0</v>
      </c>
      <c r="Q18" s="61">
        <f t="shared" si="5"/>
        <v>15</v>
      </c>
      <c r="R18" s="119">
        <v>33.380000000000003</v>
      </c>
      <c r="S18" s="120">
        <f t="shared" si="6"/>
        <v>500.70000000000005</v>
      </c>
    </row>
    <row r="19" spans="1:19" ht="75" customHeight="1" thickBot="1" x14ac:dyDescent="0.25">
      <c r="A19" s="211" t="s">
        <v>34</v>
      </c>
      <c r="B19" s="208" t="s">
        <v>12</v>
      </c>
      <c r="C19" s="7" t="s">
        <v>121</v>
      </c>
      <c r="D19" s="7" t="s">
        <v>126</v>
      </c>
      <c r="E19" s="7" t="s">
        <v>54</v>
      </c>
      <c r="F19" s="53">
        <f>$G$19+$L$19</f>
        <v>180</v>
      </c>
      <c r="G19" s="213">
        <v>150</v>
      </c>
      <c r="H19" s="42">
        <v>1</v>
      </c>
      <c r="I19" s="43">
        <f>SUM($G$19*H19)</f>
        <v>150</v>
      </c>
      <c r="J19" s="80">
        <f>12/60</f>
        <v>0.2</v>
      </c>
      <c r="K19" s="45">
        <f>SUM(I19*J19)</f>
        <v>30</v>
      </c>
      <c r="L19" s="232">
        <v>30</v>
      </c>
      <c r="M19" s="59">
        <f>H19</f>
        <v>1</v>
      </c>
      <c r="N19" s="59">
        <f>$L$19*M19</f>
        <v>30</v>
      </c>
      <c r="O19" s="117">
        <f t="shared" si="4"/>
        <v>0.2</v>
      </c>
      <c r="P19" s="118">
        <f t="shared" si="9"/>
        <v>6</v>
      </c>
      <c r="Q19" s="58">
        <f t="shared" si="5"/>
        <v>36</v>
      </c>
      <c r="R19" s="119">
        <v>10.72</v>
      </c>
      <c r="S19" s="120">
        <f t="shared" si="6"/>
        <v>385.92</v>
      </c>
    </row>
    <row r="20" spans="1:19" ht="72.75" customHeight="1" thickBot="1" x14ac:dyDescent="0.25">
      <c r="A20" s="212"/>
      <c r="B20" s="209"/>
      <c r="C20" s="7" t="s">
        <v>122</v>
      </c>
      <c r="D20" s="7" t="s">
        <v>127</v>
      </c>
      <c r="E20" s="7" t="s">
        <v>118</v>
      </c>
      <c r="F20" s="53">
        <f t="shared" ref="F20:F27" si="11">$G$19+$L$19</f>
        <v>180</v>
      </c>
      <c r="G20" s="214"/>
      <c r="H20" s="42">
        <v>1</v>
      </c>
      <c r="I20" s="43">
        <f>SUM($G$19*H20)</f>
        <v>150</v>
      </c>
      <c r="J20" s="80">
        <f>15/60</f>
        <v>0.25</v>
      </c>
      <c r="K20" s="45">
        <f>SUM(I20*J20)</f>
        <v>37.5</v>
      </c>
      <c r="L20" s="233"/>
      <c r="M20" s="59">
        <f t="shared" ref="M20:M21" si="12">H20</f>
        <v>1</v>
      </c>
      <c r="N20" s="59">
        <f t="shared" ref="N20:N28" si="13">$L$19*M20</f>
        <v>30</v>
      </c>
      <c r="O20" s="117">
        <f t="shared" si="4"/>
        <v>0.25</v>
      </c>
      <c r="P20" s="118">
        <f t="shared" si="9"/>
        <v>7.5</v>
      </c>
      <c r="Q20" s="58">
        <f t="shared" si="5"/>
        <v>45</v>
      </c>
      <c r="R20" s="119">
        <v>10.72</v>
      </c>
      <c r="S20" s="120">
        <f t="shared" si="6"/>
        <v>482.40000000000003</v>
      </c>
    </row>
    <row r="21" spans="1:19" ht="79.5" customHeight="1" thickBot="1" x14ac:dyDescent="0.25">
      <c r="A21" s="212"/>
      <c r="B21" s="209"/>
      <c r="C21" s="7" t="s">
        <v>123</v>
      </c>
      <c r="D21" s="7" t="s">
        <v>125</v>
      </c>
      <c r="E21" s="7" t="s">
        <v>118</v>
      </c>
      <c r="F21" s="53">
        <f t="shared" si="11"/>
        <v>180</v>
      </c>
      <c r="G21" s="214"/>
      <c r="H21" s="42">
        <v>1</v>
      </c>
      <c r="I21" s="43">
        <f>SUM($G$19*H21)</f>
        <v>150</v>
      </c>
      <c r="J21" s="130">
        <f>5/60</f>
        <v>8.3333333333333329E-2</v>
      </c>
      <c r="K21" s="45">
        <f>SUM(I21*J21)</f>
        <v>12.5</v>
      </c>
      <c r="L21" s="233"/>
      <c r="M21" s="59">
        <f t="shared" si="12"/>
        <v>1</v>
      </c>
      <c r="N21" s="59">
        <f t="shared" si="13"/>
        <v>30</v>
      </c>
      <c r="O21" s="131">
        <f t="shared" si="4"/>
        <v>8.3333333333333329E-2</v>
      </c>
      <c r="P21" s="118">
        <f t="shared" si="9"/>
        <v>2.5</v>
      </c>
      <c r="Q21" s="58">
        <f t="shared" si="5"/>
        <v>15</v>
      </c>
      <c r="R21" s="119">
        <v>10.72</v>
      </c>
      <c r="S21" s="120">
        <f t="shared" si="6"/>
        <v>160.80000000000001</v>
      </c>
    </row>
    <row r="22" spans="1:19" ht="69" customHeight="1" thickBot="1" x14ac:dyDescent="0.25">
      <c r="A22" s="212"/>
      <c r="B22" s="209"/>
      <c r="C22" s="7" t="s">
        <v>91</v>
      </c>
      <c r="D22" s="7" t="s">
        <v>92</v>
      </c>
      <c r="E22" s="6" t="s">
        <v>131</v>
      </c>
      <c r="F22" s="53">
        <f t="shared" si="11"/>
        <v>180</v>
      </c>
      <c r="G22" s="214"/>
      <c r="H22" s="42">
        <v>1</v>
      </c>
      <c r="I22" s="43">
        <f>G19*H22</f>
        <v>150</v>
      </c>
      <c r="J22" s="80">
        <f>15/60</f>
        <v>0.25</v>
      </c>
      <c r="K22" s="45">
        <f>SUM(I22*J22)</f>
        <v>37.5</v>
      </c>
      <c r="L22" s="233"/>
      <c r="M22" s="59">
        <v>0</v>
      </c>
      <c r="N22" s="59">
        <f t="shared" si="13"/>
        <v>0</v>
      </c>
      <c r="O22" s="117">
        <f t="shared" si="4"/>
        <v>0.25</v>
      </c>
      <c r="P22" s="118">
        <f t="shared" si="9"/>
        <v>0</v>
      </c>
      <c r="Q22" s="58">
        <f t="shared" si="5"/>
        <v>37.5</v>
      </c>
      <c r="R22" s="119">
        <v>10.72</v>
      </c>
      <c r="S22" s="120">
        <f t="shared" si="6"/>
        <v>402</v>
      </c>
    </row>
    <row r="23" spans="1:19" ht="43.5" customHeight="1" thickBot="1" x14ac:dyDescent="0.25">
      <c r="A23" s="212"/>
      <c r="B23" s="209"/>
      <c r="C23" s="7" t="s">
        <v>45</v>
      </c>
      <c r="D23" s="7"/>
      <c r="E23" s="7" t="s">
        <v>135</v>
      </c>
      <c r="F23" s="53">
        <f t="shared" si="11"/>
        <v>180</v>
      </c>
      <c r="G23" s="214"/>
      <c r="H23" s="42">
        <v>1</v>
      </c>
      <c r="I23" s="43">
        <f>G19*H23</f>
        <v>150</v>
      </c>
      <c r="J23" s="80">
        <f>30/60</f>
        <v>0.5</v>
      </c>
      <c r="K23" s="45">
        <f>I23*J23</f>
        <v>75</v>
      </c>
      <c r="L23" s="233"/>
      <c r="M23" s="59">
        <v>0</v>
      </c>
      <c r="N23" s="59">
        <f t="shared" si="13"/>
        <v>0</v>
      </c>
      <c r="O23" s="117">
        <f t="shared" si="4"/>
        <v>0.5</v>
      </c>
      <c r="P23" s="118">
        <f t="shared" si="9"/>
        <v>0</v>
      </c>
      <c r="Q23" s="58">
        <f t="shared" si="5"/>
        <v>75</v>
      </c>
      <c r="R23" s="119">
        <v>10.72</v>
      </c>
      <c r="S23" s="120">
        <f t="shared" si="6"/>
        <v>804</v>
      </c>
    </row>
    <row r="24" spans="1:19" ht="43.5" customHeight="1" thickBot="1" x14ac:dyDescent="0.25">
      <c r="A24" s="212"/>
      <c r="B24" s="209"/>
      <c r="C24" s="7" t="s">
        <v>46</v>
      </c>
      <c r="D24" s="7"/>
      <c r="E24" s="6" t="s">
        <v>131</v>
      </c>
      <c r="F24" s="53">
        <f t="shared" si="11"/>
        <v>180</v>
      </c>
      <c r="G24" s="214"/>
      <c r="H24" s="42">
        <v>2</v>
      </c>
      <c r="I24" s="43">
        <f>G19*H24</f>
        <v>300</v>
      </c>
      <c r="J24" s="80">
        <f>15/60</f>
        <v>0.25</v>
      </c>
      <c r="K24" s="45">
        <f>J24*I24</f>
        <v>75</v>
      </c>
      <c r="L24" s="233"/>
      <c r="M24" s="59">
        <v>0</v>
      </c>
      <c r="N24" s="59">
        <f t="shared" si="13"/>
        <v>0</v>
      </c>
      <c r="O24" s="117">
        <f t="shared" si="4"/>
        <v>0.25</v>
      </c>
      <c r="P24" s="118">
        <f t="shared" si="9"/>
        <v>0</v>
      </c>
      <c r="Q24" s="58">
        <f t="shared" si="5"/>
        <v>75</v>
      </c>
      <c r="R24" s="119">
        <v>10.72</v>
      </c>
      <c r="S24" s="120">
        <f t="shared" si="6"/>
        <v>804</v>
      </c>
    </row>
    <row r="25" spans="1:19" ht="43.5" customHeight="1" thickBot="1" x14ac:dyDescent="0.25">
      <c r="A25" s="212"/>
      <c r="B25" s="209"/>
      <c r="C25" s="7" t="s">
        <v>93</v>
      </c>
      <c r="D25" s="7" t="s">
        <v>94</v>
      </c>
      <c r="E25" s="7" t="s">
        <v>70</v>
      </c>
      <c r="F25" s="53">
        <f t="shared" si="11"/>
        <v>180</v>
      </c>
      <c r="G25" s="214"/>
      <c r="H25" s="42">
        <v>1</v>
      </c>
      <c r="I25" s="43">
        <f>G19*H25</f>
        <v>150</v>
      </c>
      <c r="J25" s="80">
        <v>0.25</v>
      </c>
      <c r="K25" s="45">
        <f>J25*I25</f>
        <v>37.5</v>
      </c>
      <c r="L25" s="233"/>
      <c r="M25" s="59">
        <v>0</v>
      </c>
      <c r="N25" s="59">
        <f t="shared" si="13"/>
        <v>0</v>
      </c>
      <c r="O25" s="117">
        <f t="shared" si="4"/>
        <v>0.25</v>
      </c>
      <c r="P25" s="118">
        <f t="shared" si="9"/>
        <v>0</v>
      </c>
      <c r="Q25" s="58">
        <f t="shared" si="5"/>
        <v>37.5</v>
      </c>
      <c r="R25" s="119">
        <v>10.72</v>
      </c>
      <c r="S25" s="120">
        <f t="shared" si="6"/>
        <v>402</v>
      </c>
    </row>
    <row r="26" spans="1:19" ht="82.5" customHeight="1" thickBot="1" x14ac:dyDescent="0.25">
      <c r="A26" s="212"/>
      <c r="B26" s="209"/>
      <c r="C26" s="7" t="s">
        <v>95</v>
      </c>
      <c r="D26" s="7"/>
      <c r="E26" s="7" t="s">
        <v>61</v>
      </c>
      <c r="F26" s="53">
        <f t="shared" si="11"/>
        <v>180</v>
      </c>
      <c r="G26" s="215"/>
      <c r="H26" s="42">
        <v>22</v>
      </c>
      <c r="I26" s="43">
        <f>SUM(G19*H26)</f>
        <v>3300</v>
      </c>
      <c r="J26" s="80">
        <v>0.25</v>
      </c>
      <c r="K26" s="45">
        <f>J26*I26</f>
        <v>825</v>
      </c>
      <c r="L26" s="233"/>
      <c r="M26" s="59">
        <v>0</v>
      </c>
      <c r="N26" s="59">
        <f t="shared" si="13"/>
        <v>0</v>
      </c>
      <c r="O26" s="117">
        <f t="shared" si="4"/>
        <v>0.25</v>
      </c>
      <c r="P26" s="118">
        <f t="shared" si="9"/>
        <v>0</v>
      </c>
      <c r="Q26" s="61">
        <f>SUM(K26+P26)</f>
        <v>825</v>
      </c>
      <c r="R26" s="119">
        <v>10.72</v>
      </c>
      <c r="S26" s="120">
        <f t="shared" si="6"/>
        <v>8844</v>
      </c>
    </row>
    <row r="27" spans="1:19" ht="69.75" customHeight="1" thickBot="1" x14ac:dyDescent="0.25">
      <c r="A27" s="212"/>
      <c r="B27" s="209"/>
      <c r="C27" s="7" t="s">
        <v>74</v>
      </c>
      <c r="D27" s="7"/>
      <c r="E27" s="6" t="s">
        <v>131</v>
      </c>
      <c r="F27" s="53">
        <f t="shared" si="11"/>
        <v>180</v>
      </c>
      <c r="G27" s="215"/>
      <c r="H27" s="42">
        <v>2</v>
      </c>
      <c r="I27" s="43">
        <f>G19*H27</f>
        <v>300</v>
      </c>
      <c r="J27" s="80">
        <f>15/60</f>
        <v>0.25</v>
      </c>
      <c r="K27" s="45">
        <f>J27*I27</f>
        <v>75</v>
      </c>
      <c r="L27" s="233"/>
      <c r="M27" s="59">
        <v>0</v>
      </c>
      <c r="N27" s="59">
        <f t="shared" si="13"/>
        <v>0</v>
      </c>
      <c r="O27" s="117">
        <f t="shared" si="4"/>
        <v>0.25</v>
      </c>
      <c r="P27" s="118">
        <f t="shared" si="9"/>
        <v>0</v>
      </c>
      <c r="Q27" s="61">
        <f>SUM(K27+P27)</f>
        <v>75</v>
      </c>
      <c r="R27" s="119">
        <v>10.72</v>
      </c>
      <c r="S27" s="120">
        <f t="shared" si="6"/>
        <v>804</v>
      </c>
    </row>
    <row r="28" spans="1:19" ht="58.5" customHeight="1" thickBot="1" x14ac:dyDescent="0.25">
      <c r="A28" s="212"/>
      <c r="B28" s="210"/>
      <c r="C28" s="7" t="s">
        <v>75</v>
      </c>
      <c r="D28" s="7"/>
      <c r="E28" s="7" t="s">
        <v>72</v>
      </c>
      <c r="F28" s="53">
        <f>$G$19+L19</f>
        <v>180</v>
      </c>
      <c r="G28" s="215"/>
      <c r="H28" s="42">
        <v>1</v>
      </c>
      <c r="I28" s="43">
        <f>SUM(G19*H28)</f>
        <v>150</v>
      </c>
      <c r="J28" s="80">
        <f>30/60</f>
        <v>0.5</v>
      </c>
      <c r="K28" s="45">
        <f>SUM(I28*J28)</f>
        <v>75</v>
      </c>
      <c r="L28" s="234"/>
      <c r="M28" s="59">
        <v>0</v>
      </c>
      <c r="N28" s="59">
        <f t="shared" si="13"/>
        <v>0</v>
      </c>
      <c r="O28" s="117">
        <f t="shared" si="4"/>
        <v>0.5</v>
      </c>
      <c r="P28" s="118">
        <f t="shared" si="9"/>
        <v>0</v>
      </c>
      <c r="Q28" s="61">
        <f t="shared" si="5"/>
        <v>75</v>
      </c>
      <c r="R28" s="119">
        <v>10.72</v>
      </c>
      <c r="S28" s="120">
        <f t="shared" si="6"/>
        <v>804</v>
      </c>
    </row>
    <row r="29" spans="1:19" s="2" customFormat="1" ht="18.75" customHeight="1" thickBot="1" x14ac:dyDescent="0.25">
      <c r="A29" s="219" t="s">
        <v>31</v>
      </c>
      <c r="B29" s="220"/>
      <c r="C29" s="220"/>
      <c r="D29" s="220"/>
      <c r="E29" s="220"/>
      <c r="F29" s="221"/>
      <c r="G29" s="32">
        <f>G11+G19</f>
        <v>165</v>
      </c>
      <c r="H29" s="133">
        <f>SUM(I29/G29)</f>
        <v>31.09090909090909</v>
      </c>
      <c r="I29" s="135">
        <f>SUM(I11:I28)</f>
        <v>5130</v>
      </c>
      <c r="J29" s="134">
        <f>SUM(K29/I29)</f>
        <v>0.26632553606237819</v>
      </c>
      <c r="K29" s="31">
        <f>SUM(K11:K28)</f>
        <v>1366.25</v>
      </c>
      <c r="L29" s="172">
        <v>35</v>
      </c>
      <c r="M29" s="168"/>
      <c r="N29" s="168">
        <f t="shared" si="10"/>
        <v>0</v>
      </c>
      <c r="O29" s="169">
        <v>0</v>
      </c>
      <c r="P29" s="170">
        <f>SUM(P11:P28)</f>
        <v>18.5</v>
      </c>
      <c r="Q29" s="121">
        <f>SUM(K29+P29)</f>
        <v>1384.75</v>
      </c>
      <c r="R29" s="171"/>
      <c r="S29" s="155">
        <f>SUM(S11:S28)</f>
        <v>16855.595000000001</v>
      </c>
    </row>
    <row r="30" spans="1:19" s="2" customFormat="1" ht="24.75" customHeight="1" thickBot="1" x14ac:dyDescent="0.25">
      <c r="A30" s="223" t="s">
        <v>14</v>
      </c>
      <c r="B30" s="224"/>
      <c r="C30" s="224"/>
      <c r="D30" s="224"/>
      <c r="E30" s="224"/>
      <c r="F30" s="224"/>
      <c r="G30" s="224"/>
      <c r="H30" s="224"/>
      <c r="I30" s="224"/>
      <c r="J30" s="224"/>
      <c r="K30" s="224"/>
      <c r="L30" s="224"/>
      <c r="M30" s="224"/>
      <c r="N30" s="224"/>
      <c r="O30" s="224"/>
      <c r="P30" s="224"/>
      <c r="Q30" s="224"/>
      <c r="R30" s="224"/>
      <c r="S30" s="225"/>
    </row>
    <row r="31" spans="1:19" ht="68.25" customHeight="1" thickBot="1" x14ac:dyDescent="0.25">
      <c r="A31" s="211" t="s">
        <v>14</v>
      </c>
      <c r="B31" s="208" t="s">
        <v>15</v>
      </c>
      <c r="C31" s="79" t="s">
        <v>115</v>
      </c>
      <c r="D31" s="79" t="s">
        <v>128</v>
      </c>
      <c r="E31" s="79" t="s">
        <v>54</v>
      </c>
      <c r="F31" s="106">
        <f>$G$31+$L$31</f>
        <v>750</v>
      </c>
      <c r="G31" s="238">
        <v>600</v>
      </c>
      <c r="H31" s="106">
        <v>1</v>
      </c>
      <c r="I31" s="107">
        <f>SUM($G$31*H31)</f>
        <v>600</v>
      </c>
      <c r="J31" s="80">
        <f>6/60</f>
        <v>0.1</v>
      </c>
      <c r="K31" s="45">
        <f>SUM(I31*J31)</f>
        <v>60</v>
      </c>
      <c r="L31" s="262">
        <v>150</v>
      </c>
      <c r="M31" s="56">
        <v>1</v>
      </c>
      <c r="N31" s="50">
        <f>SUM(L31*M31)</f>
        <v>150</v>
      </c>
      <c r="O31" s="57">
        <f>J31</f>
        <v>0.1</v>
      </c>
      <c r="P31" s="57">
        <f>N31*O31</f>
        <v>15</v>
      </c>
      <c r="Q31" s="58">
        <f>SUM(K31+P31)</f>
        <v>75</v>
      </c>
      <c r="R31" s="119">
        <v>14.5</v>
      </c>
      <c r="S31" s="120">
        <f>R31*Q31</f>
        <v>1087.5</v>
      </c>
    </row>
    <row r="32" spans="1:19" ht="69.75" customHeight="1" thickBot="1" x14ac:dyDescent="0.25">
      <c r="A32" s="212"/>
      <c r="B32" s="209"/>
      <c r="C32" s="79" t="s">
        <v>116</v>
      </c>
      <c r="D32" s="79" t="s">
        <v>129</v>
      </c>
      <c r="E32" s="79" t="s">
        <v>54</v>
      </c>
      <c r="F32" s="106">
        <f t="shared" ref="F32:F34" si="14">$G$31+$L$31</f>
        <v>750</v>
      </c>
      <c r="G32" s="239"/>
      <c r="H32" s="106">
        <v>1</v>
      </c>
      <c r="I32" s="107">
        <f t="shared" ref="I32:I33" si="15">SUM($G$31*H32)</f>
        <v>600</v>
      </c>
      <c r="J32" s="80">
        <f>6/60</f>
        <v>0.1</v>
      </c>
      <c r="K32" s="45">
        <f t="shared" ref="K32:K33" si="16">SUM(I32*J32)</f>
        <v>60</v>
      </c>
      <c r="L32" s="263"/>
      <c r="M32" s="56">
        <v>1</v>
      </c>
      <c r="N32" s="50">
        <f t="shared" ref="N32:N33" si="17">SUM(L32*M32)</f>
        <v>0</v>
      </c>
      <c r="O32" s="57">
        <f t="shared" ref="O32:O33" si="18">J32</f>
        <v>0.1</v>
      </c>
      <c r="P32" s="57">
        <f>O32*N32</f>
        <v>0</v>
      </c>
      <c r="Q32" s="58">
        <f t="shared" ref="Q32:Q33" si="19">SUM(K32+P32)</f>
        <v>60</v>
      </c>
      <c r="R32" s="119">
        <v>14.5</v>
      </c>
      <c r="S32" s="120">
        <f t="shared" ref="S32:S33" si="20">R32*Q32</f>
        <v>870</v>
      </c>
    </row>
    <row r="33" spans="1:19" ht="66" customHeight="1" thickBot="1" x14ac:dyDescent="0.25">
      <c r="A33" s="212"/>
      <c r="B33" s="209"/>
      <c r="C33" s="79" t="s">
        <v>119</v>
      </c>
      <c r="D33" s="79" t="s">
        <v>120</v>
      </c>
      <c r="E33" s="79" t="s">
        <v>54</v>
      </c>
      <c r="F33" s="106">
        <f t="shared" si="14"/>
        <v>750</v>
      </c>
      <c r="G33" s="239"/>
      <c r="H33" s="106">
        <v>1</v>
      </c>
      <c r="I33" s="107">
        <f t="shared" si="15"/>
        <v>600</v>
      </c>
      <c r="J33" s="80">
        <f>6/60</f>
        <v>0.1</v>
      </c>
      <c r="K33" s="45">
        <f t="shared" si="16"/>
        <v>60</v>
      </c>
      <c r="L33" s="263"/>
      <c r="M33" s="56">
        <v>1</v>
      </c>
      <c r="N33" s="50">
        <f t="shared" si="17"/>
        <v>0</v>
      </c>
      <c r="O33" s="57">
        <f t="shared" si="18"/>
        <v>0.1</v>
      </c>
      <c r="P33" s="57">
        <f>O33*N33</f>
        <v>0</v>
      </c>
      <c r="Q33" s="58">
        <f t="shared" si="19"/>
        <v>60</v>
      </c>
      <c r="R33" s="119">
        <v>14.5</v>
      </c>
      <c r="S33" s="120">
        <f t="shared" si="20"/>
        <v>870</v>
      </c>
    </row>
    <row r="34" spans="1:19" ht="41.25" customHeight="1" thickBot="1" x14ac:dyDescent="0.25">
      <c r="A34" s="212"/>
      <c r="B34" s="209"/>
      <c r="C34" s="79" t="s">
        <v>96</v>
      </c>
      <c r="D34" s="79" t="s">
        <v>97</v>
      </c>
      <c r="E34" s="6" t="s">
        <v>131</v>
      </c>
      <c r="F34" s="106">
        <f t="shared" si="14"/>
        <v>750</v>
      </c>
      <c r="G34" s="239"/>
      <c r="H34" s="106">
        <v>1</v>
      </c>
      <c r="I34" s="107">
        <f>SUM(G31*H34)</f>
        <v>600</v>
      </c>
      <c r="J34" s="80">
        <f>6/60</f>
        <v>0.1</v>
      </c>
      <c r="K34" s="45">
        <f>SUM(I34*J34)</f>
        <v>60</v>
      </c>
      <c r="L34" s="264"/>
      <c r="M34" s="129">
        <v>0</v>
      </c>
      <c r="N34" s="50">
        <f>SUM(L34*M34)</f>
        <v>0</v>
      </c>
      <c r="O34" s="44">
        <f>J34</f>
        <v>0.1</v>
      </c>
      <c r="P34" s="57">
        <f>N34*O34</f>
        <v>0</v>
      </c>
      <c r="Q34" s="58">
        <f t="shared" ref="Q34:Q38" si="21">SUM(K34+P34)</f>
        <v>60</v>
      </c>
      <c r="R34" s="119">
        <v>14.5</v>
      </c>
      <c r="S34" s="120">
        <f>R34*Q34</f>
        <v>870</v>
      </c>
    </row>
    <row r="35" spans="1:19" ht="41.25" customHeight="1" thickBot="1" x14ac:dyDescent="0.25">
      <c r="A35" s="212"/>
      <c r="B35" s="209"/>
      <c r="C35" s="79" t="s">
        <v>93</v>
      </c>
      <c r="D35" s="79" t="s">
        <v>98</v>
      </c>
      <c r="E35" s="79" t="s">
        <v>70</v>
      </c>
      <c r="F35" s="106">
        <f>$G$31+$L$35</f>
        <v>600</v>
      </c>
      <c r="G35" s="239"/>
      <c r="H35" s="106">
        <v>1</v>
      </c>
      <c r="I35" s="107">
        <f>G31*H35</f>
        <v>600</v>
      </c>
      <c r="J35" s="80">
        <f>15/60</f>
        <v>0.25</v>
      </c>
      <c r="K35" s="45">
        <f>I35*J35</f>
        <v>150</v>
      </c>
      <c r="L35" s="262">
        <v>0</v>
      </c>
      <c r="M35" s="56">
        <v>1</v>
      </c>
      <c r="N35" s="50">
        <f>L35*M35</f>
        <v>0</v>
      </c>
      <c r="O35" s="44">
        <f>15/60</f>
        <v>0.25</v>
      </c>
      <c r="P35" s="57">
        <f>N35*O35</f>
        <v>0</v>
      </c>
      <c r="Q35" s="58">
        <f t="shared" si="21"/>
        <v>150</v>
      </c>
      <c r="R35" s="119">
        <v>14.5</v>
      </c>
      <c r="S35" s="120">
        <f>R35*Q35</f>
        <v>2175</v>
      </c>
    </row>
    <row r="36" spans="1:19" ht="132.75" customHeight="1" thickBot="1" x14ac:dyDescent="0.25">
      <c r="A36" s="212"/>
      <c r="B36" s="209"/>
      <c r="C36" s="79" t="s">
        <v>99</v>
      </c>
      <c r="D36" s="79"/>
      <c r="E36" s="79" t="s">
        <v>61</v>
      </c>
      <c r="F36" s="106">
        <f t="shared" ref="F36:F37" si="22">$G$31+$L$35</f>
        <v>600</v>
      </c>
      <c r="G36" s="239"/>
      <c r="H36" s="106">
        <v>22</v>
      </c>
      <c r="I36" s="107">
        <f>G31*H36</f>
        <v>13200</v>
      </c>
      <c r="J36" s="80">
        <f>ROUND(5/60,2)</f>
        <v>0.08</v>
      </c>
      <c r="K36" s="45">
        <f>I36*J36</f>
        <v>1056</v>
      </c>
      <c r="L36" s="263"/>
      <c r="M36" s="56">
        <v>0</v>
      </c>
      <c r="N36" s="50">
        <f>SUM(L36*M36)</f>
        <v>0</v>
      </c>
      <c r="O36" s="44">
        <f>5/60</f>
        <v>8.3333333333333329E-2</v>
      </c>
      <c r="P36" s="57">
        <f>N36*O36</f>
        <v>0</v>
      </c>
      <c r="Q36" s="58">
        <f t="shared" si="21"/>
        <v>1056</v>
      </c>
      <c r="R36" s="119">
        <v>14.5</v>
      </c>
      <c r="S36" s="120">
        <f>R36*Q36</f>
        <v>15312</v>
      </c>
    </row>
    <row r="37" spans="1:19" ht="69" customHeight="1" thickBot="1" x14ac:dyDescent="0.25">
      <c r="A37" s="212"/>
      <c r="B37" s="210"/>
      <c r="C37" s="79" t="s">
        <v>76</v>
      </c>
      <c r="D37" s="79"/>
      <c r="E37" s="6" t="s">
        <v>131</v>
      </c>
      <c r="F37" s="106">
        <f t="shared" si="22"/>
        <v>600</v>
      </c>
      <c r="G37" s="240"/>
      <c r="H37" s="106">
        <v>2</v>
      </c>
      <c r="I37" s="107">
        <f>SUM(G31*H37)</f>
        <v>1200</v>
      </c>
      <c r="J37" s="81">
        <f>15/60</f>
        <v>0.25</v>
      </c>
      <c r="K37" s="45">
        <f>I37*J37</f>
        <v>300</v>
      </c>
      <c r="L37" s="264"/>
      <c r="M37" s="59">
        <v>0</v>
      </c>
      <c r="N37" s="51">
        <f>SUM(L35*M37)</f>
        <v>0</v>
      </c>
      <c r="O37" s="44">
        <f>J37</f>
        <v>0.25</v>
      </c>
      <c r="P37" s="60">
        <f>SUM(N37*O37)</f>
        <v>0</v>
      </c>
      <c r="Q37" s="61">
        <f>SUM(K37+P37)</f>
        <v>300</v>
      </c>
      <c r="R37" s="119">
        <v>14.5</v>
      </c>
      <c r="S37" s="120">
        <f>R37*Q37</f>
        <v>4350</v>
      </c>
    </row>
    <row r="38" spans="1:19" s="2" customFormat="1" ht="20.25" customHeight="1" thickBot="1" x14ac:dyDescent="0.25">
      <c r="A38" s="219" t="s">
        <v>30</v>
      </c>
      <c r="B38" s="220"/>
      <c r="C38" s="220"/>
      <c r="D38" s="220"/>
      <c r="E38" s="220"/>
      <c r="F38" s="221"/>
      <c r="G38" s="156">
        <f>G31</f>
        <v>600</v>
      </c>
      <c r="H38" s="133">
        <f>I38/G38</f>
        <v>29</v>
      </c>
      <c r="I38" s="141">
        <f>SUM(I31:I37)</f>
        <v>17400</v>
      </c>
      <c r="J38" s="134">
        <f>SUM(K38/I38)</f>
        <v>0.1003448275862069</v>
      </c>
      <c r="K38" s="142">
        <f>SUM(K31:K37)</f>
        <v>1746</v>
      </c>
      <c r="L38" s="143">
        <f>SUM(L31:L36)</f>
        <v>150</v>
      </c>
      <c r="M38" s="144">
        <f t="shared" ref="M38:O38" si="23">SUM(M31:M37)</f>
        <v>4</v>
      </c>
      <c r="N38" s="145">
        <f t="shared" si="23"/>
        <v>150</v>
      </c>
      <c r="O38" s="146">
        <f t="shared" si="23"/>
        <v>0.98333333333333339</v>
      </c>
      <c r="P38" s="142">
        <f>SUM(P31:P37)</f>
        <v>15</v>
      </c>
      <c r="Q38" s="121">
        <f t="shared" si="21"/>
        <v>1761</v>
      </c>
      <c r="R38" s="140"/>
      <c r="S38" s="163">
        <f>SUM(S31:S37)</f>
        <v>25534.5</v>
      </c>
    </row>
    <row r="39" spans="1:19" s="2" customFormat="1" ht="20.25" customHeight="1" thickBot="1" x14ac:dyDescent="0.25">
      <c r="A39" s="229" t="s">
        <v>114</v>
      </c>
      <c r="B39" s="230"/>
      <c r="C39" s="230"/>
      <c r="D39" s="230"/>
      <c r="E39" s="230"/>
      <c r="F39" s="231"/>
      <c r="G39" s="156">
        <v>20</v>
      </c>
      <c r="H39" s="173">
        <v>20.399999999999999</v>
      </c>
      <c r="I39" s="174">
        <v>408</v>
      </c>
      <c r="J39" s="175">
        <v>0.21455882352941175</v>
      </c>
      <c r="K39" s="142">
        <v>87.539999999999992</v>
      </c>
      <c r="L39" s="176">
        <v>65</v>
      </c>
      <c r="M39" s="175">
        <v>2.7538461538461538</v>
      </c>
      <c r="N39" s="177">
        <v>179</v>
      </c>
      <c r="O39" s="178">
        <v>0.14134078212290505</v>
      </c>
      <c r="P39" s="179">
        <v>25.3</v>
      </c>
      <c r="Q39" s="180">
        <v>129.09</v>
      </c>
      <c r="R39" s="181"/>
      <c r="S39" s="192">
        <v>1899.6179999999999</v>
      </c>
    </row>
    <row r="40" spans="1:19" s="22" customFormat="1" ht="21" customHeight="1" thickBot="1" x14ac:dyDescent="0.25">
      <c r="A40" s="205" t="s">
        <v>77</v>
      </c>
      <c r="B40" s="206"/>
      <c r="C40" s="206"/>
      <c r="D40" s="206"/>
      <c r="E40" s="206"/>
      <c r="F40" s="207"/>
      <c r="G40" s="182">
        <f>SUM(G9+G29+G38+G39)</f>
        <v>787</v>
      </c>
      <c r="H40" s="183">
        <f>SUM(I40/G40)</f>
        <v>29.156289707750954</v>
      </c>
      <c r="I40" s="182">
        <f>SUM(I9+I29+I38+I39)</f>
        <v>22946</v>
      </c>
      <c r="J40" s="184">
        <f>SUM(K40/I40)</f>
        <v>0.139797350300706</v>
      </c>
      <c r="K40" s="185">
        <f>SUM(K9+K29+K38+K39)</f>
        <v>3207.79</v>
      </c>
      <c r="L40" s="190" t="e">
        <f>SUM(L9+L29+L38+L39)</f>
        <v>#REF!</v>
      </c>
      <c r="M40" s="184" t="e">
        <f>L40/N40</f>
        <v>#REF!</v>
      </c>
      <c r="N40" s="190">
        <f>SUM(N9+N29+N38+N39)</f>
        <v>332</v>
      </c>
      <c r="O40" s="191">
        <f>SUM(P40/N40)</f>
        <v>0.18237951807228914</v>
      </c>
      <c r="P40" s="186">
        <f>SUM(P9+P29+P38+P39)</f>
        <v>60.55</v>
      </c>
      <c r="Q40" s="187">
        <f>SUM(Q9+Q29+Q38+Q39)</f>
        <v>3284.59</v>
      </c>
      <c r="R40" s="188"/>
      <c r="S40" s="189">
        <f>SUM(S9+S29+S38+S39)</f>
        <v>44537.070500000002</v>
      </c>
    </row>
  </sheetData>
  <mergeCells count="31">
    <mergeCell ref="S2:S3"/>
    <mergeCell ref="A1:Q1"/>
    <mergeCell ref="G2:K2"/>
    <mergeCell ref="L2:P2"/>
    <mergeCell ref="Q2:Q3"/>
    <mergeCell ref="R2:R3"/>
    <mergeCell ref="A19:A28"/>
    <mergeCell ref="B19:B28"/>
    <mergeCell ref="G19:G28"/>
    <mergeCell ref="A4:S4"/>
    <mergeCell ref="A5:A8"/>
    <mergeCell ref="B5:B8"/>
    <mergeCell ref="G5:G8"/>
    <mergeCell ref="A9:F9"/>
    <mergeCell ref="A10:S10"/>
    <mergeCell ref="A39:F39"/>
    <mergeCell ref="A40:F40"/>
    <mergeCell ref="L5:L8"/>
    <mergeCell ref="L11:L18"/>
    <mergeCell ref="L19:L28"/>
    <mergeCell ref="L31:L34"/>
    <mergeCell ref="L35:L37"/>
    <mergeCell ref="A29:F29"/>
    <mergeCell ref="A30:S30"/>
    <mergeCell ref="A31:A37"/>
    <mergeCell ref="B31:B37"/>
    <mergeCell ref="G31:G37"/>
    <mergeCell ref="A38:F38"/>
    <mergeCell ref="A11:A18"/>
    <mergeCell ref="B11:B18"/>
    <mergeCell ref="G11:G18"/>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Feasibility Burden Table</vt:lpstr>
      <vt:lpstr> Pilot Test Burden</vt:lpstr>
      <vt:lpstr>Cost Estimate Old</vt:lpstr>
      <vt:lpstr>Cost Estimate</vt:lpstr>
      <vt:lpstr>' Pilot Test Burden'!Print_Area</vt:lpstr>
      <vt:lpstr>'Feasibility Burden Table'!Print_Area</vt:lpstr>
      <vt:lpstr>' Pilot Test Burden'!Print_Titles</vt:lpstr>
      <vt:lpstr>'Feasibility Burden Table'!Print_Titles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CS</cp:lastModifiedBy>
  <cp:lastPrinted>2016-08-29T18:03:16Z</cp:lastPrinted>
  <dcterms:created xsi:type="dcterms:W3CDTF">2014-11-27T00:00:56Z</dcterms:created>
  <dcterms:modified xsi:type="dcterms:W3CDTF">2016-09-29T15:51:42Z</dcterms:modified>
</cp:coreProperties>
</file>