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PASB-PSS\PAPERWORK\ACTIVE PACKAGES\0563-0083 - AREA RISK PROTECTION INSURANCE - ARPI\ARPI Renewal 2016\"/>
    </mc:Choice>
  </mc:AlternateContent>
  <bookViews>
    <workbookView xWindow="360" yWindow="270" windowWidth="15000" windowHeight="6885"/>
  </bookViews>
  <sheets>
    <sheet name="Sheet1" sheetId="1" r:id="rId1"/>
    <sheet name="Numbers for Burden Grid" sheetId="2" r:id="rId2"/>
    <sheet name="Sheet3" sheetId="3" r:id="rId3"/>
  </sheets>
  <definedNames>
    <definedName name="_xlnm.Print_Titles" localSheetId="0">Sheet1!$1:$19</definedName>
  </definedNames>
  <calcPr calcId="152511"/>
</workbook>
</file>

<file path=xl/calcChain.xml><?xml version="1.0" encoding="utf-8"?>
<calcChain xmlns="http://schemas.openxmlformats.org/spreadsheetml/2006/main">
  <c r="B19" i="2" l="1"/>
  <c r="B12" i="2"/>
  <c r="B18" i="2"/>
  <c r="B4" i="2" l="1"/>
  <c r="B3" i="2"/>
  <c r="H40" i="1" l="1"/>
  <c r="H22" i="1" l="1"/>
  <c r="H26" i="1" l="1"/>
  <c r="B8" i="2" l="1"/>
  <c r="B7" i="2"/>
  <c r="B6" i="2"/>
  <c r="B5" i="2"/>
  <c r="D4" i="2" l="1"/>
  <c r="B1" i="2"/>
  <c r="H39" i="1" l="1"/>
  <c r="J34" i="1" l="1"/>
  <c r="H35" i="1" l="1"/>
  <c r="J35" i="1" s="1"/>
  <c r="L35" i="1" s="1"/>
  <c r="Q35" i="1" s="1"/>
  <c r="O35" i="1"/>
  <c r="O34" i="1"/>
  <c r="L34" i="1"/>
  <c r="Q34" i="1" s="1"/>
  <c r="H36" i="1"/>
  <c r="O36" i="1"/>
  <c r="J37" i="1"/>
  <c r="L37" i="1" s="1"/>
  <c r="Q37" i="1" s="1"/>
  <c r="O37" i="1"/>
  <c r="O39" i="1" l="1"/>
  <c r="O40" i="1"/>
  <c r="H29" i="1"/>
  <c r="H24" i="1"/>
  <c r="H25" i="1"/>
  <c r="K23" i="1" l="1"/>
  <c r="H21" i="1" l="1"/>
  <c r="I30" i="1" l="1"/>
  <c r="I36" i="1" l="1"/>
  <c r="J36" i="1" s="1"/>
  <c r="L36" i="1" s="1"/>
  <c r="Q36" i="1" s="1"/>
  <c r="H46" i="1" l="1"/>
  <c r="H43" i="1"/>
  <c r="H27" i="1" l="1"/>
  <c r="I44" i="1" l="1"/>
  <c r="I29" i="1"/>
  <c r="H44" i="1"/>
  <c r="O44" i="1"/>
  <c r="O45" i="1"/>
  <c r="J44" i="1" l="1"/>
  <c r="L44" i="1" s="1"/>
  <c r="Q44" i="1" s="1"/>
  <c r="O20" i="1" l="1"/>
  <c r="J21" i="1"/>
  <c r="J20" i="1"/>
  <c r="L20" i="1" s="1"/>
  <c r="I32" i="1" l="1"/>
  <c r="H32" i="1"/>
  <c r="H33" i="1"/>
  <c r="H30" i="1"/>
  <c r="I24" i="1"/>
  <c r="I27" i="1" l="1"/>
  <c r="O42" i="1" l="1"/>
  <c r="J42" i="1"/>
  <c r="L42" i="1" s="1"/>
  <c r="Q42" i="1" s="1"/>
  <c r="H23" i="1"/>
  <c r="I25" i="1"/>
  <c r="J46" i="1" l="1"/>
  <c r="L46" i="1" s="1"/>
  <c r="K22" i="1" l="1"/>
  <c r="I23" i="1" l="1"/>
  <c r="H38" i="1" l="1"/>
  <c r="O28" i="1" l="1"/>
  <c r="O29" i="1"/>
  <c r="O30" i="1"/>
  <c r="O31" i="1"/>
  <c r="O32" i="1"/>
  <c r="O33" i="1"/>
  <c r="O38" i="1"/>
  <c r="O41" i="1"/>
  <c r="O43" i="1"/>
  <c r="O46" i="1"/>
  <c r="J38" i="1"/>
  <c r="L38" i="1" s="1"/>
  <c r="Q38" i="1" s="1"/>
  <c r="J32" i="1" l="1"/>
  <c r="I33" i="1" s="1"/>
  <c r="O27" i="1"/>
  <c r="J27" i="1"/>
  <c r="L27" i="1" s="1"/>
  <c r="Q27" i="1" s="1"/>
  <c r="L32" i="1" l="1"/>
  <c r="Q32" i="1" s="1"/>
  <c r="J33" i="1"/>
  <c r="L21" i="1"/>
  <c r="J31" i="1"/>
  <c r="L31" i="1" s="1"/>
  <c r="Q31" i="1" s="1"/>
  <c r="J28" i="1"/>
  <c r="P47" i="1"/>
  <c r="P48" i="1" s="1"/>
  <c r="O24" i="1"/>
  <c r="O25" i="1"/>
  <c r="O26" i="1"/>
  <c r="O21" i="1"/>
  <c r="O22" i="1"/>
  <c r="O23" i="1"/>
  <c r="M47" i="1"/>
  <c r="M48" i="1" s="1"/>
  <c r="J43" i="1"/>
  <c r="L43" i="1" s="1"/>
  <c r="Q43" i="1" s="1"/>
  <c r="J41" i="1"/>
  <c r="L41" i="1" s="1"/>
  <c r="Q41" i="1" s="1"/>
  <c r="J30" i="1"/>
  <c r="L30" i="1" s="1"/>
  <c r="Q30" i="1" s="1"/>
  <c r="J29" i="1"/>
  <c r="J26" i="1"/>
  <c r="L26" i="1" s="1"/>
  <c r="Q26" i="1" s="1"/>
  <c r="J25" i="1"/>
  <c r="L25" i="1" s="1"/>
  <c r="Q25" i="1" s="1"/>
  <c r="J24" i="1"/>
  <c r="L24" i="1" s="1"/>
  <c r="Q24" i="1" s="1"/>
  <c r="J23" i="1"/>
  <c r="J22" i="1"/>
  <c r="L22" i="1" s="1"/>
  <c r="J39" i="1" l="1"/>
  <c r="L39" i="1" s="1"/>
  <c r="Q39" i="1" s="1"/>
  <c r="L33" i="1"/>
  <c r="Q33" i="1" s="1"/>
  <c r="H45" i="1"/>
  <c r="J45" i="1" s="1"/>
  <c r="L45" i="1" s="1"/>
  <c r="Q45" i="1" s="1"/>
  <c r="L29" i="1"/>
  <c r="Q29" i="1" s="1"/>
  <c r="L28" i="1"/>
  <c r="Q28" i="1" s="1"/>
  <c r="O47" i="1"/>
  <c r="O48" i="1" s="1"/>
  <c r="L23" i="1"/>
  <c r="Q23" i="1" s="1"/>
  <c r="Q22" i="1"/>
  <c r="Q21" i="1"/>
  <c r="Q46" i="1" l="1"/>
  <c r="J40" i="1"/>
  <c r="L40" i="1" s="1"/>
  <c r="J47" i="1" l="1"/>
  <c r="J48" i="1" s="1"/>
  <c r="J49" i="1" s="1"/>
  <c r="B14" i="2" s="1"/>
  <c r="B13" i="2" s="1"/>
  <c r="L47" i="1"/>
  <c r="L48" i="1" s="1"/>
  <c r="L49" i="1" s="1"/>
  <c r="B15" i="2" s="1"/>
  <c r="B11" i="2" s="1"/>
  <c r="Q40" i="1"/>
  <c r="Q47" i="1" s="1"/>
  <c r="Q48" i="1" s="1"/>
  <c r="Q49" i="1" s="1"/>
</calcChain>
</file>

<file path=xl/sharedStrings.xml><?xml version="1.0" encoding="utf-8"?>
<sst xmlns="http://schemas.openxmlformats.org/spreadsheetml/2006/main" count="125" uniqueCount="78">
  <si>
    <r>
      <t xml:space="preserve">INSTRUCTIONS:  </t>
    </r>
    <r>
      <rPr>
        <sz val="8"/>
        <rFont val="Arial"/>
        <family val="2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Arial"/>
        <family val="2"/>
      </rPr>
      <t xml:space="preserve">
NOTE:  </t>
    </r>
    <r>
      <rPr>
        <sz val="8"/>
        <rFont val="Arial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Arial"/>
        <family val="2"/>
      </rPr>
      <t xml:space="preserve">   
</t>
    </r>
  </si>
  <si>
    <t>TITLE OF INFORMATION COLLECTION DOCUMENT</t>
  </si>
  <si>
    <t>IDENTIFICATION OF REPORTING OR RECORDKEEPING REQUIREMENT</t>
  </si>
  <si>
    <t>FORMS NO(S) (IF "NONE" SO STATE) (D)</t>
  </si>
  <si>
    <t>ANNUAL BURDEN</t>
  </si>
  <si>
    <t>REPORTS</t>
  </si>
  <si>
    <t>RECORDS</t>
  </si>
  <si>
    <t>NO OF RESPONSES PER POLICY (F)</t>
  </si>
  <si>
    <t>TOTAL ANNUAL RESPONSES (CAL. E X F) (G)</t>
  </si>
  <si>
    <t>HOURS PER RESPONSE (H)</t>
  </si>
  <si>
    <t>TOTAL HOURS (CAL. G X H) (I)</t>
  </si>
  <si>
    <t>NO. OF RECORD-KEEPERS (J)</t>
  </si>
  <si>
    <t>HOURS PER RECORD-KEEPER (K)</t>
  </si>
  <si>
    <t>TOTAL RECORD- KEEPING HOURS (CAL. J X K)  (L)</t>
  </si>
  <si>
    <t>COST PER HOUR</t>
  </si>
  <si>
    <t>NONE</t>
  </si>
  <si>
    <t>P10- Policy Record</t>
  </si>
  <si>
    <t>P11- Acreage Record</t>
  </si>
  <si>
    <t>P12- Payment Record</t>
  </si>
  <si>
    <t>P21- Loss Line Record</t>
  </si>
  <si>
    <t>P27- Land ID Record</t>
  </si>
  <si>
    <t>Reading insurance documents</t>
  </si>
  <si>
    <t>SUBTOTAL</t>
  </si>
  <si>
    <t>TOTAL OF ALL PAGES</t>
  </si>
  <si>
    <t>DESCRIPTION: (DATA ELEMENT)  (C)</t>
  </si>
  <si>
    <t>TOTAL COST</t>
  </si>
  <si>
    <t>RESPONDENT (B)</t>
  </si>
  <si>
    <t xml:space="preserve">Farmer </t>
  </si>
  <si>
    <t>Insurance Sales Agent/Insurance Underwriter/Farmer</t>
  </si>
  <si>
    <t>Insurance Sales Agent/Office Clerk</t>
  </si>
  <si>
    <t>TOTAL - COLUMNS "G" AND "J" = OMB 831, 13 b; COLUMNS "I" AND "L" = OMB 831, 13c</t>
  </si>
  <si>
    <t>P15- Yield History Record</t>
  </si>
  <si>
    <t>P49- Policy Delete Record</t>
  </si>
  <si>
    <t>P10- Policy Record (Company Application)</t>
  </si>
  <si>
    <t>P11- Acreage Record (Company Acreage Report)</t>
  </si>
  <si>
    <t>P21- Loss Line Record (Company Claim for Indemnity)</t>
  </si>
  <si>
    <t>Accountant</t>
  </si>
  <si>
    <t>Farmer</t>
  </si>
  <si>
    <t>IT Staff</t>
  </si>
  <si>
    <t>Additional burden hours for crop insurance companies to transmit data elements to RMA</t>
  </si>
  <si>
    <t>P48- Delete Record*</t>
  </si>
  <si>
    <t>* This is accounted for on line_ "IT Staff" as part of the IT transmittal of data records.</t>
  </si>
  <si>
    <t>P81- Policy Holder Tracking Experience Inquiry Record*</t>
  </si>
  <si>
    <t>P14- Insurance In Force Record*</t>
  </si>
  <si>
    <t xml:space="preserve">Additional information provided as needed </t>
  </si>
  <si>
    <t>Insurance Sales Agent/Insurance Underwriter/Farmer/Agricultural Inspector</t>
  </si>
  <si>
    <t>P20- Loss Total Record *</t>
  </si>
  <si>
    <t>Insurance Sales Agent/Office Clerk/Claims Adjuster</t>
  </si>
  <si>
    <t>P05-  CIMS Request Record*</t>
  </si>
  <si>
    <t>POLICIES/ COMPANY (E)</t>
  </si>
  <si>
    <t>P09- Fund Designation Record (per company)*</t>
  </si>
  <si>
    <t xml:space="preserve">Travel time </t>
  </si>
  <si>
    <t>Insurance Sales Agent/Claims Adjuster/Farmer</t>
  </si>
  <si>
    <t>Record retention</t>
  </si>
  <si>
    <t>Policies Earning Premium</t>
  </si>
  <si>
    <t>Companies</t>
  </si>
  <si>
    <t>Active Crop Insurance Agents</t>
  </si>
  <si>
    <t>Active Loss Adjusters</t>
  </si>
  <si>
    <t>Unique Producers</t>
  </si>
  <si>
    <t>New Producers</t>
  </si>
  <si>
    <t>PASS Processing Summary Input Records</t>
  </si>
  <si>
    <t>http://www.rma.usda.gov/FTP/Publications/M13_Handbook/2015/draft/ACT_NARR.PDF</t>
  </si>
  <si>
    <t>P75- Records Producer Certification</t>
  </si>
  <si>
    <t>Begginning Farmer or Rancher</t>
  </si>
  <si>
    <t>P26- Production</t>
  </si>
  <si>
    <t>P26-Production</t>
  </si>
  <si>
    <r>
      <t xml:space="preserve">Estimate of Burden: </t>
    </r>
    <r>
      <rPr>
        <sz val="11"/>
        <color theme="1"/>
        <rFont val="Calibri"/>
        <family val="2"/>
        <scheme val="minor"/>
      </rPr>
      <t>The public reporting burden for this collection of information are estimated to average  of an hour per response.</t>
    </r>
  </si>
  <si>
    <t xml:space="preserve">Estimated Annual Number of Responses: </t>
  </si>
  <si>
    <t xml:space="preserve">Estimated Annual Number of Respondents: </t>
  </si>
  <si>
    <t>Estimated Annual Number of Responses Per Respondent:</t>
  </si>
  <si>
    <t>Estimated Total Annual Burden on Respondents:</t>
  </si>
  <si>
    <t>from Barb and Monty info</t>
  </si>
  <si>
    <t>ratio=total ARPI earning premium/total policies earning premium</t>
  </si>
  <si>
    <t>Estimated total number of respondents for insurance companies</t>
  </si>
  <si>
    <t>Supporting Statement Numbers</t>
  </si>
  <si>
    <t>Average burden for each respondent</t>
  </si>
  <si>
    <t>Area Risk Protection Insurance</t>
  </si>
  <si>
    <t>OMB NO. 0563-0083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</si>
</sst>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&quot;$&quot;#,##0.00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9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43">
    <xf numFmtId="0" fontId="0" fillId="0" borderId="0" xfId="0"/>
    <xf numFmtId="0" fontId="8" fillId="0" borderId="0" xfId="0" applyFont="1"/>
    <xf numFmtId="1" fontId="3" fillId="0" borderId="12" xfId="0" applyNumberFormat="1" applyFont="1" applyBorder="1" applyAlignment="1" applyProtection="1">
      <alignment horizontal="left" vertical="center"/>
    </xf>
    <xf numFmtId="49" fontId="3" fillId="0" borderId="12" xfId="0" applyNumberFormat="1" applyFont="1" applyBorder="1" applyAlignment="1" applyProtection="1">
      <alignment horizontal="left" vertical="center" wrapText="1"/>
    </xf>
    <xf numFmtId="49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165" fontId="3" fillId="0" borderId="12" xfId="0" applyNumberFormat="1" applyFont="1" applyBorder="1" applyAlignment="1">
      <alignment wrapText="1"/>
    </xf>
    <xf numFmtId="165" fontId="3" fillId="0" borderId="12" xfId="0" applyNumberFormat="1" applyFont="1" applyFill="1" applyBorder="1" applyAlignment="1">
      <alignment wrapText="1"/>
    </xf>
    <xf numFmtId="1" fontId="3" fillId="0" borderId="12" xfId="0" applyNumberFormat="1" applyFont="1" applyBorder="1" applyAlignment="1" applyProtection="1">
      <alignment wrapText="1"/>
      <protection locked="0"/>
    </xf>
    <xf numFmtId="2" fontId="3" fillId="0" borderId="12" xfId="0" applyNumberFormat="1" applyFont="1" applyBorder="1" applyAlignment="1" applyProtection="1">
      <alignment wrapText="1"/>
      <protection locked="0"/>
    </xf>
    <xf numFmtId="2" fontId="3" fillId="0" borderId="12" xfId="0" applyNumberFormat="1" applyFont="1" applyFill="1" applyBorder="1" applyAlignment="1" applyProtection="1">
      <alignment wrapText="1"/>
      <protection locked="0"/>
    </xf>
    <xf numFmtId="2" fontId="3" fillId="0" borderId="12" xfId="0" applyNumberFormat="1" applyFont="1" applyFill="1" applyBorder="1" applyAlignment="1" applyProtection="1">
      <alignment wrapText="1"/>
    </xf>
    <xf numFmtId="49" fontId="3" fillId="0" borderId="12" xfId="0" applyNumberFormat="1" applyFont="1" applyFill="1" applyBorder="1" applyAlignment="1" applyProtection="1">
      <alignment horizontal="left" vertical="center" wrapText="1"/>
    </xf>
    <xf numFmtId="4" fontId="3" fillId="0" borderId="12" xfId="0" applyNumberFormat="1" applyFont="1" applyFill="1" applyBorder="1" applyAlignment="1" applyProtection="1">
      <alignment wrapText="1"/>
    </xf>
    <xf numFmtId="1" fontId="3" fillId="0" borderId="12" xfId="0" applyNumberFormat="1" applyFont="1" applyFill="1" applyBorder="1" applyAlignment="1" applyProtection="1">
      <alignment horizontal="left" vertical="center"/>
    </xf>
    <xf numFmtId="4" fontId="3" fillId="0" borderId="12" xfId="0" applyNumberFormat="1" applyFont="1" applyBorder="1" applyAlignment="1" applyProtection="1">
      <alignment wrapText="1"/>
    </xf>
    <xf numFmtId="0" fontId="10" fillId="0" borderId="0" xfId="0" applyFont="1"/>
    <xf numFmtId="3" fontId="3" fillId="0" borderId="12" xfId="0" applyNumberFormat="1" applyFont="1" applyBorder="1" applyAlignment="1" applyProtection="1">
      <alignment wrapText="1"/>
      <protection locked="0"/>
    </xf>
    <xf numFmtId="3" fontId="3" fillId="0" borderId="12" xfId="0" applyNumberFormat="1" applyFont="1" applyBorder="1" applyAlignment="1" applyProtection="1">
      <alignment wrapText="1"/>
    </xf>
    <xf numFmtId="3" fontId="3" fillId="0" borderId="12" xfId="0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wrapText="1"/>
    </xf>
    <xf numFmtId="3" fontId="3" fillId="0" borderId="12" xfId="0" applyNumberFormat="1" applyFont="1" applyFill="1" applyBorder="1" applyAlignment="1" applyProtection="1">
      <alignment wrapText="1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3" fontId="3" fillId="0" borderId="12" xfId="0" applyNumberFormat="1" applyFont="1" applyFill="1" applyBorder="1" applyAlignment="1">
      <alignment wrapText="1"/>
    </xf>
    <xf numFmtId="1" fontId="3" fillId="0" borderId="12" xfId="0" applyNumberFormat="1" applyFont="1" applyFill="1" applyBorder="1" applyAlignment="1" applyProtection="1">
      <alignment wrapText="1"/>
      <protection locked="0"/>
    </xf>
    <xf numFmtId="1" fontId="3" fillId="0" borderId="12" xfId="0" applyNumberFormat="1" applyFont="1" applyFill="1" applyBorder="1" applyAlignment="1" applyProtection="1">
      <alignment wrapText="1"/>
    </xf>
    <xf numFmtId="1" fontId="7" fillId="0" borderId="12" xfId="0" applyNumberFormat="1" applyFont="1" applyFill="1" applyBorder="1" applyAlignment="1" applyProtection="1">
      <alignment wrapText="1"/>
    </xf>
    <xf numFmtId="3" fontId="7" fillId="0" borderId="12" xfId="0" applyNumberFormat="1" applyFont="1" applyFill="1" applyBorder="1" applyAlignment="1" applyProtection="1">
      <alignment wrapText="1"/>
    </xf>
    <xf numFmtId="0" fontId="0" fillId="0" borderId="0" xfId="0" applyFont="1"/>
    <xf numFmtId="0" fontId="11" fillId="0" borderId="0" xfId="1"/>
    <xf numFmtId="49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wrapText="1"/>
    </xf>
    <xf numFmtId="0" fontId="12" fillId="2" borderId="12" xfId="0" applyFont="1" applyFill="1" applyBorder="1" applyAlignment="1" applyProtection="1">
      <alignment wrapText="1"/>
    </xf>
    <xf numFmtId="0" fontId="12" fillId="2" borderId="12" xfId="0" applyFont="1" applyFill="1" applyBorder="1" applyAlignment="1">
      <alignment wrapText="1"/>
    </xf>
    <xf numFmtId="0" fontId="0" fillId="2" borderId="12" xfId="0" applyFont="1" applyFill="1" applyBorder="1"/>
    <xf numFmtId="0" fontId="12" fillId="2" borderId="12" xfId="0" applyFont="1" applyFill="1" applyBorder="1"/>
    <xf numFmtId="3" fontId="12" fillId="0" borderId="12" xfId="0" applyNumberFormat="1" applyFont="1" applyBorder="1" applyAlignment="1" applyProtection="1">
      <alignment wrapText="1"/>
      <protection locked="0"/>
    </xf>
    <xf numFmtId="0" fontId="0" fillId="0" borderId="12" xfId="0" applyFont="1" applyBorder="1"/>
    <xf numFmtId="3" fontId="0" fillId="0" borderId="12" xfId="0" applyNumberFormat="1" applyFont="1" applyBorder="1"/>
    <xf numFmtId="1" fontId="0" fillId="0" borderId="12" xfId="0" applyNumberFormat="1" applyFont="1" applyBorder="1"/>
    <xf numFmtId="1" fontId="0" fillId="0" borderId="12" xfId="0" applyNumberFormat="1" applyFont="1" applyFill="1" applyBorder="1"/>
    <xf numFmtId="0" fontId="12" fillId="0" borderId="12" xfId="0" applyFont="1" applyBorder="1"/>
    <xf numFmtId="0" fontId="13" fillId="0" borderId="12" xfId="0" applyFont="1" applyBorder="1" applyAlignment="1">
      <alignment vertical="center" wrapText="1"/>
    </xf>
    <xf numFmtId="2" fontId="0" fillId="0" borderId="12" xfId="0" applyNumberFormat="1" applyFont="1" applyBorder="1"/>
    <xf numFmtId="166" fontId="0" fillId="0" borderId="12" xfId="0" applyNumberFormat="1" applyFont="1" applyBorder="1"/>
    <xf numFmtId="2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2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7" fillId="0" borderId="1" xfId="0" applyFont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 wrapText="1"/>
    </xf>
    <xf numFmtId="0" fontId="7" fillId="0" borderId="4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7" fillId="0" borderId="5" xfId="0" applyFont="1" applyBorder="1" applyAlignment="1" applyProtection="1">
      <alignment horizontal="center" wrapText="1"/>
    </xf>
    <xf numFmtId="0" fontId="7" fillId="0" borderId="6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  <xf numFmtId="0" fontId="7" fillId="0" borderId="7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2" fontId="5" fillId="0" borderId="1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center" vertical="center" wrapText="1"/>
    </xf>
    <xf numFmtId="2" fontId="5" fillId="0" borderId="3" xfId="0" applyNumberFormat="1" applyFont="1" applyBorder="1" applyAlignment="1" applyProtection="1">
      <alignment horizontal="center" vertical="center" wrapText="1"/>
    </xf>
    <xf numFmtId="2" fontId="5" fillId="0" borderId="6" xfId="0" applyNumberFormat="1" applyFont="1" applyBorder="1" applyAlignment="1" applyProtection="1">
      <alignment horizontal="center" vertical="center" wrapText="1"/>
    </xf>
    <xf numFmtId="2" fontId="5" fillId="0" borderId="8" xfId="0" applyNumberFormat="1" applyFont="1" applyBorder="1" applyAlignment="1" applyProtection="1">
      <alignment horizontal="center" vertical="center" wrapText="1"/>
    </xf>
    <xf numFmtId="2" fontId="5" fillId="0" borderId="7" xfId="0" applyNumberFormat="1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wrapText="1"/>
    </xf>
    <xf numFmtId="0" fontId="7" fillId="0" borderId="10" xfId="0" applyFont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wrapText="1"/>
    </xf>
    <xf numFmtId="2" fontId="7" fillId="0" borderId="9" xfId="0" applyNumberFormat="1" applyFont="1" applyBorder="1" applyAlignment="1" applyProtection="1">
      <alignment horizontal="center" wrapText="1"/>
    </xf>
    <xf numFmtId="2" fontId="7" fillId="0" borderId="10" xfId="0" applyNumberFormat="1" applyFont="1" applyBorder="1" applyAlignment="1" applyProtection="1">
      <alignment horizontal="center" wrapText="1"/>
    </xf>
    <xf numFmtId="2" fontId="7" fillId="0" borderId="11" xfId="0" applyNumberFormat="1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5" xfId="0" applyFont="1" applyBorder="1" applyAlignment="1" applyProtection="1">
      <alignment horizontal="center" vertical="top" wrapText="1"/>
    </xf>
    <xf numFmtId="49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5" fillId="0" borderId="7" xfId="0" applyFont="1" applyBorder="1" applyAlignment="1" applyProtection="1">
      <alignment horizontal="center" vertical="top" wrapText="1"/>
    </xf>
    <xf numFmtId="164" fontId="6" fillId="0" borderId="4" xfId="0" applyNumberFormat="1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wrapText="1"/>
    </xf>
    <xf numFmtId="0" fontId="6" fillId="0" borderId="5" xfId="0" applyFont="1" applyBorder="1" applyAlignment="1" applyProtection="1">
      <alignment wrapText="1"/>
    </xf>
    <xf numFmtId="0" fontId="6" fillId="0" borderId="4" xfId="0" applyFont="1" applyBorder="1" applyAlignment="1" applyProtection="1">
      <alignment wrapText="1"/>
    </xf>
    <xf numFmtId="0" fontId="6" fillId="0" borderId="6" xfId="0" applyFont="1" applyBorder="1" applyAlignment="1" applyProtection="1">
      <alignment wrapText="1"/>
    </xf>
    <xf numFmtId="0" fontId="6" fillId="0" borderId="8" xfId="0" applyFont="1" applyBorder="1" applyAlignment="1" applyProtection="1">
      <alignment wrapText="1"/>
    </xf>
    <xf numFmtId="0" fontId="6" fillId="0" borderId="7" xfId="0" applyFont="1" applyBorder="1" applyAlignment="1" applyProtection="1">
      <alignment wrapText="1"/>
    </xf>
    <xf numFmtId="0" fontId="5" fillId="0" borderId="1" xfId="0" applyFont="1" applyFill="1" applyBorder="1" applyAlignment="1" applyProtection="1">
      <alignment horizontal="center" vertical="top" wrapText="1"/>
    </xf>
    <xf numFmtId="0" fontId="5" fillId="0" borderId="3" xfId="0" applyFont="1" applyFill="1" applyBorder="1" applyAlignment="1" applyProtection="1">
      <alignment horizontal="center" vertical="top" wrapText="1"/>
    </xf>
    <xf numFmtId="0" fontId="5" fillId="0" borderId="4" xfId="0" applyFont="1" applyFill="1" applyBorder="1" applyAlignment="1" applyProtection="1">
      <alignment horizontal="center" vertical="top" wrapText="1"/>
    </xf>
    <xf numFmtId="0" fontId="5" fillId="0" borderId="5" xfId="0" applyFont="1" applyFill="1" applyBorder="1" applyAlignment="1" applyProtection="1">
      <alignment horizontal="center" vertical="top" wrapText="1"/>
    </xf>
    <xf numFmtId="0" fontId="5" fillId="0" borderId="6" xfId="0" applyFont="1" applyFill="1" applyBorder="1" applyAlignment="1" applyProtection="1">
      <alignment horizontal="center" vertical="top" wrapText="1"/>
    </xf>
    <xf numFmtId="0" fontId="5" fillId="0" borderId="7" xfId="0" applyFont="1" applyFill="1" applyBorder="1" applyAlignment="1" applyProtection="1">
      <alignment horizontal="center" vertical="top" wrapText="1"/>
    </xf>
    <xf numFmtId="49" fontId="9" fillId="0" borderId="12" xfId="0" applyNumberFormat="1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 wrapText="1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2" xfId="0" applyNumberFormat="1" applyFont="1" applyBorder="1" applyAlignment="1" applyProtection="1">
      <alignment horizontal="center" vertical="center"/>
    </xf>
    <xf numFmtId="2" fontId="5" fillId="0" borderId="3" xfId="0" applyNumberFormat="1" applyFont="1" applyBorder="1" applyAlignment="1" applyProtection="1">
      <alignment horizontal="center" vertical="center"/>
    </xf>
    <xf numFmtId="2" fontId="5" fillId="0" borderId="6" xfId="0" applyNumberFormat="1" applyFont="1" applyBorder="1" applyAlignment="1" applyProtection="1">
      <alignment horizontal="center" vertical="center"/>
    </xf>
    <xf numFmtId="2" fontId="5" fillId="0" borderId="8" xfId="0" applyNumberFormat="1" applyFont="1" applyBorder="1" applyAlignment="1" applyProtection="1">
      <alignment horizontal="center" vertical="center"/>
    </xf>
    <xf numFmtId="2" fontId="5" fillId="0" borderId="7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left" vertical="top" wrapText="1"/>
    </xf>
    <xf numFmtId="0" fontId="3" fillId="0" borderId="7" xfId="0" applyFont="1" applyBorder="1" applyAlignment="1" applyProtection="1">
      <alignment horizontal="left" vertical="top" wrapText="1"/>
    </xf>
    <xf numFmtId="49" fontId="7" fillId="0" borderId="12" xfId="0" applyNumberFormat="1" applyFont="1" applyFill="1" applyBorder="1" applyAlignment="1" applyProtection="1">
      <alignment horizontal="right" vertical="center"/>
    </xf>
    <xf numFmtId="0" fontId="3" fillId="0" borderId="12" xfId="0" applyFont="1" applyFill="1" applyBorder="1" applyAlignment="1" applyProtection="1">
      <alignment horizontal="right" vertical="center"/>
    </xf>
    <xf numFmtId="49" fontId="4" fillId="0" borderId="12" xfId="0" applyNumberFormat="1" applyFont="1" applyFill="1" applyBorder="1" applyAlignment="1" applyProtection="1">
      <alignment horizontal="right" vertical="center" wrapText="1"/>
    </xf>
    <xf numFmtId="0" fontId="6" fillId="0" borderId="12" xfId="0" applyFont="1" applyFill="1" applyBorder="1" applyAlignment="1" applyProtection="1">
      <alignment vertical="center" wrapText="1"/>
    </xf>
    <xf numFmtId="0" fontId="0" fillId="0" borderId="12" xfId="0" applyFill="1" applyBorder="1" applyAlignment="1">
      <alignment horizontal="left" vertical="center" wrapText="1"/>
    </xf>
    <xf numFmtId="49" fontId="7" fillId="0" borderId="12" xfId="0" applyNumberFormat="1" applyFont="1" applyBorder="1" applyAlignment="1" applyProtection="1">
      <alignment horizontal="right" vertical="center"/>
    </xf>
    <xf numFmtId="0" fontId="3" fillId="0" borderId="12" xfId="0" applyFont="1" applyBorder="1" applyAlignment="1" applyProtection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ma.usda.gov/FTP/Publications/M13_Handbook/2015/draft/ACT_NARR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zoomScale="80" zoomScaleNormal="80" workbookViewId="0">
      <pane xSplit="7" ySplit="21" topLeftCell="H22" activePane="bottomRight" state="frozen"/>
      <selection pane="topRight" activeCell="H1" sqref="H1"/>
      <selection pane="bottomLeft" activeCell="A22" sqref="A22"/>
      <selection pane="bottomRight" activeCell="O1" sqref="O1:P5"/>
    </sheetView>
  </sheetViews>
  <sheetFormatPr defaultRowHeight="15" x14ac:dyDescent="0.25"/>
  <cols>
    <col min="1" max="1" width="12.28515625" customWidth="1"/>
    <col min="2" max="2" width="16.42578125" customWidth="1"/>
    <col min="7" max="7" width="19" customWidth="1"/>
    <col min="8" max="8" width="15.140625" customWidth="1"/>
    <col min="9" max="10" width="15" customWidth="1"/>
    <col min="11" max="11" width="15.42578125" customWidth="1"/>
    <col min="12" max="12" width="12.7109375" customWidth="1"/>
    <col min="13" max="13" width="14.140625" customWidth="1"/>
    <col min="14" max="14" width="11.42578125" customWidth="1"/>
    <col min="15" max="15" width="9.85546875" customWidth="1"/>
    <col min="16" max="16" width="13" style="5" customWidth="1"/>
    <col min="17" max="17" width="18.7109375" bestFit="1" customWidth="1"/>
    <col min="18" max="18" width="47.140625" customWidth="1"/>
    <col min="19" max="19" width="14.85546875" customWidth="1"/>
  </cols>
  <sheetData>
    <row r="1" spans="1:17" x14ac:dyDescent="0.25">
      <c r="A1" s="126" t="s">
        <v>0</v>
      </c>
      <c r="B1" s="127"/>
      <c r="C1" s="128"/>
      <c r="D1" s="128"/>
      <c r="E1" s="128"/>
      <c r="F1" s="128"/>
      <c r="G1" s="128"/>
      <c r="H1" s="128"/>
      <c r="I1" s="129"/>
      <c r="J1" s="86" t="s">
        <v>1</v>
      </c>
      <c r="K1" s="87"/>
      <c r="L1" s="87"/>
      <c r="M1" s="87"/>
      <c r="N1" s="88"/>
      <c r="O1" s="99" t="s">
        <v>77</v>
      </c>
      <c r="P1" s="100"/>
    </row>
    <row r="2" spans="1:17" x14ac:dyDescent="0.25">
      <c r="A2" s="130"/>
      <c r="B2" s="131"/>
      <c r="C2" s="131"/>
      <c r="D2" s="131"/>
      <c r="E2" s="131"/>
      <c r="F2" s="131"/>
      <c r="G2" s="131"/>
      <c r="H2" s="131"/>
      <c r="I2" s="132"/>
      <c r="J2" s="89"/>
      <c r="K2" s="90"/>
      <c r="L2" s="90"/>
      <c r="M2" s="90"/>
      <c r="N2" s="91"/>
      <c r="O2" s="101"/>
      <c r="P2" s="102"/>
    </row>
    <row r="3" spans="1:17" x14ac:dyDescent="0.25">
      <c r="A3" s="130"/>
      <c r="B3" s="131"/>
      <c r="C3" s="131"/>
      <c r="D3" s="131"/>
      <c r="E3" s="131"/>
      <c r="F3" s="131"/>
      <c r="G3" s="131"/>
      <c r="H3" s="131"/>
      <c r="I3" s="132"/>
      <c r="J3" s="105" t="s">
        <v>76</v>
      </c>
      <c r="K3" s="106"/>
      <c r="L3" s="106"/>
      <c r="M3" s="106"/>
      <c r="N3" s="107"/>
      <c r="O3" s="101"/>
      <c r="P3" s="102"/>
    </row>
    <row r="4" spans="1:17" x14ac:dyDescent="0.25">
      <c r="A4" s="130"/>
      <c r="B4" s="131"/>
      <c r="C4" s="131"/>
      <c r="D4" s="131"/>
      <c r="E4" s="131"/>
      <c r="F4" s="131"/>
      <c r="G4" s="131"/>
      <c r="H4" s="131"/>
      <c r="I4" s="132"/>
      <c r="J4" s="108"/>
      <c r="K4" s="106"/>
      <c r="L4" s="106"/>
      <c r="M4" s="106"/>
      <c r="N4" s="107"/>
      <c r="O4" s="101"/>
      <c r="P4" s="102"/>
    </row>
    <row r="5" spans="1:17" x14ac:dyDescent="0.25">
      <c r="A5" s="130"/>
      <c r="B5" s="131"/>
      <c r="C5" s="131"/>
      <c r="D5" s="131"/>
      <c r="E5" s="131"/>
      <c r="F5" s="131"/>
      <c r="G5" s="131"/>
      <c r="H5" s="131"/>
      <c r="I5" s="132"/>
      <c r="J5" s="108"/>
      <c r="K5" s="106"/>
      <c r="L5" s="106"/>
      <c r="M5" s="106"/>
      <c r="N5" s="107"/>
      <c r="O5" s="103"/>
      <c r="P5" s="104"/>
    </row>
    <row r="6" spans="1:17" x14ac:dyDescent="0.25">
      <c r="A6" s="130"/>
      <c r="B6" s="131"/>
      <c r="C6" s="131"/>
      <c r="D6" s="131"/>
      <c r="E6" s="131"/>
      <c r="F6" s="131"/>
      <c r="G6" s="131"/>
      <c r="H6" s="131"/>
      <c r="I6" s="132"/>
      <c r="J6" s="108"/>
      <c r="K6" s="106"/>
      <c r="L6" s="106"/>
      <c r="M6" s="106"/>
      <c r="N6" s="107"/>
      <c r="O6" s="112"/>
      <c r="P6" s="113"/>
    </row>
    <row r="7" spans="1:17" hidden="1" x14ac:dyDescent="0.25">
      <c r="A7" s="130"/>
      <c r="B7" s="131"/>
      <c r="C7" s="131"/>
      <c r="D7" s="131"/>
      <c r="E7" s="131"/>
      <c r="F7" s="131"/>
      <c r="G7" s="131"/>
      <c r="H7" s="131"/>
      <c r="I7" s="132"/>
      <c r="J7" s="108"/>
      <c r="K7" s="106"/>
      <c r="L7" s="106"/>
      <c r="M7" s="106"/>
      <c r="N7" s="107"/>
      <c r="O7" s="114"/>
      <c r="P7" s="115"/>
      <c r="Q7" s="16"/>
    </row>
    <row r="8" spans="1:17" ht="2.25" hidden="1" customHeight="1" x14ac:dyDescent="0.25">
      <c r="A8" s="130"/>
      <c r="B8" s="131"/>
      <c r="C8" s="131"/>
      <c r="D8" s="131"/>
      <c r="E8" s="131"/>
      <c r="F8" s="131"/>
      <c r="G8" s="131"/>
      <c r="H8" s="131"/>
      <c r="I8" s="132"/>
      <c r="J8" s="108"/>
      <c r="K8" s="106"/>
      <c r="L8" s="106"/>
      <c r="M8" s="106"/>
      <c r="N8" s="107"/>
      <c r="O8" s="114"/>
      <c r="P8" s="115"/>
      <c r="Q8" s="16"/>
    </row>
    <row r="9" spans="1:17" hidden="1" x14ac:dyDescent="0.25">
      <c r="A9" s="133"/>
      <c r="B9" s="134"/>
      <c r="C9" s="134"/>
      <c r="D9" s="134"/>
      <c r="E9" s="134"/>
      <c r="F9" s="134"/>
      <c r="G9" s="134"/>
      <c r="H9" s="134"/>
      <c r="I9" s="135"/>
      <c r="J9" s="109"/>
      <c r="K9" s="110"/>
      <c r="L9" s="110"/>
      <c r="M9" s="110"/>
      <c r="N9" s="111"/>
      <c r="O9" s="116"/>
      <c r="P9" s="117"/>
      <c r="Q9" s="16"/>
    </row>
    <row r="10" spans="1:17" ht="15" hidden="1" customHeight="1" x14ac:dyDescent="0.25">
      <c r="A10" s="93" t="s">
        <v>2</v>
      </c>
      <c r="B10" s="94"/>
      <c r="C10" s="94"/>
      <c r="D10" s="94"/>
      <c r="E10" s="94"/>
      <c r="F10" s="94"/>
      <c r="G10" s="94"/>
      <c r="H10" s="95"/>
      <c r="I10" s="120" t="s">
        <v>4</v>
      </c>
      <c r="J10" s="121"/>
      <c r="K10" s="121"/>
      <c r="L10" s="121"/>
      <c r="M10" s="121"/>
      <c r="N10" s="121"/>
      <c r="O10" s="121"/>
      <c r="P10" s="122"/>
      <c r="Q10" s="1"/>
    </row>
    <row r="11" spans="1:17" hidden="1" x14ac:dyDescent="0.25">
      <c r="A11" s="96"/>
      <c r="B11" s="97"/>
      <c r="C11" s="97"/>
      <c r="D11" s="97"/>
      <c r="E11" s="97"/>
      <c r="F11" s="97"/>
      <c r="G11" s="97"/>
      <c r="H11" s="98"/>
      <c r="I11" s="123"/>
      <c r="J11" s="124"/>
      <c r="K11" s="124"/>
      <c r="L11" s="124"/>
      <c r="M11" s="124"/>
      <c r="N11" s="124"/>
      <c r="O11" s="124"/>
      <c r="P11" s="125"/>
      <c r="Q11" s="1"/>
    </row>
    <row r="12" spans="1:17" ht="15" hidden="1" customHeight="1" x14ac:dyDescent="0.25">
      <c r="A12" s="59" t="s">
        <v>26</v>
      </c>
      <c r="B12" s="59" t="s">
        <v>24</v>
      </c>
      <c r="C12" s="60"/>
      <c r="D12" s="60"/>
      <c r="E12" s="60"/>
      <c r="F12" s="61"/>
      <c r="G12" s="80" t="s">
        <v>3</v>
      </c>
      <c r="H12" s="68" t="s">
        <v>5</v>
      </c>
      <c r="I12" s="69"/>
      <c r="J12" s="69"/>
      <c r="K12" s="69"/>
      <c r="L12" s="70"/>
      <c r="M12" s="74" t="s">
        <v>6</v>
      </c>
      <c r="N12" s="75"/>
      <c r="O12" s="76"/>
      <c r="P12" s="33"/>
      <c r="Q12" s="24"/>
    </row>
    <row r="13" spans="1:17" ht="15" hidden="1" customHeight="1" x14ac:dyDescent="0.25">
      <c r="A13" s="62"/>
      <c r="B13" s="62"/>
      <c r="C13" s="63"/>
      <c r="D13" s="63"/>
      <c r="E13" s="63"/>
      <c r="F13" s="64"/>
      <c r="G13" s="81"/>
      <c r="H13" s="71"/>
      <c r="I13" s="72"/>
      <c r="J13" s="72"/>
      <c r="K13" s="72"/>
      <c r="L13" s="73"/>
      <c r="M13" s="77"/>
      <c r="N13" s="78"/>
      <c r="O13" s="79"/>
      <c r="P13" s="33"/>
      <c r="Q13" s="24"/>
    </row>
    <row r="14" spans="1:17" ht="15" hidden="1" customHeight="1" x14ac:dyDescent="0.25">
      <c r="A14" s="62"/>
      <c r="B14" s="62"/>
      <c r="C14" s="63"/>
      <c r="D14" s="63"/>
      <c r="E14" s="63"/>
      <c r="F14" s="64"/>
      <c r="G14" s="81"/>
      <c r="H14" s="80" t="s">
        <v>49</v>
      </c>
      <c r="I14" s="80" t="s">
        <v>7</v>
      </c>
      <c r="J14" s="80" t="s">
        <v>8</v>
      </c>
      <c r="K14" s="80" t="s">
        <v>9</v>
      </c>
      <c r="L14" s="80" t="s">
        <v>10</v>
      </c>
      <c r="M14" s="80" t="s">
        <v>11</v>
      </c>
      <c r="N14" s="80" t="s">
        <v>12</v>
      </c>
      <c r="O14" s="83" t="s">
        <v>13</v>
      </c>
      <c r="P14" s="56" t="s">
        <v>14</v>
      </c>
      <c r="Q14" s="53" t="s">
        <v>25</v>
      </c>
    </row>
    <row r="15" spans="1:17" ht="15" hidden="1" customHeight="1" x14ac:dyDescent="0.25">
      <c r="A15" s="62"/>
      <c r="B15" s="62"/>
      <c r="C15" s="63"/>
      <c r="D15" s="63"/>
      <c r="E15" s="63"/>
      <c r="F15" s="64"/>
      <c r="G15" s="81"/>
      <c r="H15" s="81"/>
      <c r="I15" s="81"/>
      <c r="J15" s="81"/>
      <c r="K15" s="81"/>
      <c r="L15" s="81"/>
      <c r="M15" s="81"/>
      <c r="N15" s="81"/>
      <c r="O15" s="84"/>
      <c r="P15" s="57"/>
      <c r="Q15" s="54"/>
    </row>
    <row r="16" spans="1:17" ht="15" hidden="1" customHeight="1" x14ac:dyDescent="0.25">
      <c r="A16" s="62"/>
      <c r="B16" s="62"/>
      <c r="C16" s="63"/>
      <c r="D16" s="63"/>
      <c r="E16" s="63"/>
      <c r="F16" s="64"/>
      <c r="G16" s="81"/>
      <c r="H16" s="81"/>
      <c r="I16" s="81"/>
      <c r="J16" s="81"/>
      <c r="K16" s="81"/>
      <c r="L16" s="81"/>
      <c r="M16" s="81"/>
      <c r="N16" s="81"/>
      <c r="O16" s="84"/>
      <c r="P16" s="57"/>
      <c r="Q16" s="54"/>
    </row>
    <row r="17" spans="1:21" ht="15" hidden="1" customHeight="1" x14ac:dyDescent="0.25">
      <c r="A17" s="62"/>
      <c r="B17" s="62"/>
      <c r="C17" s="63"/>
      <c r="D17" s="63"/>
      <c r="E17" s="63"/>
      <c r="F17" s="64"/>
      <c r="G17" s="81"/>
      <c r="H17" s="81"/>
      <c r="I17" s="81"/>
      <c r="J17" s="81"/>
      <c r="K17" s="81"/>
      <c r="L17" s="81"/>
      <c r="M17" s="81"/>
      <c r="N17" s="81"/>
      <c r="O17" s="84"/>
      <c r="P17" s="57"/>
      <c r="Q17" s="54"/>
    </row>
    <row r="18" spans="1:21" ht="15" hidden="1" customHeight="1" x14ac:dyDescent="0.25">
      <c r="A18" s="62"/>
      <c r="B18" s="62"/>
      <c r="C18" s="63"/>
      <c r="D18" s="63"/>
      <c r="E18" s="63"/>
      <c r="F18" s="64"/>
      <c r="G18" s="81"/>
      <c r="H18" s="81"/>
      <c r="I18" s="81"/>
      <c r="J18" s="81"/>
      <c r="K18" s="81"/>
      <c r="L18" s="81"/>
      <c r="M18" s="81"/>
      <c r="N18" s="81"/>
      <c r="O18" s="84"/>
      <c r="P18" s="57"/>
      <c r="Q18" s="54"/>
    </row>
    <row r="19" spans="1:21" ht="67.5" customHeight="1" x14ac:dyDescent="0.25">
      <c r="A19" s="65"/>
      <c r="B19" s="65"/>
      <c r="C19" s="66"/>
      <c r="D19" s="66"/>
      <c r="E19" s="66"/>
      <c r="F19" s="67"/>
      <c r="G19" s="82"/>
      <c r="H19" s="82"/>
      <c r="I19" s="82"/>
      <c r="J19" s="82"/>
      <c r="K19" s="82"/>
      <c r="L19" s="82"/>
      <c r="M19" s="82"/>
      <c r="N19" s="82"/>
      <c r="O19" s="85"/>
      <c r="P19" s="58"/>
      <c r="Q19" s="55"/>
    </row>
    <row r="20" spans="1:21" ht="51" x14ac:dyDescent="0.25">
      <c r="A20" s="4" t="s">
        <v>29</v>
      </c>
      <c r="B20" s="49" t="s">
        <v>48</v>
      </c>
      <c r="C20" s="92"/>
      <c r="D20" s="92"/>
      <c r="E20" s="92"/>
      <c r="F20" s="92"/>
      <c r="G20" s="4" t="s">
        <v>15</v>
      </c>
      <c r="H20" s="19">
        <v>0</v>
      </c>
      <c r="I20" s="10">
        <v>0</v>
      </c>
      <c r="J20" s="21">
        <f>H20*I20</f>
        <v>0</v>
      </c>
      <c r="K20" s="10">
        <v>0</v>
      </c>
      <c r="L20" s="25">
        <f>SUM(J20*K20)</f>
        <v>0</v>
      </c>
      <c r="M20" s="26">
        <v>0</v>
      </c>
      <c r="N20" s="26">
        <v>0</v>
      </c>
      <c r="O20" s="26">
        <f t="shared" ref="O20:O27" si="0">SUM(M20*N20)</f>
        <v>0</v>
      </c>
      <c r="P20" s="7">
        <v>23.24</v>
      </c>
      <c r="Q20" s="7"/>
    </row>
    <row r="21" spans="1:21" x14ac:dyDescent="0.25">
      <c r="A21" s="4" t="s">
        <v>38</v>
      </c>
      <c r="B21" s="47" t="s">
        <v>50</v>
      </c>
      <c r="C21" s="48"/>
      <c r="D21" s="48"/>
      <c r="E21" s="48"/>
      <c r="F21" s="48"/>
      <c r="G21" s="4" t="s">
        <v>15</v>
      </c>
      <c r="H21" s="19">
        <f>'Numbers for Burden Grid'!B2</f>
        <v>17</v>
      </c>
      <c r="I21" s="10">
        <v>0</v>
      </c>
      <c r="J21" s="21">
        <f>H21*I21</f>
        <v>0</v>
      </c>
      <c r="K21" s="10">
        <v>0</v>
      </c>
      <c r="L21" s="25">
        <f>SUM(J21*K21)</f>
        <v>0</v>
      </c>
      <c r="M21" s="26">
        <v>0</v>
      </c>
      <c r="N21" s="26">
        <v>0</v>
      </c>
      <c r="O21" s="26">
        <f t="shared" si="0"/>
        <v>0</v>
      </c>
      <c r="P21" s="7">
        <v>52.29</v>
      </c>
      <c r="Q21" s="7">
        <f>L21*P21</f>
        <v>0</v>
      </c>
    </row>
    <row r="22" spans="1:21" x14ac:dyDescent="0.25">
      <c r="A22" s="4" t="s">
        <v>27</v>
      </c>
      <c r="B22" s="49" t="s">
        <v>33</v>
      </c>
      <c r="C22" s="49"/>
      <c r="D22" s="49"/>
      <c r="E22" s="49"/>
      <c r="F22" s="49"/>
      <c r="G22" s="4" t="s">
        <v>15</v>
      </c>
      <c r="H22" s="19">
        <f>'Numbers for Burden Grid'!B6+('Numbers for Burden Grid'!B1*0.1)</f>
        <v>1278.7548450761785</v>
      </c>
      <c r="I22" s="10">
        <v>1</v>
      </c>
      <c r="J22" s="21">
        <f>SUM(H22*I22)</f>
        <v>1278.7548450761785</v>
      </c>
      <c r="K22" s="10">
        <f>((25336*1)+(94278*0.15))/(25336+94278)</f>
        <v>0.3300424699449897</v>
      </c>
      <c r="L22" s="25">
        <f>SUM(J22*K22)</f>
        <v>422.04340752306462</v>
      </c>
      <c r="M22" s="26">
        <v>0</v>
      </c>
      <c r="N22" s="26">
        <v>0</v>
      </c>
      <c r="O22" s="26">
        <f>SUM(M22*N22)</f>
        <v>0</v>
      </c>
      <c r="P22" s="7">
        <v>33.6</v>
      </c>
      <c r="Q22" s="7">
        <f t="shared" ref="Q22:Q40" si="1">L22*P22</f>
        <v>14180.658492774972</v>
      </c>
    </row>
    <row r="23" spans="1:21" ht="51" x14ac:dyDescent="0.25">
      <c r="A23" s="4" t="s">
        <v>29</v>
      </c>
      <c r="B23" s="49" t="s">
        <v>16</v>
      </c>
      <c r="C23" s="49"/>
      <c r="D23" s="49"/>
      <c r="E23" s="49"/>
      <c r="F23" s="49"/>
      <c r="G23" s="4" t="s">
        <v>15</v>
      </c>
      <c r="H23" s="19">
        <f>'Numbers for Burden Grid'!B3</f>
        <v>15816</v>
      </c>
      <c r="I23" s="10">
        <f>H22/'Numbers for Burden Grid'!B3</f>
        <v>8.0851975535924284E-2</v>
      </c>
      <c r="J23" s="21">
        <f>SUM(H23*I23)</f>
        <v>1278.7548450761785</v>
      </c>
      <c r="K23" s="10">
        <f>((25336*1)+(94278*0.15))/(25336+94278)</f>
        <v>0.3300424699449897</v>
      </c>
      <c r="L23" s="25">
        <f>SUM(J23*K23)</f>
        <v>422.04340752306462</v>
      </c>
      <c r="M23" s="26">
        <v>0</v>
      </c>
      <c r="N23" s="26">
        <v>0</v>
      </c>
      <c r="O23" s="26">
        <f t="shared" si="0"/>
        <v>0</v>
      </c>
      <c r="P23" s="7">
        <v>23.24</v>
      </c>
      <c r="Q23" s="7">
        <f t="shared" si="1"/>
        <v>9808.2887908360208</v>
      </c>
    </row>
    <row r="24" spans="1:21" x14ac:dyDescent="0.25">
      <c r="A24" s="4" t="s">
        <v>27</v>
      </c>
      <c r="B24" s="49" t="s">
        <v>34</v>
      </c>
      <c r="C24" s="49"/>
      <c r="D24" s="49"/>
      <c r="E24" s="49"/>
      <c r="F24" s="49"/>
      <c r="G24" s="4" t="s">
        <v>15</v>
      </c>
      <c r="H24" s="19">
        <f>'Numbers for Burden Grid'!B5</f>
        <v>4717.5436363364515</v>
      </c>
      <c r="I24" s="10">
        <f>'Numbers for Burden Grid'!B1/'Numbers for Burden Grid'!B5</f>
        <v>2.1424285134644543</v>
      </c>
      <c r="J24" s="21">
        <f>SUM(H24*I24)</f>
        <v>10107</v>
      </c>
      <c r="K24" s="10">
        <v>0.75</v>
      </c>
      <c r="L24" s="25">
        <f>SUM(J24*K24)</f>
        <v>7580.25</v>
      </c>
      <c r="M24" s="26">
        <v>0</v>
      </c>
      <c r="N24" s="26">
        <v>0</v>
      </c>
      <c r="O24" s="26">
        <f t="shared" si="0"/>
        <v>0</v>
      </c>
      <c r="P24" s="7">
        <v>33.6</v>
      </c>
      <c r="Q24" s="7">
        <f t="shared" si="1"/>
        <v>254696.40000000002</v>
      </c>
    </row>
    <row r="25" spans="1:21" ht="51" x14ac:dyDescent="0.25">
      <c r="A25" s="4" t="s">
        <v>29</v>
      </c>
      <c r="B25" s="49" t="s">
        <v>17</v>
      </c>
      <c r="C25" s="49"/>
      <c r="D25" s="49"/>
      <c r="E25" s="49"/>
      <c r="F25" s="49"/>
      <c r="G25" s="4" t="s">
        <v>15</v>
      </c>
      <c r="H25" s="19">
        <f>'Numbers for Burden Grid'!B3</f>
        <v>15816</v>
      </c>
      <c r="I25" s="10">
        <f>'Numbers for Burden Grid'!B1/'Numbers for Burden Grid'!B3</f>
        <v>0.63903641881638851</v>
      </c>
      <c r="J25" s="21">
        <f t="shared" ref="J25:J36" si="2">SUM(H25*I25)</f>
        <v>10107</v>
      </c>
      <c r="K25" s="11">
        <v>0.5</v>
      </c>
      <c r="L25" s="25">
        <f t="shared" ref="L25:L38" si="3">SUM(J25*K25)</f>
        <v>5053.5</v>
      </c>
      <c r="M25" s="26">
        <v>0</v>
      </c>
      <c r="N25" s="26">
        <v>0</v>
      </c>
      <c r="O25" s="26">
        <f t="shared" si="0"/>
        <v>0</v>
      </c>
      <c r="P25" s="7">
        <v>23.24</v>
      </c>
      <c r="Q25" s="7">
        <f t="shared" si="1"/>
        <v>117443.34</v>
      </c>
    </row>
    <row r="26" spans="1:21" x14ac:dyDescent="0.25">
      <c r="A26" s="4" t="s">
        <v>27</v>
      </c>
      <c r="B26" s="49" t="s">
        <v>18</v>
      </c>
      <c r="C26" s="49"/>
      <c r="D26" s="49"/>
      <c r="E26" s="49"/>
      <c r="F26" s="49"/>
      <c r="G26" s="4" t="s">
        <v>15</v>
      </c>
      <c r="H26" s="19">
        <f>'Numbers for Burden Grid'!B5</f>
        <v>4717.5436363364515</v>
      </c>
      <c r="I26" s="10">
        <v>1</v>
      </c>
      <c r="J26" s="21">
        <f t="shared" si="2"/>
        <v>4717.5436363364515</v>
      </c>
      <c r="K26" s="11">
        <v>0.1</v>
      </c>
      <c r="L26" s="25">
        <f t="shared" si="3"/>
        <v>471.7543636336452</v>
      </c>
      <c r="M26" s="26">
        <v>0</v>
      </c>
      <c r="N26" s="26">
        <v>0</v>
      </c>
      <c r="O26" s="26">
        <f t="shared" si="0"/>
        <v>0</v>
      </c>
      <c r="P26" s="7">
        <v>33.6</v>
      </c>
      <c r="Q26" s="7">
        <f t="shared" si="1"/>
        <v>15850.94661809048</v>
      </c>
    </row>
    <row r="27" spans="1:21" x14ac:dyDescent="0.25">
      <c r="A27" s="4" t="s">
        <v>36</v>
      </c>
      <c r="B27" s="49" t="s">
        <v>18</v>
      </c>
      <c r="C27" s="49"/>
      <c r="D27" s="49"/>
      <c r="E27" s="49"/>
      <c r="F27" s="49"/>
      <c r="G27" s="4" t="s">
        <v>15</v>
      </c>
      <c r="H27" s="19">
        <f>'Numbers for Burden Grid'!B2</f>
        <v>17</v>
      </c>
      <c r="I27" s="10">
        <f>H26/H27</f>
        <v>277.50256684332066</v>
      </c>
      <c r="J27" s="21">
        <f t="shared" ref="J27" si="4">SUM(H27*I27)</f>
        <v>4717.5436363364515</v>
      </c>
      <c r="K27" s="11">
        <v>0.1</v>
      </c>
      <c r="L27" s="25">
        <f t="shared" ref="L27:L28" si="5">SUM(J27*K27)</f>
        <v>471.7543636336452</v>
      </c>
      <c r="M27" s="26">
        <v>0</v>
      </c>
      <c r="N27" s="26">
        <v>0</v>
      </c>
      <c r="O27" s="26">
        <f t="shared" si="0"/>
        <v>0</v>
      </c>
      <c r="P27" s="7">
        <v>36.19</v>
      </c>
      <c r="Q27" s="7">
        <f t="shared" ref="Q27" si="6">L27*P27</f>
        <v>17072.790419901619</v>
      </c>
    </row>
    <row r="28" spans="1:21" ht="15" customHeight="1" x14ac:dyDescent="0.25">
      <c r="A28" s="4" t="s">
        <v>38</v>
      </c>
      <c r="B28" s="49" t="s">
        <v>43</v>
      </c>
      <c r="C28" s="49"/>
      <c r="D28" s="49"/>
      <c r="E28" s="49"/>
      <c r="F28" s="49"/>
      <c r="G28" s="4" t="s">
        <v>15</v>
      </c>
      <c r="H28" s="19">
        <v>0</v>
      </c>
      <c r="I28" s="10">
        <v>0</v>
      </c>
      <c r="J28" s="21">
        <f t="shared" si="2"/>
        <v>0</v>
      </c>
      <c r="K28" s="11">
        <v>0</v>
      </c>
      <c r="L28" s="25">
        <f t="shared" si="5"/>
        <v>0</v>
      </c>
      <c r="M28" s="26">
        <v>0</v>
      </c>
      <c r="N28" s="26">
        <v>0</v>
      </c>
      <c r="O28" s="26">
        <f t="shared" ref="O28:O46" si="7">SUM(M28*N28)</f>
        <v>0</v>
      </c>
      <c r="P28" s="7">
        <v>52.29</v>
      </c>
      <c r="Q28" s="7">
        <f t="shared" si="1"/>
        <v>0</v>
      </c>
    </row>
    <row r="29" spans="1:21" x14ac:dyDescent="0.25">
      <c r="A29" s="4" t="s">
        <v>27</v>
      </c>
      <c r="B29" s="49" t="s">
        <v>31</v>
      </c>
      <c r="C29" s="49"/>
      <c r="D29" s="49"/>
      <c r="E29" s="49"/>
      <c r="F29" s="49"/>
      <c r="G29" s="4" t="s">
        <v>15</v>
      </c>
      <c r="H29" s="19">
        <f>'Numbers for Burden Grid'!B5</f>
        <v>4717.5436363364515</v>
      </c>
      <c r="I29" s="10">
        <f>'Numbers for Burden Grid'!B1/'Numbers for Burden Grid'!B5</f>
        <v>2.1424285134644543</v>
      </c>
      <c r="J29" s="21">
        <f t="shared" si="2"/>
        <v>10107</v>
      </c>
      <c r="K29" s="11">
        <v>1</v>
      </c>
      <c r="L29" s="25">
        <f>SUM(J29*K29)</f>
        <v>10107</v>
      </c>
      <c r="M29" s="26">
        <v>0</v>
      </c>
      <c r="N29" s="26">
        <v>0</v>
      </c>
      <c r="O29" s="26">
        <f t="shared" si="7"/>
        <v>0</v>
      </c>
      <c r="P29" s="7">
        <v>33.6</v>
      </c>
      <c r="Q29" s="7">
        <f t="shared" si="1"/>
        <v>339595.2</v>
      </c>
      <c r="R29" s="5"/>
      <c r="S29" s="5"/>
      <c r="T29" s="5"/>
      <c r="U29" s="5"/>
    </row>
    <row r="30" spans="1:21" ht="51" x14ac:dyDescent="0.25">
      <c r="A30" s="4" t="s">
        <v>29</v>
      </c>
      <c r="B30" s="49" t="s">
        <v>31</v>
      </c>
      <c r="C30" s="49"/>
      <c r="D30" s="49"/>
      <c r="E30" s="49"/>
      <c r="F30" s="49"/>
      <c r="G30" s="4" t="s">
        <v>15</v>
      </c>
      <c r="H30" s="19">
        <f>'Numbers for Burden Grid'!B3</f>
        <v>15816</v>
      </c>
      <c r="I30" s="10">
        <f>'Numbers for Burden Grid'!B1/'Numbers for Burden Grid'!B3</f>
        <v>0.63903641881638851</v>
      </c>
      <c r="J30" s="21">
        <f t="shared" si="2"/>
        <v>10107</v>
      </c>
      <c r="K30" s="11">
        <v>1.5</v>
      </c>
      <c r="L30" s="25">
        <f t="shared" si="3"/>
        <v>15160.5</v>
      </c>
      <c r="M30" s="26">
        <v>0</v>
      </c>
      <c r="N30" s="26">
        <v>0</v>
      </c>
      <c r="O30" s="26">
        <f t="shared" si="7"/>
        <v>0</v>
      </c>
      <c r="P30" s="7">
        <v>23.24</v>
      </c>
      <c r="Q30" s="7">
        <f t="shared" si="1"/>
        <v>352330.01999999996</v>
      </c>
      <c r="R30" s="5"/>
      <c r="S30" s="5"/>
      <c r="T30" s="5"/>
      <c r="U30" s="5"/>
    </row>
    <row r="31" spans="1:21" ht="15" customHeight="1" x14ac:dyDescent="0.25">
      <c r="A31" s="4" t="s">
        <v>38</v>
      </c>
      <c r="B31" s="49" t="s">
        <v>46</v>
      </c>
      <c r="C31" s="49"/>
      <c r="D31" s="49"/>
      <c r="E31" s="49"/>
      <c r="F31" s="49"/>
      <c r="G31" s="4" t="s">
        <v>15</v>
      </c>
      <c r="H31" s="19">
        <v>0</v>
      </c>
      <c r="I31" s="10">
        <v>0</v>
      </c>
      <c r="J31" s="21">
        <f t="shared" si="2"/>
        <v>0</v>
      </c>
      <c r="K31" s="11">
        <v>0</v>
      </c>
      <c r="L31" s="25">
        <f t="shared" si="3"/>
        <v>0</v>
      </c>
      <c r="M31" s="26">
        <v>0</v>
      </c>
      <c r="N31" s="26">
        <v>0</v>
      </c>
      <c r="O31" s="26">
        <f t="shared" si="7"/>
        <v>0</v>
      </c>
      <c r="P31" s="7">
        <v>52.29</v>
      </c>
      <c r="Q31" s="7">
        <f t="shared" si="1"/>
        <v>0</v>
      </c>
    </row>
    <row r="32" spans="1:21" x14ac:dyDescent="0.25">
      <c r="A32" s="4" t="s">
        <v>27</v>
      </c>
      <c r="B32" s="49" t="s">
        <v>35</v>
      </c>
      <c r="C32" s="49"/>
      <c r="D32" s="49"/>
      <c r="E32" s="49"/>
      <c r="F32" s="49"/>
      <c r="G32" s="4" t="s">
        <v>15</v>
      </c>
      <c r="H32" s="19">
        <f>ROUND(0.3*'Numbers for Burden Grid'!B5, 0)</f>
        <v>1415</v>
      </c>
      <c r="I32" s="10">
        <f>'Numbers for Burden Grid'!B1/'Numbers for Burden Grid'!B5</f>
        <v>2.1424285134644543</v>
      </c>
      <c r="J32" s="21">
        <f t="shared" ref="J32" si="8">SUM(H32*I32)</f>
        <v>3031.5363465522028</v>
      </c>
      <c r="K32" s="11">
        <v>2.5</v>
      </c>
      <c r="L32" s="25">
        <f t="shared" ref="L32" si="9">SUM(J32*K32)</f>
        <v>7578.8408663805067</v>
      </c>
      <c r="M32" s="26">
        <v>0</v>
      </c>
      <c r="N32" s="26">
        <v>0</v>
      </c>
      <c r="O32" s="26">
        <f t="shared" si="7"/>
        <v>0</v>
      </c>
      <c r="P32" s="7">
        <v>33.6</v>
      </c>
      <c r="Q32" s="7">
        <f t="shared" ref="Q32" si="10">L32*P32</f>
        <v>254649.05311038502</v>
      </c>
    </row>
    <row r="33" spans="1:21" ht="63.75" x14ac:dyDescent="0.25">
      <c r="A33" s="4" t="s">
        <v>47</v>
      </c>
      <c r="B33" s="49" t="s">
        <v>19</v>
      </c>
      <c r="C33" s="49"/>
      <c r="D33" s="49"/>
      <c r="E33" s="49"/>
      <c r="F33" s="49"/>
      <c r="G33" s="4" t="s">
        <v>15</v>
      </c>
      <c r="H33" s="19">
        <f>'Numbers for Burden Grid'!B3+'Numbers for Burden Grid'!B4</f>
        <v>20714</v>
      </c>
      <c r="I33" s="10">
        <f>J32/H33</f>
        <v>0.14635204917216388</v>
      </c>
      <c r="J33" s="21">
        <f t="shared" si="2"/>
        <v>3031.5363465522028</v>
      </c>
      <c r="K33" s="11">
        <v>2.5</v>
      </c>
      <c r="L33" s="25">
        <f t="shared" si="3"/>
        <v>7578.8408663805067</v>
      </c>
      <c r="M33" s="26">
        <v>0</v>
      </c>
      <c r="N33" s="26">
        <v>0</v>
      </c>
      <c r="O33" s="26">
        <f t="shared" si="7"/>
        <v>0</v>
      </c>
      <c r="P33" s="7">
        <v>25.8</v>
      </c>
      <c r="Q33" s="7">
        <f t="shared" si="1"/>
        <v>195534.09435261707</v>
      </c>
    </row>
    <row r="34" spans="1:21" ht="15" customHeight="1" x14ac:dyDescent="0.25">
      <c r="A34" s="4" t="s">
        <v>27</v>
      </c>
      <c r="B34" s="50" t="s">
        <v>64</v>
      </c>
      <c r="C34" s="51"/>
      <c r="D34" s="51"/>
      <c r="E34" s="51"/>
      <c r="F34" s="52"/>
      <c r="G34" s="4" t="s">
        <v>15</v>
      </c>
      <c r="H34" s="19">
        <v>11048</v>
      </c>
      <c r="I34" s="10">
        <v>1</v>
      </c>
      <c r="J34" s="21">
        <f>H34*I34</f>
        <v>11048</v>
      </c>
      <c r="K34" s="11">
        <v>0.5</v>
      </c>
      <c r="L34" s="25">
        <f>SUM(J34*K34)</f>
        <v>5524</v>
      </c>
      <c r="M34" s="26">
        <v>0</v>
      </c>
      <c r="N34" s="26">
        <v>0</v>
      </c>
      <c r="O34" s="26">
        <f t="shared" ref="O34:O35" si="11">SUM(M34*N34)</f>
        <v>0</v>
      </c>
      <c r="P34" s="7">
        <v>33.6</v>
      </c>
      <c r="Q34" s="7">
        <f t="shared" ref="Q34:Q35" si="12">L34*P34</f>
        <v>185606.39999999999</v>
      </c>
    </row>
    <row r="35" spans="1:21" ht="51" x14ac:dyDescent="0.25">
      <c r="A35" s="4" t="s">
        <v>29</v>
      </c>
      <c r="B35" s="50" t="s">
        <v>65</v>
      </c>
      <c r="C35" s="51"/>
      <c r="D35" s="51"/>
      <c r="E35" s="51"/>
      <c r="F35" s="52"/>
      <c r="G35" s="4" t="s">
        <v>15</v>
      </c>
      <c r="H35" s="19">
        <f>0.06*11048</f>
        <v>662.88</v>
      </c>
      <c r="I35" s="10">
        <v>1</v>
      </c>
      <c r="J35" s="21">
        <f>H35*I35</f>
        <v>662.88</v>
      </c>
      <c r="K35" s="10">
        <v>0.5</v>
      </c>
      <c r="L35" s="25">
        <f>SUM(J35*K35)</f>
        <v>331.44</v>
      </c>
      <c r="M35" s="26">
        <v>0</v>
      </c>
      <c r="N35" s="26">
        <v>0</v>
      </c>
      <c r="O35" s="26">
        <f t="shared" si="11"/>
        <v>0</v>
      </c>
      <c r="P35" s="7">
        <v>23.24</v>
      </c>
      <c r="Q35" s="7">
        <f t="shared" si="12"/>
        <v>7702.6655999999994</v>
      </c>
    </row>
    <row r="36" spans="1:21" ht="51" x14ac:dyDescent="0.25">
      <c r="A36" s="4" t="s">
        <v>29</v>
      </c>
      <c r="B36" s="50" t="s">
        <v>20</v>
      </c>
      <c r="C36" s="51"/>
      <c r="D36" s="51"/>
      <c r="E36" s="51"/>
      <c r="F36" s="52"/>
      <c r="G36" s="4" t="s">
        <v>15</v>
      </c>
      <c r="H36" s="19">
        <f>'Numbers for Burden Grid'!B3</f>
        <v>15816</v>
      </c>
      <c r="I36" s="10">
        <f>('Numbers for Burden Grid'!B1*0.5*0.85)/'Numbers for Burden Grid'!B3</f>
        <v>0.27159047799696506</v>
      </c>
      <c r="J36" s="21">
        <f t="shared" si="2"/>
        <v>4295.4749999999995</v>
      </c>
      <c r="K36" s="11">
        <v>1</v>
      </c>
      <c r="L36" s="25">
        <f t="shared" si="3"/>
        <v>4295.4749999999995</v>
      </c>
      <c r="M36" s="26">
        <v>0</v>
      </c>
      <c r="N36" s="26">
        <v>0</v>
      </c>
      <c r="O36" s="26">
        <f t="shared" si="7"/>
        <v>0</v>
      </c>
      <c r="P36" s="7">
        <v>23.24</v>
      </c>
      <c r="Q36" s="7">
        <f t="shared" si="1"/>
        <v>99826.838999999978</v>
      </c>
    </row>
    <row r="37" spans="1:21" x14ac:dyDescent="0.25">
      <c r="A37" s="32" t="s">
        <v>38</v>
      </c>
      <c r="B37" s="50" t="s">
        <v>40</v>
      </c>
      <c r="C37" s="51"/>
      <c r="D37" s="51"/>
      <c r="E37" s="51"/>
      <c r="F37" s="52"/>
      <c r="G37" s="32" t="s">
        <v>15</v>
      </c>
      <c r="H37" s="19">
        <v>0</v>
      </c>
      <c r="I37" s="10">
        <v>0</v>
      </c>
      <c r="J37" s="21">
        <f t="shared" ref="J37:J38" si="13">SUM(H37*I37)</f>
        <v>0</v>
      </c>
      <c r="K37" s="11">
        <v>0</v>
      </c>
      <c r="L37" s="25">
        <f t="shared" si="3"/>
        <v>0</v>
      </c>
      <c r="M37" s="26">
        <v>0</v>
      </c>
      <c r="N37" s="26">
        <v>0</v>
      </c>
      <c r="O37" s="26">
        <f t="shared" si="7"/>
        <v>0</v>
      </c>
      <c r="P37" s="7">
        <v>52.29</v>
      </c>
      <c r="Q37" s="7">
        <f t="shared" si="1"/>
        <v>0</v>
      </c>
    </row>
    <row r="38" spans="1:21" ht="51" x14ac:dyDescent="0.25">
      <c r="A38" s="32" t="s">
        <v>29</v>
      </c>
      <c r="B38" s="49" t="s">
        <v>32</v>
      </c>
      <c r="C38" s="49"/>
      <c r="D38" s="49"/>
      <c r="E38" s="49"/>
      <c r="F38" s="49"/>
      <c r="G38" s="32" t="s">
        <v>15</v>
      </c>
      <c r="H38" s="19">
        <f>ROUND(0.1*'Numbers for Burden Grid'!B1, 0)</f>
        <v>1011</v>
      </c>
      <c r="I38" s="10">
        <v>1</v>
      </c>
      <c r="J38" s="21">
        <f t="shared" si="13"/>
        <v>1011</v>
      </c>
      <c r="K38" s="11">
        <v>0.1</v>
      </c>
      <c r="L38" s="25">
        <f t="shared" si="3"/>
        <v>101.10000000000001</v>
      </c>
      <c r="M38" s="26">
        <v>0</v>
      </c>
      <c r="N38" s="26">
        <v>0</v>
      </c>
      <c r="O38" s="26">
        <f t="shared" si="7"/>
        <v>0</v>
      </c>
      <c r="P38" s="7">
        <v>23.24</v>
      </c>
      <c r="Q38" s="7">
        <f t="shared" si="1"/>
        <v>2349.5639999999999</v>
      </c>
    </row>
    <row r="39" spans="1:21" s="5" customFormat="1" ht="15" customHeight="1" x14ac:dyDescent="0.25">
      <c r="A39" s="32" t="s">
        <v>37</v>
      </c>
      <c r="B39" s="50" t="s">
        <v>62</v>
      </c>
      <c r="C39" s="51"/>
      <c r="D39" s="51"/>
      <c r="E39" s="51"/>
      <c r="F39" s="52"/>
      <c r="G39" s="32" t="s">
        <v>15</v>
      </c>
      <c r="H39" s="19">
        <f>'Numbers for Burden Grid'!B8</f>
        <v>544.51342656506199</v>
      </c>
      <c r="I39" s="10">
        <v>1</v>
      </c>
      <c r="J39" s="21">
        <f t="shared" ref="J39" si="14">SUM(H39*I39)</f>
        <v>544.51342656506199</v>
      </c>
      <c r="K39" s="10">
        <v>0.3</v>
      </c>
      <c r="L39" s="25">
        <f t="shared" ref="L39" si="15">SUM(J39*K39)</f>
        <v>163.3540279695186</v>
      </c>
      <c r="M39" s="26">
        <v>0</v>
      </c>
      <c r="N39" s="26">
        <v>0</v>
      </c>
      <c r="O39" s="26">
        <f t="shared" ref="O39" si="16">SUM(M39*N39)</f>
        <v>0</v>
      </c>
      <c r="P39" s="7">
        <v>33.6</v>
      </c>
      <c r="Q39" s="7">
        <f t="shared" ref="Q39" si="17">L39*P39</f>
        <v>5488.6953397758252</v>
      </c>
    </row>
    <row r="40" spans="1:21" s="5" customFormat="1" ht="51" x14ac:dyDescent="0.25">
      <c r="A40" s="32" t="s">
        <v>29</v>
      </c>
      <c r="B40" s="50" t="s">
        <v>62</v>
      </c>
      <c r="C40" s="51"/>
      <c r="D40" s="51"/>
      <c r="E40" s="51"/>
      <c r="F40" s="52"/>
      <c r="G40" s="32" t="s">
        <v>15</v>
      </c>
      <c r="H40" s="19">
        <f>'Numbers for Burden Grid'!B8</f>
        <v>544.51342656506199</v>
      </c>
      <c r="I40" s="10">
        <v>1</v>
      </c>
      <c r="J40" s="21">
        <f t="shared" ref="J40:J46" si="18">SUM(H40*I40)</f>
        <v>544.51342656506199</v>
      </c>
      <c r="K40" s="10">
        <v>0.3</v>
      </c>
      <c r="L40" s="25">
        <f t="shared" ref="L40:L46" si="19">SUM(J40*K40)</f>
        <v>163.3540279695186</v>
      </c>
      <c r="M40" s="26">
        <v>0</v>
      </c>
      <c r="N40" s="26">
        <v>0</v>
      </c>
      <c r="O40" s="26">
        <f t="shared" si="7"/>
        <v>0</v>
      </c>
      <c r="P40" s="7">
        <v>23.24</v>
      </c>
      <c r="Q40" s="7">
        <f t="shared" si="1"/>
        <v>3796.3476100116118</v>
      </c>
    </row>
    <row r="41" spans="1:21" s="5" customFormat="1" x14ac:dyDescent="0.25">
      <c r="A41" s="32" t="s">
        <v>38</v>
      </c>
      <c r="B41" s="49" t="s">
        <v>42</v>
      </c>
      <c r="C41" s="49"/>
      <c r="D41" s="49"/>
      <c r="E41" s="49"/>
      <c r="F41" s="49"/>
      <c r="G41" s="32" t="s">
        <v>15</v>
      </c>
      <c r="H41" s="19">
        <v>0</v>
      </c>
      <c r="I41" s="10">
        <v>0</v>
      </c>
      <c r="J41" s="21">
        <f t="shared" si="18"/>
        <v>0</v>
      </c>
      <c r="K41" s="10">
        <v>0</v>
      </c>
      <c r="L41" s="25">
        <f t="shared" si="19"/>
        <v>0</v>
      </c>
      <c r="M41" s="26">
        <v>0</v>
      </c>
      <c r="N41" s="26">
        <v>0</v>
      </c>
      <c r="O41" s="26">
        <f t="shared" si="7"/>
        <v>0</v>
      </c>
      <c r="P41" s="7">
        <v>52.29</v>
      </c>
      <c r="Q41" s="7">
        <f t="shared" ref="Q41" si="20">L41*P41</f>
        <v>0</v>
      </c>
    </row>
    <row r="42" spans="1:21" s="5" customFormat="1" ht="102" x14ac:dyDescent="0.25">
      <c r="A42" s="32" t="s">
        <v>45</v>
      </c>
      <c r="B42" s="49" t="s">
        <v>44</v>
      </c>
      <c r="C42" s="140"/>
      <c r="D42" s="140"/>
      <c r="E42" s="140"/>
      <c r="F42" s="140"/>
      <c r="G42" s="32" t="s">
        <v>15</v>
      </c>
      <c r="H42" s="19">
        <v>25000</v>
      </c>
      <c r="I42" s="10">
        <v>1</v>
      </c>
      <c r="J42" s="21">
        <f t="shared" si="18"/>
        <v>25000</v>
      </c>
      <c r="K42" s="10">
        <v>0.33</v>
      </c>
      <c r="L42" s="25">
        <f t="shared" si="19"/>
        <v>8250</v>
      </c>
      <c r="M42" s="26">
        <v>0</v>
      </c>
      <c r="N42" s="26">
        <v>0</v>
      </c>
      <c r="O42" s="26">
        <f t="shared" ref="O42" si="21">SUM(M42*N42)</f>
        <v>0</v>
      </c>
      <c r="P42" s="7">
        <v>30.19</v>
      </c>
      <c r="Q42" s="7">
        <f t="shared" ref="Q42" si="22">L42*P42</f>
        <v>249067.5</v>
      </c>
    </row>
    <row r="43" spans="1:21" s="5" customFormat="1" ht="76.5" x14ac:dyDescent="0.25">
      <c r="A43" s="32" t="s">
        <v>28</v>
      </c>
      <c r="B43" s="49" t="s">
        <v>21</v>
      </c>
      <c r="C43" s="140"/>
      <c r="D43" s="140"/>
      <c r="E43" s="140"/>
      <c r="F43" s="140"/>
      <c r="G43" s="32" t="s">
        <v>15</v>
      </c>
      <c r="H43" s="19">
        <f>'Numbers for Burden Grid'!B5+26000</f>
        <v>30717.54363633645</v>
      </c>
      <c r="I43" s="10">
        <v>1</v>
      </c>
      <c r="J43" s="21">
        <f t="shared" si="18"/>
        <v>30717.54363633645</v>
      </c>
      <c r="K43" s="10">
        <v>0.5</v>
      </c>
      <c r="L43" s="25">
        <f t="shared" si="19"/>
        <v>15358.771818168225</v>
      </c>
      <c r="M43" s="26">
        <v>0</v>
      </c>
      <c r="N43" s="26">
        <v>0</v>
      </c>
      <c r="O43" s="26">
        <f t="shared" si="7"/>
        <v>0</v>
      </c>
      <c r="P43" s="7">
        <v>33.229999999999997</v>
      </c>
      <c r="Q43" s="7">
        <f t="shared" ref="Q43:Q46" si="23">L43*P43</f>
        <v>510371.98751773004</v>
      </c>
    </row>
    <row r="44" spans="1:21" x14ac:dyDescent="0.25">
      <c r="A44" s="22" t="s">
        <v>37</v>
      </c>
      <c r="B44" s="118" t="s">
        <v>53</v>
      </c>
      <c r="C44" s="119"/>
      <c r="D44" s="119"/>
      <c r="E44" s="119"/>
      <c r="F44" s="119"/>
      <c r="G44" s="23" t="s">
        <v>15</v>
      </c>
      <c r="H44" s="17">
        <f>'Numbers for Burden Grid'!B5</f>
        <v>4717.5436363364515</v>
      </c>
      <c r="I44" s="9">
        <f>'Numbers for Burden Grid'!B1/'Numbers for Burden Grid'!B5</f>
        <v>2.1424285134644543</v>
      </c>
      <c r="J44" s="18">
        <f t="shared" si="18"/>
        <v>10107</v>
      </c>
      <c r="K44" s="9">
        <v>0.15</v>
      </c>
      <c r="L44" s="20">
        <f t="shared" si="19"/>
        <v>1516.05</v>
      </c>
      <c r="M44" s="8">
        <v>0</v>
      </c>
      <c r="N44" s="8">
        <v>0</v>
      </c>
      <c r="O44" s="8">
        <f t="shared" si="7"/>
        <v>0</v>
      </c>
      <c r="P44" s="7">
        <v>33.6</v>
      </c>
      <c r="Q44" s="6">
        <f t="shared" si="23"/>
        <v>50939.28</v>
      </c>
    </row>
    <row r="45" spans="1:21" ht="63.75" x14ac:dyDescent="0.25">
      <c r="A45" s="22" t="s">
        <v>52</v>
      </c>
      <c r="B45" s="118" t="s">
        <v>51</v>
      </c>
      <c r="C45" s="119"/>
      <c r="D45" s="119"/>
      <c r="E45" s="119"/>
      <c r="F45" s="119"/>
      <c r="G45" s="23" t="s">
        <v>15</v>
      </c>
      <c r="H45" s="17">
        <f>'Numbers for Burden Grid'!B5+J33</f>
        <v>7749.0799828886538</v>
      </c>
      <c r="I45" s="9">
        <v>1</v>
      </c>
      <c r="J45" s="18">
        <f t="shared" si="18"/>
        <v>7749.0799828886538</v>
      </c>
      <c r="K45" s="9">
        <v>1</v>
      </c>
      <c r="L45" s="20">
        <f t="shared" si="19"/>
        <v>7749.0799828886538</v>
      </c>
      <c r="M45" s="8">
        <v>0</v>
      </c>
      <c r="N45" s="8">
        <v>0</v>
      </c>
      <c r="O45" s="8">
        <f t="shared" si="7"/>
        <v>0</v>
      </c>
      <c r="P45" s="7">
        <v>31.89</v>
      </c>
      <c r="Q45" s="6">
        <f t="shared" si="23"/>
        <v>247118.16065431919</v>
      </c>
    </row>
    <row r="46" spans="1:21" s="5" customFormat="1" ht="30.75" customHeight="1" x14ac:dyDescent="0.25">
      <c r="A46" s="32" t="s">
        <v>38</v>
      </c>
      <c r="B46" s="49" t="s">
        <v>39</v>
      </c>
      <c r="C46" s="140"/>
      <c r="D46" s="140"/>
      <c r="E46" s="140"/>
      <c r="F46" s="140"/>
      <c r="G46" s="32" t="s">
        <v>15</v>
      </c>
      <c r="H46" s="10">
        <f>'Numbers for Burden Grid'!B7/2500000</f>
        <v>9.3142356394543651</v>
      </c>
      <c r="I46" s="10">
        <v>1</v>
      </c>
      <c r="J46" s="21">
        <f t="shared" si="18"/>
        <v>9.3142356394543651</v>
      </c>
      <c r="K46" s="10">
        <v>2.5</v>
      </c>
      <c r="L46" s="25">
        <f t="shared" si="19"/>
        <v>23.285589098635914</v>
      </c>
      <c r="M46" s="26">
        <v>0</v>
      </c>
      <c r="N46" s="26">
        <v>0</v>
      </c>
      <c r="O46" s="26">
        <f t="shared" si="7"/>
        <v>0</v>
      </c>
      <c r="P46" s="7">
        <v>52.29</v>
      </c>
      <c r="Q46" s="7">
        <f t="shared" si="23"/>
        <v>1217.6034539676718</v>
      </c>
      <c r="R46"/>
      <c r="S46"/>
      <c r="T46"/>
      <c r="U46"/>
    </row>
    <row r="47" spans="1:21" x14ac:dyDescent="0.25">
      <c r="A47" s="2"/>
      <c r="B47" s="141" t="s">
        <v>22</v>
      </c>
      <c r="C47" s="142"/>
      <c r="D47" s="142"/>
      <c r="E47" s="142"/>
      <c r="F47" s="142"/>
      <c r="G47" s="3"/>
      <c r="H47" s="15"/>
      <c r="I47" s="8"/>
      <c r="J47" s="18">
        <f>SUM(J21:J46)</f>
        <v>150172.98936392437</v>
      </c>
      <c r="K47" s="18"/>
      <c r="L47" s="18">
        <f>SUM(L21:L46)</f>
        <v>98322.437721168986</v>
      </c>
      <c r="M47" s="18">
        <f>SUM(M21:M41)</f>
        <v>0</v>
      </c>
      <c r="N47" s="18"/>
      <c r="O47" s="18">
        <f>SUM(O21:O41)</f>
        <v>0</v>
      </c>
      <c r="P47" s="21">
        <f>SUM(P21:P46)</f>
        <v>902.5200000000001</v>
      </c>
      <c r="Q47" s="18">
        <f>SUM(Q21:Q46)</f>
        <v>2934645.834960409</v>
      </c>
    </row>
    <row r="48" spans="1:21" x14ac:dyDescent="0.25">
      <c r="A48" s="14"/>
      <c r="B48" s="136" t="s">
        <v>23</v>
      </c>
      <c r="C48" s="137"/>
      <c r="D48" s="137"/>
      <c r="E48" s="137"/>
      <c r="F48" s="137"/>
      <c r="G48" s="12"/>
      <c r="H48" s="13"/>
      <c r="I48" s="8"/>
      <c r="J48" s="21">
        <f>SUM(J47+K78+K107+K136+K165+K194+K223+K252+K281+K310+K339+K368+K397+K426+K455+K484+K513+K542+K571+K600+K629+K658+K687+K716+K745+K774+K803+K832+K861+K890+K919+K948+K977+K1006+K1035+K1064+K1093+K1122+K1151+K1180+K1209+K1238+K1267+K1296+K1325+K1354+K1383+K1412+K1441+K1470+K1499+K1528+K1557+K1586+K1615+K1644+K1673+K1702+K1731+K1760)</f>
        <v>150172.98936392437</v>
      </c>
      <c r="K48" s="21"/>
      <c r="L48" s="21">
        <f>SUM(L47+M78+M107+M136+M165+M194+M223+M252+M281+M310+M339+M368+M397+M426+M455+M484+M513+M542+M571+M600+M629+M658+M687+M716+M745+M774+M803+M832+M861+M890+M919+M948+M977+M1006+M1035+M1064+M1093+M1122+M1151+M1180+M1209+M1238+M1267+M1296+M1325+M1354+M1383+M1412+M1441+M1470+M1499+M1528+M1557+M1586+M1615+M1644+M1673+M1702+M1731+M1760)</f>
        <v>98322.437721168986</v>
      </c>
      <c r="M48" s="21">
        <f>SUM(M47+N78+N107+N136+N165+N194+N223+N252+N281+N310+N339+N368+N397+N426+N455+N484+N513+N542+N571+N600+N629+N658+N687+N716+N745+N774+N803+N832+N861+N890+N919+N948+N977+N1006+N1035+N1064+N1093+N1122+N1151+N1180+N1209+N1238+N1267+N1296+N1325+N1354+N1383+N1412+N1441+N1470+N1499+N1528+N1557+N1586+N1615+N1644+N1673+N1702+N1731+N1760)</f>
        <v>0</v>
      </c>
      <c r="N48" s="21"/>
      <c r="O48" s="21">
        <f>SUM(O47+P78+P107+P136+P165+P194+P223+P252+P281+P310+P339+P368+P397+P426+P455+P484+P513+P542+P571+P600+P629+P658+P687+P716+P745+P774+P803+P832+P861+P890+P919+P948+P977+P1006+P1035+P1064+P1093+P1122+P1151+P1180+P1209+P1238+P1267+P1296+P1325+P1354+P1383+P1412+P1441+P1470+P1499+P1528+P1557+P1586+P1615+P1644+P1673+P1702+P1731+P1760)</f>
        <v>0</v>
      </c>
      <c r="P48" s="21">
        <f>SUM(P47+Q78+Q107+Q136+Q165+Q194+Q223+Q252+Q281+Q310+Q339+Q368+Q397+Q426+Q455+Q484+Q513+Q542+Q571+Q600+Q629+Q658+Q687+Q716+Q745+Q774+Q803+Q832+Q861+Q890+Q919+Q948+Q977+Q1006+Q1035+Q1064+Q1093+Q1122+Q1151+Q1180+Q1209+Q1238+Q1267+Q1296+Q1325+Q1354+Q1383+Q1412+Q1441+Q1470+Q1499+Q1528+Q1557+Q1586+Q1615+Q1644+Q1673+Q1702+Q1731+Q1760)</f>
        <v>902.5200000000001</v>
      </c>
      <c r="Q48" s="21">
        <f>SUM(Q47+R67+R96+R125+R154+R183+R212+R241+R270+R299+R328+R357+R386+R415+R444+R473+R502+R531+R560+R589+R618+R647+R676+R705+R734+R763+R792+R821+R850+R879+R908+R937+R966+R995+R1024+R1053+R1082+R1111+R1140+R1169+R1198+R1227+R1256+R1285+R1314+R1343+R1372+R1401+R1430+R1459+R1488+R1517+R1546+R1575+R1604+R1633+R1662+R1691+R1720+R1749)</f>
        <v>2934645.834960409</v>
      </c>
    </row>
    <row r="49" spans="1:21" s="5" customFormat="1" ht="15.75" x14ac:dyDescent="0.25">
      <c r="A49" s="138" t="s">
        <v>30</v>
      </c>
      <c r="B49" s="138"/>
      <c r="C49" s="139"/>
      <c r="D49" s="139"/>
      <c r="E49" s="139"/>
      <c r="F49" s="139"/>
      <c r="G49" s="139"/>
      <c r="H49" s="27"/>
      <c r="I49" s="28"/>
      <c r="J49" s="29">
        <f>SUM(J48+M48)</f>
        <v>150172.98936392437</v>
      </c>
      <c r="K49" s="21"/>
      <c r="L49" s="29">
        <f>SUM(L48+O48)</f>
        <v>98322.437721168986</v>
      </c>
      <c r="M49" s="29"/>
      <c r="N49" s="29"/>
      <c r="O49" s="29"/>
      <c r="P49" s="29"/>
      <c r="Q49" s="29">
        <f>Q48</f>
        <v>2934645.834960409</v>
      </c>
      <c r="R49"/>
      <c r="S49"/>
      <c r="T49"/>
      <c r="U49"/>
    </row>
    <row r="50" spans="1:21" s="5" customFormat="1" x14ac:dyDescent="0.25">
      <c r="A50"/>
      <c r="B50" t="s">
        <v>41</v>
      </c>
      <c r="C50"/>
      <c r="D50"/>
      <c r="E50"/>
      <c r="F50"/>
      <c r="G50"/>
      <c r="H50"/>
      <c r="I50"/>
      <c r="J50"/>
      <c r="K50"/>
      <c r="L50"/>
      <c r="M50"/>
      <c r="N50"/>
      <c r="O50"/>
      <c r="Q50"/>
      <c r="R50"/>
      <c r="S50"/>
      <c r="T50"/>
      <c r="U50"/>
    </row>
    <row r="52" spans="1:21" x14ac:dyDescent="0.25">
      <c r="A52" s="31" t="s">
        <v>61</v>
      </c>
    </row>
  </sheetData>
  <mergeCells count="52">
    <mergeCell ref="B42:F42"/>
    <mergeCell ref="B41:F41"/>
    <mergeCell ref="B40:F40"/>
    <mergeCell ref="B22:F22"/>
    <mergeCell ref="B23:F23"/>
    <mergeCell ref="B39:F39"/>
    <mergeCell ref="B35:F35"/>
    <mergeCell ref="B24:F24"/>
    <mergeCell ref="B27:F27"/>
    <mergeCell ref="B34:F34"/>
    <mergeCell ref="B48:F48"/>
    <mergeCell ref="A49:G49"/>
    <mergeCell ref="B43:F43"/>
    <mergeCell ref="B47:F47"/>
    <mergeCell ref="B46:F46"/>
    <mergeCell ref="B45:F45"/>
    <mergeCell ref="O1:P5"/>
    <mergeCell ref="J3:N9"/>
    <mergeCell ref="O6:P9"/>
    <mergeCell ref="B44:F44"/>
    <mergeCell ref="I10:P11"/>
    <mergeCell ref="L14:L19"/>
    <mergeCell ref="M14:M19"/>
    <mergeCell ref="B36:F36"/>
    <mergeCell ref="B25:F25"/>
    <mergeCell ref="B26:F26"/>
    <mergeCell ref="B28:F28"/>
    <mergeCell ref="B29:F29"/>
    <mergeCell ref="B30:F30"/>
    <mergeCell ref="B31:F31"/>
    <mergeCell ref="B33:F33"/>
    <mergeCell ref="A1:I9"/>
    <mergeCell ref="J1:N2"/>
    <mergeCell ref="B20:F20"/>
    <mergeCell ref="G12:G19"/>
    <mergeCell ref="A10:H11"/>
    <mergeCell ref="A12:A19"/>
    <mergeCell ref="B21:F21"/>
    <mergeCell ref="B32:F32"/>
    <mergeCell ref="B38:F38"/>
    <mergeCell ref="B37:F37"/>
    <mergeCell ref="Q14:Q19"/>
    <mergeCell ref="P14:P19"/>
    <mergeCell ref="B12:F19"/>
    <mergeCell ref="H12:L13"/>
    <mergeCell ref="M12:O13"/>
    <mergeCell ref="H14:H19"/>
    <mergeCell ref="I14:I19"/>
    <mergeCell ref="J14:J19"/>
    <mergeCell ref="N14:N19"/>
    <mergeCell ref="O14:O19"/>
    <mergeCell ref="K14:K19"/>
  </mergeCells>
  <hyperlinks>
    <hyperlink ref="A52" r:id="rId1"/>
  </hyperlinks>
  <pageMargins left="0.7" right="0.7" top="0.75" bottom="0.75" header="0.3" footer="0.3"/>
  <pageSetup scale="5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A10" sqref="A10"/>
    </sheetView>
  </sheetViews>
  <sheetFormatPr defaultRowHeight="15" x14ac:dyDescent="0.25"/>
  <cols>
    <col min="1" max="1" width="54" style="30" bestFit="1" customWidth="1"/>
    <col min="2" max="2" width="12" style="30" bestFit="1" customWidth="1"/>
    <col min="3" max="16384" width="9.140625" style="30"/>
  </cols>
  <sheetData>
    <row r="1" spans="1:10" x14ac:dyDescent="0.25">
      <c r="A1" s="34" t="s">
        <v>54</v>
      </c>
      <c r="B1" s="38">
        <f>9817+290</f>
        <v>10107</v>
      </c>
      <c r="C1" s="39" t="s">
        <v>71</v>
      </c>
      <c r="D1" s="39"/>
      <c r="E1" s="39"/>
      <c r="F1" s="39"/>
      <c r="G1" s="39"/>
      <c r="H1" s="39"/>
      <c r="I1" s="39"/>
      <c r="J1" s="39"/>
    </row>
    <row r="2" spans="1:10" x14ac:dyDescent="0.25">
      <c r="A2" s="35" t="s">
        <v>55</v>
      </c>
      <c r="B2" s="40">
        <v>17</v>
      </c>
      <c r="C2" s="39"/>
      <c r="D2" s="39"/>
      <c r="E2" s="39"/>
      <c r="F2" s="39"/>
      <c r="G2" s="39"/>
      <c r="H2" s="39"/>
      <c r="I2" s="39"/>
      <c r="J2" s="39"/>
    </row>
    <row r="3" spans="1:10" x14ac:dyDescent="0.25">
      <c r="A3" s="35" t="s">
        <v>56</v>
      </c>
      <c r="B3" s="40">
        <f>15816</f>
        <v>15816</v>
      </c>
      <c r="C3" s="39"/>
      <c r="D3" s="39" t="s">
        <v>72</v>
      </c>
      <c r="E3" s="39"/>
      <c r="F3" s="39"/>
      <c r="G3" s="39"/>
      <c r="H3" s="39"/>
      <c r="I3" s="39"/>
      <c r="J3" s="39"/>
    </row>
    <row r="4" spans="1:10" x14ac:dyDescent="0.25">
      <c r="A4" s="35" t="s">
        <v>57</v>
      </c>
      <c r="B4" s="40">
        <f>4898</f>
        <v>4898</v>
      </c>
      <c r="C4" s="39"/>
      <c r="D4" s="39">
        <f>10107/1203882</f>
        <v>8.3953410716332659E-3</v>
      </c>
      <c r="E4" s="39"/>
      <c r="F4" s="39"/>
      <c r="G4" s="39"/>
      <c r="H4" s="39"/>
      <c r="I4" s="39"/>
      <c r="J4" s="39"/>
    </row>
    <row r="5" spans="1:10" x14ac:dyDescent="0.25">
      <c r="A5" s="35" t="s">
        <v>58</v>
      </c>
      <c r="B5" s="41">
        <f>561924*D4</f>
        <v>4717.5436363364515</v>
      </c>
      <c r="C5" s="39"/>
      <c r="D5" s="39"/>
      <c r="E5" s="39"/>
      <c r="F5" s="39"/>
      <c r="G5" s="39"/>
      <c r="H5" s="39"/>
      <c r="I5" s="39"/>
      <c r="J5" s="39"/>
    </row>
    <row r="6" spans="1:10" x14ac:dyDescent="0.25">
      <c r="A6" s="36" t="s">
        <v>59</v>
      </c>
      <c r="B6" s="41">
        <f>31929*D4</f>
        <v>268.05484507617854</v>
      </c>
      <c r="C6" s="39"/>
      <c r="D6" s="39"/>
      <c r="E6" s="39"/>
      <c r="F6" s="39"/>
      <c r="G6" s="39"/>
      <c r="H6" s="39"/>
      <c r="I6" s="39"/>
      <c r="J6" s="39"/>
    </row>
    <row r="7" spans="1:10" x14ac:dyDescent="0.25">
      <c r="A7" s="36" t="s">
        <v>60</v>
      </c>
      <c r="B7" s="42">
        <f>2773632292*D4</f>
        <v>23285589.098635912</v>
      </c>
      <c r="C7" s="39"/>
      <c r="D7" s="39"/>
      <c r="E7" s="39"/>
      <c r="F7" s="39"/>
      <c r="G7" s="39"/>
      <c r="H7" s="39"/>
      <c r="I7" s="39"/>
      <c r="J7" s="39"/>
    </row>
    <row r="8" spans="1:10" x14ac:dyDescent="0.25">
      <c r="A8" s="37" t="s">
        <v>63</v>
      </c>
      <c r="B8" s="41">
        <f>64859*D4</f>
        <v>544.51342656506199</v>
      </c>
      <c r="C8" s="39"/>
      <c r="D8" s="39"/>
      <c r="E8" s="39"/>
      <c r="F8" s="39"/>
      <c r="G8" s="39"/>
      <c r="H8" s="39"/>
      <c r="I8" s="39"/>
      <c r="J8" s="39"/>
    </row>
    <row r="9" spans="1:10" ht="16.5" customHeight="1" x14ac:dyDescent="0.25">
      <c r="A9" s="43"/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25">
      <c r="A10" s="39"/>
      <c r="B10" s="40"/>
      <c r="C10" s="39"/>
      <c r="D10" s="39"/>
      <c r="E10" s="39"/>
      <c r="F10" s="39"/>
      <c r="G10" s="39"/>
      <c r="H10" s="39"/>
      <c r="I10" s="39"/>
      <c r="J10" s="39"/>
    </row>
    <row r="11" spans="1:10" ht="45" x14ac:dyDescent="0.25">
      <c r="A11" s="44" t="s">
        <v>66</v>
      </c>
      <c r="B11" s="45">
        <f>B15/B14</f>
        <v>0.65472784511798965</v>
      </c>
      <c r="C11" s="39"/>
      <c r="D11" s="39"/>
      <c r="E11" s="39"/>
      <c r="F11" s="39"/>
      <c r="G11" s="39"/>
      <c r="H11" s="39"/>
      <c r="I11" s="39"/>
      <c r="J11" s="39"/>
    </row>
    <row r="12" spans="1:10" x14ac:dyDescent="0.25">
      <c r="A12" s="44" t="s">
        <v>68</v>
      </c>
      <c r="B12" s="40">
        <f>B3+B4+B5</f>
        <v>25431.54363633645</v>
      </c>
      <c r="C12" s="39"/>
      <c r="D12" s="39"/>
      <c r="E12" s="39"/>
      <c r="F12" s="39"/>
      <c r="G12" s="39"/>
      <c r="H12" s="39"/>
      <c r="I12" s="39"/>
      <c r="J12" s="39"/>
    </row>
    <row r="13" spans="1:10" x14ac:dyDescent="0.25">
      <c r="A13" s="44" t="s">
        <v>69</v>
      </c>
      <c r="B13" s="46">
        <f>B14/B12</f>
        <v>5.9049891548603455</v>
      </c>
      <c r="C13" s="39"/>
      <c r="D13" s="39"/>
      <c r="E13" s="39"/>
      <c r="F13" s="39"/>
      <c r="G13" s="39"/>
      <c r="H13" s="39"/>
      <c r="I13" s="39"/>
      <c r="J13" s="39"/>
    </row>
    <row r="14" spans="1:10" x14ac:dyDescent="0.25">
      <c r="A14" s="44" t="s">
        <v>67</v>
      </c>
      <c r="B14" s="40">
        <f>Sheet1!J49</f>
        <v>150172.98936392437</v>
      </c>
      <c r="C14" s="39"/>
      <c r="D14" s="39"/>
      <c r="E14" s="39"/>
      <c r="F14" s="39"/>
      <c r="G14" s="39"/>
      <c r="H14" s="39"/>
      <c r="I14" s="39"/>
      <c r="J14" s="39"/>
    </row>
    <row r="15" spans="1:10" x14ac:dyDescent="0.25">
      <c r="A15" s="44" t="s">
        <v>70</v>
      </c>
      <c r="B15" s="40">
        <f>Sheet1!L49</f>
        <v>98322.437721168986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s="44"/>
      <c r="B16" s="40"/>
      <c r="C16" s="39"/>
      <c r="D16" s="39"/>
      <c r="E16" s="39"/>
      <c r="F16" s="39"/>
      <c r="G16" s="39"/>
      <c r="H16" s="39"/>
      <c r="I16" s="39"/>
      <c r="J16" s="39"/>
    </row>
    <row r="17" spans="1:10" x14ac:dyDescent="0.25">
      <c r="A17" s="44" t="s">
        <v>74</v>
      </c>
      <c r="B17" s="39"/>
      <c r="C17" s="39"/>
      <c r="D17" s="39"/>
      <c r="E17" s="39"/>
      <c r="F17" s="39"/>
      <c r="G17" s="39"/>
      <c r="H17" s="39"/>
      <c r="I17" s="39"/>
      <c r="J17" s="39"/>
    </row>
    <row r="18" spans="1:10" ht="30" x14ac:dyDescent="0.25">
      <c r="A18" s="44" t="s">
        <v>73</v>
      </c>
      <c r="B18" s="40">
        <f>B3+B4</f>
        <v>20714</v>
      </c>
      <c r="C18" s="39"/>
      <c r="D18" s="39"/>
      <c r="E18" s="39"/>
      <c r="F18" s="39"/>
      <c r="G18" s="39"/>
      <c r="H18" s="39"/>
      <c r="I18" s="39"/>
      <c r="J18" s="39"/>
    </row>
    <row r="19" spans="1:10" x14ac:dyDescent="0.25">
      <c r="A19" s="44" t="s">
        <v>75</v>
      </c>
      <c r="B19" s="39">
        <f>B15/B12</f>
        <v>3.8661608248068129</v>
      </c>
      <c r="C19" s="39"/>
      <c r="D19" s="39"/>
      <c r="E19" s="39"/>
      <c r="F19" s="39"/>
      <c r="G19" s="39"/>
      <c r="H19" s="39"/>
      <c r="I19" s="39"/>
      <c r="J19" s="3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Numbers for Burden Grid</vt:lpstr>
      <vt:lpstr>Sheet3</vt:lpstr>
      <vt:lpstr>Sheet1!Print_Titles</vt:lpstr>
    </vt:vector>
  </TitlesOfParts>
  <Company>Risk Management Agency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sarah.shaw</dc:creator>
  <cp:lastModifiedBy>Persetic, Shannon - RMA</cp:lastModifiedBy>
  <cp:lastPrinted>2015-08-17T18:13:22Z</cp:lastPrinted>
  <dcterms:created xsi:type="dcterms:W3CDTF">2011-01-12T13:53:13Z</dcterms:created>
  <dcterms:modified xsi:type="dcterms:W3CDTF">2017-03-14T02:29:25Z</dcterms:modified>
</cp:coreProperties>
</file>