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135" windowWidth="15195" windowHeight="7605"/>
  </bookViews>
  <sheets>
    <sheet name="Table 1a" sheetId="1" r:id="rId1"/>
    <sheet name="Table 1b" sheetId="3" r:id="rId2"/>
    <sheet name="Table 2a" sheetId="2" r:id="rId3"/>
    <sheet name="Table 2b" sheetId="4" r:id="rId4"/>
    <sheet name="# Respondents" sheetId="5" r:id="rId5"/>
    <sheet name="# Responses" sheetId="6" r:id="rId6"/>
  </sheets>
  <definedNames>
    <definedName name="_xlnm.Print_Area" localSheetId="0">'Table 1a'!$A$1:$I$34</definedName>
  </definedNames>
  <calcPr calcId="171027"/>
</workbook>
</file>

<file path=xl/calcChain.xml><?xml version="1.0" encoding="utf-8"?>
<calcChain xmlns="http://schemas.openxmlformats.org/spreadsheetml/2006/main">
  <c r="D15" i="5" l="1"/>
  <c r="F34" i="3"/>
  <c r="B30" i="3" l="1"/>
  <c r="B29" i="3"/>
  <c r="I31" i="1" l="1"/>
  <c r="D14" i="5" l="1"/>
  <c r="F32" i="1"/>
  <c r="D21" i="3" l="1"/>
  <c r="F21" i="3" s="1"/>
  <c r="G21" i="3" l="1"/>
  <c r="H21" i="3"/>
  <c r="I11" i="4"/>
  <c r="E8" i="3"/>
  <c r="E8" i="1"/>
  <c r="I21" i="3" l="1"/>
  <c r="F12" i="2"/>
  <c r="B24" i="5"/>
  <c r="C24" i="5"/>
  <c r="I5" i="4" l="1"/>
  <c r="C7" i="5" l="1"/>
  <c r="E4" i="6"/>
  <c r="E3" i="6"/>
  <c r="E9" i="5"/>
  <c r="D9" i="5"/>
  <c r="F6" i="5"/>
  <c r="B9" i="5"/>
  <c r="D11" i="4"/>
  <c r="F11" i="4" s="1"/>
  <c r="D10" i="4"/>
  <c r="F10" i="4" s="1"/>
  <c r="D9" i="4"/>
  <c r="F9" i="4" s="1"/>
  <c r="D8" i="4"/>
  <c r="F8" i="4" s="1"/>
  <c r="D7" i="4"/>
  <c r="F7" i="4" s="1"/>
  <c r="D6" i="4"/>
  <c r="F6" i="4" s="1"/>
  <c r="D5" i="4"/>
  <c r="F5" i="4" s="1"/>
  <c r="F12" i="4" l="1"/>
  <c r="C8" i="5"/>
  <c r="F8" i="5" s="1"/>
  <c r="E5" i="6"/>
  <c r="F7" i="5"/>
  <c r="H8" i="4"/>
  <c r="G8" i="4"/>
  <c r="I8" i="4" s="1"/>
  <c r="H6" i="4"/>
  <c r="G6" i="4"/>
  <c r="I6" i="4" s="1"/>
  <c r="G9" i="4"/>
  <c r="H9" i="4"/>
  <c r="H10" i="4"/>
  <c r="G10" i="4"/>
  <c r="I10" i="4" s="1"/>
  <c r="G5" i="4"/>
  <c r="H5" i="4"/>
  <c r="G7" i="4"/>
  <c r="G11" i="4"/>
  <c r="I12" i="4" s="1"/>
  <c r="H7" i="4"/>
  <c r="H11" i="4"/>
  <c r="F9" i="5" l="1"/>
  <c r="C9" i="5"/>
  <c r="I9" i="4"/>
  <c r="I7" i="4"/>
  <c r="D30" i="3" l="1"/>
  <c r="F30" i="3" s="1"/>
  <c r="D29" i="3"/>
  <c r="F29" i="3" s="1"/>
  <c r="D20" i="3"/>
  <c r="F20" i="3" s="1"/>
  <c r="D18" i="3"/>
  <c r="F18" i="3" s="1"/>
  <c r="D17" i="3"/>
  <c r="F17" i="3" s="1"/>
  <c r="D16" i="3"/>
  <c r="F16" i="3" s="1"/>
  <c r="D15" i="3"/>
  <c r="F15" i="3" s="1"/>
  <c r="D11" i="3"/>
  <c r="F11" i="3" s="1"/>
  <c r="D10" i="3"/>
  <c r="F10" i="3" s="1"/>
  <c r="D8" i="3"/>
  <c r="F8" i="3" s="1"/>
  <c r="D5" i="2"/>
  <c r="D11" i="2"/>
  <c r="F11" i="2" s="1"/>
  <c r="D10" i="2"/>
  <c r="F10" i="2" s="1"/>
  <c r="G10" i="2" s="1"/>
  <c r="D9" i="2"/>
  <c r="F9" i="2" s="1"/>
  <c r="D8" i="2"/>
  <c r="F8" i="2" s="1"/>
  <c r="D10" i="1"/>
  <c r="F10" i="1" s="1"/>
  <c r="H15" i="3" l="1"/>
  <c r="G15" i="3"/>
  <c r="I15" i="3" s="1"/>
  <c r="H20" i="3"/>
  <c r="G20" i="3"/>
  <c r="H10" i="3"/>
  <c r="G10" i="3"/>
  <c r="H17" i="3"/>
  <c r="G17" i="3"/>
  <c r="G11" i="3"/>
  <c r="H11" i="3"/>
  <c r="G18" i="3"/>
  <c r="H18" i="3"/>
  <c r="H29" i="3"/>
  <c r="G29" i="3"/>
  <c r="G30" i="3"/>
  <c r="H30" i="3"/>
  <c r="H8" i="3"/>
  <c r="H16" i="3"/>
  <c r="G8" i="3"/>
  <c r="I8" i="3" s="1"/>
  <c r="G16" i="3"/>
  <c r="G11" i="2"/>
  <c r="H11" i="2"/>
  <c r="H10" i="2"/>
  <c r="I10" i="2" s="1"/>
  <c r="G9" i="2"/>
  <c r="H9" i="2"/>
  <c r="G8" i="2"/>
  <c r="H8" i="2"/>
  <c r="H10" i="1"/>
  <c r="G10" i="1"/>
  <c r="I10" i="1" s="1"/>
  <c r="D15" i="1"/>
  <c r="F15" i="1" s="1"/>
  <c r="D16" i="1"/>
  <c r="F16" i="1" s="1"/>
  <c r="D17" i="1"/>
  <c r="F17" i="1" s="1"/>
  <c r="D18" i="1"/>
  <c r="F18" i="1" s="1"/>
  <c r="D20" i="1"/>
  <c r="F20" i="1" s="1"/>
  <c r="D28" i="1"/>
  <c r="F28" i="1" s="1"/>
  <c r="D8" i="1"/>
  <c r="F8" i="1" s="1"/>
  <c r="D11" i="1"/>
  <c r="F11" i="1" s="1"/>
  <c r="F5" i="2"/>
  <c r="D6" i="2"/>
  <c r="F6" i="2" s="1"/>
  <c r="D7" i="2"/>
  <c r="F7" i="2" s="1"/>
  <c r="I30" i="3" l="1"/>
  <c r="I18" i="3"/>
  <c r="I11" i="3"/>
  <c r="C15" i="5"/>
  <c r="I10" i="3"/>
  <c r="I16" i="3"/>
  <c r="I17" i="3"/>
  <c r="I20" i="3"/>
  <c r="G11" i="1"/>
  <c r="B15" i="5"/>
  <c r="I11" i="2"/>
  <c r="I12" i="2" s="1"/>
  <c r="I29" i="3"/>
  <c r="F22" i="3"/>
  <c r="F33" i="3"/>
  <c r="I8" i="2"/>
  <c r="I9" i="2"/>
  <c r="G8" i="1"/>
  <c r="G28" i="1"/>
  <c r="H5" i="2"/>
  <c r="G5" i="2"/>
  <c r="H7" i="2"/>
  <c r="G7" i="2"/>
  <c r="H28" i="1"/>
  <c r="I28" i="1" s="1"/>
  <c r="H8" i="1"/>
  <c r="G16" i="1"/>
  <c r="H16" i="1"/>
  <c r="H17" i="1"/>
  <c r="G17" i="1"/>
  <c r="I17" i="1" s="1"/>
  <c r="H11" i="1"/>
  <c r="I11" i="1" s="1"/>
  <c r="H6" i="2"/>
  <c r="G6" i="2"/>
  <c r="H20" i="1"/>
  <c r="G20" i="1"/>
  <c r="H18" i="1"/>
  <c r="G18" i="1"/>
  <c r="I18" i="1" s="1"/>
  <c r="H15" i="1"/>
  <c r="G15" i="1"/>
  <c r="I33" i="3" l="1"/>
  <c r="I34" i="3" s="1"/>
  <c r="I36" i="3" s="1"/>
  <c r="D16" i="5"/>
  <c r="I22" i="3"/>
  <c r="F36" i="3"/>
  <c r="C14" i="5"/>
  <c r="I15" i="1"/>
  <c r="I16" i="1"/>
  <c r="I8" i="1"/>
  <c r="F31" i="1"/>
  <c r="B14" i="5"/>
  <c r="F21" i="1"/>
  <c r="I20" i="1"/>
  <c r="I21" i="1" s="1"/>
  <c r="I32" i="1" s="1"/>
  <c r="I6" i="2"/>
  <c r="I7" i="2"/>
  <c r="I5" i="2"/>
  <c r="F34" i="1" l="1"/>
  <c r="E7" i="6" s="1"/>
  <c r="E15" i="5"/>
  <c r="I34" i="1"/>
  <c r="E14" i="5" s="1"/>
  <c r="E16" i="5" s="1"/>
</calcChain>
</file>

<file path=xl/sharedStrings.xml><?xml version="1.0" encoding="utf-8"?>
<sst xmlns="http://schemas.openxmlformats.org/spreadsheetml/2006/main" count="279" uniqueCount="134">
  <si>
    <t>N/A</t>
  </si>
  <si>
    <t>Assumptions</t>
  </si>
  <si>
    <t xml:space="preserve">(C)               Hours per Respondent per Year        (C=A x B)          </t>
  </si>
  <si>
    <t>Notification of Actual Startup</t>
  </si>
  <si>
    <t>Notification of Anticipated Startup</t>
  </si>
  <si>
    <t>Notification of Construction</t>
  </si>
  <si>
    <t>Notification of Initial Test</t>
  </si>
  <si>
    <t>Review Test Results</t>
  </si>
  <si>
    <t>Report Review (Existing Plants)</t>
  </si>
  <si>
    <t>TABLE 2b: Annual Agency Burden and Cost - NSPS for Equipment Leaks of VOC in Petroleum Refineries (40 CFR Part 60, Subpart GGGa) (Renewal)</t>
  </si>
  <si>
    <t>1. Applications</t>
  </si>
  <si>
    <t>Burden Item</t>
  </si>
  <si>
    <t xml:space="preserve">(E)            Technical Hours per Year                  (E=C x D)        </t>
  </si>
  <si>
    <t xml:space="preserve">(F)            Management Hours per Year                   (F= E x 0.05)        </t>
  </si>
  <si>
    <t xml:space="preserve">(G)            Clerical Hours per Year                                 (G= E x 0.1)        </t>
  </si>
  <si>
    <t>2. Surveys and studies</t>
  </si>
  <si>
    <t>3. Reporting Requirements</t>
  </si>
  <si>
    <t>A. Familiarization with Regulatory Requirements</t>
  </si>
  <si>
    <t>B. Required Activities</t>
  </si>
  <si>
    <t>i. Initial Performance Tests</t>
  </si>
  <si>
    <t>C. Create Information</t>
  </si>
  <si>
    <t>D. Gater Existing Information</t>
  </si>
  <si>
    <t>E. Write Report</t>
  </si>
  <si>
    <t>v. Report of Performance Test</t>
  </si>
  <si>
    <t>Subtotal for Reporting Requirements</t>
  </si>
  <si>
    <t>4. Recordkeeping Requirements</t>
  </si>
  <si>
    <t>B. Plan Activities</t>
  </si>
  <si>
    <t>C. Implement Activities</t>
  </si>
  <si>
    <t>D. Develop Record System</t>
  </si>
  <si>
    <t>E. Time to Enter Information</t>
  </si>
  <si>
    <t>F. Train Personnel</t>
  </si>
  <si>
    <t>G. Audits</t>
  </si>
  <si>
    <t>Subtotal for Recordkeeping Requirements</t>
  </si>
  <si>
    <t>See 3B</t>
  </si>
  <si>
    <t>See 3E</t>
  </si>
  <si>
    <t>See 3A</t>
  </si>
  <si>
    <t>Capital and O&amp;M Costs (See Section 6(b)(iii))</t>
  </si>
  <si>
    <t>Number of Respondents</t>
  </si>
  <si>
    <t>Respondents That Submit Reports</t>
  </si>
  <si>
    <t>Respondents That Do Not Submit Any Reports</t>
  </si>
  <si>
    <t>(A)</t>
  </si>
  <si>
    <t>(B)</t>
  </si>
  <si>
    <t>(C)</t>
  </si>
  <si>
    <t>(D)</t>
  </si>
  <si>
    <t>(E)</t>
  </si>
  <si>
    <t>Year</t>
  </si>
  <si>
    <t>Number of New Respondents</t>
  </si>
  <si>
    <t>Number of Existing Respondents</t>
  </si>
  <si>
    <t>Number of Existing  Respondents that keep records but do not submit reports</t>
  </si>
  <si>
    <t>Number of Existing Respondents That Are Also New Respondents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</si>
  <si>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</si>
  <si>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</si>
  <si>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</si>
  <si>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</si>
  <si>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</si>
  <si>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</si>
  <si>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</si>
  <si>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</si>
  <si>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Total</t>
  </si>
  <si>
    <r>
      <rPr>
        <vertAlign val="superscript"/>
        <sz val="10"/>
        <color theme="1"/>
        <rFont val="Times New Roman"/>
        <family val="1"/>
      </rPr>
      <t>1</t>
    </r>
    <r>
      <rPr>
        <sz val="10"/>
        <color theme="1"/>
        <rFont val="Times New Roman"/>
        <family val="1"/>
      </rPr>
      <t xml:space="preserve"> Annual occurrences of PRD reporting are not counted as separate responses because they are required to be submitted with the semiannual reports.</t>
    </r>
  </si>
  <si>
    <t>hrs/response:</t>
  </si>
  <si>
    <t>Subpart GGG Semiannual Reports</t>
  </si>
  <si>
    <t>Subpart GGGa Semiannual Reports</t>
  </si>
  <si>
    <t xml:space="preserve">(F)            Management Hours per Year                     (F= E x 0.05)        </t>
  </si>
  <si>
    <t xml:space="preserve">(G)            Clerical Hours per Year                                  (G= E x 0.1)        </t>
  </si>
  <si>
    <t>2. Surveys and Studies</t>
  </si>
  <si>
    <t>i. Initial performance tests</t>
  </si>
  <si>
    <t>D. Gather Existing Information</t>
  </si>
  <si>
    <r>
      <t xml:space="preserve">TOTAL ANNUAL BURDEN AND COST (Rounded) </t>
    </r>
    <r>
      <rPr>
        <b/>
        <vertAlign val="superscript"/>
        <sz val="10"/>
        <rFont val="Times New Roman"/>
        <family val="1"/>
      </rPr>
      <t>h</t>
    </r>
  </si>
  <si>
    <r>
      <t xml:space="preserve">TOTAL COST (Rounded) </t>
    </r>
    <r>
      <rPr>
        <b/>
        <vertAlign val="superscript"/>
        <sz val="10"/>
        <rFont val="Times New Roman"/>
        <family val="1"/>
      </rPr>
      <t>h</t>
    </r>
  </si>
  <si>
    <r>
      <t>ii. Repeat performance tests</t>
    </r>
    <r>
      <rPr>
        <vertAlign val="superscript"/>
        <sz val="10"/>
        <rFont val="Times New Roman"/>
        <family val="1"/>
      </rPr>
      <t>c</t>
    </r>
  </si>
  <si>
    <r>
      <t>c</t>
    </r>
    <r>
      <rPr>
        <sz val="10"/>
        <rFont val="Times New Roman"/>
        <family val="1"/>
      </rPr>
      <t xml:space="preserve">  Assume 20 percent of initial performance tests must repeat due to failure.</t>
    </r>
  </si>
  <si>
    <r>
      <t xml:space="preserve">ii. Repeat performance tests </t>
    </r>
    <r>
      <rPr>
        <vertAlign val="superscript"/>
        <sz val="10"/>
        <rFont val="Times New Roman"/>
        <family val="1"/>
      </rPr>
      <t>c</t>
    </r>
  </si>
  <si>
    <r>
      <t xml:space="preserve">                       Total Labor Costs per Year </t>
    </r>
    <r>
      <rPr>
        <b/>
        <vertAlign val="superscript"/>
        <sz val="10"/>
        <rFont val="Times New Roman"/>
        <family val="1"/>
      </rPr>
      <t>b</t>
    </r>
    <r>
      <rPr>
        <b/>
        <sz val="10"/>
        <rFont val="Times New Roman"/>
        <family val="1"/>
      </rPr>
      <t xml:space="preserve">                                </t>
    </r>
  </si>
  <si>
    <r>
      <t>c</t>
    </r>
    <r>
      <rPr>
        <sz val="10"/>
        <rFont val="Times New Roman"/>
        <family val="1"/>
      </rPr>
      <t xml:space="preserve">  Assume 20% of initial performance tests must repeat due to failure.</t>
    </r>
  </si>
  <si>
    <r>
      <t>Performance Test Report Review (New Plants)</t>
    </r>
    <r>
      <rPr>
        <vertAlign val="superscript"/>
        <sz val="10"/>
        <rFont val="Times New Roman"/>
        <family val="1"/>
      </rPr>
      <t>a</t>
    </r>
  </si>
  <si>
    <r>
      <rPr>
        <vertAlign val="superscript"/>
        <sz val="10"/>
        <rFont val="Times New Roman"/>
        <family val="1"/>
      </rPr>
      <t>a</t>
    </r>
    <r>
      <rPr>
        <sz val="10"/>
        <rFont val="Times New Roman"/>
        <family val="1"/>
      </rPr>
      <t xml:space="preserve">  Assume that 20 percent of the respondents will retest.</t>
    </r>
  </si>
  <si>
    <r>
      <t>(D)          Plants per Year</t>
    </r>
    <r>
      <rPr>
        <b/>
        <vertAlign val="superscript"/>
        <sz val="10"/>
        <rFont val="Times New Roman"/>
        <family val="1"/>
      </rPr>
      <t xml:space="preserve"> </t>
    </r>
    <r>
      <rPr>
        <b/>
        <sz val="10"/>
        <rFont val="Times New Roman"/>
        <family val="1"/>
      </rPr>
      <t xml:space="preserve">             </t>
    </r>
  </si>
  <si>
    <r>
      <t xml:space="preserve">a </t>
    </r>
    <r>
      <rPr>
        <b/>
        <sz val="10"/>
        <rFont val="Times New Roman"/>
        <family val="1"/>
      </rPr>
      <t xml:space="preserve"> </t>
    </r>
    <r>
      <rPr>
        <sz val="10"/>
        <rFont val="Times New Roman"/>
        <family val="1"/>
      </rPr>
      <t>Assume that 20 percent of the respondents will retest.</t>
    </r>
  </si>
  <si>
    <r>
      <t xml:space="preserve">(H) 
Annual Cost </t>
    </r>
    <r>
      <rPr>
        <b/>
        <vertAlign val="superscript"/>
        <sz val="10"/>
        <rFont val="Times New Roman"/>
        <family val="1"/>
      </rPr>
      <t>b</t>
    </r>
  </si>
  <si>
    <r>
      <rPr>
        <vertAlign val="superscript"/>
        <sz val="10"/>
        <rFont val="Times New Roman"/>
        <family val="1"/>
      </rPr>
      <t>b</t>
    </r>
    <r>
      <rPr>
        <sz val="10"/>
        <rFont val="Times New Roman"/>
        <family val="1"/>
      </rPr>
      <t xml:space="preserve">  This ICR uses the following labor rates: $47.62 (technical), $64.16 (managerial), and $25.76 (clerical).  These rates are from the Office of Personnel Management (OPM), 2016 General Schedule, which excludes locality rates of pay.  The rates have been increased by 60 percent to account for the benefit packages available to government employees.</t>
    </r>
  </si>
  <si>
    <r>
      <t xml:space="preserve">TOTAL ANNUAL BURDEN AND COST(Rounded) </t>
    </r>
    <r>
      <rPr>
        <b/>
        <vertAlign val="superscript"/>
        <sz val="10"/>
        <rFont val="Times New Roman"/>
        <family val="1"/>
      </rPr>
      <t>c</t>
    </r>
  </si>
  <si>
    <r>
      <rPr>
        <vertAlign val="superscript"/>
        <sz val="10"/>
        <rFont val="Times New Roman"/>
        <family val="1"/>
      </rPr>
      <t>c</t>
    </r>
    <r>
      <rPr>
        <sz val="10"/>
        <rFont val="Times New Roman"/>
        <family val="1"/>
      </rPr>
      <t xml:space="preserve"> Totals are rounded to three significant figures. Figures may not add exactly due to rounding. </t>
    </r>
  </si>
  <si>
    <r>
      <t>a</t>
    </r>
    <r>
      <rPr>
        <sz val="10"/>
        <rFont val="Times New Roman"/>
        <family val="1"/>
      </rPr>
      <t xml:space="preserve">  There are approximately 46 refineries (respondents) subject to the standard.</t>
    </r>
  </si>
  <si>
    <r>
      <t xml:space="preserve">Table 1b: Annual Respondent Burden and Cost - NSPS for Equipment Leaks of VOC in Petroleum Refineries (40 CFR Part 60, Subpart GGGa) (Renewal) </t>
    </r>
    <r>
      <rPr>
        <b/>
        <vertAlign val="superscript"/>
        <sz val="12"/>
        <rFont val="Arial"/>
        <family val="2"/>
      </rPr>
      <t>a</t>
    </r>
  </si>
  <si>
    <t>Standard</t>
  </si>
  <si>
    <t>Reporting Burden (hr)</t>
  </si>
  <si>
    <t>Recordkeeping Burden (hr)</t>
  </si>
  <si>
    <t>Total Burden (hr)</t>
  </si>
  <si>
    <t>Total Cost ($)</t>
  </si>
  <si>
    <t>Subpart GGG</t>
  </si>
  <si>
    <t>Subpart GGGa</t>
  </si>
  <si>
    <t xml:space="preserve">(A)            Respondent Hours per Occurrence  (Technical hours)        </t>
  </si>
  <si>
    <t xml:space="preserve">(B)        Number of Occurrences per Respondent per Year                        </t>
  </si>
  <si>
    <t>(B)        Annual Occurrences per Respondent</t>
  </si>
  <si>
    <t xml:space="preserve">(A)            EPA Person-Hours per Occurrence         </t>
  </si>
  <si>
    <t xml:space="preserve">(A)            
EPA Person-Hours per Occurrence         </t>
  </si>
  <si>
    <t xml:space="preserve">(E)            Technical Hours per Year                   (C x D)        </t>
  </si>
  <si>
    <t xml:space="preserve">(C)               EPA Hours per Year        (A x B)          </t>
  </si>
  <si>
    <t xml:space="preserve">(F)            Management Hours per Year                   (E x 0.05)        </t>
  </si>
  <si>
    <t xml:space="preserve">(G)            Clerical Hours per Year                                   (E x 0.1)        </t>
  </si>
  <si>
    <t>Annual Respondent Burden and Cost - NSPS for Equipment Leaks of VOC in Petroleum Refineries (40 CFR Part 60, Subpart GGG) (Renewal)</t>
  </si>
  <si>
    <r>
      <t>(D)          Number of Respondents per Year</t>
    </r>
    <r>
      <rPr>
        <b/>
        <vertAlign val="superscript"/>
        <sz val="10"/>
        <rFont val="Times New Roman"/>
        <family val="1"/>
      </rPr>
      <t xml:space="preserve"> a</t>
    </r>
    <r>
      <rPr>
        <b/>
        <sz val="10"/>
        <rFont val="Times New Roman"/>
        <family val="1"/>
      </rPr>
      <t xml:space="preserve">                 </t>
    </r>
  </si>
  <si>
    <t>Total EPA Burden (hr)</t>
  </si>
  <si>
    <t>Summary of Respondent Burden</t>
  </si>
  <si>
    <t>Summary of Agency Burden</t>
  </si>
  <si>
    <r>
      <rPr>
        <vertAlign val="superscript"/>
        <sz val="10"/>
        <color theme="1"/>
        <rFont val="Times New Roman"/>
        <family val="1"/>
      </rPr>
      <t>1</t>
    </r>
    <r>
      <rPr>
        <sz val="10"/>
        <color theme="1"/>
        <rFont val="Times New Roman"/>
        <family val="1"/>
      </rPr>
      <t xml:space="preserve"> New respondents include sources with constructed, reconstructed, and modified affected facilities.</t>
    </r>
  </si>
  <si>
    <r>
      <t xml:space="preserve">i. Notification of Construction/Reconstruction </t>
    </r>
    <r>
      <rPr>
        <vertAlign val="superscript"/>
        <sz val="10"/>
        <rFont val="Times New Roman"/>
        <family val="1"/>
      </rPr>
      <t>d</t>
    </r>
  </si>
  <si>
    <r>
      <t xml:space="preserve">ii. Notification of Anticipated Startup </t>
    </r>
    <r>
      <rPr>
        <vertAlign val="superscript"/>
        <sz val="10"/>
        <rFont val="Times New Roman"/>
        <family val="1"/>
      </rPr>
      <t>d</t>
    </r>
  </si>
  <si>
    <r>
      <t xml:space="preserve">iii. Notification of Actual Startup </t>
    </r>
    <r>
      <rPr>
        <vertAlign val="superscript"/>
        <sz val="10"/>
        <rFont val="Times New Roman"/>
        <family val="1"/>
      </rPr>
      <t>d</t>
    </r>
  </si>
  <si>
    <r>
      <t xml:space="preserve">iv. Notification of Initial Performance Test </t>
    </r>
    <r>
      <rPr>
        <vertAlign val="superscript"/>
        <sz val="10"/>
        <rFont val="Times New Roman"/>
        <family val="1"/>
      </rPr>
      <t>d</t>
    </r>
  </si>
  <si>
    <r>
      <t xml:space="preserve">d  </t>
    </r>
    <r>
      <rPr>
        <sz val="10"/>
        <rFont val="Times New Roman"/>
        <family val="1"/>
      </rPr>
      <t>Owners or operators of the affected facilities must make one-time-only notifications.</t>
    </r>
  </si>
  <si>
    <r>
      <t xml:space="preserve">vii. Semiannual Work Practice Reports at Small Refineries </t>
    </r>
    <r>
      <rPr>
        <vertAlign val="superscript"/>
        <sz val="10"/>
        <rFont val="Times New Roman"/>
        <family val="1"/>
      </rPr>
      <t>e, f</t>
    </r>
  </si>
  <si>
    <r>
      <t xml:space="preserve">vi. Semiannual Work Practice Reports at Large Refineries </t>
    </r>
    <r>
      <rPr>
        <vertAlign val="superscript"/>
        <sz val="10"/>
        <rFont val="Times New Roman"/>
        <family val="1"/>
      </rPr>
      <t>e, f</t>
    </r>
  </si>
  <si>
    <r>
      <rPr>
        <vertAlign val="superscript"/>
        <sz val="10"/>
        <rFont val="Times New Roman"/>
        <family val="1"/>
      </rPr>
      <t xml:space="preserve">e </t>
    </r>
    <r>
      <rPr>
        <sz val="10"/>
        <rFont val="Times New Roman"/>
        <family val="1"/>
      </rPr>
      <t>The time to prepare reports is estimated to be the same under both subparts because the information in the new records must be maintained on-site, but it does not have to be reported. </t>
    </r>
  </si>
  <si>
    <r>
      <rPr>
        <vertAlign val="superscript"/>
        <sz val="10"/>
        <rFont val="Times New Roman"/>
        <family val="1"/>
      </rPr>
      <t xml:space="preserve">f </t>
    </r>
    <r>
      <rPr>
        <sz val="10"/>
        <rFont val="Times New Roman"/>
        <family val="1"/>
      </rPr>
      <t xml:space="preserve"> Assume that 25 percent of the process units are located at small refineries (25% x 46 = 11.5). The rest are large facilities (75% x 46 = 34.5). Small facilities have fewer leaks and deviations so they can complete reports in less time. Larger facilities require significantly more time to complete reports. </t>
    </r>
  </si>
  <si>
    <r>
      <rPr>
        <vertAlign val="superscript"/>
        <sz val="10"/>
        <rFont val="Times New Roman"/>
        <family val="1"/>
      </rPr>
      <t>b</t>
    </r>
    <r>
      <rPr>
        <sz val="10"/>
        <rFont val="Times New Roman"/>
        <family val="1"/>
      </rPr>
      <t xml:space="preserve">  This ICR uses the following labor rates: $106.45 (technical), $138.43 (managerial), and $52.77 (clerical).  These rates are from the United States Department of Labor, Bureau of Labor Statistics, September 2015, “Table 2. Civilian Workers, by occupational and industry group.”  The rates are from column 1, “Total compensation.”  They have been increased by 110 percent to account for the benefit packages available to those employed by private industry.</t>
    </r>
  </si>
  <si>
    <r>
      <rPr>
        <vertAlign val="superscript"/>
        <sz val="10"/>
        <rFont val="Times New Roman"/>
        <family val="1"/>
      </rPr>
      <t>h</t>
    </r>
    <r>
      <rPr>
        <sz val="10"/>
        <rFont val="Times New Roman"/>
        <family val="1"/>
      </rPr>
      <t xml:space="preserve"> Totals are rounded to three significant figures. Figures may not add exactly due to rounding.</t>
    </r>
  </si>
  <si>
    <r>
      <t xml:space="preserve">iii. Notification of Actual Startup </t>
    </r>
    <r>
      <rPr>
        <vertAlign val="superscript"/>
        <sz val="10"/>
        <rFont val="Times New Roman"/>
        <family val="1"/>
      </rPr>
      <t>e</t>
    </r>
  </si>
  <si>
    <r>
      <t xml:space="preserve">vi. Semiannual Work Practice Reports </t>
    </r>
    <r>
      <rPr>
        <vertAlign val="superscript"/>
        <sz val="10"/>
        <rFont val="Times New Roman"/>
        <family val="1"/>
      </rPr>
      <t>e,f</t>
    </r>
  </si>
  <si>
    <r>
      <t xml:space="preserve">i. Records of Operating Parameters </t>
    </r>
    <r>
      <rPr>
        <vertAlign val="superscript"/>
        <sz val="10"/>
        <rFont val="Times New Roman"/>
        <family val="1"/>
      </rPr>
      <t>f,g</t>
    </r>
  </si>
  <si>
    <r>
      <rPr>
        <vertAlign val="superscript"/>
        <sz val="10"/>
        <rFont val="Times New Roman"/>
        <family val="1"/>
      </rPr>
      <t>d</t>
    </r>
    <r>
      <rPr>
        <sz val="10"/>
        <rFont val="Times New Roman"/>
        <family val="1"/>
      </rPr>
      <t xml:space="preserve">  Owners or operators of the affected facilities must make one-time-only notifications</t>
    </r>
  </si>
  <si>
    <r>
      <rPr>
        <vertAlign val="superscript"/>
        <sz val="10"/>
        <rFont val="Times New Roman"/>
        <family val="1"/>
      </rPr>
      <t xml:space="preserve">b </t>
    </r>
    <r>
      <rPr>
        <sz val="10"/>
        <rFont val="Times New Roman"/>
        <family val="1"/>
      </rPr>
      <t>This ICR uses the following labor rates: $106.45 (technical), $138.43 (managerial), and $52.77 (clerical).  These rates are from the United States Department of Labor, Bureau of Labor Statistics, September 2015, “Table 2. Civilian Workers, by occupational and industry group.”  The rates are from column 1, “Total compensation.”  They have been increased by 110 percent to account for the benefit packages available to those employed by private industry.</t>
    </r>
  </si>
  <si>
    <r>
      <t>f</t>
    </r>
    <r>
      <rPr>
        <sz val="10"/>
        <rFont val="Times New Roman"/>
        <family val="1"/>
      </rPr>
      <t xml:space="preserve">  Assume that average number of affected facilities over the next three years is equal to the current number of facilities (116) because affected facilities after November 7, 2006 will be subject to Subpart GGGa instead of Subpart GGG.</t>
    </r>
  </si>
  <si>
    <r>
      <t xml:space="preserve">e </t>
    </r>
    <r>
      <rPr>
        <sz val="10"/>
        <rFont val="Times New Roman"/>
        <family val="1"/>
      </rPr>
      <t>The time to prepare reports is estimated to be the same under both Subparts because the information in the new records must be maintained on-site, but it does not have to be reported. </t>
    </r>
  </si>
  <si>
    <r>
      <t>a</t>
    </r>
    <r>
      <rPr>
        <sz val="10"/>
        <rFont val="Times New Roman"/>
        <family val="1"/>
      </rPr>
      <t xml:space="preserve">  Only includes facilities that commenced construction, reconstruction, or modification prior to November 7, 2006.  All new facilities and facilities that commence construction, reconstruction, or modification after November 7, 2006 are subject to Subpart GGGa.</t>
    </r>
  </si>
  <si>
    <r>
      <t>g</t>
    </r>
    <r>
      <rPr>
        <sz val="10"/>
        <rFont val="Times New Roman"/>
        <family val="1"/>
      </rPr>
      <t xml:space="preserve">  Although monitoring of the various components may be required on a weekly, monthly, quarterly, semiannual or annual basis, given the number of components that must be monitored at any facility, monitoring overall occurs daily. It is also assumed that it takes about 3 minutes per calibration and large facilities have about 25 monitors calibrated about twice per day. Therefore, it is assumed that the average recordkeeping time for each day’s worth of monitoring for Subpart GGG is 2.5 hours (0.05 hours/calibration x 25 monitors x 2 calibrations/monitor/day) and that monitoring is done 365 days a year. </t>
    </r>
  </si>
  <si>
    <r>
      <t>h</t>
    </r>
    <r>
      <rPr>
        <sz val="10"/>
        <rFont val="Times New Roman"/>
        <family val="1"/>
      </rPr>
      <t xml:space="preserve"> Assume that 25 percent of the process units are located at small refineries and half of those use manual recordkeeping of instrument readings (46 x 25% x 0.5 = 5.75) and that 75 percent of the process units are located at large refineries (46 x 75% = 34.5) and thus the number of process units that do not need additional time for manual recordkeeping is (5.75 + 34.5 = 40.25)</t>
    </r>
  </si>
  <si>
    <r>
      <rPr>
        <vertAlign val="superscript"/>
        <sz val="10"/>
        <rFont val="Times New Roman"/>
        <family val="1"/>
      </rPr>
      <t>i</t>
    </r>
    <r>
      <rPr>
        <sz val="10"/>
        <rFont val="Times New Roman"/>
        <family val="1"/>
      </rPr>
      <t xml:space="preserve"> Totals are rounded to three significant figures. Figures may not add exactly due to rounding.</t>
    </r>
  </si>
  <si>
    <r>
      <t xml:space="preserve">TOTAL COST (Rounded) </t>
    </r>
    <r>
      <rPr>
        <b/>
        <vertAlign val="superscript"/>
        <sz val="10"/>
        <rFont val="Times New Roman"/>
        <family val="1"/>
      </rPr>
      <t>i</t>
    </r>
  </si>
  <si>
    <r>
      <t xml:space="preserve">TOTAL ANNUAL BURDEN AND COST (Rounded) </t>
    </r>
    <r>
      <rPr>
        <b/>
        <vertAlign val="superscript"/>
        <sz val="10"/>
        <rFont val="Times New Roman"/>
        <family val="1"/>
      </rPr>
      <t>i</t>
    </r>
  </si>
  <si>
    <r>
      <t>ii. Records of Operating Parameters at Small Refineries</t>
    </r>
    <r>
      <rPr>
        <vertAlign val="superscript"/>
        <sz val="10"/>
        <rFont val="Times New Roman"/>
        <family val="1"/>
      </rPr>
      <t xml:space="preserve"> g,h</t>
    </r>
  </si>
  <si>
    <r>
      <t>g</t>
    </r>
    <r>
      <rPr>
        <sz val="10"/>
        <rFont val="Times New Roman"/>
        <family val="1"/>
      </rPr>
      <t xml:space="preserve">  Although monitoring of the various components may be required on a weekly, monthly, quarterly, semiannual or annual basis, given the number of components that must be monitored at any facility, monitoring overall occurs daily.   
Assume that large facilities need an additional 0.14 hours per day to complete the tasks required by the new standards. Therefore, it is assumed that the average recordkeeping time for each day’s worth of monitoring for large facilities for Subpart GGGa is 2.64 hours and that monitoring is done 365 days a year. See Table 1a, Footnote G for the calculation for the time for calibration.
Small facilities may record instrument readings manually, so an additional 0.02 hours per day are needed for small refineries with manual recordkeeping of instrument readings. Therefore, it is assumed that the average recordkeeping time for each day’s worth of monitoring for small facilities for Subpart GGGa is 2.66 hours and that monitoring is done 365 days a year. </t>
    </r>
  </si>
  <si>
    <r>
      <t xml:space="preserve">i. Records of Operating Parameters at Large Refineries </t>
    </r>
    <r>
      <rPr>
        <vertAlign val="superscript"/>
        <sz val="10"/>
        <rFont val="Times New Roman"/>
        <family val="1"/>
      </rPr>
      <t>g,h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</si>
</sst>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7" formatCode="&quot;$&quot;#,##0.00_);\(&quot;$&quot;#,##0.00\)"/>
    <numFmt numFmtId="43" formatCode="_(* #,##0.00_);_(* \(#,##0.00\);_(* &quot;-&quot;??_);_(@_)"/>
    <numFmt numFmtId="164" formatCode="0.0"/>
    <numFmt numFmtId="165" formatCode="_(* #,##0_);_(* \(#,##0\);_(* &quot;-&quot;??_);_(@_)"/>
    <numFmt numFmtId="166" formatCode="&quot;$&quot;#,##0"/>
    <numFmt numFmtId="167" formatCode="#,##0.0"/>
  </numFmts>
  <fonts count="27" x14ac:knownFonts="1">
    <font>
      <sz val="12"/>
      <name val="Arial"/>
    </font>
    <font>
      <sz val="10"/>
      <name val="Arial"/>
      <family val="2"/>
    </font>
    <font>
      <sz val="10"/>
      <name val="Arial"/>
      <family val="2"/>
    </font>
    <font>
      <b/>
      <sz val="12"/>
      <name val="Arial"/>
      <family val="2"/>
    </font>
    <font>
      <sz val="12"/>
      <name val="Arial"/>
      <family val="2"/>
    </font>
    <font>
      <sz val="12"/>
      <name val="Arial"/>
      <family val="2"/>
    </font>
    <font>
      <sz val="12"/>
      <color indexed="8"/>
      <name val="Times New Roman"/>
      <family val="1"/>
    </font>
    <font>
      <b/>
      <vertAlign val="superscript"/>
      <sz val="12"/>
      <name val="Arial"/>
      <family val="2"/>
    </font>
    <font>
      <b/>
      <vertAlign val="superscript"/>
      <sz val="10"/>
      <name val="Arial"/>
      <family val="2"/>
    </font>
    <font>
      <sz val="10"/>
      <name val="Times New Roman"/>
      <family val="1"/>
    </font>
    <font>
      <vertAlign val="superscript"/>
      <sz val="10"/>
      <name val="Times New Roman"/>
      <family val="1"/>
    </font>
    <font>
      <sz val="10"/>
      <color indexed="8"/>
      <name val="Times New Roman"/>
      <family val="1"/>
    </font>
    <font>
      <b/>
      <sz val="10"/>
      <name val="Times New Roman"/>
      <family val="1"/>
    </font>
    <font>
      <sz val="12"/>
      <name val="Times New Roman"/>
      <family val="1"/>
    </font>
    <font>
      <b/>
      <i/>
      <sz val="10"/>
      <name val="Times New Roman"/>
      <family val="1"/>
    </font>
    <font>
      <sz val="10"/>
      <color theme="1"/>
      <name val="Arial"/>
      <family val="2"/>
    </font>
    <font>
      <b/>
      <sz val="12"/>
      <color rgb="FF000000"/>
      <name val="Times New Roman"/>
      <family val="1"/>
    </font>
    <font>
      <sz val="10"/>
      <color rgb="FF000000"/>
      <name val="Times New Roman"/>
      <family val="1"/>
    </font>
    <font>
      <sz val="10"/>
      <color theme="1"/>
      <name val="Times New Roman"/>
      <family val="1"/>
    </font>
    <font>
      <vertAlign val="superscript"/>
      <sz val="10"/>
      <color theme="1"/>
      <name val="Times New Roman"/>
      <family val="1"/>
    </font>
    <font>
      <sz val="9"/>
      <color theme="1"/>
      <name val="Times New Roman"/>
      <family val="1"/>
    </font>
    <font>
      <sz val="9"/>
      <name val="Times New Roman"/>
      <family val="1"/>
    </font>
    <font>
      <i/>
      <sz val="10"/>
      <color theme="1"/>
      <name val="Times New Roman"/>
      <family val="1"/>
    </font>
    <font>
      <i/>
      <sz val="10"/>
      <color theme="1"/>
      <name val="Arial"/>
      <family val="2"/>
    </font>
    <font>
      <u/>
      <sz val="10"/>
      <name val="Times New Roman"/>
      <family val="1"/>
    </font>
    <font>
      <b/>
      <vertAlign val="superscript"/>
      <sz val="10"/>
      <name val="Times New Roman"/>
      <family val="1"/>
    </font>
    <font>
      <b/>
      <sz val="10"/>
      <color rgb="FF000000"/>
      <name val="Times New Roman"/>
      <family val="1"/>
    </font>
  </fonts>
  <fills count="4">
    <fill>
      <patternFill patternType="none"/>
    </fill>
    <fill>
      <patternFill patternType="gray125"/>
    </fill>
    <fill>
      <patternFill patternType="solid">
        <fgColor theme="0"/>
        <bgColor indexed="22"/>
      </patternFill>
    </fill>
    <fill>
      <patternFill patternType="solid">
        <fgColor theme="0"/>
        <bgColor indexed="64"/>
      </patternFill>
    </fill>
  </fills>
  <borders count="35">
    <border>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indexed="8"/>
      </left>
      <right/>
      <top style="thin">
        <color indexed="8"/>
      </top>
      <bottom style="thin">
        <color theme="1"/>
      </bottom>
      <diagonal/>
    </border>
    <border>
      <left/>
      <right/>
      <top style="thin">
        <color indexed="8"/>
      </top>
      <bottom style="thin">
        <color theme="1"/>
      </bottom>
      <diagonal/>
    </border>
    <border>
      <left/>
      <right style="thin">
        <color indexed="8"/>
      </right>
      <top style="thin">
        <color indexed="8"/>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8"/>
      </bottom>
      <diagonal/>
    </border>
  </borders>
  <cellStyleXfs count="3">
    <xf numFmtId="0" fontId="0" fillId="0" borderId="0"/>
    <xf numFmtId="43" fontId="2" fillId="0" borderId="0" applyFont="0" applyFill="0" applyBorder="0" applyAlignment="0" applyProtection="0"/>
    <xf numFmtId="0" fontId="15" fillId="0" borderId="0"/>
  </cellStyleXfs>
  <cellXfs count="247">
    <xf numFmtId="0" fontId="0" fillId="0" borderId="0" xfId="0"/>
    <xf numFmtId="0" fontId="4" fillId="0" borderId="0" xfId="0" applyFont="1" applyProtection="1"/>
    <xf numFmtId="0" fontId="3" fillId="0" borderId="0" xfId="0" applyFont="1" applyAlignment="1" applyProtection="1">
      <alignment horizontal="right"/>
    </xf>
    <xf numFmtId="0" fontId="4" fillId="0" borderId="0" xfId="0" applyFont="1" applyFill="1" applyProtection="1"/>
    <xf numFmtId="0" fontId="0" fillId="0" borderId="0" xfId="0" applyFill="1"/>
    <xf numFmtId="0" fontId="4" fillId="0" borderId="0" xfId="0" applyFont="1" applyFill="1" applyAlignment="1" applyProtection="1">
      <alignment vertical="center"/>
    </xf>
    <xf numFmtId="7" fontId="4" fillId="0" borderId="0" xfId="0" applyNumberFormat="1" applyFont="1" applyBorder="1" applyProtection="1"/>
    <xf numFmtId="0" fontId="5" fillId="0" borderId="0" xfId="0" applyFont="1" applyAlignment="1" applyProtection="1">
      <alignment horizontal="left"/>
    </xf>
    <xf numFmtId="0" fontId="1" fillId="0" borderId="0" xfId="0" applyFont="1"/>
    <xf numFmtId="0" fontId="1" fillId="0" borderId="0" xfId="0" applyFont="1" applyProtection="1"/>
    <xf numFmtId="0" fontId="6" fillId="0" borderId="0" xfId="0" applyFont="1"/>
    <xf numFmtId="0" fontId="1" fillId="0" borderId="0" xfId="0" applyFont="1" applyAlignment="1" applyProtection="1">
      <alignment horizontal="left"/>
    </xf>
    <xf numFmtId="7" fontId="1" fillId="0" borderId="0" xfId="0" applyNumberFormat="1" applyFont="1" applyBorder="1" applyProtection="1"/>
    <xf numFmtId="1" fontId="4" fillId="0" borderId="0" xfId="0" applyNumberFormat="1" applyFont="1" applyProtection="1"/>
    <xf numFmtId="0" fontId="3" fillId="0" borderId="0" xfId="0" applyFont="1" applyAlignment="1" applyProtection="1">
      <alignment horizontal="left"/>
    </xf>
    <xf numFmtId="0" fontId="1" fillId="0" borderId="0" xfId="0" applyFont="1" applyFill="1" applyBorder="1" applyAlignment="1" applyProtection="1">
      <alignment horizontal="left" vertical="top" wrapText="1"/>
    </xf>
    <xf numFmtId="0" fontId="3" fillId="0" borderId="0" xfId="0" applyFont="1" applyAlignment="1" applyProtection="1">
      <alignment horizontal="left"/>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7" fontId="9" fillId="3" borderId="3" xfId="0" applyNumberFormat="1" applyFont="1" applyFill="1" applyBorder="1" applyAlignment="1" applyProtection="1">
      <alignment horizontal="right"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7" fontId="9" fillId="2" borderId="3" xfId="0" applyNumberFormat="1" applyFont="1" applyFill="1" applyBorder="1" applyAlignment="1" applyProtection="1">
      <alignment horizontal="right" vertical="center"/>
    </xf>
    <xf numFmtId="1" fontId="9" fillId="3" borderId="2" xfId="0" applyNumberFormat="1" applyFont="1" applyFill="1" applyBorder="1" applyAlignment="1" applyProtection="1">
      <alignment horizontal="center" vertical="center"/>
    </xf>
    <xf numFmtId="0" fontId="9" fillId="2" borderId="2" xfId="0" applyFont="1" applyFill="1" applyBorder="1" applyProtection="1"/>
    <xf numFmtId="0" fontId="9" fillId="3" borderId="1" xfId="0" applyFont="1" applyFill="1" applyBorder="1" applyAlignment="1" applyProtection="1">
      <alignment vertical="center" wrapText="1"/>
    </xf>
    <xf numFmtId="1" fontId="9" fillId="3" borderId="3" xfId="0" applyNumberFormat="1" applyFont="1" applyFill="1" applyBorder="1" applyAlignment="1" applyProtection="1">
      <alignment horizontal="center" vertical="center"/>
    </xf>
    <xf numFmtId="164" fontId="9" fillId="3" borderId="3" xfId="0" applyNumberFormat="1" applyFont="1" applyFill="1" applyBorder="1" applyAlignment="1" applyProtection="1">
      <alignment horizontal="center" vertical="center"/>
    </xf>
    <xf numFmtId="1" fontId="9" fillId="3" borderId="5" xfId="0" applyNumberFormat="1"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5" fontId="12" fillId="3" borderId="3" xfId="0" applyNumberFormat="1" applyFont="1" applyFill="1" applyBorder="1" applyAlignment="1" applyProtection="1">
      <alignment horizontal="right" vertical="center"/>
    </xf>
    <xf numFmtId="2" fontId="9" fillId="3" borderId="2" xfId="0" applyNumberFormat="1" applyFont="1" applyFill="1" applyBorder="1" applyAlignment="1" applyProtection="1">
      <alignment horizontal="center" vertical="center"/>
    </xf>
    <xf numFmtId="0" fontId="12" fillId="2" borderId="2" xfId="0" applyFont="1" applyFill="1" applyBorder="1" applyAlignment="1" applyProtection="1">
      <alignment horizontal="center" vertical="top" wrapText="1"/>
    </xf>
    <xf numFmtId="0" fontId="12" fillId="2" borderId="3" xfId="0" applyFont="1" applyFill="1" applyBorder="1" applyAlignment="1" applyProtection="1">
      <alignment horizontal="center" vertical="top" wrapText="1"/>
    </xf>
    <xf numFmtId="0" fontId="1" fillId="3" borderId="0" xfId="0" applyFont="1" applyFill="1" applyBorder="1" applyAlignment="1" applyProtection="1">
      <alignment horizontal="center" vertical="center"/>
    </xf>
    <xf numFmtId="0" fontId="0" fillId="0" borderId="0" xfId="0" applyBorder="1"/>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vertical="center"/>
    </xf>
    <xf numFmtId="0" fontId="1" fillId="3" borderId="0" xfId="0" applyFont="1" applyFill="1" applyBorder="1" applyAlignment="1" applyProtection="1">
      <alignment vertical="center" wrapText="1"/>
    </xf>
    <xf numFmtId="0" fontId="1" fillId="3" borderId="0" xfId="0" applyFont="1" applyFill="1" applyBorder="1" applyProtection="1"/>
    <xf numFmtId="0" fontId="9" fillId="3" borderId="7" xfId="0" applyFont="1" applyFill="1" applyBorder="1" applyAlignment="1" applyProtection="1">
      <alignment horizontal="right"/>
    </xf>
    <xf numFmtId="1" fontId="9" fillId="3" borderId="6" xfId="0" applyNumberFormat="1" applyFont="1" applyFill="1" applyBorder="1" applyAlignment="1" applyProtection="1">
      <alignment horizontal="center" vertical="center"/>
    </xf>
    <xf numFmtId="7" fontId="9" fillId="3" borderId="14" xfId="0" applyNumberFormat="1" applyFont="1" applyFill="1" applyBorder="1" applyAlignment="1" applyProtection="1">
      <alignment horizontal="right"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7" fontId="9" fillId="3" borderId="7" xfId="0" applyNumberFormat="1" applyFont="1" applyFill="1" applyBorder="1" applyAlignment="1" applyProtection="1">
      <alignment horizontal="right" vertical="center"/>
    </xf>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1" fontId="9" fillId="3" borderId="8" xfId="0" applyNumberFormat="1" applyFont="1" applyFill="1" applyBorder="1" applyAlignment="1" applyProtection="1">
      <alignment horizontal="center" vertical="center"/>
    </xf>
    <xf numFmtId="1" fontId="9" fillId="3" borderId="12" xfId="0" applyNumberFormat="1" applyFont="1" applyFill="1" applyBorder="1" applyAlignment="1" applyProtection="1">
      <alignment horizontal="center" vertical="center"/>
    </xf>
    <xf numFmtId="0" fontId="9" fillId="3" borderId="13" xfId="0" quotePrefix="1"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1" fontId="9" fillId="3" borderId="13" xfId="0" applyNumberFormat="1" applyFont="1" applyFill="1" applyBorder="1" applyAlignment="1" applyProtection="1">
      <alignment horizontal="center" vertical="center"/>
    </xf>
    <xf numFmtId="1" fontId="9" fillId="3" borderId="16" xfId="0" applyNumberFormat="1" applyFont="1" applyFill="1" applyBorder="1" applyAlignment="1" applyProtection="1">
      <alignment horizontal="center" vertical="center"/>
    </xf>
    <xf numFmtId="0" fontId="9" fillId="3" borderId="13" xfId="0" applyFont="1" applyFill="1" applyBorder="1" applyAlignment="1" applyProtection="1">
      <alignment vertical="center"/>
    </xf>
    <xf numFmtId="0" fontId="13" fillId="0" borderId="0" xfId="0" applyFont="1"/>
    <xf numFmtId="0" fontId="9" fillId="0" borderId="0" xfId="0" applyFont="1"/>
    <xf numFmtId="5" fontId="12" fillId="3" borderId="9" xfId="0" applyNumberFormat="1" applyFont="1" applyFill="1" applyBorder="1" applyAlignment="1" applyProtection="1">
      <alignment horizontal="right" vertical="center"/>
    </xf>
    <xf numFmtId="3" fontId="9" fillId="3" borderId="12" xfId="0" applyNumberFormat="1" applyFont="1" applyFill="1" applyBorder="1" applyAlignment="1" applyProtection="1">
      <alignment vertical="center"/>
    </xf>
    <xf numFmtId="1" fontId="12" fillId="3" borderId="15" xfId="0" applyNumberFormat="1" applyFont="1" applyFill="1" applyBorder="1" applyAlignment="1" applyProtection="1">
      <alignment horizontal="center" vertical="center"/>
    </xf>
    <xf numFmtId="0" fontId="9" fillId="3" borderId="0" xfId="0" applyFont="1" applyFill="1" applyBorder="1" applyAlignment="1" applyProtection="1">
      <alignment vertical="center"/>
    </xf>
    <xf numFmtId="1" fontId="9" fillId="3" borderId="16" xfId="0" applyNumberFormat="1" applyFont="1" applyFill="1" applyBorder="1" applyAlignment="1" applyProtection="1">
      <alignment vertical="center"/>
    </xf>
    <xf numFmtId="3" fontId="12" fillId="3" borderId="16" xfId="0" applyNumberFormat="1" applyFont="1" applyFill="1" applyBorder="1" applyAlignment="1" applyProtection="1">
      <alignment horizontal="center" vertical="center"/>
    </xf>
    <xf numFmtId="1" fontId="12" fillId="3" borderId="15" xfId="0" applyNumberFormat="1" applyFont="1" applyFill="1" applyBorder="1" applyAlignment="1" applyProtection="1">
      <alignment horizontal="left" vertical="center"/>
    </xf>
    <xf numFmtId="5" fontId="12" fillId="3" borderId="15" xfId="0" applyNumberFormat="1" applyFont="1" applyFill="1" applyBorder="1" applyAlignment="1" applyProtection="1">
      <alignment horizontal="right" vertical="center"/>
    </xf>
    <xf numFmtId="5" fontId="12" fillId="3" borderId="13" xfId="0" applyNumberFormat="1" applyFont="1" applyFill="1" applyBorder="1" applyAlignment="1" applyProtection="1">
      <alignment horizontal="right" vertical="center"/>
    </xf>
    <xf numFmtId="5" fontId="12" fillId="0" borderId="13" xfId="0" applyNumberFormat="1" applyFont="1" applyBorder="1" applyAlignment="1">
      <alignment horizontal="right" vertical="center"/>
    </xf>
    <xf numFmtId="0" fontId="17" fillId="0" borderId="17" xfId="2" applyFont="1" applyBorder="1" applyAlignment="1">
      <alignment horizontal="center" vertical="top" wrapText="1"/>
    </xf>
    <xf numFmtId="0" fontId="17" fillId="0" borderId="23" xfId="2" applyFont="1" applyBorder="1" applyAlignment="1">
      <alignment horizontal="center" vertical="top" wrapText="1"/>
    </xf>
    <xf numFmtId="0" fontId="17" fillId="0" borderId="23" xfId="2" applyFont="1" applyFill="1" applyBorder="1" applyAlignment="1">
      <alignment horizontal="center" vertical="top" wrapText="1"/>
    </xf>
    <xf numFmtId="0" fontId="9" fillId="0" borderId="13" xfId="2" applyFont="1" applyBorder="1" applyAlignment="1">
      <alignment horizontal="center" vertical="top" wrapText="1"/>
    </xf>
    <xf numFmtId="3" fontId="9" fillId="0" borderId="13" xfId="2" applyNumberFormat="1" applyFont="1" applyFill="1" applyBorder="1" applyAlignment="1">
      <alignment horizontal="center" vertical="top" wrapText="1"/>
    </xf>
    <xf numFmtId="0" fontId="9" fillId="0" borderId="13" xfId="2" applyFont="1" applyFill="1" applyBorder="1" applyAlignment="1">
      <alignment horizontal="center" vertical="top" wrapText="1"/>
    </xf>
    <xf numFmtId="0" fontId="18" fillId="0" borderId="0" xfId="2" applyFont="1"/>
    <xf numFmtId="0" fontId="20" fillId="0" borderId="13" xfId="2" applyFont="1" applyFill="1" applyBorder="1" applyAlignment="1">
      <alignment horizontal="center" vertical="top" wrapText="1"/>
    </xf>
    <xf numFmtId="0" fontId="21" fillId="0" borderId="13" xfId="2" applyFont="1" applyBorder="1" applyAlignment="1">
      <alignment horizontal="center" vertical="top" wrapText="1"/>
    </xf>
    <xf numFmtId="0" fontId="20" fillId="0" borderId="13" xfId="2" applyFont="1" applyBorder="1" applyAlignment="1">
      <alignment horizontal="center" vertical="top" wrapText="1"/>
    </xf>
    <xf numFmtId="0" fontId="9" fillId="0" borderId="13" xfId="0" applyFont="1" applyFill="1" applyBorder="1" applyAlignment="1">
      <alignment horizontal="left" vertical="top" wrapText="1"/>
    </xf>
    <xf numFmtId="3" fontId="21" fillId="0" borderId="13" xfId="2" applyNumberFormat="1" applyFont="1" applyFill="1" applyBorder="1" applyAlignment="1">
      <alignment horizontal="center" vertical="center" wrapText="1"/>
    </xf>
    <xf numFmtId="0" fontId="21" fillId="0" borderId="13" xfId="2" applyFont="1" applyFill="1" applyBorder="1" applyAlignment="1">
      <alignment horizontal="center" vertical="center" wrapText="1"/>
    </xf>
    <xf numFmtId="0" fontId="21" fillId="0" borderId="13" xfId="2" applyFont="1" applyFill="1" applyBorder="1" applyAlignment="1">
      <alignment vertical="top" wrapText="1"/>
    </xf>
    <xf numFmtId="0" fontId="21" fillId="0" borderId="13" xfId="2" applyFont="1" applyFill="1" applyBorder="1" applyAlignment="1">
      <alignment horizontal="center" vertical="top" wrapText="1"/>
    </xf>
    <xf numFmtId="0" fontId="15" fillId="0" borderId="0" xfId="2" applyFont="1"/>
    <xf numFmtId="0" fontId="22" fillId="0" borderId="0" xfId="2" applyFont="1" applyAlignment="1">
      <alignment horizontal="right"/>
    </xf>
    <xf numFmtId="1" fontId="23" fillId="0" borderId="0" xfId="2" applyNumberFormat="1" applyFont="1"/>
    <xf numFmtId="5" fontId="9" fillId="3" borderId="3" xfId="0" applyNumberFormat="1" applyFont="1" applyFill="1" applyBorder="1" applyAlignment="1" applyProtection="1">
      <alignment horizontal="right" vertical="center"/>
    </xf>
    <xf numFmtId="5" fontId="9" fillId="3" borderId="7" xfId="0" applyNumberFormat="1" applyFont="1" applyFill="1" applyBorder="1" applyAlignment="1" applyProtection="1">
      <alignment horizontal="right" vertical="center"/>
    </xf>
    <xf numFmtId="0" fontId="13" fillId="0" borderId="0" xfId="0" applyFont="1" applyProtection="1"/>
    <xf numFmtId="1" fontId="13" fillId="0" borderId="0" xfId="0" applyNumberFormat="1" applyFont="1" applyProtection="1"/>
    <xf numFmtId="0" fontId="9" fillId="0" borderId="0" xfId="0" applyFont="1" applyProtection="1"/>
    <xf numFmtId="0" fontId="9" fillId="2" borderId="5" xfId="0" applyFont="1" applyFill="1" applyBorder="1" applyProtection="1"/>
    <xf numFmtId="0" fontId="9" fillId="3" borderId="25" xfId="0"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xf>
    <xf numFmtId="1" fontId="9" fillId="3" borderId="4" xfId="0" applyNumberFormat="1" applyFont="1" applyFill="1" applyBorder="1" applyAlignment="1" applyProtection="1">
      <alignment horizontal="center" vertical="center"/>
    </xf>
    <xf numFmtId="0" fontId="9" fillId="3" borderId="26" xfId="0" quotePrefix="1" applyFont="1" applyFill="1" applyBorder="1" applyAlignment="1" applyProtection="1">
      <alignment horizontal="center" vertical="center"/>
    </xf>
    <xf numFmtId="0" fontId="9" fillId="3" borderId="25" xfId="0" applyFont="1" applyFill="1" applyBorder="1" applyAlignment="1" applyProtection="1"/>
    <xf numFmtId="0" fontId="9" fillId="2" borderId="26"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1" fontId="9" fillId="3" borderId="0" xfId="0" applyNumberFormat="1" applyFont="1" applyFill="1" applyBorder="1" applyAlignment="1" applyProtection="1">
      <alignment horizontal="center" vertical="center"/>
    </xf>
    <xf numFmtId="0" fontId="9" fillId="3" borderId="25" xfId="0" quotePrefix="1" applyFont="1" applyFill="1" applyBorder="1" applyAlignment="1" applyProtection="1">
      <alignment horizontal="center" vertical="center"/>
    </xf>
    <xf numFmtId="1" fontId="9" fillId="3" borderId="27" xfId="0" applyNumberFormat="1"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5" fontId="12" fillId="3" borderId="6" xfId="0" applyNumberFormat="1" applyFont="1" applyFill="1" applyBorder="1" applyAlignment="1" applyProtection="1">
      <alignment horizontal="right" vertical="center"/>
    </xf>
    <xf numFmtId="0" fontId="9" fillId="0" borderId="25" xfId="0" applyFont="1" applyBorder="1" applyAlignment="1" applyProtection="1">
      <alignment horizontal="center"/>
    </xf>
    <xf numFmtId="164" fontId="9" fillId="0" borderId="25" xfId="0" applyNumberFormat="1" applyFont="1" applyFill="1" applyBorder="1" applyAlignment="1" applyProtection="1">
      <alignment horizontal="center"/>
    </xf>
    <xf numFmtId="165" fontId="9" fillId="0" borderId="25" xfId="1" applyNumberFormat="1" applyFont="1" applyFill="1" applyBorder="1" applyAlignment="1" applyProtection="1">
      <alignment horizontal="center"/>
    </xf>
    <xf numFmtId="164" fontId="9" fillId="3" borderId="2" xfId="0" applyNumberFormat="1" applyFont="1" applyFill="1" applyBorder="1" applyAlignment="1" applyProtection="1">
      <alignment horizontal="center" vertical="center"/>
    </xf>
    <xf numFmtId="5" fontId="9" fillId="2" borderId="3" xfId="0" applyNumberFormat="1" applyFont="1" applyFill="1" applyBorder="1" applyAlignment="1" applyProtection="1">
      <alignment horizontal="right"/>
    </xf>
    <xf numFmtId="5" fontId="9" fillId="3" borderId="7" xfId="0" applyNumberFormat="1" applyFont="1" applyFill="1" applyBorder="1" applyAlignment="1" applyProtection="1">
      <alignment horizontal="right"/>
    </xf>
    <xf numFmtId="5" fontId="9" fillId="2" borderId="7" xfId="0" applyNumberFormat="1" applyFont="1" applyFill="1" applyBorder="1" applyAlignment="1" applyProtection="1">
      <alignment horizontal="right" vertical="center"/>
    </xf>
    <xf numFmtId="0" fontId="12" fillId="0" borderId="25" xfId="0" applyFont="1" applyBorder="1" applyProtection="1"/>
    <xf numFmtId="1" fontId="12" fillId="0" borderId="25" xfId="0" applyNumberFormat="1" applyFont="1" applyBorder="1" applyProtection="1"/>
    <xf numFmtId="5" fontId="12" fillId="0" borderId="25" xfId="0" applyNumberFormat="1" applyFont="1" applyBorder="1" applyProtection="1"/>
    <xf numFmtId="0" fontId="24" fillId="0" borderId="0" xfId="0" applyFont="1" applyBorder="1" applyAlignment="1" applyProtection="1"/>
    <xf numFmtId="0" fontId="25" fillId="0" borderId="0" xfId="0" applyFont="1" applyAlignment="1">
      <alignment horizontal="left" wrapText="1"/>
    </xf>
    <xf numFmtId="3" fontId="9" fillId="3" borderId="0" xfId="0" applyNumberFormat="1" applyFont="1" applyFill="1" applyBorder="1" applyAlignment="1" applyProtection="1">
      <alignment vertical="center"/>
    </xf>
    <xf numFmtId="0" fontId="9" fillId="0" borderId="32" xfId="0" quotePrefix="1" applyFont="1" applyBorder="1" applyAlignment="1" applyProtection="1">
      <alignment horizontal="center"/>
    </xf>
    <xf numFmtId="0" fontId="12" fillId="0" borderId="32" xfId="0" applyFont="1" applyBorder="1" applyProtection="1"/>
    <xf numFmtId="5" fontId="12" fillId="0" borderId="25" xfId="0" applyNumberFormat="1" applyFont="1" applyBorder="1" applyAlignment="1" applyProtection="1">
      <alignment horizontal="right" vertical="center"/>
    </xf>
    <xf numFmtId="0" fontId="9" fillId="0" borderId="2" xfId="0" applyFont="1" applyBorder="1" applyAlignment="1" applyProtection="1">
      <alignment vertical="center"/>
    </xf>
    <xf numFmtId="1" fontId="9" fillId="0" borderId="2" xfId="0" applyNumberFormat="1" applyFont="1" applyBorder="1" applyAlignment="1" applyProtection="1">
      <alignment horizontal="center" vertical="center"/>
    </xf>
    <xf numFmtId="0" fontId="9" fillId="0" borderId="2" xfId="0" applyFont="1" applyBorder="1" applyAlignment="1" applyProtection="1">
      <alignment horizontal="center" vertical="center"/>
    </xf>
    <xf numFmtId="164" fontId="9" fillId="0" borderId="2" xfId="0" applyNumberFormat="1" applyFont="1" applyBorder="1" applyAlignment="1" applyProtection="1">
      <alignment horizontal="center" vertical="center"/>
    </xf>
    <xf numFmtId="0" fontId="9" fillId="0" borderId="3" xfId="0" applyFont="1" applyBorder="1" applyAlignment="1" applyProtection="1">
      <alignment horizontal="center" vertical="center"/>
    </xf>
    <xf numFmtId="7" fontId="9" fillId="0" borderId="3" xfId="0" applyNumberFormat="1" applyFont="1" applyFill="1" applyBorder="1" applyAlignment="1" applyProtection="1">
      <alignment horizontal="right" vertical="center"/>
    </xf>
    <xf numFmtId="0" fontId="9" fillId="0" borderId="2" xfId="0" applyFont="1" applyBorder="1" applyAlignment="1" applyProtection="1">
      <alignment horizontal="left" vertical="center" wrapText="1"/>
    </xf>
    <xf numFmtId="0" fontId="9" fillId="0" borderId="2" xfId="0" applyFont="1" applyFill="1" applyBorder="1" applyAlignment="1" applyProtection="1">
      <alignment horizontal="center" vertical="center"/>
    </xf>
    <xf numFmtId="0" fontId="9" fillId="0" borderId="2" xfId="0" applyFont="1" applyBorder="1" applyAlignment="1" applyProtection="1">
      <alignment horizontal="left" vertical="center"/>
    </xf>
    <xf numFmtId="0" fontId="12" fillId="0" borderId="2" xfId="0" applyFont="1" applyBorder="1" applyAlignment="1" applyProtection="1">
      <alignment horizontal="left" vertical="center"/>
    </xf>
    <xf numFmtId="7" fontId="12" fillId="0" borderId="3" xfId="0" applyNumberFormat="1" applyFont="1" applyBorder="1" applyAlignment="1" applyProtection="1">
      <alignment horizontal="center" vertical="center"/>
    </xf>
    <xf numFmtId="0" fontId="9" fillId="0" borderId="3" xfId="0" applyFont="1" applyBorder="1" applyAlignment="1" applyProtection="1">
      <alignment horizontal="left" vertical="center"/>
    </xf>
    <xf numFmtId="5" fontId="12" fillId="0" borderId="3" xfId="0" applyNumberFormat="1" applyFont="1" applyBorder="1" applyAlignment="1" applyProtection="1">
      <alignment horizontal="right" vertical="center"/>
    </xf>
    <xf numFmtId="0" fontId="12" fillId="0" borderId="0" xfId="0" applyFont="1" applyAlignment="1" applyProtection="1">
      <alignment horizontal="left"/>
    </xf>
    <xf numFmtId="7" fontId="9" fillId="0" borderId="0" xfId="0" applyNumberFormat="1" applyFont="1" applyBorder="1" applyProtection="1"/>
    <xf numFmtId="0" fontId="11" fillId="0" borderId="0" xfId="0" applyFont="1"/>
    <xf numFmtId="0" fontId="9" fillId="0" borderId="0" xfId="0" applyFont="1" applyAlignment="1" applyProtection="1">
      <alignment horizontal="left"/>
    </xf>
    <xf numFmtId="5" fontId="9" fillId="0" borderId="3" xfId="0" applyNumberFormat="1" applyFont="1" applyFill="1" applyBorder="1" applyAlignment="1" applyProtection="1">
      <alignment horizontal="right" vertical="center"/>
    </xf>
    <xf numFmtId="3" fontId="9" fillId="0" borderId="3" xfId="0" applyNumberFormat="1" applyFont="1" applyBorder="1" applyAlignment="1" applyProtection="1">
      <alignment horizontal="center" vertical="center"/>
    </xf>
    <xf numFmtId="1" fontId="9" fillId="0" borderId="2" xfId="0" applyNumberFormat="1" applyFont="1" applyFill="1" applyBorder="1" applyAlignment="1" applyProtection="1">
      <alignment horizontal="center" vertical="center"/>
    </xf>
    <xf numFmtId="1" fontId="9" fillId="0" borderId="3" xfId="0" applyNumberFormat="1" applyFont="1" applyBorder="1" applyAlignment="1" applyProtection="1">
      <alignment horizontal="center" vertical="center"/>
    </xf>
    <xf numFmtId="0" fontId="12" fillId="2" borderId="2" xfId="0" applyFont="1" applyFill="1" applyBorder="1" applyAlignment="1" applyProtection="1">
      <alignment horizontal="center" vertical="center" wrapText="1"/>
    </xf>
    <xf numFmtId="2" fontId="9" fillId="0" borderId="2" xfId="0" applyNumberFormat="1" applyFont="1" applyBorder="1" applyAlignment="1" applyProtection="1">
      <alignment horizontal="center" vertical="center"/>
    </xf>
    <xf numFmtId="5" fontId="9" fillId="0" borderId="3" xfId="0" applyNumberFormat="1" applyFont="1" applyFill="1" applyBorder="1" applyAlignment="1" applyProtection="1"/>
    <xf numFmtId="166" fontId="9" fillId="0" borderId="3" xfId="0" applyNumberFormat="1" applyFont="1" applyFill="1" applyBorder="1" applyAlignment="1" applyProtection="1"/>
    <xf numFmtId="7" fontId="9" fillId="0" borderId="3" xfId="0" applyNumberFormat="1" applyFont="1" applyFill="1" applyBorder="1" applyAlignment="1" applyProtection="1"/>
    <xf numFmtId="5" fontId="12" fillId="0" borderId="3" xfId="0" applyNumberFormat="1" applyFont="1" applyBorder="1" applyAlignment="1" applyProtection="1"/>
    <xf numFmtId="3" fontId="13" fillId="0" borderId="0" xfId="0" applyNumberFormat="1" applyFont="1" applyProtection="1"/>
    <xf numFmtId="3" fontId="0" fillId="0" borderId="0" xfId="0" applyNumberFormat="1"/>
    <xf numFmtId="0" fontId="10" fillId="0" borderId="0" xfId="0" applyFont="1" applyAlignment="1">
      <alignment horizontal="left" wrapText="1"/>
    </xf>
    <xf numFmtId="0" fontId="9" fillId="2" borderId="2" xfId="0" applyFont="1" applyFill="1" applyBorder="1" applyAlignment="1" applyProtection="1">
      <alignment vertical="center"/>
    </xf>
    <xf numFmtId="0" fontId="11" fillId="3" borderId="17" xfId="0" applyFont="1" applyFill="1" applyBorder="1" applyAlignment="1" applyProtection="1">
      <alignment vertical="center" wrapText="1"/>
      <protection locked="0"/>
    </xf>
    <xf numFmtId="0" fontId="11" fillId="3" borderId="13" xfId="0" applyFont="1" applyFill="1" applyBorder="1" applyAlignment="1" applyProtection="1">
      <alignment vertical="center" wrapText="1"/>
      <protection locked="0"/>
    </xf>
    <xf numFmtId="0" fontId="9" fillId="0" borderId="13" xfId="0" applyFont="1" applyBorder="1" applyAlignment="1">
      <alignment vertical="center"/>
    </xf>
    <xf numFmtId="0" fontId="26" fillId="0" borderId="13" xfId="0" applyFont="1" applyBorder="1" applyAlignment="1">
      <alignment horizontal="center" vertical="center" wrapText="1"/>
    </xf>
    <xf numFmtId="0" fontId="17" fillId="0" borderId="13" xfId="0" applyFont="1" applyBorder="1" applyAlignment="1">
      <alignment vertical="center" wrapText="1"/>
    </xf>
    <xf numFmtId="3" fontId="17" fillId="0" borderId="13" xfId="0" applyNumberFormat="1" applyFont="1" applyBorder="1" applyAlignment="1">
      <alignment horizontal="center" vertical="center" wrapText="1"/>
    </xf>
    <xf numFmtId="6" fontId="17" fillId="0" borderId="13" xfId="0" applyNumberFormat="1" applyFont="1" applyBorder="1" applyAlignment="1">
      <alignment horizontal="right" vertical="center" wrapText="1"/>
    </xf>
    <xf numFmtId="0" fontId="17" fillId="0" borderId="13" xfId="0" applyFont="1" applyBorder="1" applyAlignment="1">
      <alignment horizontal="center" vertical="center" wrapText="1"/>
    </xf>
    <xf numFmtId="0" fontId="26" fillId="0" borderId="13" xfId="0" applyFont="1" applyBorder="1" applyAlignment="1">
      <alignment vertical="center" wrapText="1"/>
    </xf>
    <xf numFmtId="0" fontId="26" fillId="0" borderId="13" xfId="0" applyFont="1" applyBorder="1" applyAlignment="1">
      <alignment horizontal="right" vertical="center" wrapText="1"/>
    </xf>
    <xf numFmtId="3" fontId="26" fillId="0" borderId="13" xfId="0" applyNumberFormat="1" applyFont="1" applyBorder="1" applyAlignment="1">
      <alignment horizontal="center" vertical="center" wrapText="1"/>
    </xf>
    <xf numFmtId="6" fontId="26" fillId="0" borderId="13" xfId="0" applyNumberFormat="1" applyFont="1" applyBorder="1" applyAlignment="1">
      <alignment horizontal="right" vertical="center" wrapText="1"/>
    </xf>
    <xf numFmtId="0" fontId="25" fillId="0" borderId="0" xfId="0" applyFont="1" applyAlignment="1">
      <alignment wrapText="1"/>
    </xf>
    <xf numFmtId="0" fontId="9" fillId="3" borderId="4"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9" fillId="3" borderId="4" xfId="0" applyFont="1" applyFill="1" applyBorder="1" applyAlignment="1" applyProtection="1">
      <alignment wrapText="1"/>
    </xf>
    <xf numFmtId="0" fontId="14" fillId="3" borderId="6" xfId="0" applyFont="1" applyFill="1" applyBorder="1" applyAlignment="1" applyProtection="1">
      <alignment wrapText="1"/>
    </xf>
    <xf numFmtId="0" fontId="12" fillId="3" borderId="25" xfId="0" applyFont="1" applyFill="1" applyBorder="1" applyAlignment="1" applyProtection="1">
      <alignment wrapText="1"/>
    </xf>
    <xf numFmtId="0" fontId="12" fillId="3" borderId="25" xfId="0" applyFont="1" applyFill="1" applyBorder="1" applyAlignment="1" applyProtection="1">
      <alignment vertical="center" wrapText="1"/>
    </xf>
    <xf numFmtId="0" fontId="12" fillId="0" borderId="25" xfId="0" applyFont="1" applyBorder="1" applyAlignment="1">
      <alignment wrapText="1"/>
    </xf>
    <xf numFmtId="0" fontId="12" fillId="2" borderId="1" xfId="0" applyFont="1" applyFill="1" applyBorder="1" applyAlignment="1" applyProtection="1">
      <alignment vertical="center" wrapText="1"/>
    </xf>
    <xf numFmtId="0" fontId="9" fillId="3" borderId="13" xfId="0" applyFont="1" applyFill="1" applyBorder="1" applyAlignment="1" applyProtection="1">
      <alignment vertical="center" wrapText="1"/>
    </xf>
    <xf numFmtId="0" fontId="14" fillId="3" borderId="10" xfId="0" applyFont="1" applyFill="1" applyBorder="1" applyAlignment="1" applyProtection="1">
      <alignment vertical="center" wrapText="1"/>
    </xf>
    <xf numFmtId="0" fontId="14" fillId="3" borderId="13" xfId="0" applyFont="1" applyFill="1" applyBorder="1" applyAlignment="1" applyProtection="1">
      <alignment wrapText="1"/>
    </xf>
    <xf numFmtId="0" fontId="12" fillId="3" borderId="1" xfId="0" applyFont="1" applyFill="1" applyBorder="1" applyAlignment="1" applyProtection="1">
      <alignment wrapText="1"/>
    </xf>
    <xf numFmtId="0" fontId="12" fillId="3" borderId="16" xfId="0" applyFont="1" applyFill="1" applyBorder="1" applyAlignment="1" applyProtection="1">
      <alignment vertical="center" wrapText="1"/>
    </xf>
    <xf numFmtId="0" fontId="12" fillId="0" borderId="13" xfId="0" applyFont="1" applyBorder="1" applyAlignment="1">
      <alignment wrapText="1"/>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26" fillId="0" borderId="22" xfId="2" applyFont="1" applyBorder="1" applyAlignment="1">
      <alignment vertical="top" wrapText="1"/>
    </xf>
    <xf numFmtId="0" fontId="17" fillId="0" borderId="13" xfId="2" applyFont="1" applyBorder="1" applyAlignment="1">
      <alignment horizontal="center" vertical="center" wrapText="1"/>
    </xf>
    <xf numFmtId="0" fontId="12" fillId="0" borderId="0" xfId="0" applyFont="1"/>
    <xf numFmtId="0" fontId="9" fillId="0" borderId="3" xfId="0" applyFont="1" applyFill="1" applyBorder="1" applyAlignment="1" applyProtection="1">
      <alignment horizontal="center" vertical="center"/>
    </xf>
    <xf numFmtId="0" fontId="9" fillId="3" borderId="17" xfId="0" applyFont="1" applyFill="1" applyBorder="1" applyAlignment="1" applyProtection="1">
      <alignment vertical="center" wrapText="1"/>
    </xf>
    <xf numFmtId="1" fontId="9" fillId="3" borderId="33" xfId="0" applyNumberFormat="1"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164" fontId="9" fillId="0" borderId="2" xfId="0" applyNumberFormat="1" applyFont="1" applyFill="1" applyBorder="1" applyAlignment="1" applyProtection="1">
      <alignment horizontal="center" vertical="center"/>
    </xf>
    <xf numFmtId="4" fontId="9" fillId="3" borderId="2" xfId="0" applyNumberFormat="1" applyFont="1" applyFill="1" applyBorder="1" applyAlignment="1" applyProtection="1">
      <alignment horizontal="center" vertical="center"/>
    </xf>
    <xf numFmtId="4" fontId="9" fillId="3" borderId="3"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2" fontId="9" fillId="0" borderId="3" xfId="0" applyNumberFormat="1" applyFont="1" applyFill="1" applyBorder="1" applyAlignment="1" applyProtection="1">
      <alignment horizontal="center" vertical="center"/>
    </xf>
    <xf numFmtId="3" fontId="9" fillId="3" borderId="11" xfId="0" applyNumberFormat="1" applyFont="1" applyFill="1" applyBorder="1" applyAlignment="1" applyProtection="1">
      <alignment horizontal="center" vertical="center"/>
    </xf>
    <xf numFmtId="3" fontId="9" fillId="3" borderId="2" xfId="0" applyNumberFormat="1" applyFont="1" applyFill="1" applyBorder="1" applyAlignment="1" applyProtection="1">
      <alignment horizontal="center" vertical="center"/>
    </xf>
    <xf numFmtId="167" fontId="9" fillId="3" borderId="3" xfId="0" applyNumberFormat="1" applyFont="1" applyFill="1" applyBorder="1" applyAlignment="1" applyProtection="1">
      <alignment horizontal="center" vertical="center"/>
    </xf>
    <xf numFmtId="3" fontId="9" fillId="3" borderId="3" xfId="0" applyNumberFormat="1" applyFont="1" applyFill="1" applyBorder="1" applyAlignment="1" applyProtection="1">
      <alignment horizontal="center" vertical="center"/>
    </xf>
    <xf numFmtId="2" fontId="9" fillId="0" borderId="2" xfId="0" applyNumberFormat="1" applyFont="1" applyFill="1" applyBorder="1" applyAlignment="1" applyProtection="1">
      <alignment horizontal="center" vertical="center"/>
    </xf>
    <xf numFmtId="0" fontId="10"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wrapText="1"/>
    </xf>
    <xf numFmtId="3" fontId="12" fillId="3" borderId="2" xfId="0" applyNumberFormat="1" applyFont="1" applyFill="1" applyBorder="1" applyAlignment="1" applyProtection="1">
      <alignment horizontal="center" vertical="center"/>
    </xf>
    <xf numFmtId="3" fontId="12" fillId="3" borderId="1" xfId="0" applyNumberFormat="1" applyFont="1" applyFill="1" applyBorder="1" applyAlignment="1" applyProtection="1">
      <alignment horizontal="center" vertical="center"/>
    </xf>
    <xf numFmtId="3" fontId="12" fillId="3" borderId="7" xfId="0" applyNumberFormat="1" applyFont="1" applyFill="1" applyBorder="1" applyAlignment="1" applyProtection="1">
      <alignment horizontal="center" vertical="center"/>
    </xf>
    <xf numFmtId="3" fontId="12" fillId="3" borderId="28" xfId="0" applyNumberFormat="1" applyFont="1" applyFill="1" applyBorder="1" applyAlignment="1" applyProtection="1">
      <alignment horizontal="center" vertical="center"/>
    </xf>
    <xf numFmtId="3" fontId="12" fillId="3" borderId="29" xfId="0" applyNumberFormat="1" applyFont="1" applyFill="1" applyBorder="1" applyAlignment="1" applyProtection="1">
      <alignment horizontal="center" vertical="center"/>
    </xf>
    <xf numFmtId="3" fontId="12" fillId="3" borderId="30" xfId="0" applyNumberFormat="1" applyFont="1" applyFill="1" applyBorder="1" applyAlignment="1" applyProtection="1">
      <alignment horizontal="center" vertical="center"/>
    </xf>
    <xf numFmtId="3" fontId="12" fillId="0" borderId="26" xfId="0" applyNumberFormat="1"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2" fontId="9" fillId="0" borderId="0" xfId="0" applyNumberFormat="1" applyFont="1" applyFill="1" applyAlignment="1">
      <alignment horizontal="left" vertical="center" wrapText="1"/>
    </xf>
    <xf numFmtId="0" fontId="10" fillId="0" borderId="0" xfId="0" applyFont="1" applyAlignment="1">
      <alignment horizontal="left" vertical="center"/>
    </xf>
    <xf numFmtId="0" fontId="9" fillId="0" borderId="0" xfId="0" applyFont="1" applyAlignment="1">
      <alignment horizontal="left" wrapText="1"/>
    </xf>
    <xf numFmtId="0" fontId="9" fillId="0" borderId="0" xfId="0" applyFont="1" applyAlignment="1">
      <alignment horizontal="left"/>
    </xf>
    <xf numFmtId="3" fontId="12" fillId="3" borderId="18" xfId="0" applyNumberFormat="1" applyFont="1" applyFill="1" applyBorder="1" applyAlignment="1" applyProtection="1">
      <alignment horizontal="center" vertical="center"/>
    </xf>
    <xf numFmtId="3" fontId="12" fillId="3" borderId="4" xfId="0" applyNumberFormat="1" applyFont="1" applyFill="1" applyBorder="1" applyAlignment="1" applyProtection="1">
      <alignment horizontal="center" vertical="center"/>
    </xf>
    <xf numFmtId="3" fontId="12" fillId="3" borderId="14" xfId="0" applyNumberFormat="1" applyFont="1" applyFill="1" applyBorder="1" applyAlignment="1" applyProtection="1">
      <alignment horizontal="center" vertical="center"/>
    </xf>
    <xf numFmtId="3" fontId="12" fillId="3" borderId="34" xfId="0" applyNumberFormat="1" applyFont="1" applyFill="1" applyBorder="1" applyAlignment="1" applyProtection="1">
      <alignment horizontal="center" vertical="center"/>
    </xf>
    <xf numFmtId="3" fontId="12" fillId="3" borderId="10" xfId="0" applyNumberFormat="1" applyFont="1" applyFill="1" applyBorder="1" applyAlignment="1" applyProtection="1">
      <alignment horizontal="center" vertical="center"/>
    </xf>
    <xf numFmtId="3" fontId="12" fillId="3" borderId="11" xfId="0" applyNumberFormat="1" applyFont="1" applyFill="1" applyBorder="1" applyAlignment="1" applyProtection="1">
      <alignment horizontal="center" vertical="center"/>
    </xf>
    <xf numFmtId="3" fontId="12" fillId="3" borderId="19" xfId="0" applyNumberFormat="1" applyFont="1" applyFill="1" applyBorder="1" applyAlignment="1" applyProtection="1">
      <alignment horizontal="center" vertical="center"/>
    </xf>
    <xf numFmtId="3" fontId="12" fillId="3" borderId="20" xfId="0" applyNumberFormat="1" applyFont="1" applyFill="1" applyBorder="1" applyAlignment="1" applyProtection="1">
      <alignment horizontal="center" vertical="center"/>
    </xf>
    <xf numFmtId="3" fontId="12" fillId="3" borderId="21" xfId="0" applyNumberFormat="1" applyFont="1" applyFill="1" applyBorder="1" applyAlignment="1" applyProtection="1">
      <alignment horizontal="center" vertical="center"/>
    </xf>
    <xf numFmtId="3" fontId="12" fillId="0" borderId="19" xfId="0" applyNumberFormat="1"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2" fontId="9" fillId="0" borderId="0" xfId="0" applyNumberFormat="1" applyFont="1" applyFill="1" applyAlignment="1">
      <alignment horizontal="left" vertical="top" wrapText="1"/>
    </xf>
    <xf numFmtId="0" fontId="10" fillId="0" borderId="0" xfId="0" applyFont="1" applyAlignment="1">
      <alignment horizontal="left"/>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3" fillId="0" borderId="0" xfId="0" applyFont="1" applyAlignment="1" applyProtection="1">
      <alignment horizontal="left"/>
    </xf>
    <xf numFmtId="3" fontId="12" fillId="0" borderId="2" xfId="0" applyNumberFormat="1"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7" xfId="0" applyFont="1" applyBorder="1" applyAlignment="1" applyProtection="1">
      <alignment horizontal="center" vertical="center"/>
    </xf>
    <xf numFmtId="0" fontId="9" fillId="0" borderId="0" xfId="0" applyFont="1" applyFill="1" applyBorder="1" applyAlignment="1" applyProtection="1">
      <alignment horizontal="left" vertical="top" wrapText="1"/>
    </xf>
    <xf numFmtId="0" fontId="25" fillId="0" borderId="0" xfId="0" applyFont="1" applyAlignment="1">
      <alignment horizontal="left"/>
    </xf>
    <xf numFmtId="0" fontId="26" fillId="0" borderId="19" xfId="2" applyFont="1" applyBorder="1" applyAlignment="1">
      <alignment horizontal="center" vertical="top" wrapText="1"/>
    </xf>
    <xf numFmtId="0" fontId="26" fillId="0" borderId="20" xfId="2" applyFont="1" applyBorder="1" applyAlignment="1">
      <alignment horizontal="center" vertical="top" wrapText="1"/>
    </xf>
    <xf numFmtId="0" fontId="26" fillId="0" borderId="21" xfId="2" applyFont="1" applyBorder="1" applyAlignment="1">
      <alignment horizontal="center" vertical="top" wrapText="1"/>
    </xf>
    <xf numFmtId="0" fontId="17" fillId="0" borderId="19" xfId="2" applyFont="1" applyBorder="1" applyAlignment="1">
      <alignment horizontal="center" vertical="top" wrapText="1"/>
    </xf>
    <xf numFmtId="0" fontId="17" fillId="0" borderId="21" xfId="2" applyFont="1" applyBorder="1" applyAlignment="1">
      <alignment horizontal="center" vertical="top" wrapText="1"/>
    </xf>
    <xf numFmtId="0" fontId="16" fillId="0" borderId="13" xfId="2" applyFont="1" applyBorder="1" applyAlignment="1">
      <alignment horizontal="center" vertical="top" wrapText="1"/>
    </xf>
    <xf numFmtId="0" fontId="18" fillId="0" borderId="24" xfId="2"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M89"/>
  <sheetViews>
    <sheetView tabSelected="1" defaultGridColor="0" topLeftCell="A4" colorId="22" zoomScaleNormal="100" workbookViewId="0">
      <selection activeCell="C34" sqref="C34"/>
    </sheetView>
  </sheetViews>
  <sheetFormatPr defaultColWidth="9.77734375" defaultRowHeight="15" x14ac:dyDescent="0.2"/>
  <cols>
    <col min="1" max="1" width="30.21875" customWidth="1"/>
    <col min="2" max="5" width="9.33203125" customWidth="1"/>
    <col min="6" max="6" width="9.44140625" customWidth="1"/>
    <col min="7" max="7" width="9.5546875" customWidth="1"/>
    <col min="8" max="8" width="9.33203125" customWidth="1"/>
    <col min="9" max="9" width="10.77734375" customWidth="1"/>
    <col min="10" max="16384" width="9.77734375" style="4"/>
  </cols>
  <sheetData>
    <row r="1" spans="1:247" ht="15.75" x14ac:dyDescent="0.25">
      <c r="A1" s="14" t="s">
        <v>101</v>
      </c>
      <c r="B1" s="1"/>
      <c r="C1" s="1"/>
      <c r="D1" s="1"/>
      <c r="E1" s="2"/>
      <c r="F1" s="1"/>
      <c r="G1" s="1"/>
      <c r="H1" s="1"/>
      <c r="I1" s="1"/>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hidden="1" x14ac:dyDescent="0.2">
      <c r="A2" s="9"/>
      <c r="B2" s="11"/>
      <c r="C2" s="9"/>
      <c r="D2" s="9"/>
      <c r="E2" s="9"/>
      <c r="F2" s="12">
        <v>101.22</v>
      </c>
      <c r="G2" s="9">
        <v>123.04</v>
      </c>
      <c r="H2" s="8">
        <v>51.18</v>
      </c>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row>
    <row r="3" spans="1:247" x14ac:dyDescent="0.2">
      <c r="A3" s="9"/>
      <c r="B3" s="11"/>
      <c r="C3" s="9"/>
      <c r="D3" s="9"/>
      <c r="E3" s="9"/>
      <c r="F3" s="12">
        <v>106.45</v>
      </c>
      <c r="G3" s="9">
        <v>138.43</v>
      </c>
      <c r="H3" s="8">
        <v>52.77</v>
      </c>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row>
    <row r="4" spans="1:247" ht="80.25" customHeight="1" x14ac:dyDescent="0.2">
      <c r="A4" s="183" t="s">
        <v>11</v>
      </c>
      <c r="B4" s="33" t="s">
        <v>92</v>
      </c>
      <c r="C4" s="33" t="s">
        <v>93</v>
      </c>
      <c r="D4" s="33" t="s">
        <v>2</v>
      </c>
      <c r="E4" s="33" t="s">
        <v>102</v>
      </c>
      <c r="F4" s="34" t="s">
        <v>12</v>
      </c>
      <c r="G4" s="34" t="s">
        <v>63</v>
      </c>
      <c r="H4" s="34" t="s">
        <v>64</v>
      </c>
      <c r="I4" s="34" t="s">
        <v>73</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row>
    <row r="5" spans="1:247" ht="13.9" customHeight="1" x14ac:dyDescent="0.2">
      <c r="A5" s="25" t="s">
        <v>10</v>
      </c>
      <c r="B5" s="17" t="s">
        <v>0</v>
      </c>
      <c r="C5" s="17" t="s">
        <v>0</v>
      </c>
      <c r="D5" s="17" t="s">
        <v>0</v>
      </c>
      <c r="E5" s="17" t="s">
        <v>0</v>
      </c>
      <c r="F5" s="18" t="s">
        <v>0</v>
      </c>
      <c r="G5" s="18" t="s">
        <v>0</v>
      </c>
      <c r="H5" s="18" t="s">
        <v>0</v>
      </c>
      <c r="I5" s="19" t="s">
        <v>0</v>
      </c>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row>
    <row r="6" spans="1:247" ht="13.9" customHeight="1" x14ac:dyDescent="0.2">
      <c r="A6" s="25" t="s">
        <v>65</v>
      </c>
      <c r="B6" s="17" t="s">
        <v>0</v>
      </c>
      <c r="C6" s="17" t="s">
        <v>0</v>
      </c>
      <c r="D6" s="17" t="s">
        <v>0</v>
      </c>
      <c r="E6" s="17" t="s">
        <v>0</v>
      </c>
      <c r="F6" s="18" t="s">
        <v>0</v>
      </c>
      <c r="G6" s="18" t="s">
        <v>0</v>
      </c>
      <c r="H6" s="18" t="s">
        <v>0</v>
      </c>
      <c r="I6" s="19" t="s">
        <v>0</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row>
    <row r="7" spans="1:247" ht="13.9" customHeight="1" x14ac:dyDescent="0.2">
      <c r="A7" s="25" t="s">
        <v>16</v>
      </c>
      <c r="B7" s="20"/>
      <c r="C7" s="20"/>
      <c r="D7" s="20"/>
      <c r="E7" s="20"/>
      <c r="F7" s="21"/>
      <c r="G7" s="21"/>
      <c r="H7" s="21"/>
      <c r="I7" s="22"/>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row>
    <row r="8" spans="1:247" ht="13.9" customHeight="1" x14ac:dyDescent="0.2">
      <c r="A8" s="25" t="s">
        <v>17</v>
      </c>
      <c r="B8" s="23">
        <v>1</v>
      </c>
      <c r="C8" s="17">
        <v>1</v>
      </c>
      <c r="D8" s="23">
        <f>B8*C8</f>
        <v>1</v>
      </c>
      <c r="E8" s="131">
        <f>E20</f>
        <v>116</v>
      </c>
      <c r="F8" s="188">
        <f>D8*E8</f>
        <v>116</v>
      </c>
      <c r="G8" s="188">
        <f>F8*0.05</f>
        <v>5.8000000000000007</v>
      </c>
      <c r="H8" s="188">
        <f>F8*0.1</f>
        <v>11.600000000000001</v>
      </c>
      <c r="I8" s="19">
        <f>F8*F$3+G8*G$3+H8*H$3</f>
        <v>13763.226000000001</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row>
    <row r="9" spans="1:247" ht="13.9" customHeight="1" x14ac:dyDescent="0.2">
      <c r="A9" s="25" t="s">
        <v>18</v>
      </c>
      <c r="B9" s="24"/>
      <c r="C9" s="95"/>
      <c r="D9" s="24"/>
      <c r="E9" s="24"/>
      <c r="F9" s="24"/>
      <c r="G9" s="24"/>
      <c r="H9" s="24"/>
      <c r="I9" s="112"/>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row>
    <row r="10" spans="1:247" ht="13.9" customHeight="1" x14ac:dyDescent="0.2">
      <c r="A10" s="25" t="s">
        <v>66</v>
      </c>
      <c r="B10" s="23">
        <v>24</v>
      </c>
      <c r="C10" s="96">
        <v>1</v>
      </c>
      <c r="D10" s="97">
        <f>B10*C10</f>
        <v>24</v>
      </c>
      <c r="E10" s="17">
        <v>0</v>
      </c>
      <c r="F10" s="26">
        <f>D10*E10</f>
        <v>0</v>
      </c>
      <c r="G10" s="26">
        <f>F10*0.05</f>
        <v>0</v>
      </c>
      <c r="H10" s="26">
        <f>F10*0.1</f>
        <v>0</v>
      </c>
      <c r="I10" s="90">
        <f>F10*F$3+G10*G$3+H10*H$3</f>
        <v>0</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row>
    <row r="11" spans="1:247" ht="13.9" customHeight="1" x14ac:dyDescent="0.2">
      <c r="A11" s="25" t="s">
        <v>70</v>
      </c>
      <c r="B11" s="28">
        <v>24</v>
      </c>
      <c r="C11" s="96">
        <v>1</v>
      </c>
      <c r="D11" s="98">
        <f>B11*C11</f>
        <v>24</v>
      </c>
      <c r="E11" s="29">
        <v>0</v>
      </c>
      <c r="F11" s="42">
        <f>D11*E11</f>
        <v>0</v>
      </c>
      <c r="G11" s="42">
        <f>F11*0.05</f>
        <v>0</v>
      </c>
      <c r="H11" s="42">
        <f>F11*0.1</f>
        <v>0</v>
      </c>
      <c r="I11" s="90">
        <f>F11*F$3+G11*G$3+H11*H$3</f>
        <v>0</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row>
    <row r="12" spans="1:247" ht="13.9" customHeight="1" x14ac:dyDescent="0.2">
      <c r="A12" s="25" t="s">
        <v>20</v>
      </c>
      <c r="B12" s="99" t="s">
        <v>33</v>
      </c>
      <c r="C12" s="100"/>
      <c r="D12" s="100"/>
      <c r="E12" s="100"/>
      <c r="F12" s="100"/>
      <c r="G12" s="100"/>
      <c r="H12" s="100"/>
      <c r="I12" s="113"/>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row>
    <row r="13" spans="1:247" ht="13.9" customHeight="1" x14ac:dyDescent="0.2">
      <c r="A13" s="25" t="s">
        <v>67</v>
      </c>
      <c r="B13" s="99" t="s">
        <v>34</v>
      </c>
      <c r="C13" s="100"/>
      <c r="D13" s="100"/>
      <c r="E13" s="100"/>
      <c r="F13" s="100"/>
      <c r="G13" s="100"/>
      <c r="H13" s="100"/>
      <c r="I13" s="91"/>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row>
    <row r="14" spans="1:247" ht="13.9" customHeight="1" x14ac:dyDescent="0.2">
      <c r="A14" s="25" t="s">
        <v>22</v>
      </c>
      <c r="B14" s="101"/>
      <c r="C14" s="102"/>
      <c r="D14" s="102"/>
      <c r="E14" s="102"/>
      <c r="F14" s="102"/>
      <c r="G14" s="102"/>
      <c r="H14" s="102"/>
      <c r="I14" s="114"/>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row>
    <row r="15" spans="1:247" ht="13.9" customHeight="1" x14ac:dyDescent="0.2">
      <c r="A15" s="168" t="s">
        <v>107</v>
      </c>
      <c r="B15" s="54">
        <v>2</v>
      </c>
      <c r="C15" s="96">
        <v>1</v>
      </c>
      <c r="D15" s="103">
        <f>B15*C15</f>
        <v>2</v>
      </c>
      <c r="E15" s="47">
        <v>0</v>
      </c>
      <c r="F15" s="46">
        <f>D15*E15</f>
        <v>0</v>
      </c>
      <c r="G15" s="46">
        <f>F15*0.05</f>
        <v>0</v>
      </c>
      <c r="H15" s="46">
        <f>F15*0.1</f>
        <v>0</v>
      </c>
      <c r="I15" s="90">
        <f t="shared" ref="I15:I18" si="0">F15*F$3+G15*G$3+H15*H$3</f>
        <v>0</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row>
    <row r="16" spans="1:247" ht="13.9" customHeight="1" x14ac:dyDescent="0.2">
      <c r="A16" s="168" t="s">
        <v>108</v>
      </c>
      <c r="B16" s="28">
        <v>2</v>
      </c>
      <c r="C16" s="52">
        <v>1</v>
      </c>
      <c r="D16" s="23">
        <f>B16*C16</f>
        <v>2</v>
      </c>
      <c r="E16" s="17">
        <v>0</v>
      </c>
      <c r="F16" s="18">
        <f>D16*E16</f>
        <v>0</v>
      </c>
      <c r="G16" s="18">
        <f>F16*0.05</f>
        <v>0</v>
      </c>
      <c r="H16" s="18">
        <f>F16*0.1</f>
        <v>0</v>
      </c>
      <c r="I16" s="90">
        <f t="shared" si="0"/>
        <v>0</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row>
    <row r="17" spans="1:247" ht="13.9" customHeight="1" x14ac:dyDescent="0.2">
      <c r="A17" s="168" t="s">
        <v>118</v>
      </c>
      <c r="B17" s="28">
        <v>2</v>
      </c>
      <c r="C17" s="17">
        <v>1</v>
      </c>
      <c r="D17" s="23">
        <f>B17*C17</f>
        <v>2</v>
      </c>
      <c r="E17" s="17">
        <v>0</v>
      </c>
      <c r="F17" s="18">
        <f>D17*E17</f>
        <v>0</v>
      </c>
      <c r="G17" s="18">
        <f>F17*0.05</f>
        <v>0</v>
      </c>
      <c r="H17" s="18">
        <f>F17*0.1</f>
        <v>0</v>
      </c>
      <c r="I17" s="90">
        <f t="shared" si="0"/>
        <v>0</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row>
    <row r="18" spans="1:247" ht="13.9" customHeight="1" x14ac:dyDescent="0.2">
      <c r="A18" s="25" t="s">
        <v>110</v>
      </c>
      <c r="B18" s="28">
        <v>2</v>
      </c>
      <c r="C18" s="29">
        <v>1</v>
      </c>
      <c r="D18" s="28">
        <f t="shared" ref="D18" si="1">B18*C18</f>
        <v>2</v>
      </c>
      <c r="E18" s="29">
        <v>0</v>
      </c>
      <c r="F18" s="30">
        <f t="shared" ref="F18" si="2">D18*E18</f>
        <v>0</v>
      </c>
      <c r="G18" s="30">
        <f t="shared" ref="G18" si="3">F18*0.05</f>
        <v>0</v>
      </c>
      <c r="H18" s="30">
        <f t="shared" ref="H18" si="4">F18*0.1</f>
        <v>0</v>
      </c>
      <c r="I18" s="90">
        <f t="shared" si="0"/>
        <v>0</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row>
    <row r="19" spans="1:247" ht="13.9" customHeight="1" x14ac:dyDescent="0.2">
      <c r="A19" s="168" t="s">
        <v>23</v>
      </c>
      <c r="B19" s="104" t="s">
        <v>33</v>
      </c>
      <c r="C19" s="100"/>
      <c r="D19" s="100"/>
      <c r="E19" s="100"/>
      <c r="F19" s="100"/>
      <c r="G19" s="100"/>
      <c r="H19" s="100"/>
      <c r="I19" s="41"/>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row>
    <row r="20" spans="1:247" ht="17.25" customHeight="1" x14ac:dyDescent="0.2">
      <c r="A20" s="168" t="s">
        <v>119</v>
      </c>
      <c r="B20" s="105">
        <v>30</v>
      </c>
      <c r="C20" s="106">
        <v>2</v>
      </c>
      <c r="D20" s="105">
        <f>B20*C20</f>
        <v>60</v>
      </c>
      <c r="E20" s="106">
        <v>116</v>
      </c>
      <c r="F20" s="197">
        <f>D20*E20</f>
        <v>6960</v>
      </c>
      <c r="G20" s="48">
        <f>F20*0.05</f>
        <v>348</v>
      </c>
      <c r="H20" s="48">
        <f>F20*0.1</f>
        <v>696</v>
      </c>
      <c r="I20" s="19">
        <f>F20*F$3+G20*G$3+H20*H$3</f>
        <v>825793.56</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row>
    <row r="21" spans="1:247" ht="13.9" customHeight="1" x14ac:dyDescent="0.2">
      <c r="A21" s="169" t="s">
        <v>24</v>
      </c>
      <c r="B21" s="53"/>
      <c r="C21" s="53"/>
      <c r="D21" s="53"/>
      <c r="E21" s="53"/>
      <c r="F21" s="205">
        <f>SUM(F8:H20)</f>
        <v>8137.4</v>
      </c>
      <c r="G21" s="206"/>
      <c r="H21" s="207"/>
      <c r="I21" s="31">
        <f>SUM(I15:I20,I7:I11)</f>
        <v>839556.78600000008</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row>
    <row r="22" spans="1:247" ht="13.5" customHeight="1" x14ac:dyDescent="0.2">
      <c r="A22" s="25" t="s">
        <v>25</v>
      </c>
      <c r="B22" s="44"/>
      <c r="C22" s="44"/>
      <c r="D22" s="44"/>
      <c r="E22" s="44"/>
      <c r="F22" s="45"/>
      <c r="G22" s="45"/>
      <c r="H22" s="45"/>
      <c r="I22" s="22"/>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row>
    <row r="23" spans="1:247" ht="13.9" customHeight="1" x14ac:dyDescent="0.2">
      <c r="A23" s="168" t="s">
        <v>17</v>
      </c>
      <c r="B23" s="104" t="s">
        <v>35</v>
      </c>
      <c r="C23" s="100"/>
      <c r="D23" s="100"/>
      <c r="E23" s="100"/>
      <c r="F23" s="100"/>
      <c r="G23" s="100"/>
      <c r="H23" s="100"/>
      <c r="I23" s="43"/>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row>
    <row r="24" spans="1:247" ht="13.9" customHeight="1" x14ac:dyDescent="0.2">
      <c r="A24" s="25" t="s">
        <v>26</v>
      </c>
      <c r="B24" s="104" t="s">
        <v>33</v>
      </c>
      <c r="C24" s="100"/>
      <c r="D24" s="100"/>
      <c r="E24" s="100"/>
      <c r="F24" s="100"/>
      <c r="G24" s="100"/>
      <c r="H24" s="100"/>
      <c r="I24" s="43"/>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row>
    <row r="25" spans="1:247" ht="13.9" customHeight="1" x14ac:dyDescent="0.2">
      <c r="A25" s="25" t="s">
        <v>27</v>
      </c>
      <c r="B25" s="104" t="s">
        <v>33</v>
      </c>
      <c r="C25" s="100"/>
      <c r="D25" s="100"/>
      <c r="E25" s="100"/>
      <c r="F25" s="100"/>
      <c r="G25" s="100"/>
      <c r="H25" s="100"/>
      <c r="I25" s="43"/>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row>
    <row r="26" spans="1:247" ht="13.9" customHeight="1" x14ac:dyDescent="0.2">
      <c r="A26" s="25" t="s">
        <v>28</v>
      </c>
      <c r="B26" s="96" t="s">
        <v>0</v>
      </c>
      <c r="C26" s="96" t="s">
        <v>0</v>
      </c>
      <c r="D26" s="96" t="s">
        <v>0</v>
      </c>
      <c r="E26" s="96" t="s">
        <v>0</v>
      </c>
      <c r="F26" s="96" t="s">
        <v>0</v>
      </c>
      <c r="G26" s="96" t="s">
        <v>0</v>
      </c>
      <c r="H26" s="96" t="s">
        <v>0</v>
      </c>
      <c r="I26" s="49" t="s">
        <v>0</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row>
    <row r="27" spans="1:247" ht="13.9" customHeight="1" x14ac:dyDescent="0.2">
      <c r="A27" s="170" t="s">
        <v>29</v>
      </c>
      <c r="B27" s="50"/>
      <c r="C27" s="50"/>
      <c r="D27" s="50"/>
      <c r="E27" s="50"/>
      <c r="F27" s="51"/>
      <c r="G27" s="51"/>
      <c r="H27" s="51"/>
      <c r="I27" s="22"/>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row>
    <row r="28" spans="1:247" ht="15.75" x14ac:dyDescent="0.2">
      <c r="A28" s="25" t="s">
        <v>120</v>
      </c>
      <c r="B28" s="192">
        <v>2.5</v>
      </c>
      <c r="C28" s="23">
        <v>365</v>
      </c>
      <c r="D28" s="111">
        <f>C28*B28</f>
        <v>912.5</v>
      </c>
      <c r="E28" s="23">
        <v>116</v>
      </c>
      <c r="F28" s="198">
        <f>D28*E28</f>
        <v>105850</v>
      </c>
      <c r="G28" s="199">
        <f>F28*0.05</f>
        <v>5292.5</v>
      </c>
      <c r="H28" s="200">
        <f>F28*0.1</f>
        <v>10585</v>
      </c>
      <c r="I28" s="19">
        <f>F28*F$3+G28*G$3+H28*H$3</f>
        <v>12558943.725</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row>
    <row r="29" spans="1:247" ht="13.9" customHeight="1" x14ac:dyDescent="0.2">
      <c r="A29" s="25"/>
      <c r="B29" s="30" t="s">
        <v>0</v>
      </c>
      <c r="C29" s="29" t="s">
        <v>0</v>
      </c>
      <c r="D29" s="29" t="s">
        <v>0</v>
      </c>
      <c r="E29" s="29" t="s">
        <v>0</v>
      </c>
      <c r="F29" s="30" t="s">
        <v>0</v>
      </c>
      <c r="G29" s="18" t="s">
        <v>0</v>
      </c>
      <c r="H29" s="18" t="s">
        <v>0</v>
      </c>
      <c r="I29" s="19" t="s">
        <v>0</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row>
    <row r="30" spans="1:247" ht="13.9" customHeight="1" x14ac:dyDescent="0.2">
      <c r="A30" s="171" t="s">
        <v>31</v>
      </c>
      <c r="B30" s="30" t="s">
        <v>0</v>
      </c>
      <c r="C30" s="29" t="s">
        <v>0</v>
      </c>
      <c r="D30" s="29" t="s">
        <v>0</v>
      </c>
      <c r="E30" s="29" t="s">
        <v>0</v>
      </c>
      <c r="F30" s="30" t="s">
        <v>0</v>
      </c>
      <c r="G30" s="18" t="s">
        <v>0</v>
      </c>
      <c r="H30" s="18" t="s">
        <v>0</v>
      </c>
      <c r="I30" s="19" t="s">
        <v>0</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row>
    <row r="31" spans="1:247" ht="13.9" customHeight="1" x14ac:dyDescent="0.25">
      <c r="A31" s="172" t="s">
        <v>32</v>
      </c>
      <c r="B31" s="26"/>
      <c r="C31" s="26"/>
      <c r="D31" s="26"/>
      <c r="E31" s="27"/>
      <c r="F31" s="205">
        <f>SUM(F22:H30)</f>
        <v>121727.5</v>
      </c>
      <c r="G31" s="206"/>
      <c r="H31" s="207"/>
      <c r="I31" s="62">
        <f>SUM(I24:I30)</f>
        <v>12558943.725</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row>
    <row r="32" spans="1:247" ht="30" customHeight="1" x14ac:dyDescent="0.2">
      <c r="A32" s="173" t="s">
        <v>68</v>
      </c>
      <c r="B32" s="120"/>
      <c r="C32" s="64"/>
      <c r="D32" s="65"/>
      <c r="E32" s="66"/>
      <c r="F32" s="208">
        <f>ROUND(SUM(F31,F21),-3)</f>
        <v>130000</v>
      </c>
      <c r="G32" s="209"/>
      <c r="H32" s="210"/>
      <c r="I32" s="107">
        <f>ROUND(I31+I21,-4)</f>
        <v>13400000</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row>
    <row r="33" spans="1:247" ht="30" customHeight="1" x14ac:dyDescent="0.2">
      <c r="A33" s="174" t="s">
        <v>36</v>
      </c>
      <c r="B33" s="121"/>
      <c r="C33" s="108"/>
      <c r="D33" s="108"/>
      <c r="E33" s="108"/>
      <c r="F33" s="109"/>
      <c r="G33" s="110"/>
      <c r="H33" s="108"/>
      <c r="I33" s="123">
        <v>0</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row>
    <row r="34" spans="1:247" ht="16.5" x14ac:dyDescent="0.25">
      <c r="A34" s="175" t="s">
        <v>69</v>
      </c>
      <c r="B34" s="122"/>
      <c r="C34" s="115"/>
      <c r="D34" s="115"/>
      <c r="E34" s="116"/>
      <c r="F34" s="211">
        <f>F32</f>
        <v>130000</v>
      </c>
      <c r="G34" s="212"/>
      <c r="H34" s="213"/>
      <c r="I34" s="117">
        <f>SUM(I32:I33)</f>
        <v>13400000</v>
      </c>
      <c r="J34" s="3"/>
      <c r="K34" s="151"/>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row>
    <row r="35" spans="1:247" ht="31.5" customHeight="1" x14ac:dyDescent="0.2">
      <c r="A35" s="204"/>
      <c r="B35" s="204"/>
      <c r="C35" s="204"/>
      <c r="D35" s="204"/>
      <c r="E35" s="204"/>
      <c r="F35" s="204"/>
      <c r="G35" s="204"/>
      <c r="H35" s="204"/>
      <c r="I35" s="204"/>
    </row>
    <row r="36" spans="1:247" ht="15.75" x14ac:dyDescent="0.25">
      <c r="A36" s="118" t="s">
        <v>1</v>
      </c>
      <c r="B36" s="92"/>
      <c r="C36" s="92"/>
      <c r="D36" s="92"/>
      <c r="E36" s="92"/>
      <c r="F36" s="92"/>
      <c r="H36" s="93"/>
      <c r="I36" s="60"/>
      <c r="J36" s="92"/>
      <c r="K36" s="92"/>
      <c r="L36" s="92"/>
    </row>
    <row r="37" spans="1:247" ht="29.25" customHeight="1" x14ac:dyDescent="0.2">
      <c r="A37" s="202" t="s">
        <v>125</v>
      </c>
      <c r="B37" s="202"/>
      <c r="C37" s="202"/>
      <c r="D37" s="202"/>
      <c r="E37" s="202"/>
      <c r="F37" s="202"/>
      <c r="G37" s="202"/>
      <c r="H37" s="202"/>
      <c r="I37" s="202"/>
      <c r="J37" s="167"/>
      <c r="K37" s="167"/>
      <c r="L37" s="167"/>
    </row>
    <row r="38" spans="1:247" ht="40.5" customHeight="1" x14ac:dyDescent="0.2">
      <c r="A38" s="214" t="s">
        <v>116</v>
      </c>
      <c r="B38" s="214"/>
      <c r="C38" s="214"/>
      <c r="D38" s="214"/>
      <c r="E38" s="214"/>
      <c r="F38" s="214"/>
      <c r="G38" s="214"/>
      <c r="H38" s="214"/>
      <c r="I38" s="214"/>
      <c r="J38" s="119"/>
      <c r="K38" s="119"/>
      <c r="L38" s="119"/>
    </row>
    <row r="39" spans="1:247" ht="15.75" x14ac:dyDescent="0.25">
      <c r="A39" s="215" t="s">
        <v>71</v>
      </c>
      <c r="B39" s="215"/>
      <c r="C39" s="215"/>
      <c r="D39" s="215"/>
      <c r="E39" s="215"/>
      <c r="F39" s="215"/>
      <c r="G39" s="215"/>
      <c r="H39" s="215"/>
      <c r="I39" s="215"/>
      <c r="J39" s="60"/>
      <c r="K39" s="60"/>
      <c r="L39" s="60"/>
    </row>
    <row r="40" spans="1:247" ht="15.75" x14ac:dyDescent="0.25">
      <c r="A40" s="203" t="s">
        <v>121</v>
      </c>
      <c r="B40" s="203"/>
      <c r="C40" s="203"/>
      <c r="D40" s="203"/>
      <c r="E40" s="203"/>
      <c r="F40" s="203"/>
      <c r="G40" s="203"/>
      <c r="H40" s="203"/>
      <c r="I40" s="203"/>
      <c r="J40" s="60"/>
      <c r="K40" s="60"/>
      <c r="L40" s="60"/>
    </row>
    <row r="41" spans="1:247" ht="30.75" customHeight="1" x14ac:dyDescent="0.25">
      <c r="A41" s="202" t="s">
        <v>124</v>
      </c>
      <c r="B41" s="202"/>
      <c r="C41" s="202"/>
      <c r="D41" s="202"/>
      <c r="E41" s="202"/>
      <c r="F41" s="202"/>
      <c r="G41" s="202"/>
      <c r="H41" s="202"/>
      <c r="I41" s="202"/>
      <c r="J41" s="60"/>
      <c r="K41" s="60"/>
      <c r="L41" s="60"/>
    </row>
    <row r="42" spans="1:247" ht="29.25" customHeight="1" x14ac:dyDescent="0.25">
      <c r="A42" s="202" t="s">
        <v>123</v>
      </c>
      <c r="B42" s="202"/>
      <c r="C42" s="202"/>
      <c r="D42" s="202"/>
      <c r="E42" s="202"/>
      <c r="F42" s="202"/>
      <c r="G42" s="202"/>
      <c r="H42" s="202"/>
      <c r="I42" s="202"/>
      <c r="J42" s="60"/>
      <c r="K42" s="60"/>
      <c r="L42" s="60"/>
    </row>
    <row r="43" spans="1:247" ht="57" customHeight="1" x14ac:dyDescent="0.25">
      <c r="A43" s="202" t="s">
        <v>126</v>
      </c>
      <c r="B43" s="202"/>
      <c r="C43" s="202"/>
      <c r="D43" s="202"/>
      <c r="E43" s="202"/>
      <c r="F43" s="202"/>
      <c r="G43" s="202"/>
      <c r="H43" s="202"/>
      <c r="I43" s="202"/>
      <c r="J43" s="60"/>
      <c r="K43" s="60"/>
      <c r="L43" s="60"/>
    </row>
    <row r="44" spans="1:247" ht="15.75" customHeight="1" x14ac:dyDescent="0.2">
      <c r="A44" s="203" t="s">
        <v>117</v>
      </c>
      <c r="B44" s="203"/>
      <c r="C44" s="203"/>
      <c r="D44" s="203"/>
      <c r="E44" s="203"/>
      <c r="F44" s="203"/>
      <c r="G44" s="203"/>
      <c r="H44" s="203"/>
      <c r="I44" s="203"/>
      <c r="J44" s="167"/>
      <c r="K44" s="167"/>
      <c r="L44" s="167"/>
    </row>
    <row r="45" spans="1:247" ht="42" customHeight="1" x14ac:dyDescent="0.2">
      <c r="A45" s="4"/>
      <c r="B45" s="4"/>
      <c r="C45" s="4"/>
      <c r="D45" s="4"/>
      <c r="E45" s="4"/>
      <c r="F45" s="4"/>
      <c r="G45" s="4"/>
      <c r="H45" s="4"/>
      <c r="I45" s="4"/>
      <c r="J45" s="167"/>
      <c r="K45" s="167"/>
      <c r="L45" s="167"/>
    </row>
    <row r="46" spans="1:247" ht="15.75" customHeight="1" x14ac:dyDescent="0.2">
      <c r="A46" s="4"/>
      <c r="B46" s="4"/>
      <c r="C46" s="4"/>
      <c r="D46" s="4"/>
      <c r="E46" s="4"/>
      <c r="F46" s="4"/>
      <c r="G46" s="4"/>
      <c r="H46" s="4"/>
      <c r="I46" s="4"/>
      <c r="J46" s="167"/>
      <c r="K46" s="167"/>
      <c r="L46" s="167"/>
    </row>
    <row r="47" spans="1:247" ht="30" customHeight="1" x14ac:dyDescent="0.2">
      <c r="A47" s="4"/>
      <c r="B47" s="4"/>
      <c r="C47" s="4"/>
      <c r="D47" s="4"/>
      <c r="E47" s="4"/>
      <c r="F47" s="4"/>
      <c r="G47" s="4"/>
      <c r="H47" s="4"/>
      <c r="I47" s="4"/>
      <c r="J47" s="119"/>
      <c r="K47" s="119"/>
      <c r="L47" s="119"/>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row>
    <row r="48" spans="1:247" x14ac:dyDescent="0.2">
      <c r="A48" s="4"/>
      <c r="B48" s="4"/>
      <c r="C48" s="4"/>
      <c r="D48" s="4"/>
      <c r="E48" s="4"/>
      <c r="F48" s="4"/>
      <c r="G48" s="4"/>
      <c r="H48" s="4"/>
      <c r="I48" s="4"/>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row>
    <row r="49" spans="1:247" x14ac:dyDescent="0.2">
      <c r="A49" s="4"/>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row>
    <row r="50" spans="1:247" x14ac:dyDescent="0.2">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row>
    <row r="51" spans="1:247" ht="13.9" customHeight="1" x14ac:dyDescent="0.2">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row>
    <row r="52" spans="1:247" ht="13.9" customHeight="1" x14ac:dyDescent="0.2">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row>
    <row r="53" spans="1:247" ht="13.9" customHeight="1" x14ac:dyDescent="0.2">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row>
    <row r="54" spans="1:247" ht="13.9" customHeight="1" x14ac:dyDescent="0.2">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row>
    <row r="55" spans="1:247" ht="13.9" customHeight="1" x14ac:dyDescent="0.2">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row>
    <row r="56" spans="1:247" ht="13.9" customHeight="1" x14ac:dyDescent="0.2">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row>
    <row r="57" spans="1:247" ht="13.9" customHeight="1" x14ac:dyDescent="0.2">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row>
    <row r="58" spans="1:247" ht="13.9" customHeight="1" x14ac:dyDescent="0.2">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row>
    <row r="59" spans="1:247" ht="13.9" customHeight="1" x14ac:dyDescent="0.2">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row>
    <row r="60" spans="1:247" ht="13.9" customHeight="1" x14ac:dyDescent="0.2">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row>
    <row r="61" spans="1:247" ht="13.9" customHeight="1" x14ac:dyDescent="0.2">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row>
    <row r="62" spans="1:247" ht="13.9" customHeight="1" x14ac:dyDescent="0.2">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row>
    <row r="63" spans="1:247" ht="13.9" customHeight="1" x14ac:dyDescent="0.2">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row>
    <row r="64" spans="1:247" ht="13.9" customHeight="1" x14ac:dyDescent="0.2">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row>
    <row r="65" spans="10:247" ht="13.9" customHeight="1" x14ac:dyDescent="0.2">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row>
    <row r="66" spans="10:247" ht="13.9" customHeight="1" x14ac:dyDescent="0.2">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row>
    <row r="67" spans="10:247" ht="13.9" customHeight="1" x14ac:dyDescent="0.2">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row>
    <row r="68" spans="10:247" ht="13.9" customHeight="1" x14ac:dyDescent="0.2">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row>
    <row r="69" spans="10:247" ht="13.5" customHeight="1" x14ac:dyDescent="0.2">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row>
    <row r="70" spans="10:247" ht="13.9" customHeight="1" x14ac:dyDescent="0.2">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row>
    <row r="71" spans="10:247" ht="13.9" customHeight="1" x14ac:dyDescent="0.2">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row>
    <row r="72" spans="10:247" ht="13.9" customHeight="1" x14ac:dyDescent="0.2">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row>
    <row r="73" spans="10:247" ht="13.9" customHeight="1" x14ac:dyDescent="0.2">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row>
    <row r="74" spans="10:247" ht="13.9" customHeight="1" x14ac:dyDescent="0.2">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row>
    <row r="75" spans="10:247" x14ac:dyDescent="0.2">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row>
    <row r="76" spans="10:247" x14ac:dyDescent="0.2">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row>
    <row r="77" spans="10:247" ht="13.9" customHeight="1" x14ac:dyDescent="0.2">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row>
    <row r="78" spans="10:247" ht="13.9" customHeight="1" x14ac:dyDescent="0.2">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row>
    <row r="79" spans="10:247" ht="13.9" customHeight="1" x14ac:dyDescent="0.2">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row>
    <row r="80" spans="10:247" ht="13.9" customHeight="1" x14ac:dyDescent="0.2">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row>
    <row r="81" spans="10:247" ht="13.9" customHeight="1" x14ac:dyDescent="0.2">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row>
    <row r="82" spans="10:247" ht="13.5" customHeight="1" x14ac:dyDescent="0.2">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row>
    <row r="84" spans="10:247" x14ac:dyDescent="0.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row>
    <row r="87" spans="10:247" ht="114" customHeight="1" x14ac:dyDescent="0.2"/>
    <row r="88" spans="10:247" ht="30.75" customHeight="1" x14ac:dyDescent="0.2"/>
    <row r="89" spans="10:247" ht="30.75" customHeight="1" x14ac:dyDescent="0.2"/>
  </sheetData>
  <mergeCells count="13">
    <mergeCell ref="A41:I41"/>
    <mergeCell ref="A44:I44"/>
    <mergeCell ref="A35:I35"/>
    <mergeCell ref="F21:H21"/>
    <mergeCell ref="F31:H31"/>
    <mergeCell ref="F32:H32"/>
    <mergeCell ref="F34:H34"/>
    <mergeCell ref="A38:I38"/>
    <mergeCell ref="A37:I37"/>
    <mergeCell ref="A42:I42"/>
    <mergeCell ref="A43:I43"/>
    <mergeCell ref="A40:I40"/>
    <mergeCell ref="A39:I39"/>
  </mergeCells>
  <phoneticPr fontId="0" type="noConversion"/>
  <printOptions horizontalCentered="1"/>
  <pageMargins left="0.25" right="0.25" top="0.59" bottom="0.48" header="0.7" footer="0.63"/>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19" workbookViewId="0">
      <selection activeCell="B29" sqref="B29"/>
    </sheetView>
  </sheetViews>
  <sheetFormatPr defaultRowHeight="15" x14ac:dyDescent="0.2"/>
  <cols>
    <col min="1" max="1" width="28.6640625" customWidth="1"/>
  </cols>
  <sheetData>
    <row r="1" spans="1:12" ht="18.75" x14ac:dyDescent="0.25">
      <c r="A1" s="14" t="s">
        <v>84</v>
      </c>
      <c r="B1" s="1"/>
      <c r="C1" s="1"/>
      <c r="D1" s="1"/>
      <c r="E1" s="2"/>
      <c r="F1" s="1"/>
      <c r="G1" s="1"/>
      <c r="H1" s="1"/>
      <c r="I1" s="1"/>
    </row>
    <row r="2" spans="1:12" x14ac:dyDescent="0.2">
      <c r="A2" s="9"/>
      <c r="B2" s="11"/>
      <c r="C2" s="9"/>
      <c r="D2" s="9"/>
      <c r="E2" s="9"/>
      <c r="F2" s="12">
        <v>106.45</v>
      </c>
      <c r="G2" s="9">
        <v>138.43</v>
      </c>
      <c r="H2" s="8">
        <v>52.77</v>
      </c>
    </row>
    <row r="3" spans="1:12" x14ac:dyDescent="0.2">
      <c r="A3" s="9"/>
      <c r="B3" s="11"/>
      <c r="C3" s="9"/>
      <c r="D3" s="9"/>
      <c r="E3" s="9"/>
      <c r="F3" s="12"/>
      <c r="G3" s="9"/>
      <c r="H3" s="8"/>
    </row>
    <row r="4" spans="1:12" ht="76.5" x14ac:dyDescent="0.2">
      <c r="A4" s="176" t="s">
        <v>11</v>
      </c>
      <c r="B4" s="33" t="s">
        <v>92</v>
      </c>
      <c r="C4" s="33" t="s">
        <v>93</v>
      </c>
      <c r="D4" s="33" t="s">
        <v>2</v>
      </c>
      <c r="E4" s="33" t="s">
        <v>102</v>
      </c>
      <c r="F4" s="34" t="s">
        <v>12</v>
      </c>
      <c r="G4" s="34" t="s">
        <v>13</v>
      </c>
      <c r="H4" s="34" t="s">
        <v>14</v>
      </c>
      <c r="I4" s="34" t="s">
        <v>73</v>
      </c>
    </row>
    <row r="5" spans="1:12" x14ac:dyDescent="0.2">
      <c r="A5" s="25" t="s">
        <v>10</v>
      </c>
      <c r="B5" s="17" t="s">
        <v>0</v>
      </c>
      <c r="C5" s="17" t="s">
        <v>0</v>
      </c>
      <c r="D5" s="17" t="s">
        <v>0</v>
      </c>
      <c r="E5" s="17" t="s">
        <v>0</v>
      </c>
      <c r="F5" s="18" t="s">
        <v>0</v>
      </c>
      <c r="G5" s="18" t="s">
        <v>0</v>
      </c>
      <c r="H5" s="18" t="s">
        <v>0</v>
      </c>
      <c r="I5" s="19" t="s">
        <v>0</v>
      </c>
      <c r="K5" s="35"/>
      <c r="L5" s="36"/>
    </row>
    <row r="6" spans="1:12" x14ac:dyDescent="0.2">
      <c r="A6" s="25" t="s">
        <v>15</v>
      </c>
      <c r="B6" s="17" t="s">
        <v>0</v>
      </c>
      <c r="C6" s="17" t="s">
        <v>0</v>
      </c>
      <c r="D6" s="17" t="s">
        <v>0</v>
      </c>
      <c r="E6" s="17" t="s">
        <v>0</v>
      </c>
      <c r="F6" s="18" t="s">
        <v>0</v>
      </c>
      <c r="G6" s="18" t="s">
        <v>0</v>
      </c>
      <c r="H6" s="18" t="s">
        <v>0</v>
      </c>
      <c r="I6" s="19" t="s">
        <v>0</v>
      </c>
      <c r="K6" s="35"/>
      <c r="L6" s="36"/>
    </row>
    <row r="7" spans="1:12" x14ac:dyDescent="0.2">
      <c r="A7" s="25" t="s">
        <v>16</v>
      </c>
      <c r="B7" s="20"/>
      <c r="C7" s="20"/>
      <c r="D7" s="20"/>
      <c r="E7" s="20"/>
      <c r="F7" s="21"/>
      <c r="G7" s="21"/>
      <c r="H7" s="21"/>
      <c r="I7" s="22"/>
      <c r="K7" s="36"/>
      <c r="L7" s="36"/>
    </row>
    <row r="8" spans="1:12" ht="25.5" x14ac:dyDescent="0.2">
      <c r="A8" s="25" t="s">
        <v>17</v>
      </c>
      <c r="B8" s="23">
        <v>1</v>
      </c>
      <c r="C8" s="17">
        <v>1</v>
      </c>
      <c r="D8" s="23">
        <f>B8*C8</f>
        <v>1</v>
      </c>
      <c r="E8" s="131">
        <f>E20</f>
        <v>34.5</v>
      </c>
      <c r="F8" s="188">
        <f>D8*E8</f>
        <v>34.5</v>
      </c>
      <c r="G8" s="196">
        <f>F8*0.05</f>
        <v>1.7250000000000001</v>
      </c>
      <c r="H8" s="188">
        <f>F8*0.1</f>
        <v>3.45</v>
      </c>
      <c r="I8" s="129">
        <f>F8*$F$2+G8*$G$2+H8*$H$2</f>
        <v>4093.3732500000001</v>
      </c>
      <c r="K8" s="37"/>
      <c r="L8" s="36"/>
    </row>
    <row r="9" spans="1:12" x14ac:dyDescent="0.2">
      <c r="A9" s="25" t="s">
        <v>18</v>
      </c>
      <c r="B9" s="154"/>
      <c r="C9" s="154"/>
      <c r="D9" s="154"/>
      <c r="E9" s="154"/>
      <c r="F9" s="154"/>
      <c r="G9" s="154"/>
      <c r="H9" s="154"/>
      <c r="I9" s="129"/>
      <c r="K9" s="38"/>
      <c r="L9" s="36"/>
    </row>
    <row r="10" spans="1:12" x14ac:dyDescent="0.2">
      <c r="A10" s="25" t="s">
        <v>19</v>
      </c>
      <c r="B10" s="23">
        <v>24</v>
      </c>
      <c r="C10" s="17">
        <v>1</v>
      </c>
      <c r="D10" s="23">
        <f>B10*C10</f>
        <v>24</v>
      </c>
      <c r="E10" s="17">
        <v>0</v>
      </c>
      <c r="F10" s="26">
        <f>D10*E10</f>
        <v>0</v>
      </c>
      <c r="G10" s="26">
        <f>F10*0.05</f>
        <v>0</v>
      </c>
      <c r="H10" s="26">
        <f>F10*0.1</f>
        <v>0</v>
      </c>
      <c r="I10" s="141">
        <f t="shared" ref="I10:I21" si="0">F10*$F$2+G10*$G$2+H10*$H$2</f>
        <v>0</v>
      </c>
      <c r="K10" s="36"/>
      <c r="L10" s="39"/>
    </row>
    <row r="11" spans="1:12" ht="15.75" x14ac:dyDescent="0.2">
      <c r="A11" s="25" t="s">
        <v>72</v>
      </c>
      <c r="B11" s="28">
        <v>24</v>
      </c>
      <c r="C11" s="29">
        <v>1</v>
      </c>
      <c r="D11" s="28">
        <f>B11*C11</f>
        <v>24</v>
      </c>
      <c r="E11" s="29">
        <v>0</v>
      </c>
      <c r="F11" s="42">
        <f>D11*E11</f>
        <v>0</v>
      </c>
      <c r="G11" s="42">
        <f>F11*0.05</f>
        <v>0</v>
      </c>
      <c r="H11" s="42">
        <f>F11*0.1</f>
        <v>0</v>
      </c>
      <c r="I11" s="141">
        <f t="shared" si="0"/>
        <v>0</v>
      </c>
      <c r="K11" s="36"/>
      <c r="L11" s="39"/>
    </row>
    <row r="12" spans="1:12" x14ac:dyDescent="0.2">
      <c r="A12" s="25" t="s">
        <v>20</v>
      </c>
      <c r="B12" s="55" t="s">
        <v>33</v>
      </c>
      <c r="C12" s="59"/>
      <c r="D12" s="59"/>
      <c r="E12" s="59"/>
      <c r="F12" s="59"/>
      <c r="G12" s="59"/>
      <c r="H12" s="59"/>
      <c r="I12" s="141"/>
      <c r="K12" s="38"/>
      <c r="L12" s="36"/>
    </row>
    <row r="13" spans="1:12" x14ac:dyDescent="0.2">
      <c r="A13" s="25" t="s">
        <v>21</v>
      </c>
      <c r="B13" s="55" t="s">
        <v>34</v>
      </c>
      <c r="C13" s="59"/>
      <c r="D13" s="59"/>
      <c r="E13" s="59"/>
      <c r="F13" s="59"/>
      <c r="G13" s="59"/>
      <c r="H13" s="59"/>
      <c r="I13" s="141"/>
      <c r="K13" s="38"/>
      <c r="L13" s="36"/>
    </row>
    <row r="14" spans="1:12" x14ac:dyDescent="0.2">
      <c r="A14" s="25" t="s">
        <v>22</v>
      </c>
      <c r="B14" s="50"/>
      <c r="C14" s="50"/>
      <c r="D14" s="50"/>
      <c r="E14" s="50"/>
      <c r="F14" s="51"/>
      <c r="G14" s="51"/>
      <c r="H14" s="51"/>
      <c r="I14" s="141"/>
      <c r="K14" s="38"/>
      <c r="L14" s="36"/>
    </row>
    <row r="15" spans="1:12" ht="28.5" x14ac:dyDescent="0.2">
      <c r="A15" s="168" t="s">
        <v>107</v>
      </c>
      <c r="B15" s="28">
        <v>2</v>
      </c>
      <c r="C15" s="29">
        <v>1</v>
      </c>
      <c r="D15" s="28">
        <f>B15*C15</f>
        <v>2</v>
      </c>
      <c r="E15" s="29">
        <v>0</v>
      </c>
      <c r="F15" s="30">
        <f>D15*E15</f>
        <v>0</v>
      </c>
      <c r="G15" s="30">
        <f>F15*0.05</f>
        <v>0</v>
      </c>
      <c r="H15" s="30">
        <f>F15*0.1</f>
        <v>0</v>
      </c>
      <c r="I15" s="141">
        <f t="shared" si="0"/>
        <v>0</v>
      </c>
      <c r="K15" s="36"/>
      <c r="L15" s="38"/>
    </row>
    <row r="16" spans="1:12" ht="15.75" x14ac:dyDescent="0.2">
      <c r="A16" s="168" t="s">
        <v>108</v>
      </c>
      <c r="B16" s="28">
        <v>2</v>
      </c>
      <c r="C16" s="17">
        <v>1</v>
      </c>
      <c r="D16" s="23">
        <f>B16*C16</f>
        <v>2</v>
      </c>
      <c r="E16" s="17">
        <v>0</v>
      </c>
      <c r="F16" s="18">
        <f>D16*E16</f>
        <v>0</v>
      </c>
      <c r="G16" s="18">
        <f>F16*0.05</f>
        <v>0</v>
      </c>
      <c r="H16" s="18">
        <f>F16*0.1</f>
        <v>0</v>
      </c>
      <c r="I16" s="141">
        <f t="shared" si="0"/>
        <v>0</v>
      </c>
      <c r="K16" s="36"/>
      <c r="L16" s="38"/>
    </row>
    <row r="17" spans="1:12" ht="15.75" x14ac:dyDescent="0.2">
      <c r="A17" s="168" t="s">
        <v>109</v>
      </c>
      <c r="B17" s="28">
        <v>2</v>
      </c>
      <c r="C17" s="17">
        <v>1</v>
      </c>
      <c r="D17" s="23">
        <f>B17*C17</f>
        <v>2</v>
      </c>
      <c r="E17" s="17">
        <v>0</v>
      </c>
      <c r="F17" s="18">
        <f>D17*E17</f>
        <v>0</v>
      </c>
      <c r="G17" s="18">
        <f>F17*0.05</f>
        <v>0</v>
      </c>
      <c r="H17" s="18">
        <f>F17*0.1</f>
        <v>0</v>
      </c>
      <c r="I17" s="141">
        <f t="shared" si="0"/>
        <v>0</v>
      </c>
      <c r="K17" s="36"/>
      <c r="L17" s="38"/>
    </row>
    <row r="18" spans="1:12" ht="15.75" x14ac:dyDescent="0.2">
      <c r="A18" s="25" t="s">
        <v>110</v>
      </c>
      <c r="B18" s="28">
        <v>2</v>
      </c>
      <c r="C18" s="29">
        <v>1</v>
      </c>
      <c r="D18" s="28">
        <f>B18*C18</f>
        <v>2</v>
      </c>
      <c r="E18" s="29">
        <v>0</v>
      </c>
      <c r="F18" s="30">
        <f>D18*E18</f>
        <v>0</v>
      </c>
      <c r="G18" s="30">
        <f>F18*0.05</f>
        <v>0</v>
      </c>
      <c r="H18" s="30">
        <f>F18*0.1</f>
        <v>0</v>
      </c>
      <c r="I18" s="141">
        <f t="shared" si="0"/>
        <v>0</v>
      </c>
      <c r="K18" s="36"/>
      <c r="L18" s="38"/>
    </row>
    <row r="19" spans="1:12" x14ac:dyDescent="0.2">
      <c r="A19" s="168" t="s">
        <v>23</v>
      </c>
      <c r="B19" s="55" t="s">
        <v>33</v>
      </c>
      <c r="C19" s="59"/>
      <c r="D19" s="59"/>
      <c r="E19" s="59"/>
      <c r="F19" s="59"/>
      <c r="G19" s="59"/>
      <c r="H19" s="59"/>
      <c r="I19" s="129"/>
      <c r="K19" s="36"/>
      <c r="L19" s="38"/>
    </row>
    <row r="20" spans="1:12" ht="28.5" x14ac:dyDescent="0.2">
      <c r="A20" s="189" t="s">
        <v>113</v>
      </c>
      <c r="B20" s="58">
        <v>30</v>
      </c>
      <c r="C20" s="47">
        <v>2</v>
      </c>
      <c r="D20" s="54">
        <f>B20*C20</f>
        <v>60</v>
      </c>
      <c r="E20" s="47">
        <v>34.5</v>
      </c>
      <c r="F20" s="195">
        <f>D20*E20</f>
        <v>2070</v>
      </c>
      <c r="G20" s="46">
        <f>F20*0.05</f>
        <v>103.5</v>
      </c>
      <c r="H20" s="46">
        <f>F20*0.1</f>
        <v>207</v>
      </c>
      <c r="I20" s="129">
        <f t="shared" si="0"/>
        <v>245602.39500000002</v>
      </c>
      <c r="K20" s="36"/>
      <c r="L20" s="38"/>
    </row>
    <row r="21" spans="1:12" ht="28.5" x14ac:dyDescent="0.2">
      <c r="A21" s="177" t="s">
        <v>112</v>
      </c>
      <c r="B21" s="57">
        <v>8</v>
      </c>
      <c r="C21" s="191">
        <v>2</v>
      </c>
      <c r="D21" s="57">
        <f>B21*C21</f>
        <v>16</v>
      </c>
      <c r="E21" s="191">
        <v>11.5</v>
      </c>
      <c r="F21" s="191">
        <f>D21*E21</f>
        <v>184</v>
      </c>
      <c r="G21" s="191">
        <f>F21*0.05</f>
        <v>9.2000000000000011</v>
      </c>
      <c r="H21" s="191">
        <f>F21*0.1</f>
        <v>18.400000000000002</v>
      </c>
      <c r="I21" s="129">
        <f t="shared" si="0"/>
        <v>21831.324000000001</v>
      </c>
      <c r="K21" s="36"/>
      <c r="L21" s="38"/>
    </row>
    <row r="22" spans="1:12" x14ac:dyDescent="0.2">
      <c r="A22" s="178" t="s">
        <v>24</v>
      </c>
      <c r="B22" s="190"/>
      <c r="C22" s="190"/>
      <c r="D22" s="190"/>
      <c r="E22" s="190"/>
      <c r="F22" s="221">
        <f>SUM(F8:H20)</f>
        <v>2420.1750000000002</v>
      </c>
      <c r="G22" s="222"/>
      <c r="H22" s="223"/>
      <c r="I22" s="62">
        <f>SUM(I15:I21,I7:I11)</f>
        <v>271527.09225000005</v>
      </c>
      <c r="K22" s="38"/>
      <c r="L22" s="36"/>
    </row>
    <row r="23" spans="1:12" x14ac:dyDescent="0.2">
      <c r="A23" s="25" t="s">
        <v>25</v>
      </c>
      <c r="B23" s="56"/>
      <c r="C23" s="56"/>
      <c r="D23" s="56"/>
      <c r="E23" s="56"/>
      <c r="F23" s="45"/>
      <c r="G23" s="45"/>
      <c r="H23" s="45"/>
      <c r="I23" s="22"/>
      <c r="K23" s="38"/>
      <c r="L23" s="36"/>
    </row>
    <row r="24" spans="1:12" ht="25.5" x14ac:dyDescent="0.2">
      <c r="A24" s="25" t="s">
        <v>17</v>
      </c>
      <c r="B24" s="55" t="s">
        <v>35</v>
      </c>
      <c r="C24" s="59"/>
      <c r="D24" s="59"/>
      <c r="E24" s="59"/>
      <c r="F24" s="59"/>
      <c r="G24" s="59"/>
      <c r="H24" s="59"/>
      <c r="I24" s="43"/>
      <c r="K24" s="38"/>
      <c r="L24" s="36"/>
    </row>
    <row r="25" spans="1:12" x14ac:dyDescent="0.2">
      <c r="A25" s="168" t="s">
        <v>26</v>
      </c>
      <c r="B25" s="55" t="s">
        <v>33</v>
      </c>
      <c r="C25" s="59"/>
      <c r="D25" s="59"/>
      <c r="E25" s="59"/>
      <c r="F25" s="59"/>
      <c r="G25" s="59"/>
      <c r="H25" s="59"/>
      <c r="I25" s="43"/>
      <c r="K25" s="38"/>
      <c r="L25" s="36"/>
    </row>
    <row r="26" spans="1:12" x14ac:dyDescent="0.2">
      <c r="A26" s="25" t="s">
        <v>27</v>
      </c>
      <c r="B26" s="55" t="s">
        <v>33</v>
      </c>
      <c r="C26" s="59"/>
      <c r="D26" s="59"/>
      <c r="E26" s="59"/>
      <c r="F26" s="59"/>
      <c r="G26" s="59"/>
      <c r="H26" s="59"/>
      <c r="I26" s="43"/>
      <c r="K26" s="38"/>
      <c r="L26" s="36"/>
    </row>
    <row r="27" spans="1:12" x14ac:dyDescent="0.2">
      <c r="A27" s="170" t="s">
        <v>28</v>
      </c>
      <c r="B27" s="46" t="s">
        <v>0</v>
      </c>
      <c r="C27" s="47" t="s">
        <v>0</v>
      </c>
      <c r="D27" s="47" t="s">
        <v>0</v>
      </c>
      <c r="E27" s="47" t="s">
        <v>0</v>
      </c>
      <c r="F27" s="46" t="s">
        <v>0</v>
      </c>
      <c r="G27" s="48" t="s">
        <v>0</v>
      </c>
      <c r="H27" s="48" t="s">
        <v>0</v>
      </c>
      <c r="I27" s="19" t="s">
        <v>0</v>
      </c>
      <c r="K27" s="38"/>
      <c r="L27" s="36"/>
    </row>
    <row r="28" spans="1:12" x14ac:dyDescent="0.2">
      <c r="A28" s="170" t="s">
        <v>29</v>
      </c>
      <c r="B28" s="20"/>
      <c r="C28" s="20"/>
      <c r="D28" s="20"/>
      <c r="E28" s="20"/>
      <c r="F28" s="21"/>
      <c r="G28" s="21"/>
      <c r="H28" s="21"/>
      <c r="I28" s="22"/>
      <c r="K28" s="36"/>
      <c r="L28" s="39"/>
    </row>
    <row r="29" spans="1:12" ht="28.5" x14ac:dyDescent="0.2">
      <c r="A29" s="25" t="s">
        <v>133</v>
      </c>
      <c r="B29" s="201">
        <f>'Table 1a'!B28+0.14</f>
        <v>2.64</v>
      </c>
      <c r="C29" s="23">
        <v>365</v>
      </c>
      <c r="D29" s="111">
        <f>C29*B29</f>
        <v>963.6</v>
      </c>
      <c r="E29" s="32">
        <v>40.25</v>
      </c>
      <c r="F29" s="193">
        <f>D29*E29</f>
        <v>38784.9</v>
      </c>
      <c r="G29" s="194">
        <f>F29*0.05</f>
        <v>1939.2450000000001</v>
      </c>
      <c r="H29" s="194">
        <f>F29*0.1</f>
        <v>3878.4900000000002</v>
      </c>
      <c r="I29" s="19">
        <f>F29*$F$2+G29*$G$2+H29*$H$2</f>
        <v>4601770.2076500002</v>
      </c>
      <c r="K29" s="36"/>
      <c r="L29" s="39"/>
    </row>
    <row r="30" spans="1:12" ht="28.5" x14ac:dyDescent="0.2">
      <c r="A30" s="25" t="s">
        <v>131</v>
      </c>
      <c r="B30" s="201">
        <f>B29+0.02</f>
        <v>2.66</v>
      </c>
      <c r="C30" s="23">
        <v>365</v>
      </c>
      <c r="D30" s="111">
        <f>C30*B30</f>
        <v>970.90000000000009</v>
      </c>
      <c r="E30" s="32">
        <v>5.75</v>
      </c>
      <c r="F30" s="193">
        <f>D30*E30</f>
        <v>5582.6750000000002</v>
      </c>
      <c r="G30" s="194">
        <f>F30*0.05</f>
        <v>279.13375000000002</v>
      </c>
      <c r="H30" s="194">
        <f>F30*0.1</f>
        <v>558.26750000000004</v>
      </c>
      <c r="I30" s="19">
        <f>F30*$F$2+G30*$G$2+H30*$H$2</f>
        <v>662376.01473749999</v>
      </c>
      <c r="K30" s="38"/>
      <c r="L30" s="36"/>
    </row>
    <row r="31" spans="1:12" x14ac:dyDescent="0.2">
      <c r="A31" s="25" t="s">
        <v>30</v>
      </c>
      <c r="B31" s="30" t="s">
        <v>0</v>
      </c>
      <c r="C31" s="29" t="s">
        <v>0</v>
      </c>
      <c r="D31" s="29" t="s">
        <v>0</v>
      </c>
      <c r="E31" s="29" t="s">
        <v>0</v>
      </c>
      <c r="F31" s="30" t="s">
        <v>0</v>
      </c>
      <c r="G31" s="18" t="s">
        <v>0</v>
      </c>
      <c r="H31" s="18" t="s">
        <v>0</v>
      </c>
      <c r="I31" s="19" t="s">
        <v>0</v>
      </c>
      <c r="K31" s="40"/>
      <c r="L31" s="36"/>
    </row>
    <row r="32" spans="1:12" x14ac:dyDescent="0.2">
      <c r="A32" s="171" t="s">
        <v>31</v>
      </c>
      <c r="B32" s="30" t="s">
        <v>0</v>
      </c>
      <c r="C32" s="29" t="s">
        <v>0</v>
      </c>
      <c r="D32" s="29" t="s">
        <v>0</v>
      </c>
      <c r="E32" s="29" t="s">
        <v>0</v>
      </c>
      <c r="F32" s="30" t="s">
        <v>0</v>
      </c>
      <c r="G32" s="18" t="s">
        <v>0</v>
      </c>
      <c r="H32" s="18" t="s">
        <v>0</v>
      </c>
      <c r="I32" s="19" t="s">
        <v>0</v>
      </c>
      <c r="K32" s="36"/>
      <c r="L32" s="36"/>
    </row>
    <row r="33" spans="1:12" ht="15.75" x14ac:dyDescent="0.25">
      <c r="A33" s="179" t="s">
        <v>32</v>
      </c>
      <c r="B33" s="155"/>
      <c r="C33" s="155"/>
      <c r="D33" s="155"/>
      <c r="E33" s="155"/>
      <c r="F33" s="218">
        <f>SUM(F23:H32)</f>
        <v>51022.711250000008</v>
      </c>
      <c r="G33" s="219"/>
      <c r="H33" s="220"/>
      <c r="I33" s="69">
        <f>SUM(I29:I32)</f>
        <v>5264146.2223875001</v>
      </c>
    </row>
    <row r="34" spans="1:12" ht="28.5" x14ac:dyDescent="0.2">
      <c r="A34" s="180" t="s">
        <v>130</v>
      </c>
      <c r="B34" s="156"/>
      <c r="C34" s="156"/>
      <c r="D34" s="156"/>
      <c r="E34" s="156"/>
      <c r="F34" s="224">
        <f>ROUND(SUM(F33,F22),-2)</f>
        <v>53400</v>
      </c>
      <c r="G34" s="225"/>
      <c r="H34" s="226"/>
      <c r="I34" s="70">
        <f>ROUND(SUM(I33,I22), -4)</f>
        <v>5540000</v>
      </c>
    </row>
    <row r="35" spans="1:12" ht="25.5" x14ac:dyDescent="0.2">
      <c r="A35" s="181" t="s">
        <v>36</v>
      </c>
      <c r="B35" s="63"/>
      <c r="C35" s="64"/>
      <c r="D35" s="65"/>
      <c r="E35" s="66"/>
      <c r="F35" s="64"/>
      <c r="G35" s="67"/>
      <c r="H35" s="68"/>
      <c r="I35" s="69">
        <v>0</v>
      </c>
    </row>
    <row r="36" spans="1:12" ht="15.75" x14ac:dyDescent="0.2">
      <c r="A36" s="182" t="s">
        <v>129</v>
      </c>
      <c r="B36" s="157"/>
      <c r="C36" s="157"/>
      <c r="D36" s="157"/>
      <c r="E36" s="157"/>
      <c r="F36" s="227">
        <f>F34</f>
        <v>53400</v>
      </c>
      <c r="G36" s="228"/>
      <c r="H36" s="229"/>
      <c r="I36" s="71">
        <f>ROUND(SUM(I35,I34),-4)</f>
        <v>5540000</v>
      </c>
      <c r="K36" s="152"/>
    </row>
    <row r="37" spans="1:12" x14ac:dyDescent="0.2">
      <c r="A37" s="1"/>
      <c r="B37" s="1"/>
      <c r="C37" s="1"/>
      <c r="D37" s="1"/>
      <c r="E37" s="13"/>
      <c r="G37" s="1"/>
      <c r="H37" s="1"/>
      <c r="I37" s="1"/>
    </row>
    <row r="38" spans="1:12" ht="15.75" x14ac:dyDescent="0.25">
      <c r="A38" s="118" t="s">
        <v>1</v>
      </c>
      <c r="B38" s="92"/>
      <c r="C38" s="92"/>
      <c r="D38" s="92"/>
      <c r="E38" s="92"/>
      <c r="F38" s="92"/>
      <c r="G38" s="92"/>
      <c r="H38" s="93"/>
      <c r="I38" s="60"/>
      <c r="J38" s="92"/>
      <c r="K38" s="92"/>
      <c r="L38" s="92"/>
    </row>
    <row r="39" spans="1:12" ht="16.5" x14ac:dyDescent="0.25">
      <c r="A39" s="231" t="s">
        <v>83</v>
      </c>
      <c r="B39" s="231"/>
      <c r="C39" s="231"/>
      <c r="D39" s="231"/>
      <c r="E39" s="231"/>
      <c r="F39" s="231"/>
      <c r="G39" s="231"/>
      <c r="H39" s="231"/>
      <c r="I39" s="231"/>
      <c r="J39" s="60"/>
      <c r="K39" s="60"/>
      <c r="L39" s="60"/>
    </row>
    <row r="40" spans="1:12" ht="42" customHeight="1" x14ac:dyDescent="0.25">
      <c r="A40" s="230" t="s">
        <v>122</v>
      </c>
      <c r="B40" s="230"/>
      <c r="C40" s="230"/>
      <c r="D40" s="230"/>
      <c r="E40" s="230"/>
      <c r="F40" s="230"/>
      <c r="G40" s="230"/>
      <c r="H40" s="230"/>
      <c r="I40" s="230"/>
      <c r="J40" s="60"/>
      <c r="K40" s="60"/>
      <c r="L40" s="60"/>
    </row>
    <row r="41" spans="1:12" ht="16.5" x14ac:dyDescent="0.25">
      <c r="A41" s="231" t="s">
        <v>74</v>
      </c>
      <c r="B41" s="231"/>
      <c r="C41" s="231"/>
      <c r="D41" s="231"/>
      <c r="E41" s="231"/>
      <c r="F41" s="231"/>
      <c r="G41" s="231"/>
      <c r="H41" s="231"/>
      <c r="I41" s="231"/>
      <c r="J41" s="60"/>
      <c r="K41" s="60"/>
      <c r="L41" s="60"/>
    </row>
    <row r="42" spans="1:12" ht="16.5" x14ac:dyDescent="0.25">
      <c r="A42" s="231" t="s">
        <v>111</v>
      </c>
      <c r="B42" s="231"/>
      <c r="C42" s="231"/>
      <c r="D42" s="231"/>
      <c r="E42" s="231"/>
      <c r="F42" s="231"/>
      <c r="G42" s="231"/>
      <c r="H42" s="231"/>
      <c r="I42" s="231"/>
      <c r="J42" s="60"/>
      <c r="K42" s="60"/>
      <c r="L42" s="60"/>
    </row>
    <row r="43" spans="1:12" ht="29.25" customHeight="1" x14ac:dyDescent="0.25">
      <c r="A43" s="216" t="s">
        <v>114</v>
      </c>
      <c r="B43" s="216"/>
      <c r="C43" s="216"/>
      <c r="D43" s="216"/>
      <c r="E43" s="216"/>
      <c r="F43" s="216"/>
      <c r="G43" s="216"/>
      <c r="H43" s="216"/>
      <c r="I43" s="216"/>
      <c r="J43" s="60"/>
      <c r="K43" s="60"/>
      <c r="L43" s="60"/>
    </row>
    <row r="44" spans="1:12" ht="27.75" customHeight="1" x14ac:dyDescent="0.25">
      <c r="A44" s="216" t="s">
        <v>115</v>
      </c>
      <c r="B44" s="216"/>
      <c r="C44" s="216"/>
      <c r="D44" s="216"/>
      <c r="E44" s="216"/>
      <c r="F44" s="216"/>
      <c r="G44" s="216"/>
      <c r="H44" s="216"/>
      <c r="I44" s="216"/>
      <c r="J44" s="60"/>
      <c r="K44" s="60"/>
      <c r="L44" s="60"/>
    </row>
    <row r="45" spans="1:12" ht="139.5" customHeight="1" x14ac:dyDescent="0.25">
      <c r="A45" s="233" t="s">
        <v>132</v>
      </c>
      <c r="B45" s="233"/>
      <c r="C45" s="233"/>
      <c r="D45" s="233"/>
      <c r="E45" s="233"/>
      <c r="F45" s="233"/>
      <c r="G45" s="233"/>
      <c r="H45" s="233"/>
      <c r="I45" s="233"/>
      <c r="J45" s="60"/>
      <c r="K45" s="60"/>
      <c r="L45" s="60"/>
    </row>
    <row r="46" spans="1:12" ht="44.25" customHeight="1" x14ac:dyDescent="0.2">
      <c r="A46" s="232" t="s">
        <v>127</v>
      </c>
      <c r="B46" s="232"/>
      <c r="C46" s="232"/>
      <c r="D46" s="232"/>
      <c r="E46" s="232"/>
      <c r="F46" s="232"/>
      <c r="G46" s="232"/>
      <c r="H46" s="232"/>
      <c r="I46" s="232"/>
      <c r="J46" s="153"/>
      <c r="K46" s="153"/>
      <c r="L46" s="153"/>
    </row>
    <row r="47" spans="1:12" ht="17.25" customHeight="1" x14ac:dyDescent="0.2">
      <c r="A47" s="217" t="s">
        <v>128</v>
      </c>
      <c r="B47" s="217"/>
      <c r="C47" s="217"/>
      <c r="D47" s="217"/>
      <c r="E47" s="217"/>
      <c r="F47" s="217"/>
      <c r="G47" s="217"/>
      <c r="H47" s="217"/>
      <c r="I47" s="217"/>
    </row>
  </sheetData>
  <mergeCells count="13">
    <mergeCell ref="A43:I43"/>
    <mergeCell ref="A47:I47"/>
    <mergeCell ref="F33:H33"/>
    <mergeCell ref="F22:H22"/>
    <mergeCell ref="F34:H34"/>
    <mergeCell ref="F36:H36"/>
    <mergeCell ref="A40:I40"/>
    <mergeCell ref="A39:I39"/>
    <mergeCell ref="A41:I41"/>
    <mergeCell ref="A46:I46"/>
    <mergeCell ref="A42:I42"/>
    <mergeCell ref="A44:I44"/>
    <mergeCell ref="A45:I4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S32"/>
  <sheetViews>
    <sheetView defaultGridColor="0" colorId="22" zoomScaleNormal="100" workbookViewId="0">
      <selection activeCell="D14" sqref="D14"/>
    </sheetView>
  </sheetViews>
  <sheetFormatPr defaultColWidth="9.77734375" defaultRowHeight="15" x14ac:dyDescent="0.2"/>
  <cols>
    <col min="1" max="1" width="34.88671875" customWidth="1"/>
    <col min="2" max="6" width="9" customWidth="1"/>
    <col min="7" max="7" width="10.44140625" customWidth="1"/>
    <col min="8" max="8" width="9" customWidth="1"/>
    <col min="9" max="9" width="10.44140625" customWidth="1"/>
  </cols>
  <sheetData>
    <row r="1" spans="1:253" ht="15.75" x14ac:dyDescent="0.25">
      <c r="A1" s="234"/>
      <c r="B1" s="234"/>
      <c r="C1" s="234"/>
      <c r="D1" s="234"/>
      <c r="E1" s="234"/>
      <c r="F1" s="234"/>
      <c r="G1" s="234"/>
      <c r="H1" s="234"/>
      <c r="I1" s="234"/>
    </row>
    <row r="2" spans="1:253" x14ac:dyDescent="0.2">
      <c r="A2" s="137"/>
      <c r="B2" s="94"/>
      <c r="C2" s="137"/>
      <c r="D2" s="137"/>
      <c r="E2" s="137"/>
      <c r="F2" s="138">
        <v>47.62</v>
      </c>
      <c r="G2" s="94">
        <v>64.16</v>
      </c>
      <c r="H2" s="139">
        <v>25.76</v>
      </c>
      <c r="I2" s="61"/>
    </row>
    <row r="3" spans="1:253" s="4" customFormat="1" hidden="1" x14ac:dyDescent="0.2">
      <c r="A3" s="94"/>
      <c r="B3" s="140"/>
      <c r="C3" s="94"/>
      <c r="D3" s="94"/>
      <c r="E3" s="94"/>
      <c r="F3" s="138">
        <v>46.21</v>
      </c>
      <c r="G3" s="94">
        <v>62.27</v>
      </c>
      <c r="H3" s="139">
        <v>25.01</v>
      </c>
      <c r="I3" s="61"/>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3" s="8" customFormat="1" ht="63.75" x14ac:dyDescent="0.2">
      <c r="A4" s="184" t="s">
        <v>11</v>
      </c>
      <c r="B4" s="33" t="s">
        <v>95</v>
      </c>
      <c r="C4" s="145" t="s">
        <v>94</v>
      </c>
      <c r="D4" s="33" t="s">
        <v>98</v>
      </c>
      <c r="E4" s="33" t="s">
        <v>77</v>
      </c>
      <c r="F4" s="34" t="s">
        <v>97</v>
      </c>
      <c r="G4" s="34" t="s">
        <v>99</v>
      </c>
      <c r="H4" s="34" t="s">
        <v>100</v>
      </c>
      <c r="I4" s="34" t="s">
        <v>79</v>
      </c>
    </row>
    <row r="5" spans="1:253" s="8" customFormat="1" ht="13.9" customHeight="1" x14ac:dyDescent="0.2">
      <c r="A5" s="124" t="s">
        <v>75</v>
      </c>
      <c r="B5" s="125">
        <v>4</v>
      </c>
      <c r="C5" s="126">
        <v>1.2</v>
      </c>
      <c r="D5" s="127">
        <f>B5*C5</f>
        <v>4.8</v>
      </c>
      <c r="E5" s="126">
        <v>0</v>
      </c>
      <c r="F5" s="128">
        <f t="shared" ref="F5:F11" si="0">D5*E5</f>
        <v>0</v>
      </c>
      <c r="G5" s="128">
        <f t="shared" ref="G5:G7" si="1">F5*0.05</f>
        <v>0</v>
      </c>
      <c r="H5" s="128">
        <f>F5*0.1</f>
        <v>0</v>
      </c>
      <c r="I5" s="141">
        <f t="shared" ref="I5:I10" si="2">F5*F$3+G5*G$3+H5*H$3</f>
        <v>0</v>
      </c>
    </row>
    <row r="6" spans="1:253" s="8" customFormat="1" ht="25.5" customHeight="1" x14ac:dyDescent="0.2">
      <c r="A6" s="130" t="s">
        <v>5</v>
      </c>
      <c r="B6" s="125">
        <v>2</v>
      </c>
      <c r="C6" s="126">
        <v>1</v>
      </c>
      <c r="D6" s="125">
        <f>B6*C6</f>
        <v>2</v>
      </c>
      <c r="E6" s="131">
        <v>0</v>
      </c>
      <c r="F6" s="128">
        <f t="shared" si="0"/>
        <v>0</v>
      </c>
      <c r="G6" s="128">
        <f t="shared" si="1"/>
        <v>0</v>
      </c>
      <c r="H6" s="128">
        <f t="shared" ref="H6" si="3">F6*0.1</f>
        <v>0</v>
      </c>
      <c r="I6" s="141">
        <f t="shared" si="2"/>
        <v>0</v>
      </c>
    </row>
    <row r="7" spans="1:253" s="8" customFormat="1" ht="13.9" customHeight="1" x14ac:dyDescent="0.2">
      <c r="A7" s="132" t="s">
        <v>4</v>
      </c>
      <c r="B7" s="127">
        <v>0.5</v>
      </c>
      <c r="C7" s="126">
        <v>1</v>
      </c>
      <c r="D7" s="127">
        <f t="shared" ref="D7" si="4">B7*C7</f>
        <v>0.5</v>
      </c>
      <c r="E7" s="131">
        <v>0</v>
      </c>
      <c r="F7" s="128">
        <f t="shared" si="0"/>
        <v>0</v>
      </c>
      <c r="G7" s="128">
        <f t="shared" si="1"/>
        <v>0</v>
      </c>
      <c r="H7" s="128">
        <f>F7*0.1</f>
        <v>0</v>
      </c>
      <c r="I7" s="141">
        <f t="shared" si="2"/>
        <v>0</v>
      </c>
    </row>
    <row r="8" spans="1:253" s="8" customFormat="1" ht="13.9" customHeight="1" x14ac:dyDescent="0.2">
      <c r="A8" s="132" t="s">
        <v>3</v>
      </c>
      <c r="B8" s="127">
        <v>0.5</v>
      </c>
      <c r="C8" s="126">
        <v>1</v>
      </c>
      <c r="D8" s="127">
        <f t="shared" ref="D8:D11" si="5">B8*C8</f>
        <v>0.5</v>
      </c>
      <c r="E8" s="131">
        <v>0</v>
      </c>
      <c r="F8" s="128">
        <f t="shared" si="0"/>
        <v>0</v>
      </c>
      <c r="G8" s="128">
        <f t="shared" ref="G8:G11" si="6">F8*0.05</f>
        <v>0</v>
      </c>
      <c r="H8" s="128">
        <f>F8*0.1</f>
        <v>0</v>
      </c>
      <c r="I8" s="141">
        <f t="shared" si="2"/>
        <v>0</v>
      </c>
    </row>
    <row r="9" spans="1:253" s="8" customFormat="1" ht="13.9" customHeight="1" x14ac:dyDescent="0.2">
      <c r="A9" s="132" t="s">
        <v>6</v>
      </c>
      <c r="B9" s="127">
        <v>0.5</v>
      </c>
      <c r="C9" s="127">
        <v>1.2</v>
      </c>
      <c r="D9" s="127">
        <f t="shared" si="5"/>
        <v>0.6</v>
      </c>
      <c r="E9" s="143">
        <v>0</v>
      </c>
      <c r="F9" s="144">
        <f t="shared" si="0"/>
        <v>0</v>
      </c>
      <c r="G9" s="144">
        <f t="shared" si="6"/>
        <v>0</v>
      </c>
      <c r="H9" s="144">
        <f>F9*0.1</f>
        <v>0</v>
      </c>
      <c r="I9" s="141">
        <f t="shared" si="2"/>
        <v>0</v>
      </c>
    </row>
    <row r="10" spans="1:253" s="8" customFormat="1" ht="13.9" customHeight="1" x14ac:dyDescent="0.2">
      <c r="A10" s="132" t="s">
        <v>7</v>
      </c>
      <c r="B10" s="125">
        <v>8</v>
      </c>
      <c r="C10" s="127">
        <v>1.2</v>
      </c>
      <c r="D10" s="127">
        <f t="shared" si="5"/>
        <v>9.6</v>
      </c>
      <c r="E10" s="143">
        <v>0</v>
      </c>
      <c r="F10" s="144">
        <f t="shared" si="0"/>
        <v>0</v>
      </c>
      <c r="G10" s="144">
        <f t="shared" si="6"/>
        <v>0</v>
      </c>
      <c r="H10" s="144">
        <f>F10*0.1</f>
        <v>0</v>
      </c>
      <c r="I10" s="141">
        <f t="shared" si="2"/>
        <v>0</v>
      </c>
    </row>
    <row r="11" spans="1:253" s="8" customFormat="1" ht="13.9" customHeight="1" x14ac:dyDescent="0.2">
      <c r="A11" s="132" t="s">
        <v>8</v>
      </c>
      <c r="B11" s="125">
        <v>4</v>
      </c>
      <c r="C11" s="126">
        <v>2</v>
      </c>
      <c r="D11" s="125">
        <f t="shared" si="5"/>
        <v>8</v>
      </c>
      <c r="E11" s="131">
        <v>116</v>
      </c>
      <c r="F11" s="142">
        <f t="shared" si="0"/>
        <v>928</v>
      </c>
      <c r="G11" s="128">
        <f t="shared" si="6"/>
        <v>46.400000000000006</v>
      </c>
      <c r="H11" s="128">
        <f>F11*0.1</f>
        <v>92.800000000000011</v>
      </c>
      <c r="I11" s="129">
        <f>F11*$F$2+G11*$G$2+H11*$H$2</f>
        <v>49558.911999999997</v>
      </c>
    </row>
    <row r="12" spans="1:253" s="8" customFormat="1" ht="13.9" customHeight="1" x14ac:dyDescent="0.2">
      <c r="A12" s="133" t="s">
        <v>81</v>
      </c>
      <c r="B12" s="134"/>
      <c r="C12" s="135"/>
      <c r="D12" s="126"/>
      <c r="E12" s="128"/>
      <c r="F12" s="235">
        <f>ROUND(SUM(F5:H11),-1)</f>
        <v>1070</v>
      </c>
      <c r="G12" s="236"/>
      <c r="H12" s="237"/>
      <c r="I12" s="136">
        <f>ROUND(I11, -2)</f>
        <v>49600</v>
      </c>
    </row>
    <row r="13" spans="1:253" s="8" customFormat="1" ht="12.75" x14ac:dyDescent="0.2">
      <c r="A13" s="94"/>
      <c r="B13" s="94"/>
      <c r="C13" s="94"/>
      <c r="D13" s="94"/>
      <c r="E13" s="94"/>
      <c r="F13" s="94"/>
      <c r="G13" s="94"/>
      <c r="H13" s="61"/>
      <c r="I13" s="61"/>
    </row>
    <row r="14" spans="1:253" s="4" customFormat="1" x14ac:dyDescent="0.2">
      <c r="A14" s="118" t="s">
        <v>1</v>
      </c>
      <c r="B14" s="94"/>
      <c r="C14" s="94"/>
      <c r="D14" s="94"/>
      <c r="E14" s="94"/>
      <c r="F14" s="94"/>
      <c r="G14" s="94"/>
      <c r="H14" s="94"/>
      <c r="I14" s="61"/>
      <c r="J14" s="1"/>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row>
    <row r="15" spans="1:253" s="4" customFormat="1" ht="15" customHeight="1" x14ac:dyDescent="0.2">
      <c r="A15" s="238" t="s">
        <v>76</v>
      </c>
      <c r="B15" s="238"/>
      <c r="C15" s="238"/>
      <c r="D15" s="238"/>
      <c r="E15" s="238"/>
      <c r="F15" s="238"/>
      <c r="G15" s="238"/>
      <c r="H15" s="238"/>
      <c r="I15" s="238"/>
      <c r="J15" s="15"/>
      <c r="K15" s="15"/>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row>
    <row r="16" spans="1:253" ht="27.75" customHeight="1" x14ac:dyDescent="0.2">
      <c r="A16" s="230" t="s">
        <v>80</v>
      </c>
      <c r="B16" s="230"/>
      <c r="C16" s="230"/>
      <c r="D16" s="230"/>
      <c r="E16" s="230"/>
      <c r="F16" s="230"/>
      <c r="G16" s="230"/>
      <c r="H16" s="230"/>
      <c r="I16" s="230"/>
    </row>
    <row r="17" spans="1:253" ht="15.75" x14ac:dyDescent="0.2">
      <c r="A17" s="217" t="s">
        <v>82</v>
      </c>
      <c r="B17" s="217"/>
      <c r="C17" s="217"/>
      <c r="D17" s="217"/>
      <c r="E17" s="217"/>
      <c r="F17" s="217"/>
      <c r="G17" s="217"/>
      <c r="H17" s="217"/>
      <c r="I17" s="217"/>
    </row>
    <row r="20" spans="1:253" s="4" customFormat="1" hidden="1" x14ac:dyDescent="0.2">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row>
    <row r="21" spans="1:253" s="8" customFormat="1" ht="12.75" x14ac:dyDescent="0.2"/>
    <row r="22" spans="1:253" s="8" customFormat="1" ht="13.9" customHeight="1" x14ac:dyDescent="0.2"/>
    <row r="23" spans="1:253" s="8" customFormat="1" ht="25.5" customHeight="1" x14ac:dyDescent="0.2"/>
    <row r="24" spans="1:253" s="8" customFormat="1" ht="13.9" customHeight="1" x14ac:dyDescent="0.2"/>
    <row r="25" spans="1:253" s="8" customFormat="1" ht="13.9" customHeight="1" x14ac:dyDescent="0.2"/>
    <row r="26" spans="1:253" s="8" customFormat="1" ht="13.9" customHeight="1" x14ac:dyDescent="0.2"/>
    <row r="27" spans="1:253" s="8" customFormat="1" ht="13.9" customHeight="1" x14ac:dyDescent="0.2"/>
    <row r="28" spans="1:253" s="8" customFormat="1" ht="13.9" customHeight="1" x14ac:dyDescent="0.2"/>
    <row r="29" spans="1:253" s="8" customFormat="1" ht="13.9" customHeight="1" x14ac:dyDescent="0.2"/>
    <row r="30" spans="1:253" s="8" customFormat="1" ht="13.9" customHeight="1" x14ac:dyDescent="0.2"/>
    <row r="31" spans="1:253" s="8" customFormat="1" ht="12.75" x14ac:dyDescent="0.2"/>
    <row r="32" spans="1:253" s="4" customFormat="1" x14ac:dyDescent="0.2">
      <c r="J32" s="1"/>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row>
  </sheetData>
  <mergeCells count="5">
    <mergeCell ref="A16:I16"/>
    <mergeCell ref="A1:I1"/>
    <mergeCell ref="F12:H12"/>
    <mergeCell ref="A15:I15"/>
    <mergeCell ref="A17:I17"/>
  </mergeCells>
  <phoneticPr fontId="0" type="noConversion"/>
  <pageMargins left="0.25" right="0.25" top="0.5" bottom="0.44" header="0.5" footer="0.5"/>
  <pageSetup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I12" sqref="I12"/>
    </sheetView>
  </sheetViews>
  <sheetFormatPr defaultRowHeight="15" x14ac:dyDescent="0.2"/>
  <cols>
    <col min="1" max="1" width="32.5546875" customWidth="1"/>
    <col min="2" max="2" width="10.44140625" customWidth="1"/>
    <col min="9" max="9" width="9.44140625" customWidth="1"/>
  </cols>
  <sheetData>
    <row r="1" spans="1:9" ht="15.75" x14ac:dyDescent="0.25">
      <c r="A1" s="16" t="s">
        <v>9</v>
      </c>
      <c r="C1" s="16"/>
      <c r="D1" s="16"/>
      <c r="E1" s="16"/>
      <c r="F1" s="16"/>
      <c r="G1" s="16"/>
      <c r="H1" s="16"/>
      <c r="I1" s="16"/>
    </row>
    <row r="2" spans="1:9" ht="15.75" x14ac:dyDescent="0.25">
      <c r="A2" s="14"/>
      <c r="B2" s="1"/>
      <c r="C2" s="14"/>
      <c r="D2" s="14"/>
      <c r="E2" s="14"/>
      <c r="F2" s="6"/>
      <c r="G2" s="1"/>
      <c r="H2" s="10"/>
    </row>
    <row r="3" spans="1:9" ht="15.75" x14ac:dyDescent="0.25">
      <c r="A3" s="1"/>
      <c r="B3" s="7"/>
      <c r="C3" s="1"/>
      <c r="D3" s="1"/>
      <c r="E3" s="1"/>
      <c r="F3" s="6">
        <v>46.21</v>
      </c>
      <c r="G3" s="1">
        <v>62.27</v>
      </c>
      <c r="H3" s="10">
        <v>25.01</v>
      </c>
    </row>
    <row r="4" spans="1:9" ht="63.75" x14ac:dyDescent="0.2">
      <c r="A4" s="184" t="s">
        <v>11</v>
      </c>
      <c r="B4" s="33" t="s">
        <v>96</v>
      </c>
      <c r="C4" s="145" t="s">
        <v>94</v>
      </c>
      <c r="D4" s="33" t="s">
        <v>98</v>
      </c>
      <c r="E4" s="33" t="s">
        <v>77</v>
      </c>
      <c r="F4" s="34" t="s">
        <v>97</v>
      </c>
      <c r="G4" s="34" t="s">
        <v>99</v>
      </c>
      <c r="H4" s="34" t="s">
        <v>100</v>
      </c>
      <c r="I4" s="34" t="s">
        <v>79</v>
      </c>
    </row>
    <row r="5" spans="1:9" ht="15.75" x14ac:dyDescent="0.2">
      <c r="A5" s="124" t="s">
        <v>75</v>
      </c>
      <c r="B5" s="125">
        <v>4</v>
      </c>
      <c r="C5" s="126">
        <v>1.2</v>
      </c>
      <c r="D5" s="127">
        <f t="shared" ref="D5:D11" si="0">B5*C5</f>
        <v>4.8</v>
      </c>
      <c r="E5" s="126">
        <v>0</v>
      </c>
      <c r="F5" s="128">
        <f t="shared" ref="F5:F11" si="1">D5*E5</f>
        <v>0</v>
      </c>
      <c r="G5" s="128">
        <f t="shared" ref="G5:G11" si="2">F5*0.05</f>
        <v>0</v>
      </c>
      <c r="H5" s="128">
        <f t="shared" ref="H5:H11" si="3">F5*0.1</f>
        <v>0</v>
      </c>
      <c r="I5" s="147">
        <f>F5*'Table 2a'!F$3+G5*'Table 2a'!G$3+H5*'Table 2a'!H$3</f>
        <v>0</v>
      </c>
    </row>
    <row r="6" spans="1:9" ht="15" customHeight="1" x14ac:dyDescent="0.2">
      <c r="A6" s="130" t="s">
        <v>5</v>
      </c>
      <c r="B6" s="125">
        <v>2</v>
      </c>
      <c r="C6" s="126">
        <v>1</v>
      </c>
      <c r="D6" s="125">
        <f t="shared" si="0"/>
        <v>2</v>
      </c>
      <c r="E6" s="131">
        <v>0</v>
      </c>
      <c r="F6" s="128">
        <f t="shared" si="1"/>
        <v>0</v>
      </c>
      <c r="G6" s="128">
        <f t="shared" si="2"/>
        <v>0</v>
      </c>
      <c r="H6" s="128">
        <f t="shared" si="3"/>
        <v>0</v>
      </c>
      <c r="I6" s="147">
        <f>F6*'Table 2a'!F$3+G6*'Table 2a'!G$3+H6*'Table 2a'!H$3</f>
        <v>0</v>
      </c>
    </row>
    <row r="7" spans="1:9" x14ac:dyDescent="0.2">
      <c r="A7" s="132" t="s">
        <v>4</v>
      </c>
      <c r="B7" s="146">
        <v>0.5</v>
      </c>
      <c r="C7" s="125">
        <v>1</v>
      </c>
      <c r="D7" s="127">
        <f t="shared" si="0"/>
        <v>0.5</v>
      </c>
      <c r="E7" s="143">
        <v>0</v>
      </c>
      <c r="F7" s="144">
        <f t="shared" si="1"/>
        <v>0</v>
      </c>
      <c r="G7" s="144">
        <f t="shared" si="2"/>
        <v>0</v>
      </c>
      <c r="H7" s="144">
        <f t="shared" si="3"/>
        <v>0</v>
      </c>
      <c r="I7" s="148">
        <f>F7*'Table 2a'!F$3+G7*'Table 2a'!G$3+H7*'Table 2a'!H$3</f>
        <v>0</v>
      </c>
    </row>
    <row r="8" spans="1:9" x14ac:dyDescent="0.2">
      <c r="A8" s="132" t="s">
        <v>3</v>
      </c>
      <c r="B8" s="146">
        <v>0.5</v>
      </c>
      <c r="C8" s="125">
        <v>1</v>
      </c>
      <c r="D8" s="127">
        <f t="shared" si="0"/>
        <v>0.5</v>
      </c>
      <c r="E8" s="143">
        <v>0</v>
      </c>
      <c r="F8" s="144">
        <f t="shared" si="1"/>
        <v>0</v>
      </c>
      <c r="G8" s="144">
        <f t="shared" si="2"/>
        <v>0</v>
      </c>
      <c r="H8" s="144">
        <f t="shared" si="3"/>
        <v>0</v>
      </c>
      <c r="I8" s="148">
        <f>F8*'Table 2a'!F$3+G8*'Table 2a'!G$3+H8*'Table 2a'!H$3</f>
        <v>0</v>
      </c>
    </row>
    <row r="9" spans="1:9" x14ac:dyDescent="0.2">
      <c r="A9" s="132" t="s">
        <v>6</v>
      </c>
      <c r="B9" s="146">
        <v>0.5</v>
      </c>
      <c r="C9" s="127">
        <v>1.2</v>
      </c>
      <c r="D9" s="127">
        <f t="shared" si="0"/>
        <v>0.6</v>
      </c>
      <c r="E9" s="143">
        <v>0</v>
      </c>
      <c r="F9" s="144">
        <f t="shared" si="1"/>
        <v>0</v>
      </c>
      <c r="G9" s="144">
        <f t="shared" si="2"/>
        <v>0</v>
      </c>
      <c r="H9" s="144">
        <f t="shared" si="3"/>
        <v>0</v>
      </c>
      <c r="I9" s="148">
        <f>F9*'Table 2a'!F$3+G9*'Table 2a'!G$3+H9*'Table 2a'!H$3</f>
        <v>0</v>
      </c>
    </row>
    <row r="10" spans="1:9" x14ac:dyDescent="0.2">
      <c r="A10" s="132" t="s">
        <v>7</v>
      </c>
      <c r="B10" s="146">
        <v>8</v>
      </c>
      <c r="C10" s="127">
        <v>1.2</v>
      </c>
      <c r="D10" s="127">
        <f t="shared" si="0"/>
        <v>9.6</v>
      </c>
      <c r="E10" s="143">
        <v>0</v>
      </c>
      <c r="F10" s="144">
        <f t="shared" si="1"/>
        <v>0</v>
      </c>
      <c r="G10" s="144">
        <f t="shared" si="2"/>
        <v>0</v>
      </c>
      <c r="H10" s="144">
        <f t="shared" si="3"/>
        <v>0</v>
      </c>
      <c r="I10" s="148">
        <f>F10*'Table 2a'!F$3+G10*'Table 2a'!G$3+H10*'Table 2a'!H$3</f>
        <v>0</v>
      </c>
    </row>
    <row r="11" spans="1:9" x14ac:dyDescent="0.2">
      <c r="A11" s="132" t="s">
        <v>8</v>
      </c>
      <c r="B11" s="125">
        <v>4</v>
      </c>
      <c r="C11" s="126">
        <v>2</v>
      </c>
      <c r="D11" s="125">
        <f t="shared" si="0"/>
        <v>8</v>
      </c>
      <c r="E11" s="131">
        <v>46</v>
      </c>
      <c r="F11" s="128">
        <f t="shared" si="1"/>
        <v>368</v>
      </c>
      <c r="G11" s="128">
        <f t="shared" si="2"/>
        <v>18.400000000000002</v>
      </c>
      <c r="H11" s="128">
        <f t="shared" si="3"/>
        <v>36.800000000000004</v>
      </c>
      <c r="I11" s="149">
        <f>F11*F$3+G11*G$3+H11*H$3</f>
        <v>19071.415999999997</v>
      </c>
    </row>
    <row r="12" spans="1:9" ht="15.75" x14ac:dyDescent="0.2">
      <c r="A12" s="133" t="s">
        <v>81</v>
      </c>
      <c r="B12" s="134"/>
      <c r="C12" s="135"/>
      <c r="D12" s="126"/>
      <c r="E12" s="128"/>
      <c r="F12" s="235">
        <f>SUM(F5:H11)</f>
        <v>423.2</v>
      </c>
      <c r="G12" s="236"/>
      <c r="H12" s="237"/>
      <c r="I12" s="150">
        <f>ROUND(SUM(I5:I11), -2)</f>
        <v>19100</v>
      </c>
    </row>
    <row r="13" spans="1:9" x14ac:dyDescent="0.2">
      <c r="A13" s="94"/>
      <c r="B13" s="94"/>
      <c r="C13" s="94"/>
      <c r="D13" s="94"/>
      <c r="E13" s="94"/>
      <c r="F13" s="94"/>
      <c r="G13" s="94"/>
      <c r="H13" s="61"/>
      <c r="I13" s="61"/>
    </row>
    <row r="14" spans="1:9" ht="15.75" x14ac:dyDescent="0.25">
      <c r="A14" s="118" t="s">
        <v>1</v>
      </c>
      <c r="B14" s="92"/>
      <c r="C14" s="92"/>
      <c r="D14" s="92"/>
      <c r="E14" s="92"/>
      <c r="F14" s="92"/>
      <c r="G14" s="60"/>
      <c r="H14" s="92"/>
      <c r="I14" s="92"/>
    </row>
    <row r="15" spans="1:9" ht="16.5" customHeight="1" x14ac:dyDescent="0.2">
      <c r="A15" s="239" t="s">
        <v>78</v>
      </c>
      <c r="B15" s="239"/>
      <c r="C15" s="239"/>
      <c r="D15" s="239"/>
      <c r="E15" s="239"/>
      <c r="F15" s="239"/>
      <c r="G15" s="239"/>
      <c r="H15" s="239"/>
      <c r="I15" s="239"/>
    </row>
    <row r="16" spans="1:9" ht="31.5" customHeight="1" x14ac:dyDescent="0.2">
      <c r="A16" s="230" t="s">
        <v>80</v>
      </c>
      <c r="B16" s="230"/>
      <c r="C16" s="230"/>
      <c r="D16" s="230"/>
      <c r="E16" s="230"/>
      <c r="F16" s="230"/>
      <c r="G16" s="230"/>
      <c r="H16" s="230"/>
      <c r="I16" s="230"/>
    </row>
    <row r="17" spans="1:9" ht="16.5" customHeight="1" x14ac:dyDescent="0.2">
      <c r="A17" s="217" t="s">
        <v>82</v>
      </c>
      <c r="B17" s="217"/>
      <c r="C17" s="217"/>
      <c r="D17" s="217"/>
      <c r="E17" s="217"/>
      <c r="F17" s="217"/>
      <c r="G17" s="217"/>
      <c r="H17" s="217"/>
      <c r="I17" s="217"/>
    </row>
  </sheetData>
  <mergeCells count="4">
    <mergeCell ref="F12:H12"/>
    <mergeCell ref="A16:I16"/>
    <mergeCell ref="A15:I15"/>
    <mergeCell ref="A17:I1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6" sqref="D16"/>
    </sheetView>
  </sheetViews>
  <sheetFormatPr defaultRowHeight="12.75" x14ac:dyDescent="0.2"/>
  <cols>
    <col min="1" max="1" width="11.21875" style="61" customWidth="1"/>
    <col min="2" max="2" width="8.88671875" style="61"/>
    <col min="3" max="3" width="11.44140625" style="61" customWidth="1"/>
    <col min="4" max="4" width="19.6640625" style="61" customWidth="1"/>
    <col min="5" max="5" width="13" style="61" customWidth="1"/>
    <col min="6" max="6" width="13.109375" style="61" customWidth="1"/>
    <col min="7" max="7" width="8.88671875" style="61"/>
    <col min="8" max="8" width="12.33203125" style="61" customWidth="1"/>
    <col min="9" max="9" width="10.5546875" style="61" customWidth="1"/>
    <col min="10" max="10" width="12.77734375" style="61" customWidth="1"/>
    <col min="11" max="16384" width="8.88671875" style="61"/>
  </cols>
  <sheetData>
    <row r="1" spans="1:6" x14ac:dyDescent="0.2">
      <c r="A1" s="240" t="s">
        <v>37</v>
      </c>
      <c r="B1" s="241"/>
      <c r="C1" s="241"/>
      <c r="D1" s="241"/>
      <c r="E1" s="241"/>
      <c r="F1" s="242"/>
    </row>
    <row r="2" spans="1:6" ht="25.5" x14ac:dyDescent="0.2">
      <c r="A2" s="185"/>
      <c r="B2" s="243" t="s">
        <v>38</v>
      </c>
      <c r="C2" s="244"/>
      <c r="D2" s="186" t="s">
        <v>39</v>
      </c>
      <c r="E2" s="243"/>
      <c r="F2" s="244"/>
    </row>
    <row r="3" spans="1:6" x14ac:dyDescent="0.2">
      <c r="A3" s="72"/>
      <c r="B3" s="73" t="s">
        <v>40</v>
      </c>
      <c r="C3" s="73" t="s">
        <v>41</v>
      </c>
      <c r="D3" s="73" t="s">
        <v>42</v>
      </c>
      <c r="E3" s="73" t="s">
        <v>43</v>
      </c>
      <c r="F3" s="73" t="s">
        <v>44</v>
      </c>
    </row>
    <row r="4" spans="1:6" ht="51" x14ac:dyDescent="0.2">
      <c r="A4" s="73" t="s">
        <v>45</v>
      </c>
      <c r="B4" s="73" t="s">
        <v>46</v>
      </c>
      <c r="C4" s="73" t="s">
        <v>47</v>
      </c>
      <c r="D4" s="74" t="s">
        <v>48</v>
      </c>
      <c r="E4" s="73" t="s">
        <v>49</v>
      </c>
      <c r="F4" s="73" t="s">
        <v>37</v>
      </c>
    </row>
    <row r="5" spans="1:6" x14ac:dyDescent="0.2">
      <c r="A5" s="73"/>
      <c r="B5" s="73"/>
      <c r="C5" s="73"/>
      <c r="D5" s="73"/>
      <c r="E5" s="73"/>
      <c r="F5" s="73" t="s">
        <v>50</v>
      </c>
    </row>
    <row r="6" spans="1:6" x14ac:dyDescent="0.2">
      <c r="A6" s="75">
        <v>1</v>
      </c>
      <c r="B6" s="76">
        <v>0</v>
      </c>
      <c r="C6" s="76">
        <v>116</v>
      </c>
      <c r="D6" s="77">
        <v>0</v>
      </c>
      <c r="E6" s="76">
        <v>0</v>
      </c>
      <c r="F6" s="76">
        <f>B6+C6+D6-E6</f>
        <v>116</v>
      </c>
    </row>
    <row r="7" spans="1:6" x14ac:dyDescent="0.2">
      <c r="A7" s="75">
        <v>2</v>
      </c>
      <c r="B7" s="76">
        <v>0</v>
      </c>
      <c r="C7" s="76">
        <f>B7+C6</f>
        <v>116</v>
      </c>
      <c r="D7" s="77">
        <v>0</v>
      </c>
      <c r="E7" s="77">
        <v>0</v>
      </c>
      <c r="F7" s="77">
        <f t="shared" ref="F7:F8" si="0">B7+C7+D7-E7</f>
        <v>116</v>
      </c>
    </row>
    <row r="8" spans="1:6" x14ac:dyDescent="0.2">
      <c r="A8" s="75">
        <v>3</v>
      </c>
      <c r="B8" s="76">
        <v>0</v>
      </c>
      <c r="C8" s="76">
        <f>B8+C7</f>
        <v>116</v>
      </c>
      <c r="D8" s="77">
        <v>0</v>
      </c>
      <c r="E8" s="77">
        <v>0</v>
      </c>
      <c r="F8" s="77">
        <f t="shared" si="0"/>
        <v>116</v>
      </c>
    </row>
    <row r="9" spans="1:6" x14ac:dyDescent="0.2">
      <c r="A9" s="75" t="s">
        <v>51</v>
      </c>
      <c r="B9" s="76">
        <f>AVERAGE(B6:B8)</f>
        <v>0</v>
      </c>
      <c r="C9" s="76">
        <f t="shared" ref="C9:F9" si="1">AVERAGE(C6:C8)</f>
        <v>116</v>
      </c>
      <c r="D9" s="76">
        <f t="shared" si="1"/>
        <v>0</v>
      </c>
      <c r="E9" s="76">
        <f t="shared" si="1"/>
        <v>0</v>
      </c>
      <c r="F9" s="76">
        <f t="shared" si="1"/>
        <v>116</v>
      </c>
    </row>
    <row r="10" spans="1:6" ht="15.75" x14ac:dyDescent="0.2">
      <c r="A10" s="78" t="s">
        <v>106</v>
      </c>
      <c r="B10" s="78"/>
      <c r="C10" s="78"/>
      <c r="D10" s="78"/>
      <c r="E10" s="78"/>
      <c r="F10" s="78"/>
    </row>
    <row r="12" spans="1:6" x14ac:dyDescent="0.2">
      <c r="A12" s="187" t="s">
        <v>104</v>
      </c>
    </row>
    <row r="13" spans="1:6" ht="25.5" x14ac:dyDescent="0.2">
      <c r="A13" s="158" t="s">
        <v>85</v>
      </c>
      <c r="B13" s="158" t="s">
        <v>86</v>
      </c>
      <c r="C13" s="158" t="s">
        <v>87</v>
      </c>
      <c r="D13" s="158" t="s">
        <v>88</v>
      </c>
      <c r="E13" s="158" t="s">
        <v>89</v>
      </c>
    </row>
    <row r="14" spans="1:6" x14ac:dyDescent="0.2">
      <c r="A14" s="159" t="s">
        <v>90</v>
      </c>
      <c r="B14" s="160">
        <f>SUM('Table 1a'!F8:H20)</f>
        <v>8137.4</v>
      </c>
      <c r="C14" s="160">
        <f>SUM('Table 1a'!F28:H28)</f>
        <v>121727.5</v>
      </c>
      <c r="D14" s="160">
        <f>ROUND(SUM(B14:C14),-3)</f>
        <v>130000</v>
      </c>
      <c r="E14" s="161">
        <f>'Table 1a'!I34</f>
        <v>13400000</v>
      </c>
    </row>
    <row r="15" spans="1:6" x14ac:dyDescent="0.2">
      <c r="A15" s="159" t="s">
        <v>91</v>
      </c>
      <c r="B15" s="160">
        <f>SUM('Table 1b'!F8:H20)</f>
        <v>2420.1750000000002</v>
      </c>
      <c r="C15" s="160">
        <f>SUM('Table 1b'!F29:H30)</f>
        <v>51022.711250000008</v>
      </c>
      <c r="D15" s="160">
        <f>ROUND(SUM(B15:C15), -2)</f>
        <v>53400</v>
      </c>
      <c r="E15" s="161">
        <f>'Table 1b'!I36</f>
        <v>5540000</v>
      </c>
    </row>
    <row r="16" spans="1:6" x14ac:dyDescent="0.2">
      <c r="A16" s="163" t="s">
        <v>58</v>
      </c>
      <c r="B16" s="164"/>
      <c r="C16" s="164"/>
      <c r="D16" s="165">
        <f>ROUND(SUM(D14:D15),-3)</f>
        <v>183000</v>
      </c>
      <c r="E16" s="166">
        <f>ROUND(SUM(E14:E15),-5)</f>
        <v>18900000</v>
      </c>
    </row>
    <row r="20" spans="1:3" x14ac:dyDescent="0.2">
      <c r="A20" s="187" t="s">
        <v>105</v>
      </c>
    </row>
    <row r="21" spans="1:3" ht="25.5" x14ac:dyDescent="0.2">
      <c r="A21" s="158" t="s">
        <v>85</v>
      </c>
      <c r="B21" s="158" t="s">
        <v>103</v>
      </c>
      <c r="C21" s="158" t="s">
        <v>89</v>
      </c>
    </row>
    <row r="22" spans="1:3" x14ac:dyDescent="0.2">
      <c r="A22" s="159" t="s">
        <v>90</v>
      </c>
      <c r="B22" s="160">
        <v>1070</v>
      </c>
      <c r="C22" s="161">
        <v>49600</v>
      </c>
    </row>
    <row r="23" spans="1:3" x14ac:dyDescent="0.2">
      <c r="A23" s="159" t="s">
        <v>91</v>
      </c>
      <c r="B23" s="162">
        <v>423</v>
      </c>
      <c r="C23" s="161">
        <v>19100</v>
      </c>
    </row>
    <row r="24" spans="1:3" x14ac:dyDescent="0.2">
      <c r="A24" s="163" t="s">
        <v>58</v>
      </c>
      <c r="B24" s="165">
        <f>ROUND(SUM(B22:B23),-1)</f>
        <v>1490</v>
      </c>
      <c r="C24" s="166">
        <f>SUM(C22:C23)</f>
        <v>68700</v>
      </c>
    </row>
  </sheetData>
  <mergeCells count="3">
    <mergeCell ref="A1:F1"/>
    <mergeCell ref="B2:C2"/>
    <mergeCell ref="E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14" sqref="D14"/>
    </sheetView>
  </sheetViews>
  <sheetFormatPr defaultRowHeight="15" x14ac:dyDescent="0.2"/>
  <cols>
    <col min="1" max="1" width="29.21875" customWidth="1"/>
    <col min="4" max="4" width="14.33203125" customWidth="1"/>
    <col min="5" max="5" width="12.6640625" customWidth="1"/>
  </cols>
  <sheetData>
    <row r="1" spans="1:5" ht="15.75" x14ac:dyDescent="0.2">
      <c r="A1" s="245" t="s">
        <v>52</v>
      </c>
      <c r="B1" s="245"/>
      <c r="C1" s="245"/>
      <c r="D1" s="245"/>
      <c r="E1" s="245"/>
    </row>
    <row r="2" spans="1:5" ht="60" x14ac:dyDescent="0.2">
      <c r="A2" s="79" t="s">
        <v>53</v>
      </c>
      <c r="B2" s="80" t="s">
        <v>54</v>
      </c>
      <c r="C2" s="80" t="s">
        <v>55</v>
      </c>
      <c r="D2" s="81" t="s">
        <v>56</v>
      </c>
      <c r="E2" s="79" t="s">
        <v>57</v>
      </c>
    </row>
    <row r="3" spans="1:5" x14ac:dyDescent="0.2">
      <c r="A3" s="82" t="s">
        <v>61</v>
      </c>
      <c r="B3" s="83">
        <v>116</v>
      </c>
      <c r="C3" s="83">
        <v>2</v>
      </c>
      <c r="D3" s="84">
        <v>0</v>
      </c>
      <c r="E3" s="84">
        <f>B3*C3+D3</f>
        <v>232</v>
      </c>
    </row>
    <row r="4" spans="1:5" x14ac:dyDescent="0.2">
      <c r="A4" s="82" t="s">
        <v>62</v>
      </c>
      <c r="B4" s="83">
        <v>46</v>
      </c>
      <c r="C4" s="83">
        <v>2</v>
      </c>
      <c r="D4" s="84">
        <v>0</v>
      </c>
      <c r="E4" s="84">
        <f t="shared" ref="E4" si="0">B4*C4+D4</f>
        <v>92</v>
      </c>
    </row>
    <row r="5" spans="1:5" x14ac:dyDescent="0.2">
      <c r="A5" s="85"/>
      <c r="B5" s="85"/>
      <c r="C5" s="85"/>
      <c r="D5" s="86" t="s">
        <v>58</v>
      </c>
      <c r="E5" s="86">
        <f>SUM(E3:E4)</f>
        <v>324</v>
      </c>
    </row>
    <row r="6" spans="1:5" x14ac:dyDescent="0.2">
      <c r="A6" s="246" t="s">
        <v>59</v>
      </c>
      <c r="B6" s="246"/>
      <c r="C6" s="246"/>
      <c r="D6" s="246"/>
      <c r="E6" s="246"/>
    </row>
    <row r="7" spans="1:5" x14ac:dyDescent="0.2">
      <c r="A7" s="87"/>
      <c r="B7" s="87"/>
      <c r="C7" s="87"/>
      <c r="D7" s="88" t="s">
        <v>60</v>
      </c>
      <c r="E7" s="89">
        <f>(SUM('Table 1b'!F36:H36,'Table 1a'!F34:H34))/'# Responses'!E5</f>
        <v>566.04938271604942</v>
      </c>
    </row>
  </sheetData>
  <mergeCells count="2">
    <mergeCell ref="A1:E1"/>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1a</vt:lpstr>
      <vt:lpstr>Table 1b</vt:lpstr>
      <vt:lpstr>Table 2a</vt:lpstr>
      <vt:lpstr>Table 2b</vt:lpstr>
      <vt:lpstr># Respondents</vt:lpstr>
      <vt:lpstr># Responses</vt:lpstr>
      <vt:lpstr>'Table 1a'!Print_Area</vt:lpstr>
    </vt:vector>
  </TitlesOfParts>
  <Company>Eastern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cp:lastPrinted>2009-11-02T18:25:56Z</cp:lastPrinted>
  <dcterms:created xsi:type="dcterms:W3CDTF">2006-08-15T22:13:40Z</dcterms:created>
  <dcterms:modified xsi:type="dcterms:W3CDTF">2017-05-26T11:51:35Z</dcterms:modified>
</cp:coreProperties>
</file>